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2017" sheetId="1" r:id="rId1"/>
    <sheet name="2016" sheetId="2" r:id="rId2"/>
    <sheet name="2015" sheetId="3" r:id="rId3"/>
    <sheet name="2014" sheetId="4" r:id="rId4"/>
    <sheet name="2013" sheetId="5" r:id="rId5"/>
    <sheet name="工作表5" sheetId="6" r:id="rId6"/>
  </sheets>
  <definedNames>
    <definedName name="_xlnm._FilterDatabase" localSheetId="4" hidden="1">'2013'!$A$1:$U$501</definedName>
    <definedName name="_xlnm._FilterDatabase" localSheetId="3" hidden="1">'2014'!$A$1:$U$501</definedName>
    <definedName name="_xlnm._FilterDatabase" localSheetId="2" hidden="1">'2015'!$A$1:$U$501</definedName>
    <definedName name="_xlnm._FilterDatabase" localSheetId="1" hidden="1">'2016'!$A$1:$U$501</definedName>
    <definedName name="_xlnm._FilterDatabase" localSheetId="0" hidden="1">'2017'!$A$1:$U$501</definedName>
    <definedName name="StockList_2013" localSheetId="4">'2013'!$A$1:$U$501</definedName>
    <definedName name="StockList_2014" localSheetId="3">'2014'!$A$1:$U$501</definedName>
    <definedName name="StockList_2015" localSheetId="2">'2015'!$A$1:$U$501</definedName>
    <definedName name="StockList_2016" localSheetId="1">'2016'!$A$1:$U$501</definedName>
    <definedName name="StockList_2017" localSheetId="0">'2017'!$A$1:$U$501</definedName>
  </definedNames>
  <calcPr calcId="152511"/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  <c r="E3" i="6"/>
  <c r="E2" i="6"/>
  <c r="E1" i="6"/>
  <c r="D10" i="6"/>
  <c r="D9" i="6"/>
  <c r="D8" i="6"/>
  <c r="D7" i="6"/>
  <c r="D6" i="6"/>
  <c r="D5" i="6"/>
  <c r="D4" i="6"/>
  <c r="D3" i="6"/>
  <c r="D2" i="6"/>
  <c r="D1" i="6"/>
  <c r="C10" i="6"/>
  <c r="C9" i="6"/>
  <c r="C8" i="6"/>
  <c r="C7" i="6"/>
  <c r="C6" i="6"/>
  <c r="C5" i="6"/>
  <c r="C4" i="6"/>
  <c r="C3" i="6"/>
  <c r="C2" i="6"/>
  <c r="C1" i="6"/>
  <c r="B10" i="6"/>
  <c r="B9" i="6"/>
  <c r="B8" i="6"/>
  <c r="B7" i="6"/>
  <c r="B6" i="6"/>
  <c r="B5" i="6"/>
  <c r="B4" i="6"/>
  <c r="B3" i="6"/>
  <c r="B2" i="6"/>
  <c r="B1" i="6"/>
  <c r="A10" i="6"/>
  <c r="A9" i="6"/>
  <c r="A8" i="6"/>
  <c r="A7" i="6"/>
  <c r="A6" i="6"/>
  <c r="A5" i="6"/>
  <c r="A4" i="6"/>
  <c r="A3" i="6"/>
  <c r="A2" i="6"/>
  <c r="A1" i="6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501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367" i="5"/>
  <c r="B122" i="5"/>
  <c r="B40" i="5"/>
  <c r="B414" i="5"/>
  <c r="B419" i="5"/>
  <c r="B420" i="5"/>
  <c r="B250" i="5"/>
  <c r="B421" i="5"/>
  <c r="B3" i="5"/>
  <c r="B97" i="5"/>
  <c r="B176" i="5"/>
  <c r="B270" i="5"/>
  <c r="B404" i="5"/>
  <c r="B102" i="5"/>
  <c r="B59" i="5"/>
  <c r="B31" i="5"/>
  <c r="B312" i="5"/>
  <c r="B422" i="5"/>
  <c r="B315" i="5"/>
  <c r="B470" i="5"/>
  <c r="B195" i="5"/>
  <c r="B67" i="5"/>
  <c r="B61" i="5"/>
  <c r="B201" i="5"/>
  <c r="B130" i="5"/>
  <c r="B251" i="5"/>
  <c r="B198" i="5"/>
  <c r="B9" i="5"/>
  <c r="B74" i="5"/>
  <c r="B370" i="5"/>
  <c r="B33" i="5"/>
  <c r="B316" i="5"/>
  <c r="B274" i="5"/>
  <c r="B7" i="5"/>
  <c r="B18" i="5"/>
  <c r="B411" i="5"/>
  <c r="B309" i="5"/>
  <c r="B39" i="5"/>
  <c r="B115" i="5"/>
  <c r="B216" i="5"/>
  <c r="B310" i="5"/>
  <c r="B6" i="5"/>
  <c r="B220" i="5"/>
  <c r="B41" i="5"/>
  <c r="B471" i="5"/>
  <c r="B222" i="5"/>
  <c r="B344" i="5"/>
  <c r="B207" i="5"/>
  <c r="B29" i="5"/>
  <c r="B311" i="5"/>
  <c r="B10" i="5"/>
  <c r="B472" i="5"/>
  <c r="B26" i="5"/>
  <c r="B371" i="5"/>
  <c r="B16" i="5"/>
  <c r="B95" i="5"/>
  <c r="B253" i="5"/>
  <c r="B265" i="5"/>
  <c r="B423" i="5"/>
  <c r="B298" i="5"/>
  <c r="B131" i="5"/>
  <c r="B75" i="5"/>
  <c r="B283" i="5"/>
  <c r="B257" i="5"/>
  <c r="B327" i="5"/>
  <c r="B388" i="5"/>
  <c r="B280" i="5"/>
  <c r="B177" i="5"/>
  <c r="B263" i="5"/>
  <c r="B424" i="5"/>
  <c r="B355" i="5"/>
  <c r="B104" i="5"/>
  <c r="B473" i="5"/>
  <c r="B269" i="5"/>
  <c r="B292" i="5"/>
  <c r="B112" i="5"/>
  <c r="B5" i="5"/>
  <c r="B70" i="5"/>
  <c r="B189" i="5"/>
  <c r="B425" i="5"/>
  <c r="B136" i="5"/>
  <c r="B51" i="5"/>
  <c r="B300" i="5"/>
  <c r="B474" i="5"/>
  <c r="B53" i="5"/>
  <c r="B383" i="5"/>
  <c r="B228" i="5"/>
  <c r="B426" i="5"/>
  <c r="B150" i="5"/>
  <c r="B100" i="5"/>
  <c r="B113" i="5"/>
  <c r="B65" i="5"/>
  <c r="B475" i="5"/>
  <c r="B146" i="5"/>
  <c r="B381" i="5"/>
  <c r="B19" i="5"/>
  <c r="B382" i="5"/>
  <c r="B218" i="5"/>
  <c r="B427" i="5"/>
  <c r="B85" i="5"/>
  <c r="B301" i="5"/>
  <c r="B347" i="5"/>
  <c r="B137" i="5"/>
  <c r="B366" i="5"/>
  <c r="B82" i="5"/>
  <c r="B428" i="5"/>
  <c r="B358" i="5"/>
  <c r="B326" i="5"/>
  <c r="B339" i="5"/>
  <c r="B202" i="5"/>
  <c r="B226" i="5"/>
  <c r="B412" i="5"/>
  <c r="B208" i="5"/>
  <c r="B138" i="5"/>
  <c r="B429" i="5"/>
  <c r="B254" i="5"/>
  <c r="B353" i="5"/>
  <c r="B93" i="5"/>
  <c r="B476" i="5"/>
  <c r="B396" i="5"/>
  <c r="B103" i="5"/>
  <c r="B191" i="5"/>
  <c r="B243" i="5"/>
  <c r="B360" i="5"/>
  <c r="B430" i="5"/>
  <c r="B78" i="5"/>
  <c r="B261" i="5"/>
  <c r="B477" i="5"/>
  <c r="B349" i="5"/>
  <c r="B68" i="5"/>
  <c r="B118" i="5"/>
  <c r="B126" i="5"/>
  <c r="B47" i="5"/>
  <c r="B232" i="5"/>
  <c r="B71" i="5"/>
  <c r="B98" i="5"/>
  <c r="B229" i="5"/>
  <c r="B124" i="5"/>
  <c r="B109" i="5"/>
  <c r="B134" i="5"/>
  <c r="B304" i="5"/>
  <c r="B322" i="5"/>
  <c r="B302" i="5"/>
  <c r="B252" i="5"/>
  <c r="B478" i="5"/>
  <c r="B479" i="5"/>
  <c r="B168" i="5"/>
  <c r="B90" i="5"/>
  <c r="B399" i="5"/>
  <c r="B268" i="5"/>
  <c r="B350" i="5"/>
  <c r="B11" i="5"/>
  <c r="B79" i="5"/>
  <c r="B209" i="5"/>
  <c r="B83" i="5"/>
  <c r="B408" i="5"/>
  <c r="B197" i="5"/>
  <c r="B329" i="5"/>
  <c r="B431" i="5"/>
  <c r="B27" i="5"/>
  <c r="B335" i="5"/>
  <c r="B167" i="5"/>
  <c r="B237" i="5"/>
  <c r="B480" i="5"/>
  <c r="B54" i="5"/>
  <c r="B156" i="5"/>
  <c r="B238" i="5"/>
  <c r="B258" i="5"/>
  <c r="B192" i="5"/>
  <c r="B481" i="5"/>
  <c r="B482" i="5"/>
  <c r="B432" i="5"/>
  <c r="B340" i="5"/>
  <c r="B433" i="5"/>
  <c r="B86" i="5"/>
  <c r="B281" i="5"/>
  <c r="B317" i="5"/>
  <c r="B187" i="5"/>
  <c r="B264" i="5"/>
  <c r="B153" i="5"/>
  <c r="B37" i="5"/>
  <c r="B256" i="5"/>
  <c r="B72" i="5"/>
  <c r="B151" i="5"/>
  <c r="B80" i="5"/>
  <c r="B434" i="5"/>
  <c r="B132" i="5"/>
  <c r="B196" i="5"/>
  <c r="B114" i="5"/>
  <c r="B435" i="5"/>
  <c r="B106" i="5"/>
  <c r="B436" i="5"/>
  <c r="B111" i="5"/>
  <c r="B89" i="5"/>
  <c r="B239" i="5"/>
  <c r="B214" i="5"/>
  <c r="B368" i="5"/>
  <c r="B92" i="5"/>
  <c r="B48" i="5"/>
  <c r="B28" i="5"/>
  <c r="B337" i="5"/>
  <c r="B121" i="5"/>
  <c r="B186" i="5"/>
  <c r="B57" i="5"/>
  <c r="B219" i="5"/>
  <c r="B380" i="5"/>
  <c r="B437" i="5"/>
  <c r="B94" i="5"/>
  <c r="B244" i="5"/>
  <c r="B438" i="5"/>
  <c r="B405" i="5"/>
  <c r="B171" i="5"/>
  <c r="B221" i="5"/>
  <c r="B483" i="5"/>
  <c r="B96" i="5"/>
  <c r="B2" i="5"/>
  <c r="B484" i="5"/>
  <c r="B272" i="5"/>
  <c r="B161" i="5"/>
  <c r="B439" i="5"/>
  <c r="B205" i="5"/>
  <c r="B440" i="5"/>
  <c r="B35" i="5"/>
  <c r="B325" i="5"/>
  <c r="B357" i="5"/>
  <c r="B485" i="5"/>
  <c r="B13" i="5"/>
  <c r="B64" i="5"/>
  <c r="B240" i="5"/>
  <c r="B241" i="5"/>
  <c r="B225" i="5"/>
  <c r="B46" i="5"/>
  <c r="B87" i="5"/>
  <c r="B486" i="5"/>
  <c r="B223" i="5"/>
  <c r="B190" i="5"/>
  <c r="B123" i="5"/>
  <c r="B152" i="5"/>
  <c r="B418" i="5"/>
  <c r="B101" i="5"/>
  <c r="B343" i="5"/>
  <c r="B293" i="5"/>
  <c r="B415" i="5"/>
  <c r="B387" i="5"/>
  <c r="B361" i="5"/>
  <c r="B338" i="5"/>
  <c r="B12" i="5"/>
  <c r="B55" i="5"/>
  <c r="B58" i="5"/>
  <c r="B211" i="5"/>
  <c r="B179" i="5"/>
  <c r="B441" i="5"/>
  <c r="B160" i="5"/>
  <c r="B148" i="5"/>
  <c r="B376" i="5"/>
  <c r="B159" i="5"/>
  <c r="B333" i="5"/>
  <c r="B62" i="5"/>
  <c r="B397" i="5"/>
  <c r="B352" i="5"/>
  <c r="B487" i="5"/>
  <c r="B392" i="5"/>
  <c r="B105" i="5"/>
  <c r="B442" i="5"/>
  <c r="B245" i="5"/>
  <c r="B330" i="5"/>
  <c r="B184" i="5"/>
  <c r="B81" i="5"/>
  <c r="B91" i="5"/>
  <c r="B169" i="5"/>
  <c r="B443" i="5"/>
  <c r="B488" i="5"/>
  <c r="B373" i="5"/>
  <c r="B356" i="5"/>
  <c r="B313" i="5"/>
  <c r="B69" i="5"/>
  <c r="B489" i="5"/>
  <c r="B259" i="5"/>
  <c r="B38" i="5"/>
  <c r="B393" i="5"/>
  <c r="B416" i="5"/>
  <c r="B328" i="5"/>
  <c r="B394" i="5"/>
  <c r="B375" i="5"/>
  <c r="B331" i="5"/>
  <c r="B288" i="5"/>
  <c r="B262" i="5"/>
  <c r="B193" i="5"/>
  <c r="B305" i="5"/>
  <c r="B303" i="5"/>
  <c r="B30" i="5"/>
  <c r="B22" i="5"/>
  <c r="B23" i="5"/>
  <c r="B389" i="5"/>
  <c r="B377" i="5"/>
  <c r="B24" i="5"/>
  <c r="B36" i="5"/>
  <c r="B332" i="5"/>
  <c r="B306" i="5"/>
  <c r="B248" i="5"/>
  <c r="B390" i="5"/>
  <c r="B406" i="5"/>
  <c r="B260" i="5"/>
  <c r="B139" i="5"/>
  <c r="B188" i="5"/>
  <c r="B185" i="5"/>
  <c r="B287" i="5"/>
  <c r="B386" i="5"/>
  <c r="B294" i="5"/>
  <c r="B155" i="5"/>
  <c r="B490" i="5"/>
  <c r="B129" i="5"/>
  <c r="B444" i="5"/>
  <c r="B212" i="5"/>
  <c r="B445" i="5"/>
  <c r="B341" i="5"/>
  <c r="B125" i="5"/>
  <c r="B282" i="5"/>
  <c r="B203" i="5"/>
  <c r="B348" i="5"/>
  <c r="B446" i="5"/>
  <c r="B279" i="5"/>
  <c r="B307" i="5"/>
  <c r="B73" i="5"/>
  <c r="B359" i="5"/>
  <c r="B227" i="5"/>
  <c r="B447" i="5"/>
  <c r="B42" i="5"/>
  <c r="B234" i="5"/>
  <c r="B448" i="5"/>
  <c r="B119" i="5"/>
  <c r="B413" i="5"/>
  <c r="B76" i="5"/>
  <c r="B275" i="5"/>
  <c r="B235" i="5"/>
  <c r="B210" i="5"/>
  <c r="B491" i="5"/>
  <c r="B449" i="5"/>
  <c r="B450" i="5"/>
  <c r="B492" i="5"/>
  <c r="B451" i="5"/>
  <c r="B63" i="5"/>
  <c r="B296" i="5"/>
  <c r="B43" i="5"/>
  <c r="B324" i="5"/>
  <c r="B165" i="5"/>
  <c r="B276" i="5"/>
  <c r="B493" i="5"/>
  <c r="B346" i="5"/>
  <c r="B398" i="5"/>
  <c r="B77" i="5"/>
  <c r="B452" i="5"/>
  <c r="B289" i="5"/>
  <c r="B182" i="5"/>
  <c r="B20" i="5"/>
  <c r="B494" i="5"/>
  <c r="B127" i="5"/>
  <c r="B453" i="5"/>
  <c r="B314" i="5"/>
  <c r="B17" i="5"/>
  <c r="B66" i="5"/>
  <c r="B32" i="5"/>
  <c r="B56" i="5"/>
  <c r="B249" i="5"/>
  <c r="B320" i="5"/>
  <c r="B140" i="5"/>
  <c r="B454" i="5"/>
  <c r="B336" i="5"/>
  <c r="B154" i="5"/>
  <c r="B178" i="5"/>
  <c r="B206" i="5"/>
  <c r="B384" i="5"/>
  <c r="B363" i="5"/>
  <c r="B135" i="5"/>
  <c r="B267" i="5"/>
  <c r="B455" i="5"/>
  <c r="B318" i="5"/>
  <c r="B217" i="5"/>
  <c r="B52" i="5"/>
  <c r="B308" i="5"/>
  <c r="B456" i="5"/>
  <c r="B34" i="5"/>
  <c r="B319" i="5"/>
  <c r="B236" i="5"/>
  <c r="B457" i="5"/>
  <c r="B458" i="5"/>
  <c r="B459" i="5"/>
  <c r="B495" i="5"/>
  <c r="B247" i="5"/>
  <c r="B158" i="5"/>
  <c r="B142" i="5"/>
  <c r="B369" i="5"/>
  <c r="B295" i="5"/>
  <c r="B117" i="5"/>
  <c r="B321" i="5"/>
  <c r="B496" i="5"/>
  <c r="B141" i="5"/>
  <c r="B246" i="5"/>
  <c r="B143" i="5"/>
  <c r="B144" i="5"/>
  <c r="B266" i="5"/>
  <c r="B378" i="5"/>
  <c r="B460" i="5"/>
  <c r="B497" i="5"/>
  <c r="B498" i="5"/>
  <c r="B145" i="5"/>
  <c r="B271" i="5"/>
  <c r="B84" i="5"/>
  <c r="B461" i="5"/>
  <c r="B462" i="5"/>
  <c r="B194" i="5"/>
  <c r="B147" i="5"/>
  <c r="B351" i="5"/>
  <c r="B345" i="5"/>
  <c r="B323" i="5"/>
  <c r="B25" i="5"/>
  <c r="B149" i="5"/>
  <c r="B362" i="5"/>
  <c r="B277" i="5"/>
  <c r="B199" i="5"/>
  <c r="B291" i="5"/>
  <c r="B50" i="5"/>
  <c r="B403" i="5"/>
  <c r="B255" i="5"/>
  <c r="B372" i="5"/>
  <c r="B230" i="5"/>
  <c r="B402" i="5"/>
  <c r="B120" i="5"/>
  <c r="B231" i="5"/>
  <c r="B417" i="5"/>
  <c r="B463" i="5"/>
  <c r="B128" i="5"/>
  <c r="B157" i="5"/>
  <c r="B401" i="5"/>
  <c r="B99" i="5"/>
  <c r="B4" i="5"/>
  <c r="B499" i="5"/>
  <c r="B44" i="5"/>
  <c r="B162" i="5"/>
  <c r="B180" i="5"/>
  <c r="B400" i="5"/>
  <c r="B379" i="5"/>
  <c r="B354" i="5"/>
  <c r="B163" i="5"/>
  <c r="B60" i="5"/>
  <c r="B464" i="5"/>
  <c r="B407" i="5"/>
  <c r="B224" i="5"/>
  <c r="B172" i="5"/>
  <c r="B334" i="5"/>
  <c r="B342" i="5"/>
  <c r="B465" i="5"/>
  <c r="B116" i="5"/>
  <c r="B215" i="5"/>
  <c r="B290" i="5"/>
  <c r="B164" i="5"/>
  <c r="B166" i="5"/>
  <c r="B466" i="5"/>
  <c r="B500" i="5"/>
  <c r="B45" i="5"/>
  <c r="B204" i="5"/>
  <c r="B364" i="5"/>
  <c r="B273" i="5"/>
  <c r="B286" i="5"/>
  <c r="B297" i="5"/>
  <c r="B170" i="5"/>
  <c r="B391" i="5"/>
  <c r="B365" i="5"/>
  <c r="B299" i="5"/>
  <c r="B133" i="5"/>
  <c r="B467" i="5"/>
  <c r="B242" i="5"/>
  <c r="B409" i="5"/>
  <c r="B233" i="5"/>
  <c r="B285" i="5"/>
  <c r="B173" i="5"/>
  <c r="B200" i="5"/>
  <c r="B88" i="5"/>
  <c r="B284" i="5"/>
  <c r="B174" i="5"/>
  <c r="B175" i="5"/>
  <c r="B468" i="5"/>
  <c r="B14" i="5"/>
  <c r="B395" i="5"/>
  <c r="B108" i="5"/>
  <c r="B21" i="5"/>
  <c r="B374" i="5"/>
  <c r="B410" i="5"/>
  <c r="B181" i="5"/>
  <c r="B8" i="5"/>
  <c r="B183" i="5"/>
  <c r="B385" i="5"/>
  <c r="B213" i="5"/>
  <c r="B469" i="5"/>
  <c r="B15" i="5"/>
  <c r="B278" i="5"/>
  <c r="B49" i="5"/>
  <c r="B107" i="5"/>
  <c r="B501" i="5"/>
  <c r="B335" i="4"/>
  <c r="B34" i="4"/>
  <c r="B44" i="4"/>
  <c r="B378" i="4"/>
  <c r="B441" i="4"/>
  <c r="B431" i="4"/>
  <c r="B54" i="4"/>
  <c r="B384" i="4"/>
  <c r="B37" i="4"/>
  <c r="B436" i="4"/>
  <c r="B3" i="4"/>
  <c r="B358" i="4"/>
  <c r="B223" i="4"/>
  <c r="B284" i="4"/>
  <c r="B49" i="4"/>
  <c r="B294" i="4"/>
  <c r="B95" i="4"/>
  <c r="B442" i="4"/>
  <c r="B443" i="4"/>
  <c r="B479" i="4"/>
  <c r="B341" i="4"/>
  <c r="B42" i="4"/>
  <c r="B271" i="4"/>
  <c r="B6" i="4"/>
  <c r="B137" i="4"/>
  <c r="B354" i="4"/>
  <c r="B96" i="4"/>
  <c r="B5" i="4"/>
  <c r="B79" i="4"/>
  <c r="B204" i="4"/>
  <c r="B63" i="4"/>
  <c r="B316" i="4"/>
  <c r="B332" i="4"/>
  <c r="B40" i="4"/>
  <c r="B33" i="4"/>
  <c r="B52" i="4"/>
  <c r="B326" i="4"/>
  <c r="B83" i="4"/>
  <c r="B70" i="4"/>
  <c r="B205" i="4"/>
  <c r="B163" i="4"/>
  <c r="B4" i="4"/>
  <c r="B153" i="4"/>
  <c r="B24" i="4"/>
  <c r="B100" i="4"/>
  <c r="B376" i="4"/>
  <c r="B253" i="4"/>
  <c r="B167" i="4"/>
  <c r="B124" i="4"/>
  <c r="B348" i="4"/>
  <c r="B20" i="4"/>
  <c r="B480" i="4"/>
  <c r="B45" i="4"/>
  <c r="B342" i="4"/>
  <c r="B9" i="4"/>
  <c r="B102" i="4"/>
  <c r="B256" i="4"/>
  <c r="B276" i="4"/>
  <c r="B356" i="4"/>
  <c r="B151" i="4"/>
  <c r="B181" i="4"/>
  <c r="B184" i="4"/>
  <c r="B245" i="4"/>
  <c r="B444" i="4"/>
  <c r="B433" i="4"/>
  <c r="B369" i="4"/>
  <c r="B336" i="4"/>
  <c r="B92" i="4"/>
  <c r="B232" i="4"/>
  <c r="B445" i="4"/>
  <c r="B286" i="4"/>
  <c r="B66" i="4"/>
  <c r="B481" i="4"/>
  <c r="B363" i="4"/>
  <c r="B236" i="4"/>
  <c r="B211" i="4"/>
  <c r="B7" i="4"/>
  <c r="B76" i="4"/>
  <c r="B303" i="4"/>
  <c r="B437" i="4"/>
  <c r="B407" i="4"/>
  <c r="B73" i="4"/>
  <c r="B244" i="4"/>
  <c r="B482" i="4"/>
  <c r="B78" i="4"/>
  <c r="B398" i="4"/>
  <c r="B109" i="4"/>
  <c r="B446" i="4"/>
  <c r="B207" i="4"/>
  <c r="B155" i="4"/>
  <c r="B119" i="4"/>
  <c r="B32" i="4"/>
  <c r="B483" i="4"/>
  <c r="B202" i="4"/>
  <c r="B302" i="4"/>
  <c r="B55" i="4"/>
  <c r="B375" i="4"/>
  <c r="B270" i="4"/>
  <c r="B447" i="4"/>
  <c r="B295" i="4"/>
  <c r="B121" i="4"/>
  <c r="B310" i="4"/>
  <c r="B164" i="4"/>
  <c r="B51" i="4"/>
  <c r="B105" i="4"/>
  <c r="B352" i="4"/>
  <c r="B408" i="4"/>
  <c r="B178" i="4"/>
  <c r="B391" i="4"/>
  <c r="B160" i="4"/>
  <c r="B172" i="4"/>
  <c r="B415" i="4"/>
  <c r="B143" i="4"/>
  <c r="B47" i="4"/>
  <c r="B304" i="4"/>
  <c r="B194" i="4"/>
  <c r="B283" i="4"/>
  <c r="B324" i="4"/>
  <c r="B484" i="4"/>
  <c r="B311" i="4"/>
  <c r="B139" i="4"/>
  <c r="B140" i="4"/>
  <c r="B231" i="4"/>
  <c r="B426" i="4"/>
  <c r="B448" i="4"/>
  <c r="B97" i="4"/>
  <c r="B417" i="4"/>
  <c r="B409" i="4"/>
  <c r="B282" i="4"/>
  <c r="B89" i="4"/>
  <c r="B104" i="4"/>
  <c r="B278" i="4"/>
  <c r="B154" i="4"/>
  <c r="B132" i="4"/>
  <c r="B93" i="4"/>
  <c r="B180" i="4"/>
  <c r="B8" i="4"/>
  <c r="B115" i="4"/>
  <c r="B166" i="4"/>
  <c r="B62" i="4"/>
  <c r="B320" i="4"/>
  <c r="B322" i="4"/>
  <c r="B301" i="4"/>
  <c r="B362" i="4"/>
  <c r="B485" i="4"/>
  <c r="B399" i="4"/>
  <c r="B72" i="4"/>
  <c r="B158" i="4"/>
  <c r="B338" i="4"/>
  <c r="B59" i="4"/>
  <c r="B60" i="4"/>
  <c r="B21" i="4"/>
  <c r="B99" i="4"/>
  <c r="B258" i="4"/>
  <c r="B227" i="4"/>
  <c r="B449" i="4"/>
  <c r="B248" i="4"/>
  <c r="B67" i="4"/>
  <c r="B450" i="4"/>
  <c r="B65" i="4"/>
  <c r="B333" i="4"/>
  <c r="B80" i="4"/>
  <c r="B203" i="4"/>
  <c r="B486" i="4"/>
  <c r="B30" i="4"/>
  <c r="B312" i="4"/>
  <c r="B212" i="4"/>
  <c r="B237" i="4"/>
  <c r="B347" i="4"/>
  <c r="B487" i="4"/>
  <c r="B488" i="4"/>
  <c r="B451" i="4"/>
  <c r="B365" i="4"/>
  <c r="B452" i="4"/>
  <c r="B53" i="4"/>
  <c r="B23" i="4"/>
  <c r="B156" i="4"/>
  <c r="B174" i="4"/>
  <c r="B234" i="4"/>
  <c r="B199" i="4"/>
  <c r="B74" i="4"/>
  <c r="B421" i="4"/>
  <c r="B87" i="4"/>
  <c r="B209" i="4"/>
  <c r="B252" i="4"/>
  <c r="B453" i="4"/>
  <c r="B61" i="4"/>
  <c r="B131" i="4"/>
  <c r="B200" i="4"/>
  <c r="B229" i="4"/>
  <c r="B39" i="4"/>
  <c r="B454" i="4"/>
  <c r="B216" i="4"/>
  <c r="B18" i="4"/>
  <c r="B325" i="4"/>
  <c r="B455" i="4"/>
  <c r="B357" i="4"/>
  <c r="B425" i="4"/>
  <c r="B68" i="4"/>
  <c r="B289" i="4"/>
  <c r="B435" i="4"/>
  <c r="B56" i="4"/>
  <c r="B339" i="4"/>
  <c r="B364" i="4"/>
  <c r="B254" i="4"/>
  <c r="B410" i="4"/>
  <c r="B389" i="4"/>
  <c r="B127" i="4"/>
  <c r="B247" i="4"/>
  <c r="B456" i="4"/>
  <c r="B359" i="4"/>
  <c r="B77" i="4"/>
  <c r="B193" i="4"/>
  <c r="B489" i="4"/>
  <c r="B170" i="4"/>
  <c r="B2" i="4"/>
  <c r="B395" i="4"/>
  <c r="B189" i="4"/>
  <c r="B94" i="4"/>
  <c r="B340" i="4"/>
  <c r="B22" i="4"/>
  <c r="B457" i="4"/>
  <c r="B13" i="4"/>
  <c r="B125" i="4"/>
  <c r="B198" i="4"/>
  <c r="B490" i="4"/>
  <c r="B10" i="4"/>
  <c r="B57" i="4"/>
  <c r="B292" i="4"/>
  <c r="B366" i="4"/>
  <c r="B264" i="4"/>
  <c r="B107" i="4"/>
  <c r="B71" i="4"/>
  <c r="B491" i="4"/>
  <c r="B208" i="4"/>
  <c r="B242" i="4"/>
  <c r="B175" i="4"/>
  <c r="B129" i="4"/>
  <c r="B439" i="4"/>
  <c r="B126" i="4"/>
  <c r="B224" i="4"/>
  <c r="B330" i="4"/>
  <c r="B370" i="4"/>
  <c r="B349" i="4"/>
  <c r="B346" i="4"/>
  <c r="B388" i="4"/>
  <c r="B81" i="4"/>
  <c r="B110" i="4"/>
  <c r="B136" i="4"/>
  <c r="B260" i="4"/>
  <c r="B287" i="4"/>
  <c r="B458" i="4"/>
  <c r="B138" i="4"/>
  <c r="B210" i="4"/>
  <c r="B360" i="4"/>
  <c r="B215" i="4"/>
  <c r="B379" i="4"/>
  <c r="B29" i="4"/>
  <c r="B459" i="4"/>
  <c r="B411" i="4"/>
  <c r="B419" i="4"/>
  <c r="B371" i="4"/>
  <c r="B159" i="4"/>
  <c r="B460" i="4"/>
  <c r="B296" i="4"/>
  <c r="B402" i="4"/>
  <c r="B171" i="4"/>
  <c r="B98" i="4"/>
  <c r="B103" i="4"/>
  <c r="B307" i="4"/>
  <c r="B420" i="4"/>
  <c r="B492" i="4"/>
  <c r="B306" i="4"/>
  <c r="B383" i="4"/>
  <c r="B321" i="4"/>
  <c r="B48" i="4"/>
  <c r="B493" i="4"/>
  <c r="B461" i="4"/>
  <c r="B84" i="4"/>
  <c r="B440" i="4"/>
  <c r="B386" i="4"/>
  <c r="B418" i="4"/>
  <c r="B462" i="4"/>
  <c r="B416" i="4"/>
  <c r="B382" i="4"/>
  <c r="B117" i="4"/>
  <c r="B135" i="4"/>
  <c r="B218" i="4"/>
  <c r="B261" i="4"/>
  <c r="B230" i="4"/>
  <c r="B152" i="4"/>
  <c r="B101" i="4"/>
  <c r="B35" i="4"/>
  <c r="B385" i="4"/>
  <c r="B265" i="4"/>
  <c r="B14" i="4"/>
  <c r="B15" i="4"/>
  <c r="B297" i="4"/>
  <c r="B318" i="4"/>
  <c r="B168" i="4"/>
  <c r="B319" i="4"/>
  <c r="B90" i="4"/>
  <c r="B313" i="4"/>
  <c r="B149" i="4"/>
  <c r="B240" i="4"/>
  <c r="B235" i="4"/>
  <c r="B291" i="4"/>
  <c r="B463" i="4"/>
  <c r="B275" i="4"/>
  <c r="B120" i="4"/>
  <c r="B494" i="4"/>
  <c r="B239" i="4"/>
  <c r="B464" i="4"/>
  <c r="B257" i="4"/>
  <c r="B380" i="4"/>
  <c r="B432" i="4"/>
  <c r="B128" i="4"/>
  <c r="B277" i="4"/>
  <c r="B465" i="4"/>
  <c r="B377" i="4"/>
  <c r="B466" i="4"/>
  <c r="B31" i="4"/>
  <c r="B255" i="4"/>
  <c r="B243" i="4"/>
  <c r="B334" i="4"/>
  <c r="B165" i="4"/>
  <c r="B327" i="4"/>
  <c r="B25" i="4"/>
  <c r="B118" i="4"/>
  <c r="B413" i="4"/>
  <c r="B27" i="4"/>
  <c r="B430" i="4"/>
  <c r="B41" i="4"/>
  <c r="B273" i="4"/>
  <c r="B285" i="4"/>
  <c r="B169" i="4"/>
  <c r="B495" i="4"/>
  <c r="B467" i="4"/>
  <c r="B468" i="4"/>
  <c r="B496" i="4"/>
  <c r="B469" i="4"/>
  <c r="B85" i="4"/>
  <c r="B272" i="4"/>
  <c r="B58" i="4"/>
  <c r="B423" i="4"/>
  <c r="B217" i="4"/>
  <c r="B353" i="4"/>
  <c r="B328" i="4"/>
  <c r="B344" i="4"/>
  <c r="B406" i="4"/>
  <c r="B69" i="4"/>
  <c r="B434" i="4"/>
  <c r="B38" i="4"/>
  <c r="B161" i="4"/>
  <c r="B16" i="4"/>
  <c r="B497" i="4"/>
  <c r="B157" i="4"/>
  <c r="B470" i="4"/>
  <c r="B108" i="4"/>
  <c r="B19" i="4"/>
  <c r="B46" i="4"/>
  <c r="B36" i="4"/>
  <c r="B141" i="4"/>
  <c r="B262" i="4"/>
  <c r="B355" i="4"/>
  <c r="B182" i="4"/>
  <c r="B471" i="4"/>
  <c r="B314" i="4"/>
  <c r="B82" i="4"/>
  <c r="B305" i="4"/>
  <c r="B186" i="4"/>
  <c r="B381" i="4"/>
  <c r="B397" i="4"/>
  <c r="B114" i="4"/>
  <c r="B323" i="4"/>
  <c r="B317" i="4"/>
  <c r="B187" i="4"/>
  <c r="B269" i="4"/>
  <c r="B91" i="4"/>
  <c r="B315" i="4"/>
  <c r="B472" i="4"/>
  <c r="B12" i="4"/>
  <c r="B263" i="4"/>
  <c r="B111" i="4"/>
  <c r="B473" i="4"/>
  <c r="B190" i="4"/>
  <c r="B474" i="4"/>
  <c r="B498" i="4"/>
  <c r="B367" i="4"/>
  <c r="B134" i="4"/>
  <c r="B191" i="4"/>
  <c r="B351" i="4"/>
  <c r="B329" i="4"/>
  <c r="B75" i="4"/>
  <c r="B86" i="4"/>
  <c r="B274" i="4"/>
  <c r="B195" i="4"/>
  <c r="B280" i="4"/>
  <c r="B144" i="4"/>
  <c r="B122" i="4"/>
  <c r="B123" i="4"/>
  <c r="B225" i="4"/>
  <c r="B475" i="4"/>
  <c r="B390" i="4"/>
  <c r="B499" i="4"/>
  <c r="B201" i="4"/>
  <c r="B290" i="4"/>
  <c r="B221" i="4"/>
  <c r="B414" i="4"/>
  <c r="B476" i="4"/>
  <c r="B246" i="4"/>
  <c r="B133" i="4"/>
  <c r="B424" i="4"/>
  <c r="B429" i="4"/>
  <c r="B372" i="4"/>
  <c r="B28" i="4"/>
  <c r="B373" i="4"/>
  <c r="B309" i="4"/>
  <c r="B343" i="4"/>
  <c r="B251" i="4"/>
  <c r="B266" i="4"/>
  <c r="B293" i="4"/>
  <c r="B26" i="4"/>
  <c r="B405" i="4"/>
  <c r="B249" i="4"/>
  <c r="B281" i="4"/>
  <c r="B374" i="4"/>
  <c r="B298" i="4"/>
  <c r="B268" i="4"/>
  <c r="B438" i="4"/>
  <c r="B422" i="4"/>
  <c r="B206" i="4"/>
  <c r="B345" i="4"/>
  <c r="B412" i="4"/>
  <c r="B179" i="4"/>
  <c r="B213" i="4"/>
  <c r="B250" i="4"/>
  <c r="B116" i="4"/>
  <c r="B147" i="4"/>
  <c r="B196" i="4"/>
  <c r="B88" i="4"/>
  <c r="B400" i="4"/>
  <c r="B396" i="4"/>
  <c r="B288" i="4"/>
  <c r="B50" i="4"/>
  <c r="B394" i="4"/>
  <c r="B387" i="4"/>
  <c r="B150" i="4"/>
  <c r="B219" i="4"/>
  <c r="B392" i="4"/>
  <c r="B393" i="4"/>
  <c r="B477" i="4"/>
  <c r="B185" i="4"/>
  <c r="B197" i="4"/>
  <c r="B220" i="4"/>
  <c r="B188" i="4"/>
  <c r="B299" i="4"/>
  <c r="B478" i="4"/>
  <c r="B500" i="4"/>
  <c r="B113" i="4"/>
  <c r="B214" i="4"/>
  <c r="B403" i="4"/>
  <c r="B361" i="4"/>
  <c r="B279" i="4"/>
  <c r="B308" i="4"/>
  <c r="B183" i="4"/>
  <c r="B427" i="4"/>
  <c r="B300" i="4"/>
  <c r="B238" i="4"/>
  <c r="B146" i="4"/>
  <c r="B222" i="4"/>
  <c r="B130" i="4"/>
  <c r="B428" i="4"/>
  <c r="B267" i="4"/>
  <c r="B337" i="4"/>
  <c r="B176" i="4"/>
  <c r="B226" i="4"/>
  <c r="B43" i="4"/>
  <c r="B162" i="4"/>
  <c r="B350" i="4"/>
  <c r="B228" i="4"/>
  <c r="B404" i="4"/>
  <c r="B17" i="4"/>
  <c r="B401" i="4"/>
  <c r="B145" i="4"/>
  <c r="B173" i="4"/>
  <c r="B331" i="4"/>
  <c r="B192" i="4"/>
  <c r="B233" i="4"/>
  <c r="B106" i="4"/>
  <c r="B259" i="4"/>
  <c r="B112" i="4"/>
  <c r="B177" i="4"/>
  <c r="B368" i="4"/>
  <c r="B64" i="4"/>
  <c r="B241" i="4"/>
  <c r="B11" i="4"/>
  <c r="B142" i="4"/>
  <c r="B501" i="4"/>
  <c r="B457" i="3"/>
  <c r="B417" i="3"/>
  <c r="B59" i="3"/>
  <c r="B95" i="3"/>
  <c r="B476" i="3"/>
  <c r="B446" i="3"/>
  <c r="B466" i="3"/>
  <c r="B477" i="3"/>
  <c r="B41" i="3"/>
  <c r="B64" i="3"/>
  <c r="B3" i="3"/>
  <c r="B231" i="3"/>
  <c r="B10" i="3"/>
  <c r="B74" i="3"/>
  <c r="B96" i="3"/>
  <c r="B33" i="3"/>
  <c r="B86" i="3"/>
  <c r="B478" i="3"/>
  <c r="B44" i="3"/>
  <c r="B495" i="3"/>
  <c r="B48" i="3"/>
  <c r="B57" i="3"/>
  <c r="B54" i="3"/>
  <c r="B19" i="3"/>
  <c r="B232" i="3"/>
  <c r="B282" i="3"/>
  <c r="B207" i="3"/>
  <c r="B21" i="3"/>
  <c r="B83" i="3"/>
  <c r="B350" i="3"/>
  <c r="B9" i="3"/>
  <c r="B370" i="3"/>
  <c r="B367" i="3"/>
  <c r="B192" i="3"/>
  <c r="B31" i="3"/>
  <c r="B18" i="3"/>
  <c r="B285" i="3"/>
  <c r="B27" i="3"/>
  <c r="B32" i="3"/>
  <c r="B139" i="3"/>
  <c r="B210" i="3"/>
  <c r="B111" i="3"/>
  <c r="B340" i="3"/>
  <c r="B61" i="3"/>
  <c r="B163" i="3"/>
  <c r="B140" i="3"/>
  <c r="B299" i="3"/>
  <c r="B413" i="3"/>
  <c r="B99" i="3"/>
  <c r="B336" i="3"/>
  <c r="B84" i="3"/>
  <c r="B67" i="3"/>
  <c r="B14" i="3"/>
  <c r="B403" i="3"/>
  <c r="B89" i="3"/>
  <c r="B125" i="3"/>
  <c r="B107" i="3"/>
  <c r="B196" i="3"/>
  <c r="B180" i="3"/>
  <c r="B141" i="3"/>
  <c r="B73" i="3"/>
  <c r="B51" i="3"/>
  <c r="B217" i="3"/>
  <c r="B442" i="3"/>
  <c r="B462" i="3"/>
  <c r="B226" i="3"/>
  <c r="B227" i="3"/>
  <c r="B22" i="3"/>
  <c r="B157" i="3"/>
  <c r="B158" i="3"/>
  <c r="B142" i="3"/>
  <c r="B75" i="3"/>
  <c r="B76" i="3"/>
  <c r="B181" i="3"/>
  <c r="B80" i="3"/>
  <c r="B148" i="3"/>
  <c r="B8" i="3"/>
  <c r="B114" i="3"/>
  <c r="B300" i="3"/>
  <c r="B444" i="3"/>
  <c r="B433" i="3"/>
  <c r="B85" i="3"/>
  <c r="B266" i="3"/>
  <c r="B295" i="3"/>
  <c r="B451" i="3"/>
  <c r="B383" i="3"/>
  <c r="B401" i="3"/>
  <c r="B28" i="3"/>
  <c r="B257" i="3"/>
  <c r="B275" i="3"/>
  <c r="B116" i="3"/>
  <c r="B24" i="3"/>
  <c r="B56" i="3"/>
  <c r="B126" i="3"/>
  <c r="B164" i="3"/>
  <c r="B52" i="3"/>
  <c r="B392" i="3"/>
  <c r="B211" i="3"/>
  <c r="B6" i="3"/>
  <c r="B315" i="3"/>
  <c r="B66" i="3"/>
  <c r="B365" i="3"/>
  <c r="B212" i="3"/>
  <c r="B100" i="3"/>
  <c r="B130" i="3"/>
  <c r="B390" i="3"/>
  <c r="B219" i="3"/>
  <c r="B251" i="3"/>
  <c r="B425" i="3"/>
  <c r="B184" i="3"/>
  <c r="B55" i="3"/>
  <c r="B427" i="3"/>
  <c r="B104" i="3"/>
  <c r="B46" i="3"/>
  <c r="B255" i="3"/>
  <c r="B395" i="3"/>
  <c r="B356" i="3"/>
  <c r="B419" i="3"/>
  <c r="B496" i="3"/>
  <c r="B234" i="3"/>
  <c r="B40" i="3"/>
  <c r="B87" i="3"/>
  <c r="B179" i="3"/>
  <c r="B479" i="3"/>
  <c r="B42" i="3"/>
  <c r="B134" i="3"/>
  <c r="B272" i="3"/>
  <c r="B441" i="3"/>
  <c r="B173" i="3"/>
  <c r="B414" i="3"/>
  <c r="B138" i="3"/>
  <c r="B127" i="3"/>
  <c r="B156" i="3"/>
  <c r="B121" i="3"/>
  <c r="B252" i="3"/>
  <c r="B149" i="3"/>
  <c r="B72" i="3"/>
  <c r="B435" i="3"/>
  <c r="B94" i="3"/>
  <c r="B106" i="3"/>
  <c r="B247" i="3"/>
  <c r="B331" i="3"/>
  <c r="B320" i="3"/>
  <c r="B416" i="3"/>
  <c r="B26" i="3"/>
  <c r="B341" i="3"/>
  <c r="B36" i="3"/>
  <c r="B239" i="3"/>
  <c r="B393" i="3"/>
  <c r="B256" i="3"/>
  <c r="B71" i="3"/>
  <c r="B65" i="3"/>
  <c r="B135" i="3"/>
  <c r="B187" i="3"/>
  <c r="B480" i="3"/>
  <c r="B389" i="3"/>
  <c r="B77" i="3"/>
  <c r="B136" i="3"/>
  <c r="B481" i="3"/>
  <c r="B23" i="3"/>
  <c r="B387" i="3"/>
  <c r="B215" i="3"/>
  <c r="B175" i="3"/>
  <c r="B456" i="3"/>
  <c r="B15" i="3"/>
  <c r="B311" i="3"/>
  <c r="B190" i="3"/>
  <c r="B298" i="3"/>
  <c r="B372" i="3"/>
  <c r="B497" i="3"/>
  <c r="B305" i="3"/>
  <c r="B482" i="3"/>
  <c r="B421" i="3"/>
  <c r="B382" i="3"/>
  <c r="B34" i="3"/>
  <c r="B224" i="3"/>
  <c r="B351" i="3"/>
  <c r="B4" i="3"/>
  <c r="B109" i="3"/>
  <c r="B243" i="3"/>
  <c r="B473" i="3"/>
  <c r="B448" i="3"/>
  <c r="B60" i="3"/>
  <c r="B197" i="3"/>
  <c r="B317" i="3"/>
  <c r="B469" i="3"/>
  <c r="B151" i="3"/>
  <c r="B152" i="3"/>
  <c r="B153" i="3"/>
  <c r="B154" i="3"/>
  <c r="B93" i="3"/>
  <c r="B58" i="3"/>
  <c r="B273" i="3"/>
  <c r="B280" i="3"/>
  <c r="B408" i="3"/>
  <c r="B483" i="3"/>
  <c r="B335" i="3"/>
  <c r="B459" i="3"/>
  <c r="B78" i="3"/>
  <c r="B117" i="3"/>
  <c r="B450" i="3"/>
  <c r="B91" i="3"/>
  <c r="B344" i="3"/>
  <c r="B167" i="3"/>
  <c r="B437" i="3"/>
  <c r="B460" i="3"/>
  <c r="B467" i="3"/>
  <c r="B162" i="3"/>
  <c r="B161" i="3"/>
  <c r="B160" i="3"/>
  <c r="B455" i="3"/>
  <c r="B45" i="3"/>
  <c r="B199" i="3"/>
  <c r="B165" i="3"/>
  <c r="B404" i="3"/>
  <c r="B2" i="3"/>
  <c r="B332" i="3"/>
  <c r="B198" i="3"/>
  <c r="B70" i="3"/>
  <c r="B248" i="3"/>
  <c r="B321" i="3"/>
  <c r="B396" i="3"/>
  <c r="B20" i="3"/>
  <c r="B69" i="3"/>
  <c r="B308" i="3"/>
  <c r="B407" i="3"/>
  <c r="B50" i="3"/>
  <c r="B201" i="3"/>
  <c r="B318" i="3"/>
  <c r="B313" i="3"/>
  <c r="B259" i="3"/>
  <c r="B174" i="3"/>
  <c r="B122" i="3"/>
  <c r="B11" i="3"/>
  <c r="B213" i="3"/>
  <c r="B301" i="3"/>
  <c r="B155" i="3"/>
  <c r="B178" i="3"/>
  <c r="B475" i="3"/>
  <c r="B245" i="3"/>
  <c r="B105" i="3"/>
  <c r="B343" i="3"/>
  <c r="B399" i="3"/>
  <c r="B293" i="3"/>
  <c r="B378" i="3"/>
  <c r="B182" i="3"/>
  <c r="B25" i="3"/>
  <c r="B88" i="3"/>
  <c r="B374" i="3"/>
  <c r="B324" i="3"/>
  <c r="B334" i="3"/>
  <c r="B418" i="3"/>
  <c r="B268" i="3"/>
  <c r="B203" i="3"/>
  <c r="B472" i="3"/>
  <c r="B97" i="3"/>
  <c r="B379" i="3"/>
  <c r="B49" i="3"/>
  <c r="B274" i="3"/>
  <c r="B440" i="3"/>
  <c r="B362" i="3"/>
  <c r="B454" i="3"/>
  <c r="B168" i="3"/>
  <c r="B474" i="3"/>
  <c r="B277" i="3"/>
  <c r="B359" i="3"/>
  <c r="B358" i="3"/>
  <c r="B186" i="3"/>
  <c r="B123" i="3"/>
  <c r="B283" i="3"/>
  <c r="B422" i="3"/>
  <c r="B330" i="3"/>
  <c r="B189" i="3"/>
  <c r="B397" i="3"/>
  <c r="B249" i="3"/>
  <c r="B79" i="3"/>
  <c r="B498" i="3"/>
  <c r="B452" i="3"/>
  <c r="B37" i="3"/>
  <c r="B409" i="3"/>
  <c r="B471" i="3"/>
  <c r="B420" i="3"/>
  <c r="B484" i="3"/>
  <c r="B236" i="3"/>
  <c r="B400" i="3"/>
  <c r="B118" i="3"/>
  <c r="B53" i="3"/>
  <c r="B68" i="3"/>
  <c r="B128" i="3"/>
  <c r="B328" i="3"/>
  <c r="B43" i="3"/>
  <c r="B443" i="3"/>
  <c r="B193" i="3"/>
  <c r="B354" i="3"/>
  <c r="B176" i="3"/>
  <c r="B17" i="3"/>
  <c r="B200" i="3"/>
  <c r="B363" i="3"/>
  <c r="B342" i="3"/>
  <c r="B102" i="3"/>
  <c r="B306" i="3"/>
  <c r="B5" i="3"/>
  <c r="B269" i="3"/>
  <c r="B244" i="3"/>
  <c r="B263" i="3"/>
  <c r="B204" i="3"/>
  <c r="B347" i="3"/>
  <c r="B230" i="3"/>
  <c r="B307" i="3"/>
  <c r="B235" i="3"/>
  <c r="B499" i="3"/>
  <c r="B286" i="3"/>
  <c r="B465" i="3"/>
  <c r="B214" i="3"/>
  <c r="B322" i="3"/>
  <c r="B368" i="3"/>
  <c r="B170" i="3"/>
  <c r="B202" i="3"/>
  <c r="B485" i="3"/>
  <c r="B348" i="3"/>
  <c r="B486" i="3"/>
  <c r="B278" i="3"/>
  <c r="B410" i="3"/>
  <c r="B303" i="3"/>
  <c r="B291" i="3"/>
  <c r="B98" i="3"/>
  <c r="B434" i="3"/>
  <c r="B63" i="3"/>
  <c r="B129" i="3"/>
  <c r="B487" i="3"/>
  <c r="B183" i="3"/>
  <c r="B380" i="3"/>
  <c r="B218" i="3"/>
  <c r="B177" i="3"/>
  <c r="B349" i="3"/>
  <c r="B220" i="3"/>
  <c r="B500" i="3"/>
  <c r="B488" i="3"/>
  <c r="B222" i="3"/>
  <c r="B470" i="3"/>
  <c r="B489" i="3"/>
  <c r="B103" i="3"/>
  <c r="B223" i="3"/>
  <c r="B345" i="3"/>
  <c r="B284" i="3"/>
  <c r="B29" i="3"/>
  <c r="B169" i="3"/>
  <c r="B92" i="3"/>
  <c r="B225" i="3"/>
  <c r="B430" i="3"/>
  <c r="B309" i="3"/>
  <c r="B16" i="3"/>
  <c r="B381" i="3"/>
  <c r="B133" i="3"/>
  <c r="B7" i="3"/>
  <c r="B384" i="3"/>
  <c r="B229" i="3"/>
  <c r="B357" i="3"/>
  <c r="B339" i="3"/>
  <c r="B206" i="3"/>
  <c r="B47" i="3"/>
  <c r="B38" i="3"/>
  <c r="B258" i="3"/>
  <c r="B371" i="3"/>
  <c r="B250" i="3"/>
  <c r="B194" i="3"/>
  <c r="B490" i="3"/>
  <c r="B319" i="3"/>
  <c r="B112" i="3"/>
  <c r="B237" i="3"/>
  <c r="B108" i="3"/>
  <c r="B144" i="3"/>
  <c r="B113" i="3"/>
  <c r="B240" i="3"/>
  <c r="B369" i="3"/>
  <c r="B375" i="3"/>
  <c r="B264" i="3"/>
  <c r="B241" i="3"/>
  <c r="B110" i="3"/>
  <c r="B361" i="3"/>
  <c r="B461" i="3"/>
  <c r="B12" i="3"/>
  <c r="B326" i="3"/>
  <c r="B81" i="3"/>
  <c r="B376" i="3"/>
  <c r="B246" i="3"/>
  <c r="B406" i="3"/>
  <c r="B188" i="3"/>
  <c r="B423" i="3"/>
  <c r="B143" i="3"/>
  <c r="B62" i="3"/>
  <c r="B337" i="3"/>
  <c r="B238" i="3"/>
  <c r="B145" i="3"/>
  <c r="B35" i="3"/>
  <c r="B39" i="3"/>
  <c r="B120" i="3"/>
  <c r="B304" i="3"/>
  <c r="B124" i="3"/>
  <c r="B366" i="3"/>
  <c r="B172" i="3"/>
  <c r="B137" i="3"/>
  <c r="B491" i="3"/>
  <c r="B310" i="3"/>
  <c r="B501" i="3"/>
  <c r="B439" i="3"/>
  <c r="B360" i="3"/>
  <c r="B233" i="3"/>
  <c r="B253" i="3"/>
  <c r="B492" i="3"/>
  <c r="B288" i="3"/>
  <c r="B90" i="3"/>
  <c r="B458" i="3"/>
  <c r="B438" i="3"/>
  <c r="B402" i="3"/>
  <c r="B13" i="3"/>
  <c r="B352" i="3"/>
  <c r="B146" i="3"/>
  <c r="B405" i="3"/>
  <c r="B208" i="3"/>
  <c r="B297" i="3"/>
  <c r="B101" i="3"/>
  <c r="B373" i="3"/>
  <c r="B346" i="3"/>
  <c r="B216" i="3"/>
  <c r="B260" i="3"/>
  <c r="B428" i="3"/>
  <c r="B329" i="3"/>
  <c r="B316" i="3"/>
  <c r="B394" i="3"/>
  <c r="B426" i="3"/>
  <c r="B191" i="3"/>
  <c r="B265" i="3"/>
  <c r="B386" i="3"/>
  <c r="B119" i="3"/>
  <c r="B267" i="3"/>
  <c r="B432" i="3"/>
  <c r="B449" i="3"/>
  <c r="B270" i="3"/>
  <c r="B166" i="3"/>
  <c r="B195" i="3"/>
  <c r="B445" i="3"/>
  <c r="B436" i="3"/>
  <c r="B185" i="3"/>
  <c r="B30" i="3"/>
  <c r="B398" i="3"/>
  <c r="B364" i="3"/>
  <c r="B276" i="3"/>
  <c r="B279" i="3"/>
  <c r="B385" i="3"/>
  <c r="B325" i="3"/>
  <c r="B493" i="3"/>
  <c r="B209" i="3"/>
  <c r="B302" i="3"/>
  <c r="B242" i="3"/>
  <c r="B132" i="3"/>
  <c r="B281" i="3"/>
  <c r="B411" i="3"/>
  <c r="B338" i="3"/>
  <c r="B147" i="3"/>
  <c r="B254" i="3"/>
  <c r="B262" i="3"/>
  <c r="B429" i="3"/>
  <c r="B353" i="3"/>
  <c r="B355" i="3"/>
  <c r="B287" i="3"/>
  <c r="B463" i="3"/>
  <c r="B312" i="3"/>
  <c r="B261" i="3"/>
  <c r="B468" i="3"/>
  <c r="B159" i="3"/>
  <c r="B289" i="3"/>
  <c r="B323" i="3"/>
  <c r="B290" i="3"/>
  <c r="B314" i="3"/>
  <c r="B447" i="3"/>
  <c r="B292" i="3"/>
  <c r="B131" i="3"/>
  <c r="B431" i="3"/>
  <c r="B327" i="3"/>
  <c r="B294" i="3"/>
  <c r="B412" i="3"/>
  <c r="B494" i="3"/>
  <c r="B424" i="3"/>
  <c r="B296" i="3"/>
  <c r="B171" i="3"/>
  <c r="B388" i="3"/>
  <c r="B377" i="3"/>
  <c r="B453" i="3"/>
  <c r="B115" i="3"/>
  <c r="B271" i="3"/>
  <c r="B205" i="3"/>
  <c r="B228" i="3"/>
  <c r="B150" i="3"/>
  <c r="B415" i="3"/>
  <c r="B333" i="3"/>
  <c r="B82" i="3"/>
  <c r="B464" i="3"/>
  <c r="B221" i="3"/>
  <c r="B2" i="2"/>
  <c r="B11" i="2"/>
  <c r="B317" i="2"/>
  <c r="B110" i="2"/>
  <c r="B6" i="2"/>
  <c r="B7" i="2"/>
  <c r="B8" i="2"/>
  <c r="B9" i="2"/>
  <c r="B10" i="2"/>
  <c r="B28" i="2"/>
  <c r="B16" i="2"/>
  <c r="B95" i="2"/>
  <c r="B74" i="2"/>
  <c r="B15" i="2"/>
  <c r="B233" i="2"/>
  <c r="B49" i="2"/>
  <c r="B56" i="2"/>
  <c r="B19" i="2"/>
  <c r="B20" i="2"/>
  <c r="B21" i="2"/>
  <c r="B41" i="2"/>
  <c r="B306" i="2"/>
  <c r="B22" i="2"/>
  <c r="B12" i="2"/>
  <c r="B276" i="2"/>
  <c r="B54" i="2"/>
  <c r="B312" i="2"/>
  <c r="B17" i="2"/>
  <c r="B93" i="2"/>
  <c r="B331" i="2"/>
  <c r="B55" i="2"/>
  <c r="B180" i="2"/>
  <c r="B34" i="2"/>
  <c r="B35" i="2"/>
  <c r="B53" i="2"/>
  <c r="B157" i="2"/>
  <c r="B381" i="2"/>
  <c r="B67" i="2"/>
  <c r="B141" i="2"/>
  <c r="B75" i="2"/>
  <c r="B319" i="2"/>
  <c r="B333" i="2"/>
  <c r="B341" i="2"/>
  <c r="B138" i="2"/>
  <c r="B68" i="2"/>
  <c r="B44" i="2"/>
  <c r="B48" i="2"/>
  <c r="B131" i="2"/>
  <c r="B206" i="2"/>
  <c r="B51" i="2"/>
  <c r="B60" i="2"/>
  <c r="B29" i="2"/>
  <c r="B24" i="2"/>
  <c r="B277" i="2"/>
  <c r="B442" i="2"/>
  <c r="B57" i="2"/>
  <c r="B100" i="2"/>
  <c r="B269" i="2"/>
  <c r="B25" i="2"/>
  <c r="B175" i="2"/>
  <c r="B384" i="2"/>
  <c r="B46" i="2"/>
  <c r="B63" i="2"/>
  <c r="B65" i="2"/>
  <c r="B80" i="2"/>
  <c r="B200" i="2"/>
  <c r="B372" i="2"/>
  <c r="B69" i="2"/>
  <c r="B70" i="2"/>
  <c r="B38" i="2"/>
  <c r="B81" i="2"/>
  <c r="B85" i="2"/>
  <c r="B88" i="2"/>
  <c r="B50" i="2"/>
  <c r="B89" i="2"/>
  <c r="B193" i="2"/>
  <c r="B42" i="2"/>
  <c r="B96" i="2"/>
  <c r="B59" i="2"/>
  <c r="B464" i="2"/>
  <c r="B82" i="2"/>
  <c r="B83" i="2"/>
  <c r="B84" i="2"/>
  <c r="B99" i="2"/>
  <c r="B86" i="2"/>
  <c r="B87" i="2"/>
  <c r="B249" i="2"/>
  <c r="B101" i="2"/>
  <c r="B90" i="2"/>
  <c r="B105" i="2"/>
  <c r="B128" i="2"/>
  <c r="B32" i="2"/>
  <c r="B195" i="2"/>
  <c r="B418" i="2"/>
  <c r="B225" i="2"/>
  <c r="B108" i="2"/>
  <c r="B98" i="2"/>
  <c r="B112" i="2"/>
  <c r="B23" i="2"/>
  <c r="B234" i="2"/>
  <c r="B102" i="2"/>
  <c r="B103" i="2"/>
  <c r="B135" i="2"/>
  <c r="B115" i="2"/>
  <c r="B146" i="2"/>
  <c r="B107" i="2"/>
  <c r="B40" i="2"/>
  <c r="B119" i="2"/>
  <c r="B433" i="2"/>
  <c r="B271" i="2"/>
  <c r="B71" i="2"/>
  <c r="B113" i="2"/>
  <c r="B92" i="2"/>
  <c r="B402" i="2"/>
  <c r="B116" i="2"/>
  <c r="B117" i="2"/>
  <c r="B118" i="2"/>
  <c r="B194" i="2"/>
  <c r="B120" i="2"/>
  <c r="B133" i="2"/>
  <c r="B94" i="2"/>
  <c r="B61" i="2"/>
  <c r="B147" i="2"/>
  <c r="B125" i="2"/>
  <c r="B126" i="2"/>
  <c r="B163" i="2"/>
  <c r="B137" i="2"/>
  <c r="B129" i="2"/>
  <c r="B229" i="2"/>
  <c r="B397" i="2"/>
  <c r="B139" i="2"/>
  <c r="B165" i="2"/>
  <c r="B262" i="2"/>
  <c r="B224" i="2"/>
  <c r="B136" i="2"/>
  <c r="B169" i="2"/>
  <c r="B148" i="2"/>
  <c r="B191" i="2"/>
  <c r="B149" i="2"/>
  <c r="B178" i="2"/>
  <c r="B302" i="2"/>
  <c r="B311" i="2"/>
  <c r="B480" i="2"/>
  <c r="B145" i="2"/>
  <c r="B33" i="2"/>
  <c r="B238" i="2"/>
  <c r="B36" i="2"/>
  <c r="B171" i="2"/>
  <c r="B150" i="2"/>
  <c r="B109" i="2"/>
  <c r="B158" i="2"/>
  <c r="B161" i="2"/>
  <c r="B166" i="2"/>
  <c r="B155" i="2"/>
  <c r="B156" i="2"/>
  <c r="B121" i="2"/>
  <c r="B176" i="2"/>
  <c r="B159" i="2"/>
  <c r="B160" i="2"/>
  <c r="B134" i="2"/>
  <c r="B162" i="2"/>
  <c r="B295" i="2"/>
  <c r="B252" i="2"/>
  <c r="B111" i="2"/>
  <c r="B179" i="2"/>
  <c r="B167" i="2"/>
  <c r="B278" i="2"/>
  <c r="B181" i="2"/>
  <c r="B170" i="2"/>
  <c r="B304" i="2"/>
  <c r="B73" i="2"/>
  <c r="B173" i="2"/>
  <c r="B174" i="2"/>
  <c r="B211" i="2"/>
  <c r="B186" i="2"/>
  <c r="B177" i="2"/>
  <c r="B123" i="2"/>
  <c r="B270" i="2"/>
  <c r="B104" i="2"/>
  <c r="B359" i="2"/>
  <c r="B199" i="2"/>
  <c r="B183" i="2"/>
  <c r="B124" i="2"/>
  <c r="B300" i="2"/>
  <c r="B324" i="2"/>
  <c r="B187" i="2"/>
  <c r="B64" i="2"/>
  <c r="B188" i="2"/>
  <c r="B434" i="2"/>
  <c r="B47" i="2"/>
  <c r="B91" i="2"/>
  <c r="B27" i="2"/>
  <c r="B316" i="2"/>
  <c r="B371" i="2"/>
  <c r="B196" i="2"/>
  <c r="B197" i="2"/>
  <c r="B198" i="2"/>
  <c r="B214" i="2"/>
  <c r="B215" i="2"/>
  <c r="B201" i="2"/>
  <c r="B202" i="2"/>
  <c r="B217" i="2"/>
  <c r="B204" i="2"/>
  <c r="B203" i="2"/>
  <c r="B403" i="2"/>
  <c r="B207" i="2"/>
  <c r="B219" i="2"/>
  <c r="B182" i="2"/>
  <c r="B210" i="2"/>
  <c r="B130" i="2"/>
  <c r="B212" i="2"/>
  <c r="B354" i="2"/>
  <c r="B226" i="2"/>
  <c r="B189" i="2"/>
  <c r="B216" i="2"/>
  <c r="B72" i="2"/>
  <c r="B218" i="2"/>
  <c r="B235" i="2"/>
  <c r="B236" i="2"/>
  <c r="B239" i="2"/>
  <c r="B222" i="2"/>
  <c r="B223" i="2"/>
  <c r="B62" i="2"/>
  <c r="B246" i="2"/>
  <c r="B205" i="2"/>
  <c r="B227" i="2"/>
  <c r="B45" i="2"/>
  <c r="B76" i="2"/>
  <c r="B230" i="2"/>
  <c r="B336" i="2"/>
  <c r="B288" i="2"/>
  <c r="B453" i="2"/>
  <c r="B190" i="2"/>
  <c r="B344" i="2"/>
  <c r="B457" i="2"/>
  <c r="B237" i="2"/>
  <c r="B140" i="2"/>
  <c r="B26" i="2"/>
  <c r="B240" i="2"/>
  <c r="B404" i="2"/>
  <c r="B259" i="2"/>
  <c r="B243" i="2"/>
  <c r="B244" i="2"/>
  <c r="B264" i="2"/>
  <c r="B362" i="2"/>
  <c r="B78" i="2"/>
  <c r="B265" i="2"/>
  <c r="B296" i="2"/>
  <c r="B250" i="2"/>
  <c r="B251" i="2"/>
  <c r="B231" i="2"/>
  <c r="B253" i="2"/>
  <c r="B254" i="2"/>
  <c r="B255" i="2"/>
  <c r="B256" i="2"/>
  <c r="B285" i="2"/>
  <c r="B258" i="2"/>
  <c r="B122" i="2"/>
  <c r="B232" i="2"/>
  <c r="B261" i="2"/>
  <c r="B414" i="2"/>
  <c r="B263" i="2"/>
  <c r="B286" i="2"/>
  <c r="B387" i="2"/>
  <c r="B266" i="2"/>
  <c r="B151" i="2"/>
  <c r="B268" i="2"/>
  <c r="B413" i="2"/>
  <c r="B154" i="2"/>
  <c r="B399" i="2"/>
  <c r="B272" i="2"/>
  <c r="B273" i="2"/>
  <c r="B274" i="2"/>
  <c r="B275" i="2"/>
  <c r="B386" i="2"/>
  <c r="B289" i="2"/>
  <c r="B291" i="2"/>
  <c r="B279" i="2"/>
  <c r="B37" i="2"/>
  <c r="B281" i="2"/>
  <c r="B282" i="2"/>
  <c r="B283" i="2"/>
  <c r="B18" i="2"/>
  <c r="B297" i="2"/>
  <c r="B287" i="2"/>
  <c r="B340" i="2"/>
  <c r="B4" i="2"/>
  <c r="B114" i="2"/>
  <c r="B39" i="2"/>
  <c r="B292" i="2"/>
  <c r="B293" i="2"/>
  <c r="B294" i="2"/>
  <c r="B298" i="2"/>
  <c r="B168" i="2"/>
  <c r="B127" i="2"/>
  <c r="B309" i="2"/>
  <c r="B299" i="2"/>
  <c r="B208" i="2"/>
  <c r="B301" i="2"/>
  <c r="B345" i="2"/>
  <c r="B303" i="2"/>
  <c r="B5" i="2"/>
  <c r="B305" i="2"/>
  <c r="B328" i="2"/>
  <c r="B307" i="2"/>
  <c r="B308" i="2"/>
  <c r="B393" i="2"/>
  <c r="B310" i="2"/>
  <c r="B419" i="2"/>
  <c r="B388" i="2"/>
  <c r="B313" i="2"/>
  <c r="B335" i="2"/>
  <c r="B485" i="2"/>
  <c r="B280" i="2"/>
  <c r="B356" i="2"/>
  <c r="B318" i="2"/>
  <c r="B314" i="2"/>
  <c r="B320" i="2"/>
  <c r="B321" i="2"/>
  <c r="B322" i="2"/>
  <c r="B323" i="2"/>
  <c r="B152" i="2"/>
  <c r="B325" i="2"/>
  <c r="B326" i="2"/>
  <c r="B327" i="2"/>
  <c r="B192" i="2"/>
  <c r="B329" i="2"/>
  <c r="B422" i="2"/>
  <c r="B132" i="2"/>
  <c r="B332" i="2"/>
  <c r="B267" i="2"/>
  <c r="B334" i="2"/>
  <c r="B346" i="2"/>
  <c r="B350" i="2"/>
  <c r="B337" i="2"/>
  <c r="B353" i="2"/>
  <c r="B52" i="2"/>
  <c r="B357" i="2"/>
  <c r="B360" i="2"/>
  <c r="B342" i="2"/>
  <c r="B343" i="2"/>
  <c r="B363" i="2"/>
  <c r="B364" i="2"/>
  <c r="B97" i="2"/>
  <c r="B347" i="2"/>
  <c r="B348" i="2"/>
  <c r="B349" i="2"/>
  <c r="B257" i="2"/>
  <c r="B351" i="2"/>
  <c r="B352" i="2"/>
  <c r="B424" i="2"/>
  <c r="B66" i="2"/>
  <c r="B355" i="2"/>
  <c r="B185" i="2"/>
  <c r="B3" i="2"/>
  <c r="B358" i="2"/>
  <c r="B373" i="2"/>
  <c r="B374" i="2"/>
  <c r="B361" i="2"/>
  <c r="B367" i="2"/>
  <c r="B220" i="2"/>
  <c r="B184" i="2"/>
  <c r="B365" i="2"/>
  <c r="B366" i="2"/>
  <c r="B420" i="2"/>
  <c r="B315" i="2"/>
  <c r="B369" i="2"/>
  <c r="B79" i="2"/>
  <c r="B290" i="2"/>
  <c r="B394" i="2"/>
  <c r="B241" i="2"/>
  <c r="B58" i="2"/>
  <c r="B375" i="2"/>
  <c r="B376" i="2"/>
  <c r="B377" i="2"/>
  <c r="B378" i="2"/>
  <c r="B379" i="2"/>
  <c r="B501" i="2"/>
  <c r="B398" i="2"/>
  <c r="B382" i="2"/>
  <c r="B383" i="2"/>
  <c r="B30" i="2"/>
  <c r="B385" i="2"/>
  <c r="B409" i="2"/>
  <c r="B143" i="2"/>
  <c r="B410" i="2"/>
  <c r="B389" i="2"/>
  <c r="B390" i="2"/>
  <c r="B391" i="2"/>
  <c r="B380" i="2"/>
  <c r="B400" i="2"/>
  <c r="B412" i="2"/>
  <c r="B338" i="2"/>
  <c r="B396" i="2"/>
  <c r="B43" i="2"/>
  <c r="B13" i="2"/>
  <c r="B330" i="2"/>
  <c r="B463" i="2"/>
  <c r="B401" i="2"/>
  <c r="B242" i="2"/>
  <c r="B245" i="2"/>
  <c r="B487" i="2"/>
  <c r="B405" i="2"/>
  <c r="B406" i="2"/>
  <c r="B407" i="2"/>
  <c r="B408" i="2"/>
  <c r="B437" i="2"/>
  <c r="B447" i="2"/>
  <c r="B411" i="2"/>
  <c r="B455" i="2"/>
  <c r="B461" i="2"/>
  <c r="B209" i="2"/>
  <c r="B415" i="2"/>
  <c r="B416" i="2"/>
  <c r="B417" i="2"/>
  <c r="B164" i="2"/>
  <c r="B473" i="2"/>
  <c r="B395" i="2"/>
  <c r="B421" i="2"/>
  <c r="B492" i="2"/>
  <c r="B423" i="2"/>
  <c r="B142" i="2"/>
  <c r="B425" i="2"/>
  <c r="B426" i="2"/>
  <c r="B260" i="2"/>
  <c r="B428" i="2"/>
  <c r="B429" i="2"/>
  <c r="B430" i="2"/>
  <c r="B431" i="2"/>
  <c r="B432" i="2"/>
  <c r="B247" i="2"/>
  <c r="B370" i="2"/>
  <c r="B435" i="2"/>
  <c r="B436" i="2"/>
  <c r="B248" i="2"/>
  <c r="B438" i="2"/>
  <c r="B439" i="2"/>
  <c r="B440" i="2"/>
  <c r="B441" i="2"/>
  <c r="B339" i="2"/>
  <c r="B443" i="2"/>
  <c r="B444" i="2"/>
  <c r="B445" i="2"/>
  <c r="B446" i="2"/>
  <c r="B31" i="2"/>
  <c r="B448" i="2"/>
  <c r="B449" i="2"/>
  <c r="B450" i="2"/>
  <c r="B451" i="2"/>
  <c r="B452" i="2"/>
  <c r="B368" i="2"/>
  <c r="B454" i="2"/>
  <c r="B392" i="2"/>
  <c r="B456" i="2"/>
  <c r="B106" i="2"/>
  <c r="B458" i="2"/>
  <c r="B459" i="2"/>
  <c r="B460" i="2"/>
  <c r="B144" i="2"/>
  <c r="B462" i="2"/>
  <c r="B427" i="2"/>
  <c r="B153" i="2"/>
  <c r="B465" i="2"/>
  <c r="B466" i="2"/>
  <c r="B467" i="2"/>
  <c r="B468" i="2"/>
  <c r="B469" i="2"/>
  <c r="B470" i="2"/>
  <c r="B471" i="2"/>
  <c r="B472" i="2"/>
  <c r="B284" i="2"/>
  <c r="B474" i="2"/>
  <c r="B475" i="2"/>
  <c r="B476" i="2"/>
  <c r="B477" i="2"/>
  <c r="B478" i="2"/>
  <c r="B479" i="2"/>
  <c r="B228" i="2"/>
  <c r="B481" i="2"/>
  <c r="B482" i="2"/>
  <c r="B483" i="2"/>
  <c r="B484" i="2"/>
  <c r="B77" i="2"/>
  <c r="B486" i="2"/>
  <c r="B213" i="2"/>
  <c r="B488" i="2"/>
  <c r="B489" i="2"/>
  <c r="B490" i="2"/>
  <c r="B491" i="2"/>
  <c r="B14" i="2"/>
  <c r="B493" i="2"/>
  <c r="B494" i="2"/>
  <c r="B172" i="2"/>
  <c r="B496" i="2"/>
  <c r="B497" i="2"/>
  <c r="B498" i="2"/>
  <c r="B499" i="2"/>
  <c r="B500" i="2"/>
  <c r="B221" i="2"/>
</calcChain>
</file>

<file path=xl/connections.xml><?xml version="1.0" encoding="utf-8"?>
<connections xmlns="http://schemas.openxmlformats.org/spreadsheetml/2006/main">
  <connection id="1" name="StockList_20131" type="6" refreshedVersion="5" background="1" saveData="1">
    <textPr codePage="65001" sourceFile="C:\Users\allen\Downloads\StockList_2013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ockList_2014" type="6" refreshedVersion="5" background="1" saveData="1">
    <textPr codePage="65001" sourceFile="C:\Users\allen\Downloads\StockList_2014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ockList_2015" type="6" refreshedVersion="5" background="1" saveData="1">
    <textPr codePage="65001" sourceFile="C:\Users\allen\Downloads\StockList_2015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tockList_2016" type="6" refreshedVersion="5" background="1" saveData="1">
    <textPr codePage="65001" sourceFile="C:\Users\allen\Downloads\StockList_2016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tockList_2017" type="6" refreshedVersion="5" background="1" saveData="1">
    <textPr codePage="65001" sourceFile="C:\Users\allen\Downloads\StockList_2017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<sst xmlns="http://schemas.openxmlformats.org/spreadsheetml/2006/main" count="6602" uniqueCount="952">
  <si>
    <t>排名</t>
  </si>
  <si>
    <t>代號</t>
  </si>
  <si>
    <t>名稱</t>
  </si>
  <si>
    <t>股價日期</t>
  </si>
  <si>
    <t>成交</t>
  </si>
  <si>
    <t>漲跌價</t>
  </si>
  <si>
    <t>漲跌幅</t>
  </si>
  <si>
    <t>股利發放年度</t>
  </si>
  <si>
    <t>所屬EPS</t>
  </si>
  <si>
    <t>現金股利</t>
  </si>
  <si>
    <t>股票股利</t>
  </si>
  <si>
    <t>合計股利</t>
  </si>
  <si>
    <t>現金殖利率</t>
  </si>
  <si>
    <t>股票殖利率</t>
  </si>
  <si>
    <t>合計殖利率</t>
  </si>
  <si>
    <t>盈餘配息率</t>
  </si>
  <si>
    <t>盈餘配股率</t>
  </si>
  <si>
    <t>盈餘總分配率</t>
  </si>
  <si>
    <t>除息交易日</t>
  </si>
  <si>
    <t>除權交易日</t>
  </si>
  <si>
    <t>現金股利發放日</t>
  </si>
  <si>
    <t>全銓</t>
  </si>
  <si>
    <t>13'07/08</t>
  </si>
  <si>
    <t>總太</t>
  </si>
  <si>
    <t>13'07/17</t>
  </si>
  <si>
    <t>綠意</t>
  </si>
  <si>
    <t>13'08/26</t>
  </si>
  <si>
    <t>遠見</t>
  </si>
  <si>
    <t>光聯</t>
  </si>
  <si>
    <t>強盛</t>
  </si>
  <si>
    <t>廣豐</t>
  </si>
  <si>
    <t>13'07/25</t>
  </si>
  <si>
    <t>台苯</t>
  </si>
  <si>
    <t>皇翔</t>
  </si>
  <si>
    <t>13'06/27</t>
  </si>
  <si>
    <t>潤隆</t>
  </si>
  <si>
    <t>13'07/11</t>
  </si>
  <si>
    <t>潤弘</t>
  </si>
  <si>
    <t>13'07/02</t>
  </si>
  <si>
    <t>科納-KY</t>
  </si>
  <si>
    <t>13'08/01</t>
  </si>
  <si>
    <t>華祺</t>
  </si>
  <si>
    <t>興富發</t>
  </si>
  <si>
    <t>13'07/18</t>
  </si>
  <si>
    <t>紅木-KY</t>
  </si>
  <si>
    <t>13'07/10</t>
  </si>
  <si>
    <t>遠雄</t>
  </si>
  <si>
    <t>13'07/24</t>
  </si>
  <si>
    <t>凌通</t>
  </si>
  <si>
    <t>華孚</t>
  </si>
  <si>
    <t>中光電</t>
  </si>
  <si>
    <t>客思達-KY</t>
  </si>
  <si>
    <t>-</t>
  </si>
  <si>
    <t>科嘉-KY</t>
  </si>
  <si>
    <t>迅德</t>
  </si>
  <si>
    <t>13'08/14</t>
  </si>
  <si>
    <t>宏普</t>
  </si>
  <si>
    <t>新潤</t>
  </si>
  <si>
    <t>13'06/03</t>
  </si>
  <si>
    <t>亞弘電</t>
  </si>
  <si>
    <t>晉倫</t>
  </si>
  <si>
    <t>長佳</t>
  </si>
  <si>
    <t>基泰</t>
  </si>
  <si>
    <t>鎰勝</t>
  </si>
  <si>
    <t>漢平</t>
  </si>
  <si>
    <t>13'07/15</t>
  </si>
  <si>
    <t>協益</t>
  </si>
  <si>
    <t>13'07/01</t>
  </si>
  <si>
    <t>漢唐</t>
  </si>
  <si>
    <t>13'07/03</t>
  </si>
  <si>
    <t>新至陞</t>
  </si>
  <si>
    <t>13'08/02</t>
  </si>
  <si>
    <t>長虹</t>
  </si>
  <si>
    <t>13'08/08</t>
  </si>
  <si>
    <t>富爾特</t>
  </si>
  <si>
    <t>13'06/28</t>
  </si>
  <si>
    <t>晉椿</t>
  </si>
  <si>
    <t>友通</t>
  </si>
  <si>
    <t>13'08/07</t>
  </si>
  <si>
    <t>揚博</t>
  </si>
  <si>
    <t>13'07/12</t>
  </si>
  <si>
    <t>新巨</t>
  </si>
  <si>
    <t>13'07/29</t>
  </si>
  <si>
    <t>居易</t>
  </si>
  <si>
    <t>聯穎</t>
  </si>
  <si>
    <t>13'07/09</t>
  </si>
  <si>
    <t>廣穎</t>
  </si>
  <si>
    <t>13'08/21</t>
  </si>
  <si>
    <t>世豐</t>
  </si>
  <si>
    <t>13'07/22</t>
  </si>
  <si>
    <t>通泰</t>
  </si>
  <si>
    <t>倉和</t>
  </si>
  <si>
    <t>太子</t>
  </si>
  <si>
    <t>13'09/02</t>
  </si>
  <si>
    <t>智易</t>
  </si>
  <si>
    <t>13'07/31</t>
  </si>
  <si>
    <t>中菲</t>
  </si>
  <si>
    <t>資通</t>
  </si>
  <si>
    <t>中菲行</t>
  </si>
  <si>
    <t>13'08/06</t>
  </si>
  <si>
    <t>瑞軒</t>
  </si>
  <si>
    <t>啟發電</t>
  </si>
  <si>
    <t>德律</t>
  </si>
  <si>
    <t>13'07/23</t>
  </si>
  <si>
    <t>和益</t>
  </si>
  <si>
    <t>13'08/23</t>
  </si>
  <si>
    <t>達欣工</t>
  </si>
  <si>
    <t>昇貿</t>
  </si>
  <si>
    <t>13'08/09</t>
  </si>
  <si>
    <t>帛漢</t>
  </si>
  <si>
    <t>13'07/30</t>
  </si>
  <si>
    <t>聲寶</t>
  </si>
  <si>
    <t>富晶通</t>
  </si>
  <si>
    <t>光隆</t>
  </si>
  <si>
    <t>13'08/30</t>
  </si>
  <si>
    <t>根基</t>
  </si>
  <si>
    <t>增你強</t>
  </si>
  <si>
    <t>湯石照明</t>
  </si>
  <si>
    <t>漢科</t>
  </si>
  <si>
    <t>13'07/16</t>
  </si>
  <si>
    <t>達方</t>
  </si>
  <si>
    <t>僑威</t>
  </si>
  <si>
    <t>13'08/28</t>
  </si>
  <si>
    <t>聯陽</t>
  </si>
  <si>
    <t>13'08/19</t>
  </si>
  <si>
    <t>裕日車</t>
  </si>
  <si>
    <t>13'07/04</t>
  </si>
  <si>
    <t>松和</t>
  </si>
  <si>
    <t>13'06/24</t>
  </si>
  <si>
    <t>亞元</t>
  </si>
  <si>
    <t>東友</t>
  </si>
  <si>
    <t>好樂迪</t>
  </si>
  <si>
    <t>達輝-KY</t>
  </si>
  <si>
    <t>森鉅</t>
  </si>
  <si>
    <t>精誠</t>
  </si>
  <si>
    <t>信錦</t>
  </si>
  <si>
    <t>13'08/15</t>
  </si>
  <si>
    <t>順達</t>
  </si>
  <si>
    <t>華固</t>
  </si>
  <si>
    <t>國精化</t>
  </si>
  <si>
    <t>13'06/25</t>
  </si>
  <si>
    <t>晶采</t>
  </si>
  <si>
    <t>仲琦</t>
  </si>
  <si>
    <t>13'07/19</t>
  </si>
  <si>
    <t>振發</t>
  </si>
  <si>
    <t>優群</t>
  </si>
  <si>
    <t>宇智</t>
  </si>
  <si>
    <t>燦坤</t>
  </si>
  <si>
    <t>13'05/09</t>
  </si>
  <si>
    <t>至上</t>
  </si>
  <si>
    <t>岱稜</t>
  </si>
  <si>
    <t>創惟</t>
  </si>
  <si>
    <t>國建</t>
  </si>
  <si>
    <t>維熹</t>
  </si>
  <si>
    <t>安馳</t>
  </si>
  <si>
    <t>豐藝</t>
  </si>
  <si>
    <t>互動</t>
  </si>
  <si>
    <t>泰碩</t>
  </si>
  <si>
    <t>惠普</t>
  </si>
  <si>
    <t>致新</t>
  </si>
  <si>
    <t>神基</t>
  </si>
  <si>
    <t>展宇</t>
  </si>
  <si>
    <t>達麗</t>
  </si>
  <si>
    <t>上奇</t>
  </si>
  <si>
    <t>允強</t>
  </si>
  <si>
    <t>櫻花</t>
  </si>
  <si>
    <t>世坤</t>
  </si>
  <si>
    <t>百容</t>
  </si>
  <si>
    <t>聚鼎</t>
  </si>
  <si>
    <t>均豪</t>
  </si>
  <si>
    <t>德勝</t>
  </si>
  <si>
    <t>祺驊</t>
  </si>
  <si>
    <t>長華</t>
  </si>
  <si>
    <t>方土霖</t>
  </si>
  <si>
    <t>13'08/20</t>
  </si>
  <si>
    <t>菱光</t>
  </si>
  <si>
    <t>逸昌</t>
  </si>
  <si>
    <t>上福</t>
  </si>
  <si>
    <t>光菱</t>
  </si>
  <si>
    <t>紘康</t>
  </si>
  <si>
    <t>永純</t>
  </si>
  <si>
    <t>新光鋼</t>
  </si>
  <si>
    <t>基勝-KY</t>
  </si>
  <si>
    <t>13'06/19</t>
  </si>
  <si>
    <t>力達-KY</t>
  </si>
  <si>
    <t>日電貿</t>
  </si>
  <si>
    <t>盈正</t>
  </si>
  <si>
    <t>國眾</t>
  </si>
  <si>
    <t>普萊德</t>
  </si>
  <si>
    <t>榮化</t>
  </si>
  <si>
    <t>13'08/05</t>
  </si>
  <si>
    <t>志聯</t>
  </si>
  <si>
    <t>敦陽科</t>
  </si>
  <si>
    <t>福懋科</t>
  </si>
  <si>
    <t>神達</t>
  </si>
  <si>
    <t>福盈科</t>
  </si>
  <si>
    <t>神腦</t>
  </si>
  <si>
    <t>伸興</t>
  </si>
  <si>
    <t>敦吉</t>
  </si>
  <si>
    <t>全國電</t>
  </si>
  <si>
    <t>宏正</t>
  </si>
  <si>
    <t>達興材料</t>
  </si>
  <si>
    <t>精技</t>
  </si>
  <si>
    <t>禾瑞亞</t>
  </si>
  <si>
    <t>13'09/04</t>
  </si>
  <si>
    <t>台名</t>
  </si>
  <si>
    <t>榮昌</t>
  </si>
  <si>
    <t>技嘉</t>
  </si>
  <si>
    <t>矽創</t>
  </si>
  <si>
    <t>光磊</t>
  </si>
  <si>
    <t>13'07/05</t>
  </si>
  <si>
    <t>一零四</t>
  </si>
  <si>
    <t>大山</t>
  </si>
  <si>
    <t>夠麻吉</t>
  </si>
  <si>
    <t>光聖</t>
  </si>
  <si>
    <t>科誠</t>
  </si>
  <si>
    <t>安勤</t>
  </si>
  <si>
    <t>盛餘</t>
  </si>
  <si>
    <t>三聯</t>
  </si>
  <si>
    <t>安碁</t>
  </si>
  <si>
    <t>13'09/12</t>
  </si>
  <si>
    <t>瑞儀</t>
  </si>
  <si>
    <t>鑫永銓</t>
  </si>
  <si>
    <t>瑞智</t>
  </si>
  <si>
    <t>友勁</t>
  </si>
  <si>
    <t>得力</t>
  </si>
  <si>
    <t>13'08/27</t>
  </si>
  <si>
    <t>瑞傳</t>
  </si>
  <si>
    <t>華興</t>
  </si>
  <si>
    <t>智基</t>
  </si>
  <si>
    <t>久元</t>
  </si>
  <si>
    <t>立端</t>
  </si>
  <si>
    <t>13'08/22</t>
  </si>
  <si>
    <t>廣積</t>
  </si>
  <si>
    <t>13'09/06</t>
  </si>
  <si>
    <t>茂訊</t>
  </si>
  <si>
    <t>永新-KY</t>
  </si>
  <si>
    <t>海韻電</t>
  </si>
  <si>
    <t>良維</t>
  </si>
  <si>
    <t>鉅祥</t>
  </si>
  <si>
    <t>13'08/29</t>
  </si>
  <si>
    <t>福興</t>
  </si>
  <si>
    <t>競國</t>
  </si>
  <si>
    <t>捷敏-KY</t>
  </si>
  <si>
    <t>勁豐</t>
  </si>
  <si>
    <t>德微</t>
  </si>
  <si>
    <t>高力</t>
  </si>
  <si>
    <t>13'07/26</t>
  </si>
  <si>
    <t>錩泰</t>
  </si>
  <si>
    <t>喬福</t>
  </si>
  <si>
    <t>威強電</t>
  </si>
  <si>
    <t>13'11/06</t>
  </si>
  <si>
    <t>同亨</t>
  </si>
  <si>
    <t>13'06/10</t>
  </si>
  <si>
    <t>元大期</t>
  </si>
  <si>
    <t>艾訊</t>
  </si>
  <si>
    <t>崑鼎</t>
  </si>
  <si>
    <t>全漢</t>
  </si>
  <si>
    <t>鈊象</t>
  </si>
  <si>
    <t>創見</t>
  </si>
  <si>
    <t>晶技</t>
  </si>
  <si>
    <t>可寧衛</t>
  </si>
  <si>
    <t>由田</t>
  </si>
  <si>
    <t>全坤建</t>
  </si>
  <si>
    <t>13'08/16</t>
  </si>
  <si>
    <t>盛群</t>
  </si>
  <si>
    <t>泰銘</t>
  </si>
  <si>
    <t>幸福</t>
  </si>
  <si>
    <t>互盛電</t>
  </si>
  <si>
    <t>鉅明</t>
  </si>
  <si>
    <t>鉅橡</t>
  </si>
  <si>
    <t>力泰</t>
  </si>
  <si>
    <t>台榮</t>
  </si>
  <si>
    <t>旭源</t>
  </si>
  <si>
    <t>微星</t>
  </si>
  <si>
    <t>13'08/13</t>
  </si>
  <si>
    <t>台硝</t>
  </si>
  <si>
    <t>崇越電</t>
  </si>
  <si>
    <t>東明-KY</t>
  </si>
  <si>
    <t>凡甲</t>
  </si>
  <si>
    <t>年興</t>
  </si>
  <si>
    <t>勝一</t>
  </si>
  <si>
    <t>13'06/26</t>
  </si>
  <si>
    <t>曜亞</t>
  </si>
  <si>
    <t>零壹</t>
  </si>
  <si>
    <t>雙邦</t>
  </si>
  <si>
    <t>明揚</t>
  </si>
  <si>
    <t>鉅邁</t>
  </si>
  <si>
    <t>京元電子</t>
  </si>
  <si>
    <t>鼎元</t>
  </si>
  <si>
    <t>台化</t>
  </si>
  <si>
    <t>大世科</t>
  </si>
  <si>
    <t>實威</t>
  </si>
  <si>
    <t>寒舍</t>
  </si>
  <si>
    <t>聯茂</t>
  </si>
  <si>
    <t>永信建</t>
  </si>
  <si>
    <t>君耀-KY</t>
  </si>
  <si>
    <t>朋程</t>
  </si>
  <si>
    <t>禾伸堂</t>
  </si>
  <si>
    <t>希華</t>
  </si>
  <si>
    <t>春源</t>
  </si>
  <si>
    <t>堤維西</t>
  </si>
  <si>
    <t>威健</t>
  </si>
  <si>
    <t>億光</t>
  </si>
  <si>
    <t>立隆電</t>
  </si>
  <si>
    <t>運錩</t>
  </si>
  <si>
    <t>匯僑</t>
  </si>
  <si>
    <t>港建</t>
  </si>
  <si>
    <t>三芳</t>
  </si>
  <si>
    <t>旭富</t>
  </si>
  <si>
    <t>大億</t>
  </si>
  <si>
    <t>嘉彰</t>
  </si>
  <si>
    <t>康舒</t>
  </si>
  <si>
    <t>潤泰材</t>
  </si>
  <si>
    <t>宇瞻</t>
  </si>
  <si>
    <t>大恭</t>
  </si>
  <si>
    <t>進階</t>
  </si>
  <si>
    <t>中連貨</t>
  </si>
  <si>
    <t>高雄銀</t>
  </si>
  <si>
    <t>金山電</t>
  </si>
  <si>
    <t>開發金</t>
  </si>
  <si>
    <t>博智</t>
  </si>
  <si>
    <t>南亞</t>
  </si>
  <si>
    <t>台半</t>
  </si>
  <si>
    <t>弘帆</t>
  </si>
  <si>
    <t>碩禾</t>
  </si>
  <si>
    <t>天鉞電</t>
  </si>
  <si>
    <t>矽格</t>
  </si>
  <si>
    <t>黑松</t>
  </si>
  <si>
    <t>山隆</t>
  </si>
  <si>
    <t>新產</t>
  </si>
  <si>
    <t>佳世達</t>
  </si>
  <si>
    <t>豐興</t>
  </si>
  <si>
    <t>興農</t>
  </si>
  <si>
    <t>華夏</t>
  </si>
  <si>
    <t>仁寶</t>
  </si>
  <si>
    <t>第一金</t>
  </si>
  <si>
    <t>幃翔</t>
  </si>
  <si>
    <t>尚立</t>
  </si>
  <si>
    <t>13'09/17</t>
  </si>
  <si>
    <t>兆利</t>
  </si>
  <si>
    <t>捷迅</t>
  </si>
  <si>
    <t>華廣</t>
  </si>
  <si>
    <t>大聯大</t>
  </si>
  <si>
    <t>亞通</t>
  </si>
  <si>
    <t>數字</t>
  </si>
  <si>
    <t>茂林-KY</t>
  </si>
  <si>
    <t>光寶科</t>
  </si>
  <si>
    <t>華碩</t>
  </si>
  <si>
    <t>新普</t>
  </si>
  <si>
    <t>南染</t>
  </si>
  <si>
    <t>捷波</t>
  </si>
  <si>
    <t>九齊</t>
  </si>
  <si>
    <t>美亞</t>
  </si>
  <si>
    <t>國票金</t>
  </si>
  <si>
    <t>瑞穎</t>
  </si>
  <si>
    <t>順發</t>
  </si>
  <si>
    <t>申豐</t>
  </si>
  <si>
    <t>勝德</t>
  </si>
  <si>
    <t>銘旺實</t>
  </si>
  <si>
    <t>國碳科</t>
  </si>
  <si>
    <t>13'06/17</t>
  </si>
  <si>
    <t>台塑化</t>
  </si>
  <si>
    <t>金洲</t>
  </si>
  <si>
    <t>華建</t>
  </si>
  <si>
    <t>正淩</t>
  </si>
  <si>
    <t>1312A</t>
  </si>
  <si>
    <t>國喬特</t>
  </si>
  <si>
    <t>超眾</t>
  </si>
  <si>
    <t>英業達</t>
  </si>
  <si>
    <t>精熙-DR</t>
  </si>
  <si>
    <t>聯詠</t>
  </si>
  <si>
    <t>神準</t>
  </si>
  <si>
    <t>拓凱</t>
  </si>
  <si>
    <t>瀚荃</t>
  </si>
  <si>
    <t>有益</t>
  </si>
  <si>
    <t>新鼎</t>
  </si>
  <si>
    <t>泰詠</t>
  </si>
  <si>
    <t>聰泰</t>
  </si>
  <si>
    <t>崴強</t>
  </si>
  <si>
    <t>裕國</t>
  </si>
  <si>
    <t>群益期</t>
  </si>
  <si>
    <t>廣隆</t>
  </si>
  <si>
    <t>鑫禾</t>
  </si>
  <si>
    <t>六角</t>
  </si>
  <si>
    <t>銘鈺</t>
  </si>
  <si>
    <t>聯華</t>
  </si>
  <si>
    <t>震旦行</t>
  </si>
  <si>
    <t>高技</t>
  </si>
  <si>
    <t>勤誠</t>
  </si>
  <si>
    <t>中華</t>
  </si>
  <si>
    <t>岱宇</t>
  </si>
  <si>
    <t>凱撒衛</t>
  </si>
  <si>
    <t>時報</t>
  </si>
  <si>
    <t>美吉吉-KY</t>
  </si>
  <si>
    <t>華票</t>
  </si>
  <si>
    <t>強茂</t>
  </si>
  <si>
    <t>兆豐金</t>
  </si>
  <si>
    <t>元禎</t>
  </si>
  <si>
    <t>普安</t>
  </si>
  <si>
    <t>群光</t>
  </si>
  <si>
    <t>超豐</t>
  </si>
  <si>
    <t>禾昌</t>
  </si>
  <si>
    <t>千附</t>
  </si>
  <si>
    <t>寶隆</t>
  </si>
  <si>
    <t>勤美</t>
  </si>
  <si>
    <t>光群雷</t>
  </si>
  <si>
    <t>豪勉</t>
  </si>
  <si>
    <t>世界</t>
  </si>
  <si>
    <t>大塚</t>
  </si>
  <si>
    <t>大國鋼</t>
  </si>
  <si>
    <t>友輝</t>
  </si>
  <si>
    <t>博大</t>
  </si>
  <si>
    <t>彩晶</t>
  </si>
  <si>
    <t>新復興</t>
  </si>
  <si>
    <t>櫻花建</t>
  </si>
  <si>
    <t>堡達</t>
  </si>
  <si>
    <t>詮欣</t>
  </si>
  <si>
    <t>崇越</t>
  </si>
  <si>
    <t>杏昌</t>
  </si>
  <si>
    <t>政伸</t>
  </si>
  <si>
    <t>理銘</t>
  </si>
  <si>
    <t>所羅門</t>
  </si>
  <si>
    <t>大略-KY</t>
  </si>
  <si>
    <t>華新</t>
  </si>
  <si>
    <t>大華</t>
  </si>
  <si>
    <t>大統益</t>
  </si>
  <si>
    <t>鳳凰</t>
  </si>
  <si>
    <t>茂達</t>
  </si>
  <si>
    <t>冠德</t>
  </si>
  <si>
    <t>強生</t>
  </si>
  <si>
    <t>訊芯-KY</t>
  </si>
  <si>
    <t>永裕</t>
  </si>
  <si>
    <t>台中銀</t>
  </si>
  <si>
    <t>13'09/11</t>
  </si>
  <si>
    <t>晶睿</t>
  </si>
  <si>
    <t>陸海</t>
  </si>
  <si>
    <t>威剛</t>
  </si>
  <si>
    <t>文曄</t>
  </si>
  <si>
    <t>谷崧</t>
  </si>
  <si>
    <t>科懋</t>
  </si>
  <si>
    <t>百略</t>
  </si>
  <si>
    <t>巨庭</t>
  </si>
  <si>
    <t>花仙子</t>
  </si>
  <si>
    <t>建國</t>
  </si>
  <si>
    <t>詩肯</t>
  </si>
  <si>
    <t>松翰</t>
  </si>
  <si>
    <t>翔名</t>
  </si>
  <si>
    <t>敬鵬</t>
  </si>
  <si>
    <t>帆宣</t>
  </si>
  <si>
    <t>亞泰</t>
  </si>
  <si>
    <t>元太</t>
  </si>
  <si>
    <t>宏益</t>
  </si>
  <si>
    <t>幸康</t>
  </si>
  <si>
    <t>利機</t>
  </si>
  <si>
    <t>融程電</t>
  </si>
  <si>
    <t>雷科</t>
  </si>
  <si>
    <t>新漢</t>
  </si>
  <si>
    <t>東和鋼鐵</t>
  </si>
  <si>
    <t>中磊</t>
  </si>
  <si>
    <t>春雨</t>
  </si>
  <si>
    <t>宇隆</t>
  </si>
  <si>
    <t>佳醫</t>
  </si>
  <si>
    <t>13'09/05</t>
  </si>
  <si>
    <t>通嘉</t>
  </si>
  <si>
    <t>信邦</t>
  </si>
  <si>
    <t>聯昌</t>
  </si>
  <si>
    <t>彩富</t>
  </si>
  <si>
    <t>鐿鈦</t>
  </si>
  <si>
    <t>台虹</t>
  </si>
  <si>
    <t>來思達</t>
  </si>
  <si>
    <t>廣運</t>
  </si>
  <si>
    <t>牧東</t>
  </si>
  <si>
    <t>山林水</t>
  </si>
  <si>
    <t>新唐</t>
  </si>
  <si>
    <t>華立</t>
  </si>
  <si>
    <t>力麒</t>
  </si>
  <si>
    <t>和碩</t>
  </si>
  <si>
    <t>13'10/01</t>
  </si>
  <si>
    <t>昇達科</t>
  </si>
  <si>
    <t>沈氏</t>
  </si>
  <si>
    <t>13'06/18</t>
  </si>
  <si>
    <t>營邦</t>
  </si>
  <si>
    <t>今展科</t>
  </si>
  <si>
    <t>台汽電</t>
  </si>
  <si>
    <t>誠品生活</t>
  </si>
  <si>
    <t>森田</t>
  </si>
  <si>
    <t>弘塑</t>
  </si>
  <si>
    <t>飛捷</t>
  </si>
  <si>
    <t>台嘉碩</t>
  </si>
  <si>
    <t>森寶</t>
  </si>
  <si>
    <t>鈺邦</t>
  </si>
  <si>
    <t>吉源-KY</t>
  </si>
  <si>
    <t>宏盛</t>
  </si>
  <si>
    <t>元大高股息</t>
  </si>
  <si>
    <t>13'10/24</t>
  </si>
  <si>
    <t>台肥</t>
  </si>
  <si>
    <t>鴻名</t>
  </si>
  <si>
    <t>坤悅</t>
  </si>
  <si>
    <t>新保</t>
  </si>
  <si>
    <t>中聯資源</t>
  </si>
  <si>
    <t>虹堡</t>
  </si>
  <si>
    <t>固緯</t>
  </si>
  <si>
    <t>建準</t>
  </si>
  <si>
    <t>志超</t>
  </si>
  <si>
    <t>微端</t>
  </si>
  <si>
    <t>崧騰</t>
  </si>
  <si>
    <t>全國</t>
  </si>
  <si>
    <t>至興</t>
  </si>
  <si>
    <t>振樺電</t>
  </si>
  <si>
    <t>偉全</t>
  </si>
  <si>
    <t>青鋼</t>
  </si>
  <si>
    <t>中信金</t>
  </si>
  <si>
    <t>13'02/19</t>
  </si>
  <si>
    <t>世德</t>
  </si>
  <si>
    <t>三星</t>
  </si>
  <si>
    <t>弘裕</t>
  </si>
  <si>
    <t>中鼎</t>
  </si>
  <si>
    <t>碩天</t>
  </si>
  <si>
    <t>奇力新</t>
  </si>
  <si>
    <t>成霖</t>
  </si>
  <si>
    <t>晶華</t>
  </si>
  <si>
    <t>欣技</t>
  </si>
  <si>
    <t>13'05/30</t>
  </si>
  <si>
    <t>臺鹽</t>
  </si>
  <si>
    <t>13'08/12</t>
  </si>
  <si>
    <t>同協</t>
  </si>
  <si>
    <t>立德</t>
  </si>
  <si>
    <t>英瑞-KY</t>
  </si>
  <si>
    <t>正文</t>
  </si>
  <si>
    <t>寶島科</t>
  </si>
  <si>
    <t>永大</t>
  </si>
  <si>
    <t>研通</t>
  </si>
  <si>
    <t>台塑</t>
  </si>
  <si>
    <t>三福化</t>
  </si>
  <si>
    <t>中興電</t>
  </si>
  <si>
    <t>慶生</t>
  </si>
  <si>
    <t>佰鴻</t>
  </si>
  <si>
    <t>恒耀</t>
  </si>
  <si>
    <t>同欣電</t>
  </si>
  <si>
    <t>台灣大</t>
  </si>
  <si>
    <t>崇友</t>
  </si>
  <si>
    <t>王道銀行</t>
  </si>
  <si>
    <t>三晃</t>
  </si>
  <si>
    <t>廣達</t>
  </si>
  <si>
    <t>永記</t>
  </si>
  <si>
    <t>麗豐-KY</t>
  </si>
  <si>
    <t>惠光</t>
  </si>
  <si>
    <t>13'09/14</t>
  </si>
  <si>
    <t>富強</t>
  </si>
  <si>
    <t>聯邦銀</t>
  </si>
  <si>
    <t>佐登-KY</t>
  </si>
  <si>
    <t>聚碩</t>
  </si>
  <si>
    <t>聯傑</t>
  </si>
  <si>
    <t>中探針</t>
  </si>
  <si>
    <t>聯華食</t>
  </si>
  <si>
    <t>中華化</t>
  </si>
  <si>
    <t>環泥</t>
  </si>
  <si>
    <t>艾華</t>
  </si>
  <si>
    <t>13'09/03</t>
  </si>
  <si>
    <t>大甲</t>
  </si>
  <si>
    <t>13'10/08</t>
  </si>
  <si>
    <t>眾達-KY</t>
  </si>
  <si>
    <t>泰博</t>
  </si>
  <si>
    <t>恩德</t>
  </si>
  <si>
    <t>泰藝</t>
  </si>
  <si>
    <t>茂順</t>
  </si>
  <si>
    <t>偉訓</t>
  </si>
  <si>
    <t>新麥</t>
  </si>
  <si>
    <t>福懋</t>
  </si>
  <si>
    <t>英格爾</t>
  </si>
  <si>
    <t>遠傳</t>
  </si>
  <si>
    <t>鈞寶</t>
  </si>
  <si>
    <t>波若威</t>
  </si>
  <si>
    <t>亞力</t>
  </si>
  <si>
    <t>京城銀</t>
  </si>
  <si>
    <t>萬潤</t>
  </si>
  <si>
    <t>佳能</t>
  </si>
  <si>
    <t>美律</t>
  </si>
  <si>
    <t>台產</t>
  </si>
  <si>
    <t>聚積</t>
  </si>
  <si>
    <t>聯鈞</t>
  </si>
  <si>
    <t>鑽全</t>
  </si>
  <si>
    <t>國喬</t>
  </si>
  <si>
    <t>銘異</t>
  </si>
  <si>
    <t>13'06/06</t>
  </si>
  <si>
    <t>特力</t>
  </si>
  <si>
    <t>訊舟</t>
  </si>
  <si>
    <t>聚陽</t>
  </si>
  <si>
    <t>緯軟</t>
  </si>
  <si>
    <t>第一保</t>
  </si>
  <si>
    <t>鼎翰</t>
  </si>
  <si>
    <t>振曜</t>
  </si>
  <si>
    <t>聖暉</t>
  </si>
  <si>
    <t>波力-KY</t>
  </si>
  <si>
    <t>16'06/29</t>
  </si>
  <si>
    <t>16'07/20</t>
  </si>
  <si>
    <t>16'06/30</t>
  </si>
  <si>
    <t>16'07/21</t>
  </si>
  <si>
    <t>16'08/12</t>
  </si>
  <si>
    <t>16'07/07</t>
  </si>
  <si>
    <t>16'07/22</t>
  </si>
  <si>
    <t>16'07/13</t>
  </si>
  <si>
    <t>16'07/29</t>
  </si>
  <si>
    <t>16'07/27</t>
  </si>
  <si>
    <t>16'08/05</t>
  </si>
  <si>
    <t>16'09/07</t>
  </si>
  <si>
    <t>16'08/11</t>
  </si>
  <si>
    <t>16'08/22</t>
  </si>
  <si>
    <t>16'09/14</t>
  </si>
  <si>
    <t>16'07/25</t>
  </si>
  <si>
    <t>16'08/18</t>
  </si>
  <si>
    <t>16'09/29</t>
  </si>
  <si>
    <t>16'07/08</t>
  </si>
  <si>
    <t>16'08/19</t>
  </si>
  <si>
    <t>16'07/04</t>
  </si>
  <si>
    <t>16'08/09</t>
  </si>
  <si>
    <t>16'07/28</t>
  </si>
  <si>
    <t>16'09/02</t>
  </si>
  <si>
    <t>16'09/09</t>
  </si>
  <si>
    <t>16'08/25</t>
  </si>
  <si>
    <t>16'09/20</t>
  </si>
  <si>
    <t>16'08/04</t>
  </si>
  <si>
    <t>16'08/31</t>
  </si>
  <si>
    <t>16'06/28</t>
  </si>
  <si>
    <t>16'09/12</t>
  </si>
  <si>
    <t>16'10/05</t>
  </si>
  <si>
    <t>16'07/06</t>
  </si>
  <si>
    <t>16'07/05</t>
  </si>
  <si>
    <t>16'08/01</t>
  </si>
  <si>
    <t>16'08/15</t>
  </si>
  <si>
    <t>16'08/26</t>
  </si>
  <si>
    <t>16'09/30</t>
  </si>
  <si>
    <t>16'07/01</t>
  </si>
  <si>
    <t>16'07/26</t>
  </si>
  <si>
    <t>16'06/27</t>
  </si>
  <si>
    <t>16'07/18</t>
  </si>
  <si>
    <t>16'08/10</t>
  </si>
  <si>
    <t>16'09/01</t>
  </si>
  <si>
    <t>16'08/24</t>
  </si>
  <si>
    <t>16'07/15</t>
  </si>
  <si>
    <t>16'07/14</t>
  </si>
  <si>
    <t>16'08/23</t>
  </si>
  <si>
    <t>16'07/19</t>
  </si>
  <si>
    <t>16'08/08</t>
  </si>
  <si>
    <t>16'09/22</t>
  </si>
  <si>
    <t>16'06/21</t>
  </si>
  <si>
    <t>16'09/26</t>
  </si>
  <si>
    <t>16'07/11</t>
  </si>
  <si>
    <t>16'09/08</t>
  </si>
  <si>
    <t>16'08/30</t>
  </si>
  <si>
    <t>16'08/29</t>
  </si>
  <si>
    <t>16'09/13</t>
  </si>
  <si>
    <t>16'06/23</t>
  </si>
  <si>
    <t>16'06/24</t>
  </si>
  <si>
    <t>16'08/03</t>
  </si>
  <si>
    <t>16'06/22</t>
  </si>
  <si>
    <t>16'05/11</t>
  </si>
  <si>
    <t>16'05/25</t>
  </si>
  <si>
    <t>16'09/05</t>
  </si>
  <si>
    <t>16'06/17</t>
  </si>
  <si>
    <t>16'06/15</t>
  </si>
  <si>
    <t>16'07/12</t>
  </si>
  <si>
    <t>16'09/28</t>
  </si>
  <si>
    <t>16'08/17</t>
  </si>
  <si>
    <t>16'09/06</t>
  </si>
  <si>
    <t>16'08/16</t>
  </si>
  <si>
    <t>16'09/23</t>
  </si>
  <si>
    <t>16'06/20</t>
  </si>
  <si>
    <t>16'10/07</t>
  </si>
  <si>
    <t>16'06/13</t>
  </si>
  <si>
    <t>16'09/10</t>
  </si>
  <si>
    <t>16'06/14</t>
  </si>
  <si>
    <t>16'06/16</t>
  </si>
  <si>
    <t>16'06/02</t>
  </si>
  <si>
    <t>16'08/02</t>
  </si>
  <si>
    <t>16'10/14</t>
  </si>
  <si>
    <t>16'06/03</t>
  </si>
  <si>
    <t>16'06/07</t>
  </si>
  <si>
    <t>16'09/27</t>
  </si>
  <si>
    <t>16'10/04</t>
  </si>
  <si>
    <t>16'10/31</t>
  </si>
  <si>
    <t>16'09/21</t>
  </si>
  <si>
    <t>16'10/18</t>
  </si>
  <si>
    <t>16'11/11</t>
  </si>
  <si>
    <t>16'10/26</t>
  </si>
  <si>
    <t>16'10/12</t>
  </si>
  <si>
    <t>16'10/21</t>
  </si>
  <si>
    <t>16'10/28</t>
  </si>
  <si>
    <t>16'06/08</t>
  </si>
  <si>
    <t>15'07/06</t>
  </si>
  <si>
    <t>15'07/29</t>
  </si>
  <si>
    <t>15'08/25</t>
  </si>
  <si>
    <t>15'09/29</t>
  </si>
  <si>
    <t>15'07/23</t>
  </si>
  <si>
    <t>15'08/14</t>
  </si>
  <si>
    <t>15'09/02</t>
  </si>
  <si>
    <t>15'09/23</t>
  </si>
  <si>
    <t>15'07/16</t>
  </si>
  <si>
    <t>15'09/01</t>
  </si>
  <si>
    <t>15'09/17</t>
  </si>
  <si>
    <t>15'08/20</t>
  </si>
  <si>
    <t>15'09/07</t>
  </si>
  <si>
    <t>15'10/02</t>
  </si>
  <si>
    <t>15'06/15</t>
  </si>
  <si>
    <t>15'09/10</t>
  </si>
  <si>
    <t>15'09/21</t>
  </si>
  <si>
    <t>15'10/23</t>
  </si>
  <si>
    <t>15'07/02</t>
  </si>
  <si>
    <t>15'07/24</t>
  </si>
  <si>
    <t>15'07/09</t>
  </si>
  <si>
    <t>15'08/06</t>
  </si>
  <si>
    <t>15'07/01</t>
  </si>
  <si>
    <t>15'08/05</t>
  </si>
  <si>
    <t>15'07/21</t>
  </si>
  <si>
    <t>15'07/31</t>
  </si>
  <si>
    <t>15'08/24</t>
  </si>
  <si>
    <t>15'09/04</t>
  </si>
  <si>
    <t>15'08/04</t>
  </si>
  <si>
    <t>15'10/05</t>
  </si>
  <si>
    <t>15'10/27</t>
  </si>
  <si>
    <t>15'08/31</t>
  </si>
  <si>
    <t>15'09/24</t>
  </si>
  <si>
    <t>15'10/16</t>
  </si>
  <si>
    <t>15'07/08</t>
  </si>
  <si>
    <t>15'07/15</t>
  </si>
  <si>
    <t>15'09/09</t>
  </si>
  <si>
    <t>15'09/14</t>
  </si>
  <si>
    <t>15'07/03</t>
  </si>
  <si>
    <t>15'07/30</t>
  </si>
  <si>
    <t>15'08/28</t>
  </si>
  <si>
    <t>15'10/15</t>
  </si>
  <si>
    <t>15'06/12</t>
  </si>
  <si>
    <t>15'08/17</t>
  </si>
  <si>
    <t>15'07/13</t>
  </si>
  <si>
    <t>15'08/07</t>
  </si>
  <si>
    <t>15'07/22</t>
  </si>
  <si>
    <t>15'09/03</t>
  </si>
  <si>
    <t>15'10/01</t>
  </si>
  <si>
    <t>15'09/25</t>
  </si>
  <si>
    <t>15'07/14</t>
  </si>
  <si>
    <t>15'09/16</t>
  </si>
  <si>
    <t>15'06/17</t>
  </si>
  <si>
    <t>15'06/29</t>
  </si>
  <si>
    <t>15'07/17</t>
  </si>
  <si>
    <t>15'08/13</t>
  </si>
  <si>
    <t>15'08/21</t>
  </si>
  <si>
    <t>15'09/18</t>
  </si>
  <si>
    <t>15'08/12</t>
  </si>
  <si>
    <t>15'09/15</t>
  </si>
  <si>
    <t>15'08/11</t>
  </si>
  <si>
    <t>15'07/07</t>
  </si>
  <si>
    <t>15'08/19</t>
  </si>
  <si>
    <t>15'08/27</t>
  </si>
  <si>
    <t>15'06/22</t>
  </si>
  <si>
    <t>15'07/28</t>
  </si>
  <si>
    <t>15'06/30</t>
  </si>
  <si>
    <t>15'07/20</t>
  </si>
  <si>
    <t>15'07/27</t>
  </si>
  <si>
    <t>15'08/10</t>
  </si>
  <si>
    <t>15'08/26</t>
  </si>
  <si>
    <t>15'09/08</t>
  </si>
  <si>
    <t>15'10/20</t>
  </si>
  <si>
    <t>15'08/03</t>
  </si>
  <si>
    <t>15'06/03</t>
  </si>
  <si>
    <t>15'07/10</t>
  </si>
  <si>
    <t>15'08/18</t>
  </si>
  <si>
    <t>15'09/11</t>
  </si>
  <si>
    <t>15'06/16</t>
  </si>
  <si>
    <t>15'06/24</t>
  </si>
  <si>
    <t>15'06/26</t>
  </si>
  <si>
    <t>15'06/09</t>
  </si>
  <si>
    <t>15'02/04</t>
  </si>
  <si>
    <t>15'06/25</t>
  </si>
  <si>
    <t>15'06/11</t>
  </si>
  <si>
    <t>15'05/25</t>
  </si>
  <si>
    <t>15'06/18</t>
  </si>
  <si>
    <t>15'11/11</t>
  </si>
  <si>
    <t>15'09/22</t>
  </si>
  <si>
    <t>15'10/08</t>
  </si>
  <si>
    <t>15'09/30</t>
  </si>
  <si>
    <t>15'11/04</t>
  </si>
  <si>
    <t>15'11/23</t>
  </si>
  <si>
    <t>15'04/23</t>
  </si>
  <si>
    <t>15'05/22</t>
  </si>
  <si>
    <t>15'10/07</t>
  </si>
  <si>
    <t>15'01/13</t>
  </si>
  <si>
    <t>15'10/22</t>
  </si>
  <si>
    <t>15'10/28</t>
  </si>
  <si>
    <t>15'11/18</t>
  </si>
  <si>
    <t>15'10/26</t>
  </si>
  <si>
    <t>14'07/22</t>
  </si>
  <si>
    <t>14'08/29</t>
  </si>
  <si>
    <t>14'06/17</t>
  </si>
  <si>
    <t>14'09/01</t>
  </si>
  <si>
    <t>14'09/25</t>
  </si>
  <si>
    <t>14'07/30</t>
  </si>
  <si>
    <t>14'08/25</t>
  </si>
  <si>
    <t>14'07/23</t>
  </si>
  <si>
    <t>14'08/15</t>
  </si>
  <si>
    <t>14'09/03</t>
  </si>
  <si>
    <t>14'09/23</t>
  </si>
  <si>
    <t>14'08/27</t>
  </si>
  <si>
    <t>14'10/03</t>
  </si>
  <si>
    <t>14'07/09</t>
  </si>
  <si>
    <t>14'09/17</t>
  </si>
  <si>
    <t>14'06/27</t>
  </si>
  <si>
    <t>14'09/05</t>
  </si>
  <si>
    <t>14'10/22</t>
  </si>
  <si>
    <t>14'07/11</t>
  </si>
  <si>
    <t>14'08/21</t>
  </si>
  <si>
    <t>14'09/26</t>
  </si>
  <si>
    <t>14'07/02</t>
  </si>
  <si>
    <t>14'07/24</t>
  </si>
  <si>
    <t>14'08/14</t>
  </si>
  <si>
    <t>14'07/10</t>
  </si>
  <si>
    <t>14'07/04</t>
  </si>
  <si>
    <t>14'08/20</t>
  </si>
  <si>
    <t>14'08/12</t>
  </si>
  <si>
    <t>14'08/06</t>
  </si>
  <si>
    <t>14'08/07</t>
  </si>
  <si>
    <t>14'07/18</t>
  </si>
  <si>
    <t>14'07/17</t>
  </si>
  <si>
    <t>14'07/07</t>
  </si>
  <si>
    <t>14'08/19</t>
  </si>
  <si>
    <t>14'09/15</t>
  </si>
  <si>
    <t>14'09/12</t>
  </si>
  <si>
    <t>14'10/16</t>
  </si>
  <si>
    <t>14'07/03</t>
  </si>
  <si>
    <t>14'06/12</t>
  </si>
  <si>
    <t>14'08/04</t>
  </si>
  <si>
    <t>14'07/16</t>
  </si>
  <si>
    <t>14'07/31</t>
  </si>
  <si>
    <t>14'10/09</t>
  </si>
  <si>
    <t>14'07/08</t>
  </si>
  <si>
    <t>14'08/22</t>
  </si>
  <si>
    <t>14'02/06</t>
  </si>
  <si>
    <t>14'09/30</t>
  </si>
  <si>
    <t>14'07/28</t>
  </si>
  <si>
    <t>14'08/05</t>
  </si>
  <si>
    <t>14'07/14</t>
  </si>
  <si>
    <t>14'08/11</t>
  </si>
  <si>
    <t>14'09/02</t>
  </si>
  <si>
    <t>14'07/01</t>
  </si>
  <si>
    <t>14'09/18</t>
  </si>
  <si>
    <t>14'09/22</t>
  </si>
  <si>
    <t>14'10/28</t>
  </si>
  <si>
    <t>14'07/15</t>
  </si>
  <si>
    <t>14'06/26</t>
  </si>
  <si>
    <t>14'07/21</t>
  </si>
  <si>
    <t>14'08/18</t>
  </si>
  <si>
    <t>14'09/10</t>
  </si>
  <si>
    <t>14'10/15</t>
  </si>
  <si>
    <t>14'05/08</t>
  </si>
  <si>
    <t>14'07/25</t>
  </si>
  <si>
    <t>14'06/30</t>
  </si>
  <si>
    <t>14'08/13</t>
  </si>
  <si>
    <t>14'09/04</t>
  </si>
  <si>
    <t>14'06/04</t>
  </si>
  <si>
    <t>14'09/09</t>
  </si>
  <si>
    <t>14'09/24</t>
  </si>
  <si>
    <t>14'07/29</t>
  </si>
  <si>
    <t>14'05/29</t>
  </si>
  <si>
    <t>14'08/08</t>
  </si>
  <si>
    <t>14'10/20</t>
  </si>
  <si>
    <t>14'08/01</t>
  </si>
  <si>
    <t>14'09/19</t>
  </si>
  <si>
    <t>14'08/26</t>
  </si>
  <si>
    <t>14'08/28</t>
  </si>
  <si>
    <t>14'10/14</t>
  </si>
  <si>
    <t>14'11/19</t>
  </si>
  <si>
    <t>14'06/16</t>
  </si>
  <si>
    <t>14'06/25</t>
  </si>
  <si>
    <t>14'09/16</t>
  </si>
  <si>
    <t>14'09/11</t>
  </si>
  <si>
    <t>14'10/06</t>
  </si>
  <si>
    <t>14'06/20</t>
  </si>
  <si>
    <t>14'05/26</t>
  </si>
  <si>
    <t>14'06/24</t>
  </si>
  <si>
    <t>14'06/10</t>
  </si>
  <si>
    <t>14'06/18</t>
  </si>
  <si>
    <t>14'09/29</t>
  </si>
  <si>
    <t>14'10/13</t>
  </si>
  <si>
    <t>14'10/24</t>
  </si>
  <si>
    <t>14'10/17</t>
  </si>
  <si>
    <t>14'11/27</t>
  </si>
  <si>
    <t>14'12/10</t>
  </si>
  <si>
    <t>14'06/23</t>
  </si>
  <si>
    <t>17'06/29</t>
  </si>
  <si>
    <t>17'07/21</t>
  </si>
  <si>
    <t>17'06/28</t>
  </si>
  <si>
    <t>17'07/24</t>
  </si>
  <si>
    <t>17'07/04</t>
  </si>
  <si>
    <t>17'07/28</t>
  </si>
  <si>
    <t>17'07/10</t>
  </si>
  <si>
    <t>17'07/06</t>
  </si>
  <si>
    <t>17'08/09</t>
  </si>
  <si>
    <t>17'07/12</t>
  </si>
  <si>
    <t>17'08/08</t>
  </si>
  <si>
    <t>17'07/20</t>
  </si>
  <si>
    <t>17'08/11</t>
  </si>
  <si>
    <t>17'06/22</t>
  </si>
  <si>
    <t>17'07/14</t>
  </si>
  <si>
    <t>17'07/07</t>
  </si>
  <si>
    <t>17'08/04</t>
  </si>
  <si>
    <t>17'08/31</t>
  </si>
  <si>
    <t>17'06/15</t>
  </si>
  <si>
    <t>17'06/30</t>
  </si>
  <si>
    <t>17'07/25</t>
  </si>
  <si>
    <t>17'08/17</t>
  </si>
  <si>
    <t>17'07/31</t>
  </si>
  <si>
    <t>17'08/02</t>
  </si>
  <si>
    <t>17'08/01</t>
  </si>
  <si>
    <t>17'07/11</t>
  </si>
  <si>
    <t>17'08/07</t>
  </si>
  <si>
    <t>17'08/16</t>
  </si>
  <si>
    <t>17'07/05</t>
  </si>
  <si>
    <t>17'07/17</t>
  </si>
  <si>
    <t>17'07/03</t>
  </si>
  <si>
    <t>17'07/27</t>
  </si>
  <si>
    <t>17'08/23</t>
  </si>
  <si>
    <t>17'08/21</t>
  </si>
  <si>
    <t>17'07/19</t>
  </si>
  <si>
    <t>17'08/15</t>
  </si>
  <si>
    <t>17'06/13</t>
  </si>
  <si>
    <t>17'07/13</t>
  </si>
  <si>
    <t>17'07/18</t>
  </si>
  <si>
    <t>17'06/27</t>
  </si>
  <si>
    <t>17'08/25</t>
  </si>
  <si>
    <t>17'08/18</t>
  </si>
  <si>
    <t>17'08/10</t>
  </si>
  <si>
    <t>17'06/23</t>
  </si>
  <si>
    <t>17'08/03</t>
  </si>
  <si>
    <t>17'07/26</t>
  </si>
  <si>
    <t>17'05/10</t>
  </si>
  <si>
    <t>17'05/24</t>
  </si>
  <si>
    <t>17'08/30</t>
  </si>
  <si>
    <t>17'08/24</t>
  </si>
  <si>
    <t>17'06/02</t>
  </si>
  <si>
    <t>17'08/28</t>
  </si>
  <si>
    <t>17'08/14</t>
  </si>
  <si>
    <t>17'06/26</t>
  </si>
  <si>
    <t>17'09/08</t>
  </si>
  <si>
    <t>17'06/14</t>
  </si>
  <si>
    <t>17'09/14</t>
  </si>
  <si>
    <t>17'09/11</t>
  </si>
  <si>
    <t>17'08/22</t>
  </si>
  <si>
    <t>17'06/16</t>
  </si>
  <si>
    <t>17'06/20</t>
  </si>
  <si>
    <t>17'09/01</t>
  </si>
  <si>
    <t>17'09/22</t>
  </si>
  <si>
    <t>17'06/06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</si>
</sst>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ockList_2017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ockList_2016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ockList_2015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ockList_2014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ockList_201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01"/>
  <sheetViews>
    <sheetView tabSelected="1" workbookViewId="0">
      <pane xSplit="3" ySplit="1" topLeftCell="D448" activePane="bottomRight" state="frozen"/>
      <selection pane="topRight" activeCell="D1" sqref="D1"/>
      <selection pane="bottomLeft" activeCell="A2" sqref="A2"/>
      <selection pane="bottomRight" activeCell="B456" sqref="B456"/>
    </sheetView>
  </sheetViews>
  <sheetFormatPr defaultRowHeight="16.5" x14ac:dyDescent="0.6"/>
  <cols>
    <col min="1" max="1" width="5.15625" bestFit="1" customWidth="1"/>
    <col min="2" max="2" width="6.3671875" bestFit="1" customWidth="1"/>
    <col min="3" max="3" width="11.578125" bestFit="1" customWidth="1"/>
    <col min="4" max="4" width="9.3671875" bestFit="1" customWidth="1"/>
    <col min="5" max="5" width="5.9453125" bestFit="1" customWidth="1"/>
    <col min="6" max="7" width="7.26171875" bestFit="1" customWidth="1"/>
    <col min="8" max="8" width="13.7890625" bestFit="1" customWidth="1"/>
    <col min="9" max="9" width="8.578125" bestFit="1" customWidth="1"/>
    <col min="10" max="12" width="9.3671875" bestFit="1" customWidth="1"/>
    <col min="13" max="17" width="11.578125" bestFit="1" customWidth="1"/>
    <col min="18" max="18" width="13.7890625" bestFit="1" customWidth="1"/>
    <col min="19" max="20" width="11.578125" bestFit="1" customWidth="1"/>
    <col min="21" max="21" width="15.9453125" bestFit="1" customWidth="1"/>
  </cols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6">
      <c r="A2">
        <v>1</v>
      </c>
      <c r="B2" t="str">
        <f>"8913"</f>
        <v>8913</v>
      </c>
      <c r="C2" t="s">
        <v>21</v>
      </c>
      <c r="D2" s="1">
        <v>42923</v>
      </c>
      <c r="E2">
        <v>31.2</v>
      </c>
      <c r="F2">
        <v>0</v>
      </c>
      <c r="G2" s="2">
        <v>0</v>
      </c>
      <c r="H2">
        <v>2017</v>
      </c>
      <c r="I2">
        <v>3.19</v>
      </c>
      <c r="J2">
        <v>5</v>
      </c>
      <c r="K2">
        <v>0</v>
      </c>
      <c r="L2">
        <v>5</v>
      </c>
      <c r="M2" s="3">
        <v>0.16</v>
      </c>
      <c r="N2" s="2">
        <v>0</v>
      </c>
      <c r="O2" s="3">
        <v>0.16</v>
      </c>
      <c r="P2" s="3">
        <v>1.57</v>
      </c>
      <c r="Q2" s="2">
        <v>0</v>
      </c>
      <c r="R2" s="3">
        <v>1.57</v>
      </c>
      <c r="S2" t="s">
        <v>888</v>
      </c>
      <c r="U2" t="s">
        <v>889</v>
      </c>
    </row>
    <row r="3" spans="1:21" hidden="1" x14ac:dyDescent="0.6">
      <c r="A3">
        <v>2</v>
      </c>
      <c r="B3" t="str">
        <f>"3056"</f>
        <v>3056</v>
      </c>
      <c r="C3" t="s">
        <v>23</v>
      </c>
      <c r="D3" s="1">
        <v>42923</v>
      </c>
      <c r="E3">
        <v>18.5</v>
      </c>
      <c r="F3">
        <v>-0.1</v>
      </c>
      <c r="G3" s="3">
        <v>-5.4000000000000003E-3</v>
      </c>
      <c r="H3">
        <v>2017</v>
      </c>
      <c r="I3">
        <v>4.34</v>
      </c>
      <c r="J3">
        <v>2.5</v>
      </c>
      <c r="K3">
        <v>0</v>
      </c>
      <c r="L3">
        <v>2.5</v>
      </c>
      <c r="M3" s="3">
        <v>0.13500000000000001</v>
      </c>
      <c r="N3" s="2">
        <v>0</v>
      </c>
      <c r="O3" s="3">
        <v>0.13500000000000001</v>
      </c>
      <c r="P3" s="3">
        <v>0.57599999999999996</v>
      </c>
      <c r="Q3" s="2">
        <v>0</v>
      </c>
      <c r="R3" s="3">
        <v>0.57599999999999996</v>
      </c>
      <c r="S3" t="s">
        <v>890</v>
      </c>
      <c r="U3" t="s">
        <v>891</v>
      </c>
    </row>
    <row r="4" spans="1:21" hidden="1" x14ac:dyDescent="0.6">
      <c r="A4">
        <v>3</v>
      </c>
      <c r="B4" t="str">
        <f>"2596"</f>
        <v>2596</v>
      </c>
      <c r="C4" t="s">
        <v>25</v>
      </c>
      <c r="D4" s="1">
        <v>42923</v>
      </c>
      <c r="E4">
        <v>17.850000000000001</v>
      </c>
      <c r="F4">
        <v>-0.4</v>
      </c>
      <c r="G4" s="3">
        <v>-2.1899999999999999E-2</v>
      </c>
      <c r="H4">
        <v>2017</v>
      </c>
      <c r="I4">
        <v>4.24</v>
      </c>
      <c r="J4">
        <v>2.2000000000000002</v>
      </c>
      <c r="K4">
        <v>0</v>
      </c>
      <c r="L4">
        <v>2.2000000000000002</v>
      </c>
      <c r="M4" s="3">
        <v>0.123</v>
      </c>
      <c r="N4" s="2">
        <v>0</v>
      </c>
      <c r="O4" s="3">
        <v>0.123</v>
      </c>
      <c r="P4" s="3">
        <v>0.51900000000000002</v>
      </c>
      <c r="Q4" s="2">
        <v>0</v>
      </c>
      <c r="R4" s="3">
        <v>0.51900000000000002</v>
      </c>
      <c r="S4" t="s">
        <v>892</v>
      </c>
      <c r="U4" t="s">
        <v>893</v>
      </c>
    </row>
    <row r="5" spans="1:21" hidden="1" x14ac:dyDescent="0.6">
      <c r="A5">
        <v>4</v>
      </c>
      <c r="B5" t="str">
        <f>"3040"</f>
        <v>3040</v>
      </c>
      <c r="C5" t="s">
        <v>27</v>
      </c>
      <c r="D5" s="1">
        <v>42923</v>
      </c>
      <c r="E5">
        <v>40.6</v>
      </c>
      <c r="F5">
        <v>-0.5</v>
      </c>
      <c r="G5" s="3">
        <v>-1.2200000000000001E-2</v>
      </c>
      <c r="H5">
        <v>2017</v>
      </c>
      <c r="I5">
        <v>2.44</v>
      </c>
      <c r="J5">
        <v>5</v>
      </c>
      <c r="K5">
        <v>0</v>
      </c>
      <c r="L5">
        <v>5</v>
      </c>
      <c r="M5" s="3">
        <v>0.123</v>
      </c>
      <c r="N5" s="2">
        <v>0</v>
      </c>
      <c r="O5" s="3">
        <v>0.123</v>
      </c>
      <c r="P5" s="3">
        <v>2.0499999999999998</v>
      </c>
      <c r="Q5" s="2">
        <v>0</v>
      </c>
      <c r="R5" s="3">
        <v>2.0499999999999998</v>
      </c>
      <c r="S5" t="s">
        <v>890</v>
      </c>
      <c r="U5" t="s">
        <v>894</v>
      </c>
    </row>
    <row r="6" spans="1:21" hidden="1" x14ac:dyDescent="0.6">
      <c r="A6">
        <v>5</v>
      </c>
      <c r="B6" t="str">
        <f>"5315"</f>
        <v>5315</v>
      </c>
      <c r="C6" t="s">
        <v>28</v>
      </c>
      <c r="D6" s="1">
        <v>42923</v>
      </c>
      <c r="E6">
        <v>21</v>
      </c>
      <c r="F6">
        <v>-0.35</v>
      </c>
      <c r="G6" s="3">
        <v>-1.6400000000000001E-2</v>
      </c>
      <c r="H6">
        <v>2017</v>
      </c>
      <c r="I6">
        <v>4.13</v>
      </c>
      <c r="J6">
        <v>2.5</v>
      </c>
      <c r="K6">
        <v>0</v>
      </c>
      <c r="L6">
        <v>2.5</v>
      </c>
      <c r="M6" s="2">
        <v>0.11899999999999999</v>
      </c>
      <c r="N6" s="2">
        <v>0</v>
      </c>
      <c r="O6" s="2">
        <v>0.11899999999999999</v>
      </c>
      <c r="P6" s="2">
        <v>0.60499999999999998</v>
      </c>
      <c r="Q6" s="2">
        <v>0</v>
      </c>
      <c r="R6" s="2">
        <v>0.60499999999999998</v>
      </c>
      <c r="S6" t="s">
        <v>895</v>
      </c>
      <c r="U6" t="s">
        <v>896</v>
      </c>
    </row>
    <row r="7" spans="1:21" x14ac:dyDescent="0.6">
      <c r="A7">
        <v>6</v>
      </c>
      <c r="B7" t="str">
        <f>"1463"</f>
        <v>1463</v>
      </c>
      <c r="C7" t="s">
        <v>29</v>
      </c>
      <c r="D7" s="1">
        <v>42923</v>
      </c>
      <c r="E7">
        <v>29.4</v>
      </c>
      <c r="F7">
        <v>-0.05</v>
      </c>
      <c r="G7" s="3">
        <v>-1.6999999999999999E-3</v>
      </c>
      <c r="H7">
        <v>2017</v>
      </c>
      <c r="I7">
        <v>3.95</v>
      </c>
      <c r="J7">
        <v>3.3</v>
      </c>
      <c r="K7">
        <v>0</v>
      </c>
      <c r="L7">
        <v>3.3</v>
      </c>
      <c r="M7" s="2">
        <v>0.112</v>
      </c>
      <c r="N7" s="2">
        <v>0</v>
      </c>
      <c r="O7" s="2">
        <v>0.112</v>
      </c>
      <c r="P7" s="2">
        <v>0.83499999999999996</v>
      </c>
      <c r="Q7" s="2">
        <v>0</v>
      </c>
      <c r="R7" s="2">
        <v>0.83499999999999996</v>
      </c>
      <c r="S7" t="s">
        <v>897</v>
      </c>
      <c r="U7" t="s">
        <v>898</v>
      </c>
    </row>
    <row r="8" spans="1:21" x14ac:dyDescent="0.6">
      <c r="A8">
        <v>7</v>
      </c>
      <c r="B8" t="str">
        <f>"1416"</f>
        <v>1416</v>
      </c>
      <c r="C8" t="s">
        <v>30</v>
      </c>
      <c r="D8" s="1">
        <v>42923</v>
      </c>
      <c r="E8">
        <v>27.5</v>
      </c>
      <c r="F8">
        <v>0</v>
      </c>
      <c r="G8" s="2">
        <v>0</v>
      </c>
      <c r="H8">
        <v>2017</v>
      </c>
      <c r="I8">
        <v>4.6900000000000004</v>
      </c>
      <c r="J8">
        <v>3</v>
      </c>
      <c r="K8">
        <v>0</v>
      </c>
      <c r="L8">
        <v>3</v>
      </c>
      <c r="M8" s="3">
        <v>0.109</v>
      </c>
      <c r="N8" s="2">
        <v>0</v>
      </c>
      <c r="O8" s="3">
        <v>0.109</v>
      </c>
      <c r="P8" s="3">
        <v>0.64</v>
      </c>
      <c r="Q8" s="2">
        <v>0</v>
      </c>
      <c r="R8" s="3">
        <v>0.64</v>
      </c>
    </row>
    <row r="9" spans="1:21" hidden="1" x14ac:dyDescent="0.6">
      <c r="A9">
        <v>8</v>
      </c>
      <c r="B9" t="str">
        <f>"1310"</f>
        <v>1310</v>
      </c>
      <c r="C9" t="s">
        <v>32</v>
      </c>
      <c r="D9" s="1">
        <v>42923</v>
      </c>
      <c r="E9">
        <v>20.7</v>
      </c>
      <c r="F9">
        <v>-0.05</v>
      </c>
      <c r="G9" s="3">
        <v>-2.3999999999999998E-3</v>
      </c>
      <c r="H9">
        <v>2017</v>
      </c>
      <c r="I9">
        <v>2.67</v>
      </c>
      <c r="J9">
        <v>2.2000000000000002</v>
      </c>
      <c r="K9">
        <v>0</v>
      </c>
      <c r="L9">
        <v>2.2000000000000002</v>
      </c>
      <c r="M9" s="2">
        <v>0.106</v>
      </c>
      <c r="N9" s="2">
        <v>0</v>
      </c>
      <c r="O9" s="2">
        <v>0.106</v>
      </c>
      <c r="P9" s="2">
        <v>0.82399999999999995</v>
      </c>
      <c r="Q9" s="2">
        <v>0</v>
      </c>
      <c r="R9" s="2">
        <v>0.82399999999999995</v>
      </c>
      <c r="S9" t="s">
        <v>888</v>
      </c>
      <c r="U9" t="s">
        <v>889</v>
      </c>
    </row>
    <row r="10" spans="1:21" x14ac:dyDescent="0.6">
      <c r="A10">
        <v>9</v>
      </c>
      <c r="B10" t="str">
        <f>"2545"</f>
        <v>2545</v>
      </c>
      <c r="C10" t="s">
        <v>33</v>
      </c>
      <c r="D10" s="1">
        <v>42923</v>
      </c>
      <c r="E10">
        <v>42.4</v>
      </c>
      <c r="F10">
        <v>0.15</v>
      </c>
      <c r="G10" s="3">
        <v>3.5999999999999999E-3</v>
      </c>
      <c r="H10">
        <v>2017</v>
      </c>
      <c r="I10">
        <v>6.01</v>
      </c>
      <c r="J10">
        <v>4.5</v>
      </c>
      <c r="K10">
        <v>0</v>
      </c>
      <c r="L10">
        <v>4.5</v>
      </c>
      <c r="M10" s="3">
        <v>0.106</v>
      </c>
      <c r="N10" s="2">
        <v>0</v>
      </c>
      <c r="O10" s="3">
        <v>0.106</v>
      </c>
      <c r="P10" s="2">
        <v>0.749</v>
      </c>
      <c r="Q10" s="2">
        <v>0</v>
      </c>
      <c r="R10" s="2">
        <v>0.749</v>
      </c>
    </row>
    <row r="11" spans="1:21" x14ac:dyDescent="0.6">
      <c r="A11">
        <v>10</v>
      </c>
      <c r="B11" t="str">
        <f>"1808"</f>
        <v>1808</v>
      </c>
      <c r="C11" t="s">
        <v>35</v>
      </c>
      <c r="D11" s="1">
        <v>42923</v>
      </c>
      <c r="E11">
        <v>48.75</v>
      </c>
      <c r="F11">
        <v>-0.3</v>
      </c>
      <c r="G11" s="3">
        <v>-6.1000000000000004E-3</v>
      </c>
      <c r="H11">
        <v>2017</v>
      </c>
      <c r="I11">
        <v>4.41</v>
      </c>
      <c r="J11">
        <v>5</v>
      </c>
      <c r="K11">
        <v>0</v>
      </c>
      <c r="L11">
        <v>5</v>
      </c>
      <c r="M11" s="3">
        <v>0.10299999999999999</v>
      </c>
      <c r="N11" s="2">
        <v>0</v>
      </c>
      <c r="O11" s="3">
        <v>0.10299999999999999</v>
      </c>
      <c r="P11" s="3">
        <v>1.1299999999999999</v>
      </c>
      <c r="Q11" s="2">
        <v>0</v>
      </c>
      <c r="R11" s="3">
        <v>1.1299999999999999</v>
      </c>
    </row>
    <row r="12" spans="1:21" hidden="1" x14ac:dyDescent="0.6">
      <c r="A12">
        <v>11</v>
      </c>
      <c r="B12" t="str">
        <f>"2597"</f>
        <v>2597</v>
      </c>
      <c r="C12" t="s">
        <v>37</v>
      </c>
      <c r="D12" s="1">
        <v>42923</v>
      </c>
      <c r="E12">
        <v>39.799999999999997</v>
      </c>
      <c r="F12">
        <v>-0.3</v>
      </c>
      <c r="G12" s="3">
        <v>-7.4999999999999997E-3</v>
      </c>
      <c r="H12">
        <v>2017</v>
      </c>
      <c r="I12">
        <v>4.5</v>
      </c>
      <c r="J12">
        <v>4</v>
      </c>
      <c r="K12">
        <v>0</v>
      </c>
      <c r="L12">
        <v>4</v>
      </c>
      <c r="M12" s="3">
        <v>0.1</v>
      </c>
      <c r="N12" s="2">
        <v>0</v>
      </c>
      <c r="O12" s="3">
        <v>0.1</v>
      </c>
      <c r="P12" s="3">
        <v>0.88900000000000001</v>
      </c>
      <c r="Q12" s="2">
        <v>0</v>
      </c>
      <c r="R12" s="3">
        <v>0.88900000000000001</v>
      </c>
      <c r="S12" t="s">
        <v>895</v>
      </c>
      <c r="U12" t="s">
        <v>899</v>
      </c>
    </row>
    <row r="13" spans="1:21" x14ac:dyDescent="0.6">
      <c r="A13">
        <v>12</v>
      </c>
      <c r="B13" t="str">
        <f>"4984"</f>
        <v>4984</v>
      </c>
      <c r="C13" t="s">
        <v>39</v>
      </c>
      <c r="D13" s="1">
        <v>42923</v>
      </c>
      <c r="E13">
        <v>44.8</v>
      </c>
      <c r="F13">
        <v>-0.1</v>
      </c>
      <c r="G13" s="3">
        <v>-2.2000000000000001E-3</v>
      </c>
      <c r="H13">
        <v>2017</v>
      </c>
      <c r="I13">
        <v>6.88</v>
      </c>
      <c r="J13">
        <v>4.5</v>
      </c>
      <c r="K13">
        <v>0</v>
      </c>
      <c r="L13">
        <v>4.5</v>
      </c>
      <c r="M13" s="3">
        <v>0.1</v>
      </c>
      <c r="N13" s="2">
        <v>0</v>
      </c>
      <c r="O13" s="3">
        <v>0.1</v>
      </c>
      <c r="P13" s="2">
        <v>0.65400000000000003</v>
      </c>
      <c r="Q13" s="2">
        <v>0</v>
      </c>
      <c r="R13" s="2">
        <v>0.65400000000000003</v>
      </c>
    </row>
    <row r="14" spans="1:21" hidden="1" x14ac:dyDescent="0.6">
      <c r="A14">
        <v>13</v>
      </c>
      <c r="B14" t="str">
        <f>"5015"</f>
        <v>5015</v>
      </c>
      <c r="C14" t="s">
        <v>41</v>
      </c>
      <c r="D14" s="1">
        <v>42923</v>
      </c>
      <c r="E14">
        <v>25</v>
      </c>
      <c r="F14">
        <v>-0.25</v>
      </c>
      <c r="G14" s="3">
        <v>-9.9000000000000008E-3</v>
      </c>
      <c r="H14">
        <v>2017</v>
      </c>
      <c r="I14">
        <v>2.96</v>
      </c>
      <c r="J14">
        <v>2.5</v>
      </c>
      <c r="K14">
        <v>0</v>
      </c>
      <c r="L14">
        <v>2.5</v>
      </c>
      <c r="M14" s="3">
        <v>0.1</v>
      </c>
      <c r="N14" s="2">
        <v>0</v>
      </c>
      <c r="O14" s="3">
        <v>0.1</v>
      </c>
      <c r="P14" s="2">
        <v>0.84499999999999997</v>
      </c>
      <c r="Q14" s="2">
        <v>0</v>
      </c>
      <c r="R14" s="2">
        <v>0.84499999999999997</v>
      </c>
      <c r="S14" t="s">
        <v>895</v>
      </c>
      <c r="U14" t="s">
        <v>900</v>
      </c>
    </row>
    <row r="15" spans="1:21" x14ac:dyDescent="0.6">
      <c r="A15">
        <v>14</v>
      </c>
      <c r="B15" t="str">
        <f>"2542"</f>
        <v>2542</v>
      </c>
      <c r="C15" t="s">
        <v>42</v>
      </c>
      <c r="D15" s="1">
        <v>42923</v>
      </c>
      <c r="E15">
        <v>50.4</v>
      </c>
      <c r="F15">
        <v>-0.3</v>
      </c>
      <c r="G15" s="3">
        <v>-5.8999999999999999E-3</v>
      </c>
      <c r="H15">
        <v>2017</v>
      </c>
      <c r="I15">
        <v>5.57</v>
      </c>
      <c r="J15">
        <v>5</v>
      </c>
      <c r="K15">
        <v>0</v>
      </c>
      <c r="L15">
        <v>5</v>
      </c>
      <c r="M15" s="3">
        <v>9.9199999999999997E-2</v>
      </c>
      <c r="N15" s="2">
        <v>0</v>
      </c>
      <c r="O15" s="3">
        <v>9.9199999999999997E-2</v>
      </c>
      <c r="P15" s="3">
        <v>0.89800000000000002</v>
      </c>
      <c r="Q15" s="2">
        <v>0</v>
      </c>
      <c r="R15" s="3">
        <v>0.89800000000000002</v>
      </c>
    </row>
    <row r="16" spans="1:21" hidden="1" x14ac:dyDescent="0.6">
      <c r="A16">
        <v>15</v>
      </c>
      <c r="B16" t="str">
        <f>"8426"</f>
        <v>8426</v>
      </c>
      <c r="C16" t="s">
        <v>44</v>
      </c>
      <c r="D16" s="1">
        <v>42923</v>
      </c>
      <c r="E16">
        <v>40.6</v>
      </c>
      <c r="F16">
        <v>-0.35</v>
      </c>
      <c r="G16" s="3">
        <v>-8.5000000000000006E-3</v>
      </c>
      <c r="H16">
        <v>2017</v>
      </c>
      <c r="I16">
        <v>6.08</v>
      </c>
      <c r="J16">
        <v>4</v>
      </c>
      <c r="K16">
        <v>0.5</v>
      </c>
      <c r="L16">
        <v>4.5</v>
      </c>
      <c r="M16" s="3">
        <v>9.8500000000000004E-2</v>
      </c>
      <c r="N16" s="2">
        <v>1.23E-2</v>
      </c>
      <c r="O16" s="3">
        <v>0.111</v>
      </c>
      <c r="P16" s="3">
        <v>0.65800000000000003</v>
      </c>
      <c r="Q16" s="2">
        <v>8.2199999999999995E-2</v>
      </c>
      <c r="R16" s="3">
        <v>0.74</v>
      </c>
      <c r="S16" t="s">
        <v>901</v>
      </c>
      <c r="T16" t="s">
        <v>901</v>
      </c>
      <c r="U16" t="s">
        <v>902</v>
      </c>
    </row>
    <row r="17" spans="1:21" x14ac:dyDescent="0.6">
      <c r="A17">
        <v>16</v>
      </c>
      <c r="B17" t="str">
        <f>"5522"</f>
        <v>5522</v>
      </c>
      <c r="C17" t="s">
        <v>46</v>
      </c>
      <c r="D17" s="1">
        <v>42923</v>
      </c>
      <c r="E17">
        <v>39</v>
      </c>
      <c r="F17">
        <v>0</v>
      </c>
      <c r="G17" s="3">
        <v>0</v>
      </c>
      <c r="H17">
        <v>2017</v>
      </c>
      <c r="I17">
        <v>4.1900000000000004</v>
      </c>
      <c r="J17">
        <v>3.8</v>
      </c>
      <c r="K17">
        <v>0</v>
      </c>
      <c r="L17">
        <v>3.8</v>
      </c>
      <c r="M17" s="3">
        <v>9.74E-2</v>
      </c>
      <c r="N17" s="2">
        <v>0</v>
      </c>
      <c r="O17" s="3">
        <v>9.74E-2</v>
      </c>
      <c r="P17" s="3">
        <v>0.90700000000000003</v>
      </c>
      <c r="Q17" s="2">
        <v>0</v>
      </c>
      <c r="R17" s="3">
        <v>0.90700000000000003</v>
      </c>
    </row>
    <row r="18" spans="1:21" hidden="1" x14ac:dyDescent="0.6">
      <c r="A18">
        <v>17</v>
      </c>
      <c r="B18" t="str">
        <f>"4952"</f>
        <v>4952</v>
      </c>
      <c r="C18" t="s">
        <v>48</v>
      </c>
      <c r="D18" s="1">
        <v>42923</v>
      </c>
      <c r="E18">
        <v>36.5</v>
      </c>
      <c r="F18">
        <v>-0.15</v>
      </c>
      <c r="G18" s="3">
        <v>-4.1000000000000003E-3</v>
      </c>
      <c r="H18">
        <v>2017</v>
      </c>
      <c r="I18">
        <v>3.8</v>
      </c>
      <c r="J18">
        <v>3.5</v>
      </c>
      <c r="K18">
        <v>0</v>
      </c>
      <c r="L18">
        <v>3.5</v>
      </c>
      <c r="M18" s="3">
        <v>9.5899999999999999E-2</v>
      </c>
      <c r="N18" s="2">
        <v>0</v>
      </c>
      <c r="O18" s="3">
        <v>9.5899999999999999E-2</v>
      </c>
      <c r="P18" s="2">
        <v>0.92100000000000004</v>
      </c>
      <c r="Q18" s="2">
        <v>0</v>
      </c>
      <c r="R18" s="2">
        <v>0.92100000000000004</v>
      </c>
      <c r="S18" t="s">
        <v>903</v>
      </c>
      <c r="U18" t="s">
        <v>904</v>
      </c>
    </row>
    <row r="19" spans="1:21" x14ac:dyDescent="0.6">
      <c r="A19">
        <v>18</v>
      </c>
      <c r="B19" t="str">
        <f>"6235"</f>
        <v>6235</v>
      </c>
      <c r="C19" t="s">
        <v>49</v>
      </c>
      <c r="D19" s="1">
        <v>42923</v>
      </c>
      <c r="E19">
        <v>20.95</v>
      </c>
      <c r="F19">
        <v>0.05</v>
      </c>
      <c r="G19" s="3">
        <v>2.3999999999999998E-3</v>
      </c>
      <c r="H19">
        <v>2017</v>
      </c>
      <c r="I19">
        <v>8.19</v>
      </c>
      <c r="J19">
        <v>2</v>
      </c>
      <c r="K19">
        <v>0</v>
      </c>
      <c r="L19">
        <v>2</v>
      </c>
      <c r="M19" s="2">
        <v>9.5500000000000002E-2</v>
      </c>
      <c r="N19" s="2">
        <v>0</v>
      </c>
      <c r="O19" s="2">
        <v>9.5500000000000002E-2</v>
      </c>
      <c r="P19" s="2">
        <v>0.24399999999999999</v>
      </c>
      <c r="Q19" s="2">
        <v>0</v>
      </c>
      <c r="R19" s="2">
        <v>0.24399999999999999</v>
      </c>
    </row>
    <row r="20" spans="1:21" hidden="1" x14ac:dyDescent="0.6">
      <c r="A20">
        <v>19</v>
      </c>
      <c r="B20" t="str">
        <f>"5371"</f>
        <v>5371</v>
      </c>
      <c r="C20" t="s">
        <v>50</v>
      </c>
      <c r="D20" s="1">
        <v>42923</v>
      </c>
      <c r="E20">
        <v>37.65</v>
      </c>
      <c r="F20">
        <v>-0.8</v>
      </c>
      <c r="G20" s="3">
        <v>-2.0799999999999999E-2</v>
      </c>
      <c r="H20">
        <v>2017</v>
      </c>
      <c r="I20">
        <v>4.01</v>
      </c>
      <c r="J20">
        <v>3.5</v>
      </c>
      <c r="K20">
        <v>0</v>
      </c>
      <c r="L20">
        <v>3.5</v>
      </c>
      <c r="M20" s="3">
        <v>9.2999999999999999E-2</v>
      </c>
      <c r="N20" s="2">
        <v>0</v>
      </c>
      <c r="O20" s="3">
        <v>9.2999999999999999E-2</v>
      </c>
      <c r="P20" s="3">
        <v>0.873</v>
      </c>
      <c r="Q20" s="2">
        <v>0</v>
      </c>
      <c r="R20" s="3">
        <v>0.873</v>
      </c>
      <c r="S20" t="s">
        <v>903</v>
      </c>
      <c r="U20" t="s">
        <v>896</v>
      </c>
    </row>
    <row r="21" spans="1:21" x14ac:dyDescent="0.6">
      <c r="A21">
        <v>20</v>
      </c>
      <c r="B21" t="str">
        <f>"2936"</f>
        <v>2936</v>
      </c>
      <c r="C21" t="s">
        <v>51</v>
      </c>
      <c r="D21" s="1">
        <v>42923</v>
      </c>
      <c r="E21">
        <v>43.5</v>
      </c>
      <c r="F21">
        <v>-0.4</v>
      </c>
      <c r="G21" s="3">
        <v>-9.1000000000000004E-3</v>
      </c>
      <c r="H21">
        <v>2017</v>
      </c>
      <c r="I21">
        <v>5.03</v>
      </c>
      <c r="J21">
        <v>4</v>
      </c>
      <c r="K21">
        <v>0</v>
      </c>
      <c r="L21">
        <v>4</v>
      </c>
      <c r="M21" s="3">
        <v>9.1999999999999998E-2</v>
      </c>
      <c r="N21" s="2">
        <v>0</v>
      </c>
      <c r="O21" s="3">
        <v>9.1999999999999998E-2</v>
      </c>
      <c r="P21" s="3">
        <v>0.79500000000000004</v>
      </c>
      <c r="Q21" s="2">
        <v>0</v>
      </c>
      <c r="R21" s="3">
        <v>0.79500000000000004</v>
      </c>
    </row>
    <row r="22" spans="1:21" x14ac:dyDescent="0.6">
      <c r="A22">
        <v>21</v>
      </c>
      <c r="B22" t="str">
        <f>"5215"</f>
        <v>5215</v>
      </c>
      <c r="C22" t="s">
        <v>53</v>
      </c>
      <c r="D22" s="1">
        <v>42923</v>
      </c>
      <c r="E22">
        <v>32.950000000000003</v>
      </c>
      <c r="F22">
        <v>0.05</v>
      </c>
      <c r="G22" s="3">
        <v>1.5E-3</v>
      </c>
      <c r="H22">
        <v>2017</v>
      </c>
      <c r="I22">
        <v>2.0099999999999998</v>
      </c>
      <c r="J22">
        <v>3</v>
      </c>
      <c r="K22">
        <v>0</v>
      </c>
      <c r="L22">
        <v>3</v>
      </c>
      <c r="M22" s="3">
        <v>9.0999999999999998E-2</v>
      </c>
      <c r="N22" s="3">
        <v>0</v>
      </c>
      <c r="O22" s="3">
        <v>9.0999999999999998E-2</v>
      </c>
      <c r="P22" s="2">
        <v>1.49</v>
      </c>
      <c r="Q22" s="2">
        <v>0</v>
      </c>
      <c r="R22" s="3">
        <v>1.49</v>
      </c>
      <c r="S22" t="s">
        <v>899</v>
      </c>
      <c r="U22" t="s">
        <v>904</v>
      </c>
    </row>
    <row r="23" spans="1:21" x14ac:dyDescent="0.6">
      <c r="A23">
        <v>22</v>
      </c>
      <c r="B23" t="str">
        <f>"6292"</f>
        <v>6292</v>
      </c>
      <c r="C23" t="s">
        <v>54</v>
      </c>
      <c r="D23" s="1">
        <v>42923</v>
      </c>
      <c r="E23">
        <v>35.200000000000003</v>
      </c>
      <c r="F23">
        <v>-0.1</v>
      </c>
      <c r="G23" s="2">
        <v>-2.8E-3</v>
      </c>
      <c r="H23">
        <v>2017</v>
      </c>
      <c r="I23">
        <v>3.35</v>
      </c>
      <c r="J23">
        <v>3.2</v>
      </c>
      <c r="K23">
        <v>0</v>
      </c>
      <c r="L23">
        <v>3.2</v>
      </c>
      <c r="M23" s="2">
        <v>9.0899999999999995E-2</v>
      </c>
      <c r="N23" s="2">
        <v>0</v>
      </c>
      <c r="O23" s="2">
        <v>9.0899999999999995E-2</v>
      </c>
      <c r="P23" s="3">
        <v>0.95499999999999996</v>
      </c>
      <c r="Q23" s="2">
        <v>0</v>
      </c>
      <c r="R23" s="3">
        <v>0.95499999999999996</v>
      </c>
    </row>
    <row r="24" spans="1:21" x14ac:dyDescent="0.6">
      <c r="A24">
        <v>23</v>
      </c>
      <c r="B24" t="str">
        <f>"2536"</f>
        <v>2536</v>
      </c>
      <c r="C24" t="s">
        <v>56</v>
      </c>
      <c r="D24" s="1">
        <v>42923</v>
      </c>
      <c r="E24">
        <v>23.3</v>
      </c>
      <c r="F24">
        <v>-0.15</v>
      </c>
      <c r="G24" s="3">
        <v>-6.4000000000000003E-3</v>
      </c>
      <c r="H24">
        <v>2017</v>
      </c>
      <c r="I24">
        <v>3.21</v>
      </c>
      <c r="J24">
        <v>2.1</v>
      </c>
      <c r="K24">
        <v>0</v>
      </c>
      <c r="L24">
        <v>2.1</v>
      </c>
      <c r="M24" s="2">
        <v>9.01E-2</v>
      </c>
      <c r="N24" s="2">
        <v>0</v>
      </c>
      <c r="O24" s="2">
        <v>9.01E-2</v>
      </c>
      <c r="P24" s="2">
        <v>0.65400000000000003</v>
      </c>
      <c r="Q24" s="2">
        <v>0</v>
      </c>
      <c r="R24" s="2">
        <v>0.65400000000000003</v>
      </c>
    </row>
    <row r="25" spans="1:21" x14ac:dyDescent="0.6">
      <c r="A25">
        <v>24</v>
      </c>
      <c r="B25" t="str">
        <f>"6186"</f>
        <v>6186</v>
      </c>
      <c r="C25" t="s">
        <v>57</v>
      </c>
      <c r="D25" s="1">
        <v>42923</v>
      </c>
      <c r="E25">
        <v>22.4</v>
      </c>
      <c r="F25">
        <v>0</v>
      </c>
      <c r="G25" s="2">
        <v>0</v>
      </c>
      <c r="H25">
        <v>2017</v>
      </c>
      <c r="I25">
        <v>3.54</v>
      </c>
      <c r="J25">
        <v>2</v>
      </c>
      <c r="K25">
        <v>0</v>
      </c>
      <c r="L25">
        <v>2</v>
      </c>
      <c r="M25" s="3">
        <v>8.9300000000000004E-2</v>
      </c>
      <c r="N25" s="2">
        <v>0</v>
      </c>
      <c r="O25" s="3">
        <v>8.9300000000000004E-2</v>
      </c>
      <c r="P25" s="3">
        <v>0.56499999999999995</v>
      </c>
      <c r="Q25" s="2">
        <v>0</v>
      </c>
      <c r="R25" s="3">
        <v>0.56499999999999995</v>
      </c>
    </row>
    <row r="26" spans="1:21" x14ac:dyDescent="0.6">
      <c r="A26">
        <v>25</v>
      </c>
      <c r="B26" t="str">
        <f>"6201"</f>
        <v>6201</v>
      </c>
      <c r="C26" t="s">
        <v>59</v>
      </c>
      <c r="D26" s="1">
        <v>42923</v>
      </c>
      <c r="E26">
        <v>33.75</v>
      </c>
      <c r="F26">
        <v>0</v>
      </c>
      <c r="G26" s="3">
        <v>0</v>
      </c>
      <c r="H26">
        <v>2017</v>
      </c>
      <c r="I26">
        <v>3.39</v>
      </c>
      <c r="J26">
        <v>3</v>
      </c>
      <c r="K26">
        <v>0</v>
      </c>
      <c r="L26">
        <v>3</v>
      </c>
      <c r="M26" s="2">
        <v>8.8900000000000007E-2</v>
      </c>
      <c r="N26" s="3">
        <v>0</v>
      </c>
      <c r="O26" s="3">
        <v>8.8900000000000007E-2</v>
      </c>
      <c r="P26" s="3">
        <v>0.88500000000000001</v>
      </c>
      <c r="Q26" s="3">
        <v>0</v>
      </c>
      <c r="R26" s="3">
        <v>0.88500000000000001</v>
      </c>
      <c r="S26" t="s">
        <v>898</v>
      </c>
      <c r="U26" t="s">
        <v>905</v>
      </c>
    </row>
    <row r="27" spans="1:21" hidden="1" x14ac:dyDescent="0.6">
      <c r="A27">
        <v>26</v>
      </c>
      <c r="B27" t="str">
        <f>"6151"</f>
        <v>6151</v>
      </c>
      <c r="C27" t="s">
        <v>60</v>
      </c>
      <c r="D27" s="1">
        <v>42923</v>
      </c>
      <c r="E27">
        <v>24.8</v>
      </c>
      <c r="F27">
        <v>-0.3</v>
      </c>
      <c r="G27" s="3">
        <v>-1.2E-2</v>
      </c>
      <c r="H27">
        <v>2017</v>
      </c>
      <c r="I27">
        <v>2.59</v>
      </c>
      <c r="J27">
        <v>2.2000000000000002</v>
      </c>
      <c r="K27">
        <v>0</v>
      </c>
      <c r="L27">
        <v>2.2000000000000002</v>
      </c>
      <c r="M27" s="3">
        <v>8.8700000000000001E-2</v>
      </c>
      <c r="N27" s="2">
        <v>0</v>
      </c>
      <c r="O27" s="3">
        <v>8.8700000000000001E-2</v>
      </c>
      <c r="P27" s="2">
        <v>0.84899999999999998</v>
      </c>
      <c r="Q27" s="2">
        <v>0</v>
      </c>
      <c r="R27" s="2">
        <v>0.84899999999999998</v>
      </c>
      <c r="S27" t="s">
        <v>906</v>
      </c>
      <c r="U27" t="s">
        <v>907</v>
      </c>
    </row>
    <row r="28" spans="1:21" x14ac:dyDescent="0.6">
      <c r="A28">
        <v>27</v>
      </c>
      <c r="B28" t="str">
        <f>"4550"</f>
        <v>4550</v>
      </c>
      <c r="C28" t="s">
        <v>61</v>
      </c>
      <c r="D28" s="1">
        <v>42923</v>
      </c>
      <c r="E28">
        <v>22.3</v>
      </c>
      <c r="F28">
        <v>0.3</v>
      </c>
      <c r="G28" s="3">
        <v>1.3599999999999999E-2</v>
      </c>
      <c r="H28">
        <v>2017</v>
      </c>
      <c r="I28">
        <v>2.4500000000000002</v>
      </c>
      <c r="J28">
        <v>1.97</v>
      </c>
      <c r="K28">
        <v>0</v>
      </c>
      <c r="L28">
        <v>1.97</v>
      </c>
      <c r="M28" s="3">
        <v>8.8499999999999995E-2</v>
      </c>
      <c r="N28" s="3">
        <v>0</v>
      </c>
      <c r="O28" s="3">
        <v>8.8499999999999995E-2</v>
      </c>
      <c r="P28" s="3">
        <v>0.80400000000000005</v>
      </c>
      <c r="Q28" s="2">
        <v>0</v>
      </c>
      <c r="R28" s="3">
        <v>0.80400000000000005</v>
      </c>
      <c r="S28" t="s">
        <v>908</v>
      </c>
      <c r="U28" t="s">
        <v>909</v>
      </c>
    </row>
    <row r="29" spans="1:21" hidden="1" x14ac:dyDescent="0.6">
      <c r="A29">
        <v>28</v>
      </c>
      <c r="B29" t="str">
        <f>"2538"</f>
        <v>2538</v>
      </c>
      <c r="C29" t="s">
        <v>62</v>
      </c>
      <c r="D29" s="1">
        <v>42923</v>
      </c>
      <c r="E29">
        <v>11.3</v>
      </c>
      <c r="F29">
        <v>0</v>
      </c>
      <c r="G29" s="3">
        <v>0</v>
      </c>
      <c r="H29">
        <v>2017</v>
      </c>
      <c r="I29">
        <v>-0.23</v>
      </c>
      <c r="J29">
        <v>1</v>
      </c>
      <c r="K29">
        <v>0</v>
      </c>
      <c r="L29">
        <v>1</v>
      </c>
      <c r="M29" s="3">
        <v>8.8499999999999995E-2</v>
      </c>
      <c r="N29" s="2">
        <v>0</v>
      </c>
      <c r="O29" s="3">
        <v>8.8499999999999995E-2</v>
      </c>
      <c r="P29" s="3">
        <v>-4.3499999999999996</v>
      </c>
      <c r="Q29" s="2">
        <v>0</v>
      </c>
      <c r="R29" s="3">
        <v>-4.3499999999999996</v>
      </c>
      <c r="S29" t="s">
        <v>894</v>
      </c>
      <c r="U29" t="s">
        <v>910</v>
      </c>
    </row>
    <row r="30" spans="1:21" hidden="1" x14ac:dyDescent="0.6">
      <c r="A30">
        <v>29</v>
      </c>
      <c r="B30" t="str">
        <f>"6115"</f>
        <v>6115</v>
      </c>
      <c r="C30" t="s">
        <v>63</v>
      </c>
      <c r="D30" s="1">
        <v>42923</v>
      </c>
      <c r="E30">
        <v>45.3</v>
      </c>
      <c r="F30">
        <v>-0.5</v>
      </c>
      <c r="G30" s="3">
        <v>-1.09E-2</v>
      </c>
      <c r="H30">
        <v>2017</v>
      </c>
      <c r="I30">
        <v>4.08</v>
      </c>
      <c r="J30">
        <v>4</v>
      </c>
      <c r="K30">
        <v>0</v>
      </c>
      <c r="L30">
        <v>4</v>
      </c>
      <c r="M30" s="3">
        <v>8.8300000000000003E-2</v>
      </c>
      <c r="N30" s="2">
        <v>0</v>
      </c>
      <c r="O30" s="3">
        <v>8.8300000000000003E-2</v>
      </c>
      <c r="P30" s="3">
        <v>0.98</v>
      </c>
      <c r="Q30" s="2">
        <v>0</v>
      </c>
      <c r="R30" s="3">
        <v>0.98</v>
      </c>
      <c r="S30" t="s">
        <v>895</v>
      </c>
      <c r="U30" t="s">
        <v>911</v>
      </c>
    </row>
    <row r="31" spans="1:21" x14ac:dyDescent="0.6">
      <c r="A31">
        <v>30</v>
      </c>
      <c r="B31" t="str">
        <f>"2488"</f>
        <v>2488</v>
      </c>
      <c r="C31" t="s">
        <v>64</v>
      </c>
      <c r="D31" s="1">
        <v>42923</v>
      </c>
      <c r="E31">
        <v>39.65</v>
      </c>
      <c r="F31">
        <v>0.4</v>
      </c>
      <c r="G31" s="3">
        <v>1.0200000000000001E-2</v>
      </c>
      <c r="H31">
        <v>2017</v>
      </c>
      <c r="I31">
        <v>5.64</v>
      </c>
      <c r="J31">
        <v>3.5</v>
      </c>
      <c r="K31">
        <v>0</v>
      </c>
      <c r="L31">
        <v>3.5</v>
      </c>
      <c r="M31" s="3">
        <v>8.8300000000000003E-2</v>
      </c>
      <c r="N31" s="2">
        <v>0</v>
      </c>
      <c r="O31" s="3">
        <v>8.8300000000000003E-2</v>
      </c>
      <c r="P31" s="3">
        <v>0.621</v>
      </c>
      <c r="Q31" s="2">
        <v>0</v>
      </c>
      <c r="R31" s="3">
        <v>0.621</v>
      </c>
    </row>
    <row r="32" spans="1:21" hidden="1" x14ac:dyDescent="0.6">
      <c r="A32">
        <v>31</v>
      </c>
      <c r="B32" t="str">
        <f>"5356"</f>
        <v>5356</v>
      </c>
      <c r="C32" t="s">
        <v>66</v>
      </c>
      <c r="D32" s="1">
        <v>42923</v>
      </c>
      <c r="E32">
        <v>45.5</v>
      </c>
      <c r="F32">
        <v>-0.5</v>
      </c>
      <c r="G32" s="3">
        <v>-1.09E-2</v>
      </c>
      <c r="H32">
        <v>2017</v>
      </c>
      <c r="I32">
        <v>4.38</v>
      </c>
      <c r="J32">
        <v>4</v>
      </c>
      <c r="K32">
        <v>0</v>
      </c>
      <c r="L32">
        <v>4</v>
      </c>
      <c r="M32" s="3">
        <v>8.7900000000000006E-2</v>
      </c>
      <c r="N32" s="2">
        <v>0</v>
      </c>
      <c r="O32" s="3">
        <v>8.7900000000000006E-2</v>
      </c>
      <c r="P32" s="3">
        <v>0.91300000000000003</v>
      </c>
      <c r="Q32" s="2">
        <v>0</v>
      </c>
      <c r="R32" s="3">
        <v>0.91300000000000003</v>
      </c>
      <c r="S32" t="s">
        <v>892</v>
      </c>
      <c r="U32" t="s">
        <v>912</v>
      </c>
    </row>
    <row r="33" spans="1:21" x14ac:dyDescent="0.6">
      <c r="A33">
        <v>32</v>
      </c>
      <c r="B33" t="str">
        <f>"2404"</f>
        <v>2404</v>
      </c>
      <c r="C33" t="s">
        <v>68</v>
      </c>
      <c r="D33" s="1">
        <v>42923</v>
      </c>
      <c r="E33">
        <v>68.3</v>
      </c>
      <c r="F33">
        <v>-1.2</v>
      </c>
      <c r="G33" s="3">
        <v>-1.7299999999999999E-2</v>
      </c>
      <c r="H33">
        <v>2017</v>
      </c>
      <c r="I33">
        <v>6.52</v>
      </c>
      <c r="J33">
        <v>6</v>
      </c>
      <c r="K33">
        <v>0</v>
      </c>
      <c r="L33">
        <v>6</v>
      </c>
      <c r="M33" s="3">
        <v>8.7800000000000003E-2</v>
      </c>
      <c r="N33" s="2">
        <v>0</v>
      </c>
      <c r="O33" s="3">
        <v>8.7800000000000003E-2</v>
      </c>
      <c r="P33" s="3">
        <v>0.92</v>
      </c>
      <c r="Q33" s="2">
        <v>0</v>
      </c>
      <c r="R33" s="3">
        <v>0.92</v>
      </c>
      <c r="S33" t="s">
        <v>913</v>
      </c>
      <c r="U33" t="s">
        <v>914</v>
      </c>
    </row>
    <row r="34" spans="1:21" x14ac:dyDescent="0.6">
      <c r="A34">
        <v>33</v>
      </c>
      <c r="B34" t="str">
        <f>"3679"</f>
        <v>3679</v>
      </c>
      <c r="C34" t="s">
        <v>70</v>
      </c>
      <c r="D34" s="1">
        <v>42923</v>
      </c>
      <c r="E34">
        <v>91.9</v>
      </c>
      <c r="F34">
        <v>0.1</v>
      </c>
      <c r="G34" s="3">
        <v>1.1000000000000001E-3</v>
      </c>
      <c r="H34">
        <v>2017</v>
      </c>
      <c r="I34">
        <v>7.59</v>
      </c>
      <c r="J34">
        <v>8</v>
      </c>
      <c r="K34">
        <v>0</v>
      </c>
      <c r="L34">
        <v>8</v>
      </c>
      <c r="M34" s="3">
        <v>8.7099999999999997E-2</v>
      </c>
      <c r="N34" s="2">
        <v>0</v>
      </c>
      <c r="O34" s="3">
        <v>8.7099999999999997E-2</v>
      </c>
      <c r="P34" s="3">
        <v>1.05</v>
      </c>
      <c r="Q34" s="2">
        <v>0</v>
      </c>
      <c r="R34" s="3">
        <v>1.05</v>
      </c>
      <c r="S34" t="s">
        <v>899</v>
      </c>
      <c r="U34" t="s">
        <v>915</v>
      </c>
    </row>
    <row r="35" spans="1:21" x14ac:dyDescent="0.6">
      <c r="A35">
        <v>34</v>
      </c>
      <c r="B35" t="str">
        <f>"5534"</f>
        <v>5534</v>
      </c>
      <c r="C35" t="s">
        <v>72</v>
      </c>
      <c r="D35" s="1">
        <v>42923</v>
      </c>
      <c r="E35">
        <v>69.5</v>
      </c>
      <c r="F35">
        <v>-0.3</v>
      </c>
      <c r="G35" s="2">
        <v>-4.3E-3</v>
      </c>
      <c r="H35">
        <v>2017</v>
      </c>
      <c r="I35">
        <v>9.69</v>
      </c>
      <c r="J35">
        <v>6</v>
      </c>
      <c r="K35">
        <v>0</v>
      </c>
      <c r="L35">
        <v>6</v>
      </c>
      <c r="M35" s="3">
        <v>8.6300000000000002E-2</v>
      </c>
      <c r="N35" s="2">
        <v>0</v>
      </c>
      <c r="O35" s="3">
        <v>8.6300000000000002E-2</v>
      </c>
      <c r="P35" s="3">
        <v>0.61899999999999999</v>
      </c>
      <c r="Q35" s="2">
        <v>0</v>
      </c>
      <c r="R35" s="3">
        <v>0.61899999999999999</v>
      </c>
    </row>
    <row r="36" spans="1:21" hidden="1" x14ac:dyDescent="0.6">
      <c r="A36">
        <v>35</v>
      </c>
      <c r="B36" t="str">
        <f>"6136"</f>
        <v>6136</v>
      </c>
      <c r="C36" t="s">
        <v>74</v>
      </c>
      <c r="D36" s="1">
        <v>42923</v>
      </c>
      <c r="E36">
        <v>23.6</v>
      </c>
      <c r="F36">
        <v>-0.1</v>
      </c>
      <c r="G36" s="3">
        <v>-4.1999999999999997E-3</v>
      </c>
      <c r="H36">
        <v>2017</v>
      </c>
      <c r="I36">
        <v>2.02</v>
      </c>
      <c r="J36">
        <v>2</v>
      </c>
      <c r="K36">
        <v>0</v>
      </c>
      <c r="L36">
        <v>2</v>
      </c>
      <c r="M36" s="3">
        <v>8.4699999999999998E-2</v>
      </c>
      <c r="N36" s="2">
        <v>0</v>
      </c>
      <c r="O36" s="3">
        <v>8.4699999999999998E-2</v>
      </c>
      <c r="P36" s="3">
        <v>0.99</v>
      </c>
      <c r="Q36" s="2">
        <v>0</v>
      </c>
      <c r="R36" s="3">
        <v>0.99</v>
      </c>
      <c r="S36" t="s">
        <v>916</v>
      </c>
      <c r="U36" t="s">
        <v>893</v>
      </c>
    </row>
    <row r="37" spans="1:21" hidden="1" x14ac:dyDescent="0.6">
      <c r="A37">
        <v>36</v>
      </c>
      <c r="B37" t="str">
        <f>"2064"</f>
        <v>2064</v>
      </c>
      <c r="C37" t="s">
        <v>76</v>
      </c>
      <c r="D37" s="1">
        <v>42923</v>
      </c>
      <c r="E37">
        <v>17.75</v>
      </c>
      <c r="F37">
        <v>0</v>
      </c>
      <c r="G37" s="2">
        <v>0</v>
      </c>
      <c r="H37">
        <v>2017</v>
      </c>
      <c r="I37">
        <v>1.73</v>
      </c>
      <c r="J37">
        <v>1.5</v>
      </c>
      <c r="K37">
        <v>0</v>
      </c>
      <c r="L37">
        <v>1.5</v>
      </c>
      <c r="M37" s="3">
        <v>8.4500000000000006E-2</v>
      </c>
      <c r="N37" s="2">
        <v>0</v>
      </c>
      <c r="O37" s="3">
        <v>8.4500000000000006E-2</v>
      </c>
      <c r="P37" s="3">
        <v>0.86699999999999999</v>
      </c>
      <c r="Q37" s="2">
        <v>0</v>
      </c>
      <c r="R37" s="3">
        <v>0.86699999999999999</v>
      </c>
      <c r="S37" t="s">
        <v>916</v>
      </c>
      <c r="U37" t="s">
        <v>893</v>
      </c>
    </row>
    <row r="38" spans="1:21" hidden="1" x14ac:dyDescent="0.6">
      <c r="A38">
        <v>37</v>
      </c>
      <c r="B38" t="str">
        <f>"2397"</f>
        <v>2397</v>
      </c>
      <c r="C38" t="s">
        <v>77</v>
      </c>
      <c r="D38" s="1">
        <v>42923</v>
      </c>
      <c r="E38">
        <v>53.5</v>
      </c>
      <c r="F38">
        <v>0</v>
      </c>
      <c r="G38" s="2">
        <v>0</v>
      </c>
      <c r="H38">
        <v>2017</v>
      </c>
      <c r="I38">
        <v>4.59</v>
      </c>
      <c r="J38">
        <v>4.5</v>
      </c>
      <c r="K38">
        <v>0</v>
      </c>
      <c r="L38">
        <v>4.5</v>
      </c>
      <c r="M38" s="3">
        <v>8.4099999999999994E-2</v>
      </c>
      <c r="N38" s="2">
        <v>0</v>
      </c>
      <c r="O38" s="3">
        <v>8.4099999999999994E-2</v>
      </c>
      <c r="P38" s="3">
        <v>0.98</v>
      </c>
      <c r="Q38" s="2">
        <v>0</v>
      </c>
      <c r="R38" s="3">
        <v>0.98</v>
      </c>
      <c r="S38" t="s">
        <v>894</v>
      </c>
      <c r="U38" t="s">
        <v>900</v>
      </c>
    </row>
    <row r="39" spans="1:21" hidden="1" x14ac:dyDescent="0.6">
      <c r="A39">
        <v>38</v>
      </c>
      <c r="B39" t="str">
        <f>"2493"</f>
        <v>2493</v>
      </c>
      <c r="C39" t="s">
        <v>79</v>
      </c>
      <c r="D39" s="1">
        <v>42923</v>
      </c>
      <c r="E39">
        <v>27.35</v>
      </c>
      <c r="F39">
        <v>0</v>
      </c>
      <c r="G39" s="3">
        <v>0</v>
      </c>
      <c r="H39">
        <v>2017</v>
      </c>
      <c r="I39">
        <v>2.85</v>
      </c>
      <c r="J39">
        <v>2.2999999999999998</v>
      </c>
      <c r="K39">
        <v>0</v>
      </c>
      <c r="L39">
        <v>2.2999999999999998</v>
      </c>
      <c r="M39" s="3">
        <v>8.4099999999999994E-2</v>
      </c>
      <c r="N39" s="2">
        <v>0</v>
      </c>
      <c r="O39" s="3">
        <v>8.4099999999999994E-2</v>
      </c>
      <c r="P39" s="2">
        <v>0.80700000000000005</v>
      </c>
      <c r="Q39" s="2">
        <v>0</v>
      </c>
      <c r="R39" s="2">
        <v>0.80700000000000005</v>
      </c>
      <c r="S39" t="s">
        <v>894</v>
      </c>
      <c r="U39" t="s">
        <v>904</v>
      </c>
    </row>
    <row r="40" spans="1:21" x14ac:dyDescent="0.6">
      <c r="A40">
        <v>39</v>
      </c>
      <c r="B40" t="str">
        <f>"2420"</f>
        <v>2420</v>
      </c>
      <c r="C40" t="s">
        <v>81</v>
      </c>
      <c r="D40" s="1">
        <v>42923</v>
      </c>
      <c r="E40">
        <v>35.9</v>
      </c>
      <c r="F40">
        <v>-0.1</v>
      </c>
      <c r="G40" s="3">
        <v>-2.8E-3</v>
      </c>
      <c r="H40">
        <v>2017</v>
      </c>
      <c r="I40">
        <v>3.71</v>
      </c>
      <c r="J40">
        <v>3</v>
      </c>
      <c r="K40">
        <v>0</v>
      </c>
      <c r="L40">
        <v>3</v>
      </c>
      <c r="M40" s="3">
        <v>8.3599999999999994E-2</v>
      </c>
      <c r="N40" s="2">
        <v>0</v>
      </c>
      <c r="O40" s="3">
        <v>8.3599999999999994E-2</v>
      </c>
      <c r="P40" s="2">
        <v>0.80900000000000005</v>
      </c>
      <c r="Q40" s="2">
        <v>0</v>
      </c>
      <c r="R40" s="2">
        <v>0.80900000000000005</v>
      </c>
    </row>
    <row r="41" spans="1:21" x14ac:dyDescent="0.6">
      <c r="A41">
        <v>40</v>
      </c>
      <c r="B41" t="str">
        <f>"6216"</f>
        <v>6216</v>
      </c>
      <c r="C41" t="s">
        <v>83</v>
      </c>
      <c r="D41" s="1">
        <v>42923</v>
      </c>
      <c r="E41">
        <v>32.200000000000003</v>
      </c>
      <c r="F41">
        <v>-0.25</v>
      </c>
      <c r="G41" s="3">
        <v>-7.7000000000000002E-3</v>
      </c>
      <c r="H41">
        <v>2017</v>
      </c>
      <c r="I41">
        <v>3.07</v>
      </c>
      <c r="J41">
        <v>2.69</v>
      </c>
      <c r="K41">
        <v>0</v>
      </c>
      <c r="L41">
        <v>2.69</v>
      </c>
      <c r="M41" s="3">
        <v>8.3500000000000005E-2</v>
      </c>
      <c r="N41" s="2">
        <v>0</v>
      </c>
      <c r="O41" s="3">
        <v>8.3500000000000005E-2</v>
      </c>
      <c r="P41" s="3">
        <v>0.876</v>
      </c>
      <c r="Q41" s="2">
        <v>0</v>
      </c>
      <c r="R41" s="3">
        <v>0.876</v>
      </c>
    </row>
    <row r="42" spans="1:21" x14ac:dyDescent="0.6">
      <c r="A42">
        <v>41</v>
      </c>
      <c r="B42" t="str">
        <f>"3550"</f>
        <v>3550</v>
      </c>
      <c r="C42" t="s">
        <v>84</v>
      </c>
      <c r="D42" s="1">
        <v>42923</v>
      </c>
      <c r="E42">
        <v>18</v>
      </c>
      <c r="F42">
        <v>0</v>
      </c>
      <c r="G42" s="2">
        <v>0</v>
      </c>
      <c r="H42">
        <v>2017</v>
      </c>
      <c r="I42">
        <v>1.26</v>
      </c>
      <c r="J42">
        <v>1.5</v>
      </c>
      <c r="K42">
        <v>0</v>
      </c>
      <c r="L42">
        <v>1.5</v>
      </c>
      <c r="M42" s="3">
        <v>8.3299999999999999E-2</v>
      </c>
      <c r="N42" s="2">
        <v>0</v>
      </c>
      <c r="O42" s="3">
        <v>8.3299999999999999E-2</v>
      </c>
      <c r="P42" s="2">
        <v>1.19</v>
      </c>
      <c r="Q42" s="2">
        <v>0</v>
      </c>
      <c r="R42" s="2">
        <v>1.19</v>
      </c>
      <c r="S42" t="s">
        <v>917</v>
      </c>
      <c r="U42" t="s">
        <v>909</v>
      </c>
    </row>
    <row r="43" spans="1:21" x14ac:dyDescent="0.6">
      <c r="A43">
        <v>42</v>
      </c>
      <c r="B43" t="str">
        <f>"4973"</f>
        <v>4973</v>
      </c>
      <c r="C43" t="s">
        <v>86</v>
      </c>
      <c r="D43" s="1">
        <v>42923</v>
      </c>
      <c r="E43">
        <v>21.65</v>
      </c>
      <c r="F43">
        <v>-0.25</v>
      </c>
      <c r="G43" s="3">
        <v>-1.14E-2</v>
      </c>
      <c r="H43">
        <v>2017</v>
      </c>
      <c r="I43">
        <v>2.13</v>
      </c>
      <c r="J43">
        <v>1.8</v>
      </c>
      <c r="K43">
        <v>0</v>
      </c>
      <c r="L43">
        <v>1.8</v>
      </c>
      <c r="M43" s="3">
        <v>8.3099999999999993E-2</v>
      </c>
      <c r="N43" s="2">
        <v>0</v>
      </c>
      <c r="O43" s="3">
        <v>8.3099999999999993E-2</v>
      </c>
      <c r="P43" s="3">
        <v>0.84499999999999997</v>
      </c>
      <c r="Q43" s="2">
        <v>0</v>
      </c>
      <c r="R43" s="3">
        <v>0.84499999999999997</v>
      </c>
    </row>
    <row r="44" spans="1:21" hidden="1" x14ac:dyDescent="0.6">
      <c r="A44">
        <v>43</v>
      </c>
      <c r="B44" t="str">
        <f>"2065"</f>
        <v>2065</v>
      </c>
      <c r="C44" t="s">
        <v>88</v>
      </c>
      <c r="D44" s="1">
        <v>42923</v>
      </c>
      <c r="E44">
        <v>36.299999999999997</v>
      </c>
      <c r="F44">
        <v>-0.7</v>
      </c>
      <c r="G44" s="3">
        <v>-1.89E-2</v>
      </c>
      <c r="H44">
        <v>2017</v>
      </c>
      <c r="I44">
        <v>3.04</v>
      </c>
      <c r="J44">
        <v>3</v>
      </c>
      <c r="K44">
        <v>0</v>
      </c>
      <c r="L44">
        <v>3</v>
      </c>
      <c r="M44" s="3">
        <v>8.2600000000000007E-2</v>
      </c>
      <c r="N44" s="2">
        <v>0</v>
      </c>
      <c r="O44" s="3">
        <v>8.2600000000000007E-2</v>
      </c>
      <c r="P44" s="2">
        <v>0.98699999999999999</v>
      </c>
      <c r="Q44" s="2">
        <v>0</v>
      </c>
      <c r="R44" s="2">
        <v>0.98699999999999999</v>
      </c>
      <c r="S44" t="s">
        <v>918</v>
      </c>
      <c r="U44" t="s">
        <v>889</v>
      </c>
    </row>
    <row r="45" spans="1:21" hidden="1" x14ac:dyDescent="0.6">
      <c r="A45">
        <v>44</v>
      </c>
      <c r="B45" t="str">
        <f>"5487"</f>
        <v>5487</v>
      </c>
      <c r="C45" t="s">
        <v>90</v>
      </c>
      <c r="D45" s="1">
        <v>42923</v>
      </c>
      <c r="E45">
        <v>24.2</v>
      </c>
      <c r="F45">
        <v>0.35</v>
      </c>
      <c r="G45" s="3">
        <v>1.47E-2</v>
      </c>
      <c r="H45">
        <v>2017</v>
      </c>
      <c r="I45">
        <v>1.85</v>
      </c>
      <c r="J45">
        <v>2</v>
      </c>
      <c r="K45">
        <v>0</v>
      </c>
      <c r="L45">
        <v>2</v>
      </c>
      <c r="M45" s="3">
        <v>8.2600000000000007E-2</v>
      </c>
      <c r="N45" s="2">
        <v>0</v>
      </c>
      <c r="O45" s="3">
        <v>8.2600000000000007E-2</v>
      </c>
      <c r="P45" s="2">
        <v>1.08</v>
      </c>
      <c r="Q45" s="2">
        <v>0</v>
      </c>
      <c r="R45" s="2">
        <v>1.08</v>
      </c>
      <c r="S45" t="s">
        <v>903</v>
      </c>
      <c r="U45" t="s">
        <v>910</v>
      </c>
    </row>
    <row r="46" spans="1:21" x14ac:dyDescent="0.6">
      <c r="A46">
        <v>45</v>
      </c>
      <c r="B46" t="str">
        <f>"6538"</f>
        <v>6538</v>
      </c>
      <c r="C46" t="s">
        <v>91</v>
      </c>
      <c r="D46" s="1">
        <v>42923</v>
      </c>
      <c r="E46">
        <v>52.2</v>
      </c>
      <c r="F46">
        <v>-0.2</v>
      </c>
      <c r="G46" s="3">
        <v>-3.8E-3</v>
      </c>
      <c r="H46">
        <v>2017</v>
      </c>
      <c r="I46">
        <v>4.5999999999999996</v>
      </c>
      <c r="J46">
        <v>4.3</v>
      </c>
      <c r="K46">
        <v>0</v>
      </c>
      <c r="L46">
        <v>4.3</v>
      </c>
      <c r="M46" s="3">
        <v>8.2400000000000001E-2</v>
      </c>
      <c r="N46" s="2">
        <v>0</v>
      </c>
      <c r="O46" s="3">
        <v>8.2400000000000001E-2</v>
      </c>
      <c r="P46" s="3">
        <v>0.93500000000000005</v>
      </c>
      <c r="Q46" s="2">
        <v>0</v>
      </c>
      <c r="R46" s="3">
        <v>0.93500000000000005</v>
      </c>
      <c r="S46" t="s">
        <v>919</v>
      </c>
      <c r="U46" t="s">
        <v>920</v>
      </c>
    </row>
    <row r="47" spans="1:21" x14ac:dyDescent="0.6">
      <c r="A47">
        <v>46</v>
      </c>
      <c r="B47" t="str">
        <f>"2511"</f>
        <v>2511</v>
      </c>
      <c r="C47" t="s">
        <v>92</v>
      </c>
      <c r="D47" s="1">
        <v>42923</v>
      </c>
      <c r="E47">
        <v>12.15</v>
      </c>
      <c r="F47">
        <v>-0.05</v>
      </c>
      <c r="G47" s="3">
        <v>-4.1000000000000003E-3</v>
      </c>
      <c r="H47">
        <v>2017</v>
      </c>
      <c r="I47">
        <v>0.99</v>
      </c>
      <c r="J47">
        <v>1</v>
      </c>
      <c r="K47">
        <v>0</v>
      </c>
      <c r="L47">
        <v>1</v>
      </c>
      <c r="M47" s="3">
        <v>8.2299999999999998E-2</v>
      </c>
      <c r="N47" s="3">
        <v>0</v>
      </c>
      <c r="O47" s="3">
        <v>8.2299999999999998E-2</v>
      </c>
      <c r="P47" s="3">
        <v>1.01</v>
      </c>
      <c r="Q47" s="3">
        <v>0</v>
      </c>
      <c r="R47" s="3">
        <v>1.01</v>
      </c>
      <c r="S47" t="s">
        <v>908</v>
      </c>
      <c r="U47" t="s">
        <v>921</v>
      </c>
    </row>
    <row r="48" spans="1:21" hidden="1" x14ac:dyDescent="0.6">
      <c r="A48">
        <v>47</v>
      </c>
      <c r="B48" t="str">
        <f>"3596"</f>
        <v>3596</v>
      </c>
      <c r="C48" t="s">
        <v>94</v>
      </c>
      <c r="D48" s="1">
        <v>42923</v>
      </c>
      <c r="E48">
        <v>47.45</v>
      </c>
      <c r="F48">
        <v>0.3</v>
      </c>
      <c r="G48" s="3">
        <v>6.4000000000000003E-3</v>
      </c>
      <c r="H48">
        <v>2017</v>
      </c>
      <c r="I48">
        <v>7.19</v>
      </c>
      <c r="J48">
        <v>3.9</v>
      </c>
      <c r="K48">
        <v>0</v>
      </c>
      <c r="L48">
        <v>3.9</v>
      </c>
      <c r="M48" s="3">
        <v>8.2199999999999995E-2</v>
      </c>
      <c r="N48" s="2">
        <v>0</v>
      </c>
      <c r="O48" s="3">
        <v>8.2199999999999995E-2</v>
      </c>
      <c r="P48" s="3">
        <v>0.54200000000000004</v>
      </c>
      <c r="Q48" s="2">
        <v>0</v>
      </c>
      <c r="R48" s="3">
        <v>0.54200000000000004</v>
      </c>
      <c r="S48" t="s">
        <v>895</v>
      </c>
      <c r="U48" t="s">
        <v>904</v>
      </c>
    </row>
    <row r="49" spans="1:21" x14ac:dyDescent="0.6">
      <c r="A49">
        <v>48</v>
      </c>
      <c r="B49" t="str">
        <f>"5403"</f>
        <v>5403</v>
      </c>
      <c r="C49" t="s">
        <v>96</v>
      </c>
      <c r="D49" s="1">
        <v>42923</v>
      </c>
      <c r="E49">
        <v>36.5</v>
      </c>
      <c r="F49">
        <v>-0.05</v>
      </c>
      <c r="G49" s="3">
        <v>-1.4E-3</v>
      </c>
      <c r="H49">
        <v>2017</v>
      </c>
      <c r="I49">
        <v>3.25</v>
      </c>
      <c r="J49">
        <v>3</v>
      </c>
      <c r="K49">
        <v>0</v>
      </c>
      <c r="L49">
        <v>3</v>
      </c>
      <c r="M49" s="3">
        <v>8.2199999999999995E-2</v>
      </c>
      <c r="N49" s="2">
        <v>0</v>
      </c>
      <c r="O49" s="3">
        <v>8.2199999999999995E-2</v>
      </c>
      <c r="P49" s="3">
        <v>0.92300000000000004</v>
      </c>
      <c r="Q49" s="2">
        <v>0</v>
      </c>
      <c r="R49" s="3">
        <v>0.92300000000000004</v>
      </c>
    </row>
    <row r="50" spans="1:21" x14ac:dyDescent="0.6">
      <c r="A50">
        <v>49</v>
      </c>
      <c r="B50" t="str">
        <f>"2471"</f>
        <v>2471</v>
      </c>
      <c r="C50" t="s">
        <v>97</v>
      </c>
      <c r="D50" s="1">
        <v>42923</v>
      </c>
      <c r="E50">
        <v>16.350000000000001</v>
      </c>
      <c r="F50">
        <v>-0.05</v>
      </c>
      <c r="G50" s="3">
        <v>-3.0000000000000001E-3</v>
      </c>
      <c r="H50">
        <v>2017</v>
      </c>
      <c r="I50">
        <v>1.79</v>
      </c>
      <c r="J50">
        <v>1.34</v>
      </c>
      <c r="K50">
        <v>0</v>
      </c>
      <c r="L50">
        <v>1.34</v>
      </c>
      <c r="M50" s="3">
        <v>8.2000000000000003E-2</v>
      </c>
      <c r="N50" s="2">
        <v>0</v>
      </c>
      <c r="O50" s="3">
        <v>8.2000000000000003E-2</v>
      </c>
      <c r="P50" s="3">
        <v>0.749</v>
      </c>
      <c r="Q50" s="2">
        <v>0</v>
      </c>
      <c r="R50" s="3">
        <v>0.749</v>
      </c>
    </row>
    <row r="51" spans="1:21" x14ac:dyDescent="0.6">
      <c r="A51">
        <v>50</v>
      </c>
      <c r="B51" t="str">
        <f>"5609"</f>
        <v>5609</v>
      </c>
      <c r="C51" t="s">
        <v>98</v>
      </c>
      <c r="D51" s="1">
        <v>42923</v>
      </c>
      <c r="E51">
        <v>24.45</v>
      </c>
      <c r="F51">
        <v>-0.05</v>
      </c>
      <c r="G51" s="3">
        <v>-2E-3</v>
      </c>
      <c r="H51">
        <v>2017</v>
      </c>
      <c r="I51">
        <v>2.2000000000000002</v>
      </c>
      <c r="J51">
        <v>2</v>
      </c>
      <c r="K51">
        <v>0</v>
      </c>
      <c r="L51">
        <v>2</v>
      </c>
      <c r="M51" s="3">
        <v>8.1799999999999998E-2</v>
      </c>
      <c r="N51" s="2">
        <v>0</v>
      </c>
      <c r="O51" s="3">
        <v>8.1799999999999998E-2</v>
      </c>
      <c r="P51" s="2">
        <v>0.90900000000000003</v>
      </c>
      <c r="Q51" s="2">
        <v>0</v>
      </c>
      <c r="R51" s="2">
        <v>0.90900000000000003</v>
      </c>
      <c r="S51" t="s">
        <v>922</v>
      </c>
      <c r="U51" t="s">
        <v>923</v>
      </c>
    </row>
    <row r="52" spans="1:21" x14ac:dyDescent="0.6">
      <c r="A52">
        <v>51</v>
      </c>
      <c r="B52" t="str">
        <f>"2489"</f>
        <v>2489</v>
      </c>
      <c r="C52" t="s">
        <v>100</v>
      </c>
      <c r="D52" s="1">
        <v>42923</v>
      </c>
      <c r="E52">
        <v>20.8</v>
      </c>
      <c r="F52">
        <v>-0.05</v>
      </c>
      <c r="G52" s="3">
        <v>-2.3999999999999998E-3</v>
      </c>
      <c r="H52">
        <v>2017</v>
      </c>
      <c r="I52">
        <v>2.02</v>
      </c>
      <c r="J52">
        <v>1.7</v>
      </c>
      <c r="K52">
        <v>0</v>
      </c>
      <c r="L52">
        <v>1.7</v>
      </c>
      <c r="M52" s="3">
        <v>8.1699999999999995E-2</v>
      </c>
      <c r="N52" s="2">
        <v>0</v>
      </c>
      <c r="O52" s="3">
        <v>8.1699999999999995E-2</v>
      </c>
      <c r="P52" s="3">
        <v>0.84199999999999997</v>
      </c>
      <c r="Q52" s="2">
        <v>0</v>
      </c>
      <c r="R52" s="3">
        <v>0.84199999999999997</v>
      </c>
    </row>
    <row r="53" spans="1:21" x14ac:dyDescent="0.6">
      <c r="A53">
        <v>52</v>
      </c>
      <c r="B53" t="str">
        <f>"6512"</f>
        <v>6512</v>
      </c>
      <c r="C53" t="s">
        <v>101</v>
      </c>
      <c r="D53" s="1">
        <v>42923</v>
      </c>
      <c r="E53">
        <v>28</v>
      </c>
      <c r="F53">
        <v>0</v>
      </c>
      <c r="G53" s="2">
        <v>0</v>
      </c>
      <c r="H53">
        <v>2017</v>
      </c>
      <c r="I53">
        <v>2.65</v>
      </c>
      <c r="J53">
        <v>2.2799999999999998</v>
      </c>
      <c r="K53">
        <v>0</v>
      </c>
      <c r="L53">
        <v>2.2799999999999998</v>
      </c>
      <c r="M53" s="3">
        <v>8.14E-2</v>
      </c>
      <c r="N53" s="2">
        <v>0</v>
      </c>
      <c r="O53" s="3">
        <v>8.14E-2</v>
      </c>
      <c r="P53" s="2">
        <v>0.86</v>
      </c>
      <c r="Q53" s="2">
        <v>0</v>
      </c>
      <c r="R53" s="2">
        <v>0.86</v>
      </c>
    </row>
    <row r="54" spans="1:21" hidden="1" x14ac:dyDescent="0.6">
      <c r="A54">
        <v>53</v>
      </c>
      <c r="B54" t="str">
        <f>"3030"</f>
        <v>3030</v>
      </c>
      <c r="C54" t="s">
        <v>102</v>
      </c>
      <c r="D54" s="1">
        <v>42923</v>
      </c>
      <c r="E54">
        <v>36.9</v>
      </c>
      <c r="F54">
        <v>-0.25</v>
      </c>
      <c r="G54" s="3">
        <v>-6.7000000000000002E-3</v>
      </c>
      <c r="H54">
        <v>2017</v>
      </c>
      <c r="I54">
        <v>1.82</v>
      </c>
      <c r="J54">
        <v>3</v>
      </c>
      <c r="K54">
        <v>0</v>
      </c>
      <c r="L54">
        <v>3</v>
      </c>
      <c r="M54" s="3">
        <v>8.1299999999999997E-2</v>
      </c>
      <c r="N54" s="2">
        <v>0</v>
      </c>
      <c r="O54" s="3">
        <v>8.1299999999999997E-2</v>
      </c>
      <c r="P54" s="3">
        <v>1.65</v>
      </c>
      <c r="Q54" s="2">
        <v>0</v>
      </c>
      <c r="R54" s="3">
        <v>1.65</v>
      </c>
      <c r="S54" t="s">
        <v>924</v>
      </c>
      <c r="U54" t="s">
        <v>925</v>
      </c>
    </row>
    <row r="55" spans="1:21" x14ac:dyDescent="0.6">
      <c r="A55">
        <v>54</v>
      </c>
      <c r="B55" t="str">
        <f>"1709"</f>
        <v>1709</v>
      </c>
      <c r="C55" t="s">
        <v>104</v>
      </c>
      <c r="D55" s="1">
        <v>42923</v>
      </c>
      <c r="E55">
        <v>19.899999999999999</v>
      </c>
      <c r="F55">
        <v>-0.1</v>
      </c>
      <c r="G55" s="3">
        <v>-5.0000000000000001E-3</v>
      </c>
      <c r="H55">
        <v>2017</v>
      </c>
      <c r="I55">
        <v>1.96</v>
      </c>
      <c r="J55">
        <v>1.6</v>
      </c>
      <c r="K55">
        <v>0.4</v>
      </c>
      <c r="L55">
        <v>2</v>
      </c>
      <c r="M55" s="3">
        <v>8.0399999999999999E-2</v>
      </c>
      <c r="N55" s="2">
        <v>2.01E-2</v>
      </c>
      <c r="O55" s="3">
        <v>0.1</v>
      </c>
      <c r="P55" s="3">
        <v>0.81599999999999995</v>
      </c>
      <c r="Q55" s="2">
        <v>0.20399999999999999</v>
      </c>
      <c r="R55" s="3">
        <v>1.02</v>
      </c>
    </row>
    <row r="56" spans="1:21" x14ac:dyDescent="0.6">
      <c r="A56">
        <v>55</v>
      </c>
      <c r="B56" t="str">
        <f>"2535"</f>
        <v>2535</v>
      </c>
      <c r="C56" t="s">
        <v>106</v>
      </c>
      <c r="D56" s="1">
        <v>42923</v>
      </c>
      <c r="E56">
        <v>19.7</v>
      </c>
      <c r="F56">
        <v>-0.05</v>
      </c>
      <c r="G56" s="3">
        <v>-2.5000000000000001E-3</v>
      </c>
      <c r="H56">
        <v>2017</v>
      </c>
      <c r="I56">
        <v>3.12</v>
      </c>
      <c r="J56">
        <v>1.58</v>
      </c>
      <c r="K56">
        <v>0</v>
      </c>
      <c r="L56">
        <v>1.58</v>
      </c>
      <c r="M56" s="3">
        <v>8.0399999999999999E-2</v>
      </c>
      <c r="N56" s="2">
        <v>0</v>
      </c>
      <c r="O56" s="3">
        <v>8.0399999999999999E-2</v>
      </c>
      <c r="P56" s="3">
        <v>0.50600000000000001</v>
      </c>
      <c r="Q56" s="2">
        <v>0</v>
      </c>
      <c r="R56" s="3">
        <v>0.50600000000000001</v>
      </c>
      <c r="S56" t="s">
        <v>926</v>
      </c>
      <c r="U56" t="s">
        <v>923</v>
      </c>
    </row>
    <row r="57" spans="1:21" hidden="1" x14ac:dyDescent="0.6">
      <c r="A57">
        <v>56</v>
      </c>
      <c r="B57" t="str">
        <f>"3305"</f>
        <v>3305</v>
      </c>
      <c r="C57" t="s">
        <v>107</v>
      </c>
      <c r="D57" s="1">
        <v>42923</v>
      </c>
      <c r="E57">
        <v>29.4</v>
      </c>
      <c r="F57">
        <v>0</v>
      </c>
      <c r="G57" s="3">
        <v>0</v>
      </c>
      <c r="H57">
        <v>2017</v>
      </c>
      <c r="I57">
        <v>2.11</v>
      </c>
      <c r="J57">
        <v>2.36</v>
      </c>
      <c r="K57">
        <v>0</v>
      </c>
      <c r="L57">
        <v>2.36</v>
      </c>
      <c r="M57" s="3">
        <v>8.0399999999999999E-2</v>
      </c>
      <c r="N57" s="2">
        <v>0</v>
      </c>
      <c r="O57" s="3">
        <v>8.0399999999999999E-2</v>
      </c>
      <c r="P57" s="3">
        <v>1.1200000000000001</v>
      </c>
      <c r="Q57" s="2">
        <v>0</v>
      </c>
      <c r="R57" s="3">
        <v>1.1200000000000001</v>
      </c>
      <c r="S57" t="s">
        <v>927</v>
      </c>
      <c r="U57" t="s">
        <v>893</v>
      </c>
    </row>
    <row r="58" spans="1:21" hidden="1" x14ac:dyDescent="0.6">
      <c r="A58">
        <v>57</v>
      </c>
      <c r="B58" t="str">
        <f>"3299"</f>
        <v>3299</v>
      </c>
      <c r="C58" t="s">
        <v>109</v>
      </c>
      <c r="D58" s="1">
        <v>42923</v>
      </c>
      <c r="E58">
        <v>63.7</v>
      </c>
      <c r="F58">
        <v>-1.7</v>
      </c>
      <c r="G58" s="3">
        <v>-2.5999999999999999E-2</v>
      </c>
      <c r="H58">
        <v>2017</v>
      </c>
      <c r="I58">
        <v>5.46</v>
      </c>
      <c r="J58">
        <v>5.1100000000000003</v>
      </c>
      <c r="K58">
        <v>0</v>
      </c>
      <c r="L58">
        <v>5.1100000000000003</v>
      </c>
      <c r="M58" s="3">
        <v>8.0199999999999994E-2</v>
      </c>
      <c r="N58" s="2">
        <v>0</v>
      </c>
      <c r="O58" s="3">
        <v>8.0199999999999994E-2</v>
      </c>
      <c r="P58" s="3">
        <v>0.93600000000000005</v>
      </c>
      <c r="Q58" s="2">
        <v>0</v>
      </c>
      <c r="R58" s="3">
        <v>0.93600000000000005</v>
      </c>
      <c r="S58" t="s">
        <v>895</v>
      </c>
      <c r="U58" t="s">
        <v>911</v>
      </c>
    </row>
    <row r="59" spans="1:21" x14ac:dyDescent="0.6">
      <c r="A59">
        <v>58</v>
      </c>
      <c r="B59" t="str">
        <f>"1604"</f>
        <v>1604</v>
      </c>
      <c r="C59" t="s">
        <v>111</v>
      </c>
      <c r="D59" s="1">
        <v>42923</v>
      </c>
      <c r="E59">
        <v>17.5</v>
      </c>
      <c r="F59">
        <v>-0.1</v>
      </c>
      <c r="G59" s="3">
        <v>-5.7000000000000002E-3</v>
      </c>
      <c r="H59">
        <v>2017</v>
      </c>
      <c r="I59">
        <v>1.65</v>
      </c>
      <c r="J59">
        <v>1.4</v>
      </c>
      <c r="K59">
        <v>0</v>
      </c>
      <c r="L59">
        <v>1.4</v>
      </c>
      <c r="M59" s="3">
        <v>0.08</v>
      </c>
      <c r="N59" s="2">
        <v>0</v>
      </c>
      <c r="O59" s="3">
        <v>0.08</v>
      </c>
      <c r="P59" s="3">
        <v>0.84799999999999998</v>
      </c>
      <c r="Q59" s="2">
        <v>0</v>
      </c>
      <c r="R59" s="3">
        <v>0.84799999999999998</v>
      </c>
      <c r="S59" t="s">
        <v>891</v>
      </c>
      <c r="U59" t="s">
        <v>928</v>
      </c>
    </row>
    <row r="60" spans="1:21" x14ac:dyDescent="0.6">
      <c r="A60">
        <v>59</v>
      </c>
      <c r="B60" t="str">
        <f>"3623"</f>
        <v>3623</v>
      </c>
      <c r="C60" t="s">
        <v>112</v>
      </c>
      <c r="D60" s="1">
        <v>42923</v>
      </c>
      <c r="E60">
        <v>50.1</v>
      </c>
      <c r="F60">
        <v>-0.2</v>
      </c>
      <c r="G60" s="3">
        <v>-4.0000000000000001E-3</v>
      </c>
      <c r="H60">
        <v>2017</v>
      </c>
      <c r="I60">
        <v>5.01</v>
      </c>
      <c r="J60">
        <v>4</v>
      </c>
      <c r="K60">
        <v>0</v>
      </c>
      <c r="L60">
        <v>4</v>
      </c>
      <c r="M60" s="2">
        <v>7.9799999999999996E-2</v>
      </c>
      <c r="N60" s="2">
        <v>0</v>
      </c>
      <c r="O60" s="2">
        <v>7.9799999999999996E-2</v>
      </c>
      <c r="P60" s="2">
        <v>0.79800000000000004</v>
      </c>
      <c r="Q60" s="2">
        <v>0</v>
      </c>
      <c r="R60" s="2">
        <v>0.79800000000000004</v>
      </c>
      <c r="S60" t="s">
        <v>925</v>
      </c>
      <c r="U60" t="s">
        <v>900</v>
      </c>
    </row>
    <row r="61" spans="1:21" x14ac:dyDescent="0.6">
      <c r="A61">
        <v>60</v>
      </c>
      <c r="B61" t="str">
        <f>"8916"</f>
        <v>8916</v>
      </c>
      <c r="C61" t="s">
        <v>113</v>
      </c>
      <c r="D61" s="1">
        <v>42923</v>
      </c>
      <c r="E61">
        <v>45.1</v>
      </c>
      <c r="F61">
        <v>0.1</v>
      </c>
      <c r="G61" s="3">
        <v>2.2000000000000001E-3</v>
      </c>
      <c r="H61">
        <v>2017</v>
      </c>
      <c r="I61">
        <v>4.1900000000000004</v>
      </c>
      <c r="J61">
        <v>3.6</v>
      </c>
      <c r="K61">
        <v>0</v>
      </c>
      <c r="L61">
        <v>3.6</v>
      </c>
      <c r="M61" s="3">
        <v>7.9799999999999996E-2</v>
      </c>
      <c r="N61" s="2">
        <v>0</v>
      </c>
      <c r="O61" s="3">
        <v>7.9799999999999996E-2</v>
      </c>
      <c r="P61" s="3">
        <v>0.85899999999999999</v>
      </c>
      <c r="Q61" s="2">
        <v>0</v>
      </c>
      <c r="R61" s="3">
        <v>0.85899999999999999</v>
      </c>
    </row>
    <row r="62" spans="1:21" x14ac:dyDescent="0.6">
      <c r="A62">
        <v>61</v>
      </c>
      <c r="B62" t="str">
        <f>"2546"</f>
        <v>2546</v>
      </c>
      <c r="C62" t="s">
        <v>115</v>
      </c>
      <c r="D62" s="1">
        <v>42923</v>
      </c>
      <c r="E62">
        <v>18.8</v>
      </c>
      <c r="F62">
        <v>0</v>
      </c>
      <c r="G62" s="3">
        <v>0</v>
      </c>
      <c r="H62">
        <v>2017</v>
      </c>
      <c r="I62">
        <v>1.93</v>
      </c>
      <c r="J62">
        <v>1.5</v>
      </c>
      <c r="K62">
        <v>0</v>
      </c>
      <c r="L62">
        <v>1.5</v>
      </c>
      <c r="M62" s="2">
        <v>7.9799999999999996E-2</v>
      </c>
      <c r="N62" s="3">
        <v>0</v>
      </c>
      <c r="O62" s="3">
        <v>7.9799999999999996E-2</v>
      </c>
      <c r="P62" s="3">
        <v>0.77700000000000002</v>
      </c>
      <c r="Q62" s="3">
        <v>0</v>
      </c>
      <c r="R62" s="3">
        <v>0.77700000000000002</v>
      </c>
      <c r="S62" t="s">
        <v>922</v>
      </c>
      <c r="U62" t="s">
        <v>915</v>
      </c>
    </row>
    <row r="63" spans="1:21" hidden="1" x14ac:dyDescent="0.6">
      <c r="A63">
        <v>62</v>
      </c>
      <c r="B63" t="str">
        <f>"3028"</f>
        <v>3028</v>
      </c>
      <c r="C63" t="s">
        <v>116</v>
      </c>
      <c r="D63" s="1">
        <v>42923</v>
      </c>
      <c r="E63">
        <v>18.899999999999999</v>
      </c>
      <c r="F63">
        <v>-0.05</v>
      </c>
      <c r="G63" s="3">
        <v>-2.5999999999999999E-3</v>
      </c>
      <c r="H63">
        <v>2017</v>
      </c>
      <c r="I63">
        <v>1.37</v>
      </c>
      <c r="J63">
        <v>1.5</v>
      </c>
      <c r="K63">
        <v>0</v>
      </c>
      <c r="L63">
        <v>1.5</v>
      </c>
      <c r="M63" s="2">
        <v>7.9399999999999998E-2</v>
      </c>
      <c r="N63" s="3">
        <v>0</v>
      </c>
      <c r="O63" s="3">
        <v>7.9399999999999998E-2</v>
      </c>
      <c r="P63" s="3">
        <v>1.0900000000000001</v>
      </c>
      <c r="Q63" s="3">
        <v>0</v>
      </c>
      <c r="R63" s="3">
        <v>1.0900000000000001</v>
      </c>
      <c r="S63" t="s">
        <v>894</v>
      </c>
      <c r="U63" t="s">
        <v>893</v>
      </c>
    </row>
    <row r="64" spans="1:21" x14ac:dyDescent="0.6">
      <c r="A64">
        <v>63</v>
      </c>
      <c r="B64" t="str">
        <f>"4972"</f>
        <v>4972</v>
      </c>
      <c r="C64" t="s">
        <v>117</v>
      </c>
      <c r="D64" s="1">
        <v>42923</v>
      </c>
      <c r="E64">
        <v>32.799999999999997</v>
      </c>
      <c r="F64">
        <v>-0.2</v>
      </c>
      <c r="G64" s="3">
        <v>-6.1000000000000004E-3</v>
      </c>
      <c r="H64">
        <v>2017</v>
      </c>
      <c r="I64">
        <v>3.2</v>
      </c>
      <c r="J64">
        <v>2.6</v>
      </c>
      <c r="K64">
        <v>0.1</v>
      </c>
      <c r="L64">
        <v>2.7</v>
      </c>
      <c r="M64" s="3">
        <v>7.9299999999999995E-2</v>
      </c>
      <c r="N64" s="3">
        <v>3.0000000000000001E-3</v>
      </c>
      <c r="O64" s="3">
        <v>8.2299999999999998E-2</v>
      </c>
      <c r="P64" s="3">
        <v>0.81200000000000006</v>
      </c>
      <c r="Q64" s="3">
        <v>3.1300000000000001E-2</v>
      </c>
      <c r="R64" s="3">
        <v>0.84399999999999997</v>
      </c>
      <c r="S64" t="s">
        <v>926</v>
      </c>
      <c r="T64" t="s">
        <v>926</v>
      </c>
      <c r="U64" t="s">
        <v>920</v>
      </c>
    </row>
    <row r="65" spans="1:21" x14ac:dyDescent="0.6">
      <c r="A65">
        <v>64</v>
      </c>
      <c r="B65" t="str">
        <f>"3402"</f>
        <v>3402</v>
      </c>
      <c r="C65" t="s">
        <v>118</v>
      </c>
      <c r="D65" s="1">
        <v>42923</v>
      </c>
      <c r="E65">
        <v>25.25</v>
      </c>
      <c r="F65">
        <v>0.05</v>
      </c>
      <c r="G65" s="3">
        <v>2E-3</v>
      </c>
      <c r="H65">
        <v>2017</v>
      </c>
      <c r="I65">
        <v>2.56</v>
      </c>
      <c r="J65">
        <v>2</v>
      </c>
      <c r="K65">
        <v>0</v>
      </c>
      <c r="L65">
        <v>2</v>
      </c>
      <c r="M65" s="3">
        <v>7.9200000000000007E-2</v>
      </c>
      <c r="N65" s="2">
        <v>0</v>
      </c>
      <c r="O65" s="3">
        <v>7.9200000000000007E-2</v>
      </c>
      <c r="P65" s="3">
        <v>0.78100000000000003</v>
      </c>
      <c r="Q65" s="2">
        <v>0</v>
      </c>
      <c r="R65" s="3">
        <v>0.78100000000000003</v>
      </c>
      <c r="S65" t="s">
        <v>919</v>
      </c>
      <c r="U65" t="s">
        <v>929</v>
      </c>
    </row>
    <row r="66" spans="1:21" hidden="1" x14ac:dyDescent="0.6">
      <c r="A66">
        <v>65</v>
      </c>
      <c r="B66" t="str">
        <f>"8163"</f>
        <v>8163</v>
      </c>
      <c r="C66" t="s">
        <v>120</v>
      </c>
      <c r="D66" s="1">
        <v>42923</v>
      </c>
      <c r="E66">
        <v>25.25</v>
      </c>
      <c r="F66">
        <v>-0.65</v>
      </c>
      <c r="G66" s="3">
        <v>-2.5100000000000001E-2</v>
      </c>
      <c r="H66">
        <v>2017</v>
      </c>
      <c r="I66">
        <v>1.58</v>
      </c>
      <c r="J66">
        <v>2</v>
      </c>
      <c r="K66">
        <v>0</v>
      </c>
      <c r="L66">
        <v>2</v>
      </c>
      <c r="M66" s="3">
        <v>7.9200000000000007E-2</v>
      </c>
      <c r="N66" s="2">
        <v>0</v>
      </c>
      <c r="O66" s="3">
        <v>7.9200000000000007E-2</v>
      </c>
      <c r="P66" s="3">
        <v>1.27</v>
      </c>
      <c r="Q66" s="2">
        <v>0</v>
      </c>
      <c r="R66" s="3">
        <v>1.27</v>
      </c>
      <c r="S66" t="s">
        <v>895</v>
      </c>
      <c r="U66" t="s">
        <v>930</v>
      </c>
    </row>
    <row r="67" spans="1:21" x14ac:dyDescent="0.6">
      <c r="A67">
        <v>66</v>
      </c>
      <c r="B67" t="str">
        <f>"3078"</f>
        <v>3078</v>
      </c>
      <c r="C67" t="s">
        <v>121</v>
      </c>
      <c r="D67" s="1">
        <v>42923</v>
      </c>
      <c r="E67">
        <v>29.7</v>
      </c>
      <c r="F67">
        <v>-0.15</v>
      </c>
      <c r="G67" s="3">
        <v>-5.0000000000000001E-3</v>
      </c>
      <c r="H67">
        <v>2017</v>
      </c>
      <c r="I67">
        <v>3.38</v>
      </c>
      <c r="J67">
        <v>2.35</v>
      </c>
      <c r="K67">
        <v>0</v>
      </c>
      <c r="L67">
        <v>2.35</v>
      </c>
      <c r="M67" s="3">
        <v>7.9100000000000004E-2</v>
      </c>
      <c r="N67" s="2">
        <v>0</v>
      </c>
      <c r="O67" s="3">
        <v>7.9100000000000004E-2</v>
      </c>
      <c r="P67" s="3">
        <v>0.69499999999999995</v>
      </c>
      <c r="Q67" s="2">
        <v>0</v>
      </c>
      <c r="R67" s="3">
        <v>0.69499999999999995</v>
      </c>
      <c r="S67" t="s">
        <v>919</v>
      </c>
      <c r="U67" t="s">
        <v>920</v>
      </c>
    </row>
    <row r="68" spans="1:21" x14ac:dyDescent="0.6">
      <c r="A68">
        <v>67</v>
      </c>
      <c r="B68" t="str">
        <f>"3014"</f>
        <v>3014</v>
      </c>
      <c r="C68" t="s">
        <v>123</v>
      </c>
      <c r="D68" s="1">
        <v>42923</v>
      </c>
      <c r="E68">
        <v>37.1</v>
      </c>
      <c r="F68">
        <v>-0.15</v>
      </c>
      <c r="G68" s="3">
        <v>-4.0000000000000001E-3</v>
      </c>
      <c r="H68">
        <v>2017</v>
      </c>
      <c r="I68">
        <v>2.38</v>
      </c>
      <c r="J68">
        <v>2.93</v>
      </c>
      <c r="K68">
        <v>0</v>
      </c>
      <c r="L68">
        <v>2.93</v>
      </c>
      <c r="M68" s="3">
        <v>7.9100000000000004E-2</v>
      </c>
      <c r="N68" s="2">
        <v>0</v>
      </c>
      <c r="O68" s="3">
        <v>7.9100000000000004E-2</v>
      </c>
      <c r="P68" s="2">
        <v>1.23</v>
      </c>
      <c r="Q68" s="2">
        <v>0</v>
      </c>
      <c r="R68" s="2">
        <v>1.23</v>
      </c>
      <c r="S68" t="s">
        <v>897</v>
      </c>
      <c r="U68" t="s">
        <v>909</v>
      </c>
    </row>
    <row r="69" spans="1:21" x14ac:dyDescent="0.6">
      <c r="A69">
        <v>68</v>
      </c>
      <c r="B69" t="str">
        <f>"2227"</f>
        <v>2227</v>
      </c>
      <c r="C69" t="s">
        <v>125</v>
      </c>
      <c r="D69" s="1">
        <v>42923</v>
      </c>
      <c r="E69">
        <v>279</v>
      </c>
      <c r="F69">
        <v>-1.5</v>
      </c>
      <c r="G69" s="3">
        <v>-5.3E-3</v>
      </c>
      <c r="H69">
        <v>2017</v>
      </c>
      <c r="I69">
        <v>15.44</v>
      </c>
      <c r="J69">
        <v>22</v>
      </c>
      <c r="K69">
        <v>0</v>
      </c>
      <c r="L69">
        <v>22</v>
      </c>
      <c r="M69" s="3">
        <v>7.8899999999999998E-2</v>
      </c>
      <c r="N69" s="2">
        <v>0</v>
      </c>
      <c r="O69" s="3">
        <v>7.8899999999999998E-2</v>
      </c>
      <c r="P69" s="2">
        <v>1.42</v>
      </c>
      <c r="Q69" s="2">
        <v>0</v>
      </c>
      <c r="R69" s="2">
        <v>1.42</v>
      </c>
    </row>
    <row r="70" spans="1:21" hidden="1" x14ac:dyDescent="0.6">
      <c r="A70">
        <v>69</v>
      </c>
      <c r="B70" t="str">
        <f>"5016"</f>
        <v>5016</v>
      </c>
      <c r="C70" t="s">
        <v>127</v>
      </c>
      <c r="D70" s="1">
        <v>42923</v>
      </c>
      <c r="E70">
        <v>31.75</v>
      </c>
      <c r="F70">
        <v>-0.15</v>
      </c>
      <c r="G70" s="3">
        <v>-4.7000000000000002E-3</v>
      </c>
      <c r="H70">
        <v>2017</v>
      </c>
      <c r="I70">
        <v>3.64</v>
      </c>
      <c r="J70">
        <v>2.5</v>
      </c>
      <c r="K70">
        <v>0</v>
      </c>
      <c r="L70">
        <v>2.5</v>
      </c>
      <c r="M70" s="3">
        <v>7.8700000000000006E-2</v>
      </c>
      <c r="N70" s="2">
        <v>0</v>
      </c>
      <c r="O70" s="3">
        <v>7.8700000000000006E-2</v>
      </c>
      <c r="P70" s="2">
        <v>0.68700000000000006</v>
      </c>
      <c r="Q70" s="2">
        <v>0</v>
      </c>
      <c r="R70" s="2">
        <v>0.68700000000000006</v>
      </c>
      <c r="S70" t="s">
        <v>931</v>
      </c>
      <c r="U70" t="s">
        <v>889</v>
      </c>
    </row>
    <row r="71" spans="1:21" hidden="1" x14ac:dyDescent="0.6">
      <c r="A71">
        <v>70</v>
      </c>
      <c r="B71" t="str">
        <f>"6109"</f>
        <v>6109</v>
      </c>
      <c r="C71" t="s">
        <v>129</v>
      </c>
      <c r="D71" s="1">
        <v>42923</v>
      </c>
      <c r="E71">
        <v>12.7</v>
      </c>
      <c r="F71">
        <v>-0.05</v>
      </c>
      <c r="G71" s="3">
        <v>-3.8999999999999998E-3</v>
      </c>
      <c r="H71">
        <v>2017</v>
      </c>
      <c r="I71">
        <v>1.1200000000000001</v>
      </c>
      <c r="J71">
        <v>1</v>
      </c>
      <c r="K71">
        <v>0</v>
      </c>
      <c r="L71">
        <v>1</v>
      </c>
      <c r="M71" s="2">
        <v>7.8700000000000006E-2</v>
      </c>
      <c r="N71" s="2">
        <v>0</v>
      </c>
      <c r="O71" s="2">
        <v>7.8700000000000006E-2</v>
      </c>
      <c r="P71" s="2">
        <v>0.89300000000000002</v>
      </c>
      <c r="Q71" s="2">
        <v>0</v>
      </c>
      <c r="R71" s="2">
        <v>0.89300000000000002</v>
      </c>
      <c r="S71" t="s">
        <v>895</v>
      </c>
      <c r="U71" t="s">
        <v>932</v>
      </c>
    </row>
    <row r="72" spans="1:21" x14ac:dyDescent="0.6">
      <c r="A72">
        <v>71</v>
      </c>
      <c r="B72" t="str">
        <f>"5438"</f>
        <v>5438</v>
      </c>
      <c r="C72" t="s">
        <v>130</v>
      </c>
      <c r="D72" s="1">
        <v>42923</v>
      </c>
      <c r="E72">
        <v>15.25</v>
      </c>
      <c r="F72">
        <v>0.1</v>
      </c>
      <c r="G72" s="3">
        <v>6.6E-3</v>
      </c>
      <c r="H72">
        <v>2017</v>
      </c>
      <c r="I72">
        <v>1.59</v>
      </c>
      <c r="J72">
        <v>1.2</v>
      </c>
      <c r="K72">
        <v>0</v>
      </c>
      <c r="L72">
        <v>1.2</v>
      </c>
      <c r="M72" s="3">
        <v>7.8700000000000006E-2</v>
      </c>
      <c r="N72" s="2">
        <v>0</v>
      </c>
      <c r="O72" s="3">
        <v>7.8700000000000006E-2</v>
      </c>
      <c r="P72" s="3">
        <v>0.755</v>
      </c>
      <c r="Q72" s="2">
        <v>0</v>
      </c>
      <c r="R72" s="3">
        <v>0.755</v>
      </c>
      <c r="S72" t="s">
        <v>926</v>
      </c>
      <c r="U72" t="s">
        <v>900</v>
      </c>
    </row>
    <row r="73" spans="1:21" hidden="1" x14ac:dyDescent="0.6">
      <c r="A73">
        <v>72</v>
      </c>
      <c r="B73" t="str">
        <f>"9943"</f>
        <v>9943</v>
      </c>
      <c r="C73" t="s">
        <v>131</v>
      </c>
      <c r="D73" s="1">
        <v>42923</v>
      </c>
      <c r="E73">
        <v>50.9</v>
      </c>
      <c r="F73">
        <v>0</v>
      </c>
      <c r="G73" s="3">
        <v>0</v>
      </c>
      <c r="H73">
        <v>2017</v>
      </c>
      <c r="I73">
        <v>4.72</v>
      </c>
      <c r="J73">
        <v>4</v>
      </c>
      <c r="K73">
        <v>0</v>
      </c>
      <c r="L73">
        <v>4</v>
      </c>
      <c r="M73" s="3">
        <v>7.8600000000000003E-2</v>
      </c>
      <c r="N73" s="2">
        <v>0</v>
      </c>
      <c r="O73" s="3">
        <v>7.8600000000000003E-2</v>
      </c>
      <c r="P73" s="3">
        <v>0.84799999999999998</v>
      </c>
      <c r="Q73" s="2">
        <v>0</v>
      </c>
      <c r="R73" s="3">
        <v>0.84799999999999998</v>
      </c>
      <c r="S73" t="s">
        <v>888</v>
      </c>
      <c r="U73" t="s">
        <v>926</v>
      </c>
    </row>
    <row r="74" spans="1:21" hidden="1" x14ac:dyDescent="0.6">
      <c r="A74">
        <v>73</v>
      </c>
      <c r="B74" t="str">
        <f>"5276"</f>
        <v>5276</v>
      </c>
      <c r="C74" t="s">
        <v>132</v>
      </c>
      <c r="D74" s="1">
        <v>42923</v>
      </c>
      <c r="E74">
        <v>25.5</v>
      </c>
      <c r="F74">
        <v>0</v>
      </c>
      <c r="G74" s="2">
        <v>0</v>
      </c>
      <c r="H74">
        <v>2017</v>
      </c>
      <c r="I74">
        <v>1.96</v>
      </c>
      <c r="J74">
        <v>2</v>
      </c>
      <c r="K74">
        <v>0</v>
      </c>
      <c r="L74">
        <v>2</v>
      </c>
      <c r="M74" s="3">
        <v>7.8399999999999997E-2</v>
      </c>
      <c r="N74" s="2">
        <v>0</v>
      </c>
      <c r="O74" s="3">
        <v>7.8399999999999997E-2</v>
      </c>
      <c r="P74" s="2">
        <v>1.02</v>
      </c>
      <c r="Q74" s="2">
        <v>0</v>
      </c>
      <c r="R74" s="2">
        <v>1.02</v>
      </c>
      <c r="S74" t="s">
        <v>894</v>
      </c>
      <c r="U74" t="s">
        <v>904</v>
      </c>
    </row>
    <row r="75" spans="1:21" x14ac:dyDescent="0.6">
      <c r="A75">
        <v>74</v>
      </c>
      <c r="B75" t="str">
        <f>"8942"</f>
        <v>8942</v>
      </c>
      <c r="C75" t="s">
        <v>133</v>
      </c>
      <c r="D75" s="1">
        <v>42923</v>
      </c>
      <c r="E75">
        <v>67</v>
      </c>
      <c r="F75">
        <v>-0.3</v>
      </c>
      <c r="G75" s="3">
        <v>-4.4999999999999997E-3</v>
      </c>
      <c r="H75">
        <v>2017</v>
      </c>
      <c r="I75">
        <v>6.58</v>
      </c>
      <c r="J75">
        <v>5.25</v>
      </c>
      <c r="K75">
        <v>0</v>
      </c>
      <c r="L75">
        <v>5.25</v>
      </c>
      <c r="M75" s="3">
        <v>7.8299999999999995E-2</v>
      </c>
      <c r="N75" s="2">
        <v>0</v>
      </c>
      <c r="O75" s="3">
        <v>7.8299999999999995E-2</v>
      </c>
      <c r="P75" s="2">
        <v>0.79800000000000004</v>
      </c>
      <c r="Q75" s="2">
        <v>0</v>
      </c>
      <c r="R75" s="2">
        <v>0.79800000000000004</v>
      </c>
      <c r="S75" t="s">
        <v>908</v>
      </c>
      <c r="U75" t="s">
        <v>905</v>
      </c>
    </row>
    <row r="76" spans="1:21" x14ac:dyDescent="0.6">
      <c r="A76">
        <v>75</v>
      </c>
      <c r="B76" t="str">
        <f>"6214"</f>
        <v>6214</v>
      </c>
      <c r="C76" t="s">
        <v>134</v>
      </c>
      <c r="D76" s="1">
        <v>42923</v>
      </c>
      <c r="E76">
        <v>63.9</v>
      </c>
      <c r="F76">
        <v>-0.3</v>
      </c>
      <c r="G76" s="3">
        <v>-4.7000000000000002E-3</v>
      </c>
      <c r="H76">
        <v>2017</v>
      </c>
      <c r="I76">
        <v>4.5</v>
      </c>
      <c r="J76">
        <v>5</v>
      </c>
      <c r="K76">
        <v>0</v>
      </c>
      <c r="L76">
        <v>5</v>
      </c>
      <c r="M76" s="3">
        <v>7.8200000000000006E-2</v>
      </c>
      <c r="N76" s="2">
        <v>0</v>
      </c>
      <c r="O76" s="3">
        <v>7.8200000000000006E-2</v>
      </c>
      <c r="P76" s="2">
        <v>1.1100000000000001</v>
      </c>
      <c r="Q76" s="2">
        <v>0</v>
      </c>
      <c r="R76" s="2">
        <v>1.1100000000000001</v>
      </c>
      <c r="S76" t="s">
        <v>925</v>
      </c>
      <c r="U76" t="s">
        <v>933</v>
      </c>
    </row>
    <row r="77" spans="1:21" x14ac:dyDescent="0.6">
      <c r="A77">
        <v>76</v>
      </c>
      <c r="B77" t="str">
        <f>"1582"</f>
        <v>1582</v>
      </c>
      <c r="C77" t="s">
        <v>135</v>
      </c>
      <c r="D77" s="1">
        <v>42923</v>
      </c>
      <c r="E77">
        <v>69.900000000000006</v>
      </c>
      <c r="F77">
        <v>-0.2</v>
      </c>
      <c r="G77" s="3">
        <v>-2.8999999999999998E-3</v>
      </c>
      <c r="H77">
        <v>2017</v>
      </c>
      <c r="I77">
        <v>6.06</v>
      </c>
      <c r="J77">
        <v>5.45</v>
      </c>
      <c r="K77">
        <v>0</v>
      </c>
      <c r="L77">
        <v>5.45</v>
      </c>
      <c r="M77" s="3">
        <v>7.7899999999999997E-2</v>
      </c>
      <c r="N77" s="2">
        <v>0</v>
      </c>
      <c r="O77" s="3">
        <v>7.7899999999999997E-2</v>
      </c>
      <c r="P77" s="3">
        <v>0.89900000000000002</v>
      </c>
      <c r="Q77" s="2">
        <v>0</v>
      </c>
      <c r="R77" s="3">
        <v>0.89900000000000002</v>
      </c>
      <c r="S77" t="s">
        <v>922</v>
      </c>
      <c r="U77" t="s">
        <v>915</v>
      </c>
    </row>
    <row r="78" spans="1:21" hidden="1" x14ac:dyDescent="0.6">
      <c r="A78">
        <v>77</v>
      </c>
      <c r="B78" t="str">
        <f>"3211"</f>
        <v>3211</v>
      </c>
      <c r="C78" t="s">
        <v>137</v>
      </c>
      <c r="D78" s="1">
        <v>42923</v>
      </c>
      <c r="E78">
        <v>38.549999999999997</v>
      </c>
      <c r="F78">
        <v>-0.55000000000000004</v>
      </c>
      <c r="G78" s="3">
        <v>-1.41E-2</v>
      </c>
      <c r="H78">
        <v>2017</v>
      </c>
      <c r="I78">
        <v>3.21</v>
      </c>
      <c r="J78">
        <v>3</v>
      </c>
      <c r="K78">
        <v>0</v>
      </c>
      <c r="L78">
        <v>3</v>
      </c>
      <c r="M78" s="3">
        <v>7.7799999999999994E-2</v>
      </c>
      <c r="N78" s="2">
        <v>0</v>
      </c>
      <c r="O78" s="3">
        <v>7.7799999999999994E-2</v>
      </c>
      <c r="P78" s="3">
        <v>0.93500000000000005</v>
      </c>
      <c r="Q78" s="2">
        <v>0</v>
      </c>
      <c r="R78" s="3">
        <v>0.93500000000000005</v>
      </c>
      <c r="S78" t="s">
        <v>890</v>
      </c>
      <c r="U78" t="s">
        <v>933</v>
      </c>
    </row>
    <row r="79" spans="1:21" x14ac:dyDescent="0.6">
      <c r="A79">
        <v>78</v>
      </c>
      <c r="B79" t="str">
        <f>"2548"</f>
        <v>2548</v>
      </c>
      <c r="C79" t="s">
        <v>138</v>
      </c>
      <c r="D79" s="1">
        <v>42923</v>
      </c>
      <c r="E79">
        <v>72</v>
      </c>
      <c r="F79">
        <v>-0.3</v>
      </c>
      <c r="G79" s="2">
        <v>-4.1000000000000003E-3</v>
      </c>
      <c r="H79">
        <v>2017</v>
      </c>
      <c r="I79">
        <v>8.73</v>
      </c>
      <c r="J79">
        <v>5.6</v>
      </c>
      <c r="K79">
        <v>0</v>
      </c>
      <c r="L79">
        <v>5.6</v>
      </c>
      <c r="M79" s="3">
        <v>7.7799999999999994E-2</v>
      </c>
      <c r="N79" s="2">
        <v>0</v>
      </c>
      <c r="O79" s="3">
        <v>7.7799999999999994E-2</v>
      </c>
      <c r="P79" s="3">
        <v>0.64200000000000002</v>
      </c>
      <c r="Q79" s="2">
        <v>0</v>
      </c>
      <c r="R79" s="3">
        <v>0.64200000000000002</v>
      </c>
      <c r="S79" t="s">
        <v>925</v>
      </c>
      <c r="U79" t="s">
        <v>930</v>
      </c>
    </row>
    <row r="80" spans="1:21" x14ac:dyDescent="0.6">
      <c r="A80">
        <v>79</v>
      </c>
      <c r="B80" t="str">
        <f>"4722"</f>
        <v>4722</v>
      </c>
      <c r="C80" t="s">
        <v>139</v>
      </c>
      <c r="D80" s="1">
        <v>42923</v>
      </c>
      <c r="E80">
        <v>32.35</v>
      </c>
      <c r="F80">
        <v>-0.2</v>
      </c>
      <c r="G80" s="3">
        <v>-6.1000000000000004E-3</v>
      </c>
      <c r="H80">
        <v>2017</v>
      </c>
      <c r="I80">
        <v>3.68</v>
      </c>
      <c r="J80">
        <v>2.5</v>
      </c>
      <c r="K80">
        <v>0</v>
      </c>
      <c r="L80">
        <v>2.5</v>
      </c>
      <c r="M80" s="3">
        <v>7.7299999999999994E-2</v>
      </c>
      <c r="N80" s="2">
        <v>0</v>
      </c>
      <c r="O80" s="3">
        <v>7.7299999999999994E-2</v>
      </c>
      <c r="P80" s="2">
        <v>0.67900000000000005</v>
      </c>
      <c r="Q80" s="2">
        <v>0</v>
      </c>
      <c r="R80" s="2">
        <v>0.67900000000000005</v>
      </c>
      <c r="S80" t="s">
        <v>925</v>
      </c>
      <c r="U80" t="s">
        <v>904</v>
      </c>
    </row>
    <row r="81" spans="1:21" x14ac:dyDescent="0.6">
      <c r="A81">
        <v>80</v>
      </c>
      <c r="B81" t="str">
        <f>"8049"</f>
        <v>8049</v>
      </c>
      <c r="C81" t="s">
        <v>141</v>
      </c>
      <c r="D81" s="1">
        <v>42923</v>
      </c>
      <c r="E81">
        <v>16.850000000000001</v>
      </c>
      <c r="F81">
        <v>-0.15</v>
      </c>
      <c r="G81" s="3">
        <v>-8.8000000000000005E-3</v>
      </c>
      <c r="H81">
        <v>2017</v>
      </c>
      <c r="I81">
        <v>1.56</v>
      </c>
      <c r="J81">
        <v>1.3</v>
      </c>
      <c r="K81">
        <v>0</v>
      </c>
      <c r="L81">
        <v>1.3</v>
      </c>
      <c r="M81" s="2">
        <v>7.7200000000000005E-2</v>
      </c>
      <c r="N81" s="2">
        <v>0</v>
      </c>
      <c r="O81" s="2">
        <v>7.7200000000000005E-2</v>
      </c>
      <c r="P81" s="2">
        <v>0.83299999999999996</v>
      </c>
      <c r="Q81" s="2">
        <v>0</v>
      </c>
      <c r="R81" s="2">
        <v>0.83299999999999996</v>
      </c>
    </row>
    <row r="82" spans="1:21" x14ac:dyDescent="0.6">
      <c r="A82">
        <v>81</v>
      </c>
      <c r="B82" t="str">
        <f>"2419"</f>
        <v>2419</v>
      </c>
      <c r="C82" t="s">
        <v>142</v>
      </c>
      <c r="D82" s="1">
        <v>42923</v>
      </c>
      <c r="E82">
        <v>23</v>
      </c>
      <c r="F82">
        <v>0.05</v>
      </c>
      <c r="G82" s="3">
        <v>2.2000000000000001E-3</v>
      </c>
      <c r="H82">
        <v>2017</v>
      </c>
      <c r="I82">
        <v>1.99</v>
      </c>
      <c r="J82">
        <v>1.77</v>
      </c>
      <c r="K82">
        <v>0</v>
      </c>
      <c r="L82">
        <v>1.77</v>
      </c>
      <c r="M82" s="3">
        <v>7.7100000000000002E-2</v>
      </c>
      <c r="N82" s="2">
        <v>0</v>
      </c>
      <c r="O82" s="3">
        <v>7.7100000000000002E-2</v>
      </c>
      <c r="P82" s="3">
        <v>0.88900000000000001</v>
      </c>
      <c r="Q82" s="2">
        <v>0</v>
      </c>
      <c r="R82" s="3">
        <v>0.88900000000000001</v>
      </c>
      <c r="S82" t="s">
        <v>913</v>
      </c>
      <c r="U82" t="s">
        <v>898</v>
      </c>
    </row>
    <row r="83" spans="1:21" x14ac:dyDescent="0.6">
      <c r="A83">
        <v>82</v>
      </c>
      <c r="B83" t="str">
        <f>"5426"</f>
        <v>5426</v>
      </c>
      <c r="C83" t="s">
        <v>144</v>
      </c>
      <c r="D83" s="1">
        <v>42923</v>
      </c>
      <c r="E83">
        <v>13</v>
      </c>
      <c r="F83">
        <v>-0.05</v>
      </c>
      <c r="G83" s="3">
        <v>-3.8E-3</v>
      </c>
      <c r="H83">
        <v>2017</v>
      </c>
      <c r="I83">
        <v>1.26</v>
      </c>
      <c r="J83">
        <v>1</v>
      </c>
      <c r="K83">
        <v>0</v>
      </c>
      <c r="L83">
        <v>1</v>
      </c>
      <c r="M83" s="3">
        <v>7.6899999999999996E-2</v>
      </c>
      <c r="N83" s="2">
        <v>0</v>
      </c>
      <c r="O83" s="3">
        <v>7.6899999999999996E-2</v>
      </c>
      <c r="P83" s="2">
        <v>0.79400000000000004</v>
      </c>
      <c r="Q83" s="2">
        <v>0</v>
      </c>
      <c r="R83" s="2">
        <v>0.79400000000000004</v>
      </c>
    </row>
    <row r="84" spans="1:21" x14ac:dyDescent="0.6">
      <c r="A84">
        <v>83</v>
      </c>
      <c r="B84" t="str">
        <f>"3217"</f>
        <v>3217</v>
      </c>
      <c r="C84" t="s">
        <v>145</v>
      </c>
      <c r="D84" s="1">
        <v>42923</v>
      </c>
      <c r="E84">
        <v>26.15</v>
      </c>
      <c r="F84">
        <v>-0.2</v>
      </c>
      <c r="G84" s="3">
        <v>-7.6E-3</v>
      </c>
      <c r="H84">
        <v>2017</v>
      </c>
      <c r="I84">
        <v>2.31</v>
      </c>
      <c r="J84">
        <v>2</v>
      </c>
      <c r="K84">
        <v>0</v>
      </c>
      <c r="L84">
        <v>2</v>
      </c>
      <c r="M84" s="3">
        <v>7.6499999999999999E-2</v>
      </c>
      <c r="N84" s="2">
        <v>0</v>
      </c>
      <c r="O84" s="3">
        <v>7.6499999999999999E-2</v>
      </c>
      <c r="P84" s="3">
        <v>0.86599999999999999</v>
      </c>
      <c r="Q84" s="2">
        <v>0</v>
      </c>
      <c r="R84" s="3">
        <v>0.86599999999999999</v>
      </c>
      <c r="S84" t="s">
        <v>913</v>
      </c>
      <c r="U84" t="s">
        <v>904</v>
      </c>
    </row>
    <row r="85" spans="1:21" hidden="1" x14ac:dyDescent="0.6">
      <c r="A85">
        <v>84</v>
      </c>
      <c r="B85" t="str">
        <f>"6470"</f>
        <v>6470</v>
      </c>
      <c r="C85" t="s">
        <v>146</v>
      </c>
      <c r="D85" s="1">
        <v>42923</v>
      </c>
      <c r="E85">
        <v>52.4</v>
      </c>
      <c r="F85">
        <v>-0.6</v>
      </c>
      <c r="G85" s="3">
        <v>-1.1299999999999999E-2</v>
      </c>
      <c r="H85">
        <v>2017</v>
      </c>
      <c r="I85">
        <v>5.18</v>
      </c>
      <c r="J85">
        <v>4</v>
      </c>
      <c r="K85">
        <v>0</v>
      </c>
      <c r="L85">
        <v>4</v>
      </c>
      <c r="M85" s="3">
        <v>7.6300000000000007E-2</v>
      </c>
      <c r="N85" s="2">
        <v>0</v>
      </c>
      <c r="O85" s="3">
        <v>7.6300000000000007E-2</v>
      </c>
      <c r="P85" s="3">
        <v>0.77200000000000002</v>
      </c>
      <c r="Q85" s="2">
        <v>0</v>
      </c>
      <c r="R85" s="3">
        <v>0.77200000000000002</v>
      </c>
      <c r="S85" t="s">
        <v>895</v>
      </c>
      <c r="U85" t="s">
        <v>932</v>
      </c>
    </row>
    <row r="86" spans="1:21" hidden="1" x14ac:dyDescent="0.6">
      <c r="A86">
        <v>85</v>
      </c>
      <c r="B86" t="str">
        <f>"2430"</f>
        <v>2430</v>
      </c>
      <c r="C86" t="s">
        <v>147</v>
      </c>
      <c r="D86" s="1">
        <v>42923</v>
      </c>
      <c r="E86">
        <v>26.25</v>
      </c>
      <c r="F86">
        <v>-0.15</v>
      </c>
      <c r="G86" s="3">
        <v>-5.7000000000000002E-3</v>
      </c>
      <c r="H86">
        <v>2017</v>
      </c>
      <c r="I86">
        <v>2.88</v>
      </c>
      <c r="J86">
        <v>2</v>
      </c>
      <c r="K86">
        <v>0</v>
      </c>
      <c r="L86">
        <v>2</v>
      </c>
      <c r="M86" s="3">
        <v>7.6200000000000004E-2</v>
      </c>
      <c r="N86" s="2">
        <v>0</v>
      </c>
      <c r="O86" s="3">
        <v>7.6200000000000004E-2</v>
      </c>
      <c r="P86" s="3">
        <v>0.69399999999999995</v>
      </c>
      <c r="Q86" s="2">
        <v>0</v>
      </c>
      <c r="R86" s="3">
        <v>0.69399999999999995</v>
      </c>
      <c r="S86" t="s">
        <v>934</v>
      </c>
      <c r="U86" t="s">
        <v>935</v>
      </c>
    </row>
    <row r="87" spans="1:21" x14ac:dyDescent="0.6">
      <c r="A87">
        <v>86</v>
      </c>
      <c r="B87" t="str">
        <f>"8112"</f>
        <v>8112</v>
      </c>
      <c r="C87" t="s">
        <v>149</v>
      </c>
      <c r="D87" s="1">
        <v>42923</v>
      </c>
      <c r="E87">
        <v>32.700000000000003</v>
      </c>
      <c r="F87">
        <v>-0.6</v>
      </c>
      <c r="G87" s="3">
        <v>-1.7999999999999999E-2</v>
      </c>
      <c r="H87">
        <v>2017</v>
      </c>
      <c r="I87">
        <v>3.7</v>
      </c>
      <c r="J87">
        <v>2.48</v>
      </c>
      <c r="K87">
        <v>0</v>
      </c>
      <c r="L87">
        <v>2.48</v>
      </c>
      <c r="M87" s="3">
        <v>7.5800000000000006E-2</v>
      </c>
      <c r="N87" s="2">
        <v>0</v>
      </c>
      <c r="O87" s="3">
        <v>7.5800000000000006E-2</v>
      </c>
      <c r="P87" s="3">
        <v>0.67</v>
      </c>
      <c r="Q87" s="2">
        <v>0</v>
      </c>
      <c r="R87" s="3">
        <v>0.67</v>
      </c>
      <c r="S87" t="s">
        <v>925</v>
      </c>
      <c r="U87" t="s">
        <v>929</v>
      </c>
    </row>
    <row r="88" spans="1:21" x14ac:dyDescent="0.6">
      <c r="A88">
        <v>87</v>
      </c>
      <c r="B88" t="str">
        <f>"3303"</f>
        <v>3303</v>
      </c>
      <c r="C88" t="s">
        <v>150</v>
      </c>
      <c r="D88" s="1">
        <v>42923</v>
      </c>
      <c r="E88">
        <v>19.8</v>
      </c>
      <c r="F88">
        <v>0</v>
      </c>
      <c r="G88" s="2">
        <v>0</v>
      </c>
      <c r="H88">
        <v>2017</v>
      </c>
      <c r="I88">
        <v>1.85</v>
      </c>
      <c r="J88">
        <v>1.5</v>
      </c>
      <c r="K88">
        <v>0</v>
      </c>
      <c r="L88">
        <v>1.5</v>
      </c>
      <c r="M88" s="3">
        <v>7.5800000000000006E-2</v>
      </c>
      <c r="N88" s="2">
        <v>0</v>
      </c>
      <c r="O88" s="3">
        <v>7.5800000000000006E-2</v>
      </c>
      <c r="P88" s="2">
        <v>0.81100000000000005</v>
      </c>
      <c r="Q88" s="2">
        <v>0</v>
      </c>
      <c r="R88" s="2">
        <v>0.81100000000000005</v>
      </c>
      <c r="S88" t="s">
        <v>899</v>
      </c>
      <c r="U88" t="s">
        <v>923</v>
      </c>
    </row>
    <row r="89" spans="1:21" x14ac:dyDescent="0.6">
      <c r="A89">
        <v>88</v>
      </c>
      <c r="B89" t="str">
        <f>"6104"</f>
        <v>6104</v>
      </c>
      <c r="C89" t="s">
        <v>151</v>
      </c>
      <c r="D89" s="1">
        <v>42923</v>
      </c>
      <c r="E89">
        <v>39.65</v>
      </c>
      <c r="F89">
        <v>0</v>
      </c>
      <c r="G89" s="2">
        <v>0</v>
      </c>
      <c r="H89">
        <v>2017</v>
      </c>
      <c r="I89">
        <v>2.5299999999999998</v>
      </c>
      <c r="J89">
        <v>3</v>
      </c>
      <c r="K89">
        <v>0</v>
      </c>
      <c r="L89">
        <v>3</v>
      </c>
      <c r="M89" s="2">
        <v>7.5700000000000003E-2</v>
      </c>
      <c r="N89" s="2">
        <v>0</v>
      </c>
      <c r="O89" s="2">
        <v>7.5700000000000003E-2</v>
      </c>
      <c r="P89" s="2">
        <v>1.19</v>
      </c>
      <c r="Q89" s="2">
        <v>0</v>
      </c>
      <c r="R89" s="2">
        <v>1.19</v>
      </c>
    </row>
    <row r="90" spans="1:21" x14ac:dyDescent="0.6">
      <c r="A90">
        <v>89</v>
      </c>
      <c r="B90" t="str">
        <f>"2501"</f>
        <v>2501</v>
      </c>
      <c r="C90" t="s">
        <v>152</v>
      </c>
      <c r="D90" s="1">
        <v>42923</v>
      </c>
      <c r="E90">
        <v>19.899999999999999</v>
      </c>
      <c r="F90">
        <v>0</v>
      </c>
      <c r="G90" s="3">
        <v>0</v>
      </c>
      <c r="H90">
        <v>2017</v>
      </c>
      <c r="I90">
        <v>2.06</v>
      </c>
      <c r="J90">
        <v>1.5</v>
      </c>
      <c r="K90">
        <v>0</v>
      </c>
      <c r="L90">
        <v>1.5</v>
      </c>
      <c r="M90" s="3">
        <v>7.5399999999999995E-2</v>
      </c>
      <c r="N90" s="2">
        <v>0</v>
      </c>
      <c r="O90" s="3">
        <v>7.5399999999999995E-2</v>
      </c>
      <c r="P90" s="3">
        <v>0.72799999999999998</v>
      </c>
      <c r="Q90" s="2">
        <v>0</v>
      </c>
      <c r="R90" s="3">
        <v>0.72799999999999998</v>
      </c>
      <c r="S90" t="s">
        <v>926</v>
      </c>
      <c r="U90" t="s">
        <v>915</v>
      </c>
    </row>
    <row r="91" spans="1:21" x14ac:dyDescent="0.6">
      <c r="A91">
        <v>90</v>
      </c>
      <c r="B91" t="str">
        <f>"3501"</f>
        <v>3501</v>
      </c>
      <c r="C91" t="s">
        <v>153</v>
      </c>
      <c r="D91" s="1">
        <v>42923</v>
      </c>
      <c r="E91">
        <v>53.1</v>
      </c>
      <c r="F91">
        <v>-0.1</v>
      </c>
      <c r="G91" s="3">
        <v>-1.9E-3</v>
      </c>
      <c r="H91">
        <v>2017</v>
      </c>
      <c r="I91">
        <v>5.94</v>
      </c>
      <c r="J91">
        <v>4</v>
      </c>
      <c r="K91">
        <v>0</v>
      </c>
      <c r="L91">
        <v>4</v>
      </c>
      <c r="M91" s="3">
        <v>7.5300000000000006E-2</v>
      </c>
      <c r="N91" s="2">
        <v>0</v>
      </c>
      <c r="O91" s="3">
        <v>7.5300000000000006E-2</v>
      </c>
      <c r="P91" s="3">
        <v>0.67300000000000004</v>
      </c>
      <c r="Q91" s="2">
        <v>0</v>
      </c>
      <c r="R91" s="3">
        <v>0.67300000000000004</v>
      </c>
      <c r="S91" t="s">
        <v>919</v>
      </c>
      <c r="U91" t="s">
        <v>936</v>
      </c>
    </row>
    <row r="92" spans="1:21" hidden="1" x14ac:dyDescent="0.6">
      <c r="A92">
        <v>91</v>
      </c>
      <c r="B92" t="str">
        <f>"3528"</f>
        <v>3528</v>
      </c>
      <c r="C92" t="s">
        <v>154</v>
      </c>
      <c r="D92" s="1">
        <v>42923</v>
      </c>
      <c r="E92">
        <v>31.9</v>
      </c>
      <c r="F92">
        <v>-0.1</v>
      </c>
      <c r="G92" s="3">
        <v>-3.0999999999999999E-3</v>
      </c>
      <c r="H92">
        <v>2017</v>
      </c>
      <c r="I92">
        <v>2.64</v>
      </c>
      <c r="J92">
        <v>2.4</v>
      </c>
      <c r="K92">
        <v>0.1</v>
      </c>
      <c r="L92">
        <v>2.5</v>
      </c>
      <c r="M92" s="3">
        <v>7.5200000000000003E-2</v>
      </c>
      <c r="N92" s="2">
        <v>3.0999999999999999E-3</v>
      </c>
      <c r="O92" s="3">
        <v>7.8399999999999997E-2</v>
      </c>
      <c r="P92" s="3">
        <v>0.90900000000000003</v>
      </c>
      <c r="Q92" s="2">
        <v>3.7900000000000003E-2</v>
      </c>
      <c r="R92" s="3">
        <v>0.94699999999999995</v>
      </c>
      <c r="S92" t="s">
        <v>916</v>
      </c>
      <c r="T92" t="s">
        <v>916</v>
      </c>
      <c r="U92" t="s">
        <v>896</v>
      </c>
    </row>
    <row r="93" spans="1:21" x14ac:dyDescent="0.6">
      <c r="A93">
        <v>92</v>
      </c>
      <c r="B93" t="str">
        <f>"6189"</f>
        <v>6189</v>
      </c>
      <c r="C93" t="s">
        <v>155</v>
      </c>
      <c r="D93" s="1">
        <v>42923</v>
      </c>
      <c r="E93">
        <v>30.75</v>
      </c>
      <c r="F93">
        <v>-0.15</v>
      </c>
      <c r="G93" s="3">
        <v>-4.8999999999999998E-3</v>
      </c>
      <c r="H93">
        <v>2017</v>
      </c>
      <c r="I93">
        <v>2.5</v>
      </c>
      <c r="J93">
        <v>2.2999999999999998</v>
      </c>
      <c r="K93">
        <v>0</v>
      </c>
      <c r="L93">
        <v>2.2999999999999998</v>
      </c>
      <c r="M93" s="3">
        <v>7.4800000000000005E-2</v>
      </c>
      <c r="N93" s="2">
        <v>0</v>
      </c>
      <c r="O93" s="3">
        <v>7.4800000000000005E-2</v>
      </c>
      <c r="P93" s="3">
        <v>0.92</v>
      </c>
      <c r="Q93" s="2">
        <v>0</v>
      </c>
      <c r="R93" s="3">
        <v>0.92</v>
      </c>
      <c r="S93" t="s">
        <v>899</v>
      </c>
      <c r="U93" t="s">
        <v>937</v>
      </c>
    </row>
    <row r="94" spans="1:21" hidden="1" x14ac:dyDescent="0.6">
      <c r="A94">
        <v>93</v>
      </c>
      <c r="B94" t="str">
        <f>"6486"</f>
        <v>6486</v>
      </c>
      <c r="C94" t="s">
        <v>156</v>
      </c>
      <c r="D94" s="1">
        <v>42923</v>
      </c>
      <c r="E94">
        <v>46.8</v>
      </c>
      <c r="F94">
        <v>-1.95</v>
      </c>
      <c r="G94" s="2">
        <v>-0.04</v>
      </c>
      <c r="H94">
        <v>2017</v>
      </c>
      <c r="I94">
        <v>3.7</v>
      </c>
      <c r="J94">
        <v>3.5</v>
      </c>
      <c r="K94">
        <v>0</v>
      </c>
      <c r="L94">
        <v>3.5</v>
      </c>
      <c r="M94" s="3">
        <v>7.4800000000000005E-2</v>
      </c>
      <c r="N94" s="2">
        <v>0</v>
      </c>
      <c r="O94" s="3">
        <v>7.4800000000000005E-2</v>
      </c>
      <c r="P94" s="3">
        <v>0.94599999999999995</v>
      </c>
      <c r="Q94" s="2">
        <v>0</v>
      </c>
      <c r="R94" s="3">
        <v>0.94599999999999995</v>
      </c>
      <c r="S94" t="s">
        <v>895</v>
      </c>
      <c r="U94" t="s">
        <v>893</v>
      </c>
    </row>
    <row r="95" spans="1:21" hidden="1" x14ac:dyDescent="0.6">
      <c r="A95">
        <v>94</v>
      </c>
      <c r="B95" t="str">
        <f>"3338"</f>
        <v>3338</v>
      </c>
      <c r="C95" t="s">
        <v>157</v>
      </c>
      <c r="D95" s="1">
        <v>42923</v>
      </c>
      <c r="E95">
        <v>29.5</v>
      </c>
      <c r="F95">
        <v>-0.25</v>
      </c>
      <c r="G95" s="2">
        <v>-8.3999999999999995E-3</v>
      </c>
      <c r="H95">
        <v>2017</v>
      </c>
      <c r="I95">
        <v>2.71</v>
      </c>
      <c r="J95">
        <v>2.2000000000000002</v>
      </c>
      <c r="K95">
        <v>0</v>
      </c>
      <c r="L95">
        <v>2.2000000000000002</v>
      </c>
      <c r="M95" s="3">
        <v>7.4499999999999997E-2</v>
      </c>
      <c r="N95" s="2">
        <v>0</v>
      </c>
      <c r="O95" s="3">
        <v>7.4499999999999997E-2</v>
      </c>
      <c r="P95" s="3">
        <v>0.81200000000000006</v>
      </c>
      <c r="Q95" s="2">
        <v>0</v>
      </c>
      <c r="R95" s="3">
        <v>0.81200000000000006</v>
      </c>
      <c r="S95" t="s">
        <v>916</v>
      </c>
      <c r="U95" t="s">
        <v>910</v>
      </c>
    </row>
    <row r="96" spans="1:21" x14ac:dyDescent="0.6">
      <c r="A96">
        <v>95</v>
      </c>
      <c r="B96" t="str">
        <f>"8424"</f>
        <v>8424</v>
      </c>
      <c r="C96" t="s">
        <v>158</v>
      </c>
      <c r="D96" s="1">
        <v>42923</v>
      </c>
      <c r="E96">
        <v>40.299999999999997</v>
      </c>
      <c r="F96">
        <v>-0.5</v>
      </c>
      <c r="G96" s="3">
        <v>-1.23E-2</v>
      </c>
      <c r="H96">
        <v>2017</v>
      </c>
      <c r="I96">
        <v>3.4</v>
      </c>
      <c r="J96">
        <v>3</v>
      </c>
      <c r="K96">
        <v>0</v>
      </c>
      <c r="L96">
        <v>3</v>
      </c>
      <c r="M96" s="3">
        <v>7.4399999999999994E-2</v>
      </c>
      <c r="N96" s="3">
        <v>0</v>
      </c>
      <c r="O96" s="3">
        <v>7.4399999999999994E-2</v>
      </c>
      <c r="P96" s="3">
        <v>0.88200000000000001</v>
      </c>
      <c r="Q96" s="3">
        <v>0</v>
      </c>
      <c r="R96" s="3">
        <v>0.88200000000000001</v>
      </c>
    </row>
    <row r="97" spans="1:21" hidden="1" x14ac:dyDescent="0.6">
      <c r="A97">
        <v>96</v>
      </c>
      <c r="B97" t="str">
        <f>"8081"</f>
        <v>8081</v>
      </c>
      <c r="C97" t="s">
        <v>159</v>
      </c>
      <c r="D97" s="1">
        <v>42923</v>
      </c>
      <c r="E97">
        <v>67.3</v>
      </c>
      <c r="F97">
        <v>-0.4</v>
      </c>
      <c r="G97" s="3">
        <v>-5.8999999999999999E-3</v>
      </c>
      <c r="H97">
        <v>2017</v>
      </c>
      <c r="I97">
        <v>4.67</v>
      </c>
      <c r="J97">
        <v>5</v>
      </c>
      <c r="K97">
        <v>0</v>
      </c>
      <c r="L97">
        <v>5</v>
      </c>
      <c r="M97" s="3">
        <v>7.4300000000000005E-2</v>
      </c>
      <c r="N97" s="2">
        <v>0</v>
      </c>
      <c r="O97" s="3">
        <v>7.4300000000000005E-2</v>
      </c>
      <c r="P97" s="3">
        <v>1.07</v>
      </c>
      <c r="Q97" s="2">
        <v>0</v>
      </c>
      <c r="R97" s="3">
        <v>1.07</v>
      </c>
      <c r="S97" t="s">
        <v>892</v>
      </c>
      <c r="U97" t="s">
        <v>919</v>
      </c>
    </row>
    <row r="98" spans="1:21" x14ac:dyDescent="0.6">
      <c r="A98">
        <v>97</v>
      </c>
      <c r="B98" t="str">
        <f>"3005"</f>
        <v>3005</v>
      </c>
      <c r="C98" t="s">
        <v>160</v>
      </c>
      <c r="D98" s="1">
        <v>42923</v>
      </c>
      <c r="E98">
        <v>40.4</v>
      </c>
      <c r="F98">
        <v>-0.3</v>
      </c>
      <c r="G98" s="3">
        <v>-7.4000000000000003E-3</v>
      </c>
      <c r="H98">
        <v>2017</v>
      </c>
      <c r="I98">
        <v>3.68</v>
      </c>
      <c r="J98">
        <v>3</v>
      </c>
      <c r="K98">
        <v>0</v>
      </c>
      <c r="L98">
        <v>3</v>
      </c>
      <c r="M98" s="3">
        <v>7.4300000000000005E-2</v>
      </c>
      <c r="N98" s="2">
        <v>0</v>
      </c>
      <c r="O98" s="3">
        <v>7.4300000000000005E-2</v>
      </c>
      <c r="P98" s="3">
        <v>0.81499999999999995</v>
      </c>
      <c r="Q98" s="2">
        <v>0</v>
      </c>
      <c r="R98" s="3">
        <v>0.81499999999999995</v>
      </c>
    </row>
    <row r="99" spans="1:21" hidden="1" x14ac:dyDescent="0.6">
      <c r="A99">
        <v>98</v>
      </c>
      <c r="B99" t="str">
        <f>"1776"</f>
        <v>1776</v>
      </c>
      <c r="C99" t="s">
        <v>161</v>
      </c>
      <c r="D99" s="1">
        <v>42923</v>
      </c>
      <c r="E99">
        <v>21.6</v>
      </c>
      <c r="F99">
        <v>0.5</v>
      </c>
      <c r="G99" s="3">
        <v>2.3699999999999999E-2</v>
      </c>
      <c r="H99">
        <v>2017</v>
      </c>
      <c r="I99">
        <v>1.61</v>
      </c>
      <c r="J99">
        <v>1.6</v>
      </c>
      <c r="K99">
        <v>0</v>
      </c>
      <c r="L99">
        <v>1.6</v>
      </c>
      <c r="M99" s="3">
        <v>7.4099999999999999E-2</v>
      </c>
      <c r="N99" s="3">
        <v>0</v>
      </c>
      <c r="O99" s="3">
        <v>7.4099999999999999E-2</v>
      </c>
      <c r="P99" s="3">
        <v>0.99399999999999999</v>
      </c>
      <c r="Q99" s="2">
        <v>0</v>
      </c>
      <c r="R99" s="3">
        <v>0.99399999999999999</v>
      </c>
      <c r="S99" t="s">
        <v>903</v>
      </c>
      <c r="U99" t="s">
        <v>911</v>
      </c>
    </row>
    <row r="100" spans="1:21" x14ac:dyDescent="0.6">
      <c r="A100">
        <v>99</v>
      </c>
      <c r="B100" t="str">
        <f>"6177"</f>
        <v>6177</v>
      </c>
      <c r="C100" t="s">
        <v>162</v>
      </c>
      <c r="D100" s="1">
        <v>42923</v>
      </c>
      <c r="E100">
        <v>26.85</v>
      </c>
      <c r="F100">
        <v>0.25</v>
      </c>
      <c r="G100" s="3">
        <v>9.4000000000000004E-3</v>
      </c>
      <c r="H100">
        <v>2017</v>
      </c>
      <c r="I100">
        <v>1.83</v>
      </c>
      <c r="J100">
        <v>1.99</v>
      </c>
      <c r="K100">
        <v>0.2</v>
      </c>
      <c r="L100">
        <v>2.19</v>
      </c>
      <c r="M100" s="2">
        <v>7.4099999999999999E-2</v>
      </c>
      <c r="N100" s="3">
        <v>7.4000000000000003E-3</v>
      </c>
      <c r="O100" s="3">
        <v>8.1500000000000003E-2</v>
      </c>
      <c r="P100" s="2">
        <v>1.0900000000000001</v>
      </c>
      <c r="Q100" s="3">
        <v>0.109</v>
      </c>
      <c r="R100" s="3">
        <v>1.2</v>
      </c>
      <c r="S100" t="s">
        <v>922</v>
      </c>
      <c r="T100" t="s">
        <v>922</v>
      </c>
      <c r="U100" t="s">
        <v>937</v>
      </c>
    </row>
    <row r="101" spans="1:21" hidden="1" x14ac:dyDescent="0.6">
      <c r="A101">
        <v>100</v>
      </c>
      <c r="B101" t="str">
        <f>"6123"</f>
        <v>6123</v>
      </c>
      <c r="C101" t="s">
        <v>163</v>
      </c>
      <c r="D101" s="1">
        <v>42923</v>
      </c>
      <c r="E101">
        <v>33.799999999999997</v>
      </c>
      <c r="F101">
        <v>-0.15</v>
      </c>
      <c r="G101" s="3">
        <v>-4.4000000000000003E-3</v>
      </c>
      <c r="H101">
        <v>2017</v>
      </c>
      <c r="I101">
        <v>3.15</v>
      </c>
      <c r="J101">
        <v>2.5</v>
      </c>
      <c r="K101">
        <v>0.5</v>
      </c>
      <c r="L101">
        <v>3</v>
      </c>
      <c r="M101" s="3">
        <v>7.3999999999999996E-2</v>
      </c>
      <c r="N101" s="2">
        <v>1.4800000000000001E-2</v>
      </c>
      <c r="O101" s="3">
        <v>8.8800000000000004E-2</v>
      </c>
      <c r="P101" s="2">
        <v>0.79400000000000004</v>
      </c>
      <c r="Q101" s="2">
        <v>0.159</v>
      </c>
      <c r="R101" s="2">
        <v>0.95199999999999996</v>
      </c>
      <c r="S101" t="s">
        <v>894</v>
      </c>
      <c r="U101" t="s">
        <v>893</v>
      </c>
    </row>
    <row r="102" spans="1:21" hidden="1" x14ac:dyDescent="0.6">
      <c r="A102">
        <v>101</v>
      </c>
      <c r="B102" t="str">
        <f>"2034"</f>
        <v>2034</v>
      </c>
      <c r="C102" t="s">
        <v>164</v>
      </c>
      <c r="D102" s="1">
        <v>42923</v>
      </c>
      <c r="E102">
        <v>24.35</v>
      </c>
      <c r="F102">
        <v>-0.2</v>
      </c>
      <c r="G102" s="3">
        <v>-8.0999999999999996E-3</v>
      </c>
      <c r="H102">
        <v>2017</v>
      </c>
      <c r="I102">
        <v>1.95</v>
      </c>
      <c r="J102">
        <v>1.8</v>
      </c>
      <c r="K102">
        <v>0</v>
      </c>
      <c r="L102">
        <v>1.8</v>
      </c>
      <c r="M102" s="3">
        <v>7.3899999999999993E-2</v>
      </c>
      <c r="N102" s="2">
        <v>0</v>
      </c>
      <c r="O102" s="3">
        <v>7.3899999999999993E-2</v>
      </c>
      <c r="P102" s="3">
        <v>0.92300000000000004</v>
      </c>
      <c r="Q102" s="2">
        <v>0</v>
      </c>
      <c r="R102" s="3">
        <v>0.92300000000000004</v>
      </c>
      <c r="S102" t="s">
        <v>892</v>
      </c>
      <c r="U102" t="s">
        <v>893</v>
      </c>
    </row>
    <row r="103" spans="1:21" hidden="1" x14ac:dyDescent="0.6">
      <c r="A103">
        <v>102</v>
      </c>
      <c r="B103" t="str">
        <f>"9911"</f>
        <v>9911</v>
      </c>
      <c r="C103" t="s">
        <v>165</v>
      </c>
      <c r="D103" s="1">
        <v>42923</v>
      </c>
      <c r="E103">
        <v>33.85</v>
      </c>
      <c r="F103">
        <v>-0.25</v>
      </c>
      <c r="G103" s="3">
        <v>-7.3000000000000001E-3</v>
      </c>
      <c r="H103">
        <v>2017</v>
      </c>
      <c r="I103">
        <v>2.75</v>
      </c>
      <c r="J103">
        <v>2.5</v>
      </c>
      <c r="K103">
        <v>0</v>
      </c>
      <c r="L103">
        <v>2.5</v>
      </c>
      <c r="M103" s="3">
        <v>7.3899999999999993E-2</v>
      </c>
      <c r="N103" s="2">
        <v>0</v>
      </c>
      <c r="O103" s="3">
        <v>7.3899999999999993E-2</v>
      </c>
      <c r="P103" s="3">
        <v>0.90900000000000003</v>
      </c>
      <c r="Q103" s="2">
        <v>0</v>
      </c>
      <c r="R103" s="3">
        <v>0.90900000000000003</v>
      </c>
      <c r="S103" t="s">
        <v>892</v>
      </c>
      <c r="U103" t="s">
        <v>910</v>
      </c>
    </row>
    <row r="104" spans="1:21" x14ac:dyDescent="0.6">
      <c r="A104">
        <v>103</v>
      </c>
      <c r="B104" t="str">
        <f>"4305"</f>
        <v>4305</v>
      </c>
      <c r="C104" t="s">
        <v>166</v>
      </c>
      <c r="D104" s="1">
        <v>42923</v>
      </c>
      <c r="E104">
        <v>32.549999999999997</v>
      </c>
      <c r="F104">
        <v>0</v>
      </c>
      <c r="G104" s="3">
        <v>0</v>
      </c>
      <c r="H104">
        <v>2017</v>
      </c>
      <c r="I104">
        <v>3</v>
      </c>
      <c r="J104">
        <v>2.4</v>
      </c>
      <c r="K104">
        <v>0</v>
      </c>
      <c r="L104">
        <v>2.4</v>
      </c>
      <c r="M104" s="3">
        <v>7.3700000000000002E-2</v>
      </c>
      <c r="N104" s="3">
        <v>0</v>
      </c>
      <c r="O104" s="3">
        <v>7.3700000000000002E-2</v>
      </c>
      <c r="P104" s="3">
        <v>0.8</v>
      </c>
      <c r="Q104" s="3">
        <v>0</v>
      </c>
      <c r="R104" s="3">
        <v>0.8</v>
      </c>
      <c r="S104" t="s">
        <v>933</v>
      </c>
      <c r="U104" t="s">
        <v>905</v>
      </c>
    </row>
    <row r="105" spans="1:21" hidden="1" x14ac:dyDescent="0.6">
      <c r="A105">
        <v>104</v>
      </c>
      <c r="B105" t="str">
        <f>"2483"</f>
        <v>2483</v>
      </c>
      <c r="C105" t="s">
        <v>167</v>
      </c>
      <c r="D105" s="1">
        <v>42923</v>
      </c>
      <c r="E105">
        <v>17.7</v>
      </c>
      <c r="F105">
        <v>0.1</v>
      </c>
      <c r="G105" s="3">
        <v>5.7000000000000002E-3</v>
      </c>
      <c r="H105">
        <v>2017</v>
      </c>
      <c r="I105">
        <v>1.61</v>
      </c>
      <c r="J105">
        <v>1.3</v>
      </c>
      <c r="K105">
        <v>0</v>
      </c>
      <c r="L105">
        <v>1.3</v>
      </c>
      <c r="M105" s="3">
        <v>7.3400000000000007E-2</v>
      </c>
      <c r="N105" s="2">
        <v>0</v>
      </c>
      <c r="O105" s="3">
        <v>7.3400000000000007E-2</v>
      </c>
      <c r="P105" s="2">
        <v>0.80800000000000005</v>
      </c>
      <c r="Q105" s="2">
        <v>0</v>
      </c>
      <c r="R105" s="2">
        <v>0.80800000000000005</v>
      </c>
      <c r="S105" t="s">
        <v>892</v>
      </c>
      <c r="U105" t="s">
        <v>904</v>
      </c>
    </row>
    <row r="106" spans="1:21" x14ac:dyDescent="0.6">
      <c r="A106">
        <v>105</v>
      </c>
      <c r="B106" t="str">
        <f>"6224"</f>
        <v>6224</v>
      </c>
      <c r="C106" t="s">
        <v>168</v>
      </c>
      <c r="D106" s="1">
        <v>42923</v>
      </c>
      <c r="E106">
        <v>62.1</v>
      </c>
      <c r="F106">
        <v>-0.3</v>
      </c>
      <c r="G106" s="3">
        <v>-4.7999999999999996E-3</v>
      </c>
      <c r="H106">
        <v>2017</v>
      </c>
      <c r="I106">
        <v>5.07</v>
      </c>
      <c r="J106">
        <v>4.55</v>
      </c>
      <c r="K106">
        <v>0</v>
      </c>
      <c r="L106">
        <v>4.55</v>
      </c>
      <c r="M106" s="3">
        <v>7.3300000000000004E-2</v>
      </c>
      <c r="N106" s="2">
        <v>0</v>
      </c>
      <c r="O106" s="3">
        <v>7.3300000000000004E-2</v>
      </c>
      <c r="P106" s="3">
        <v>0.89700000000000002</v>
      </c>
      <c r="Q106" s="2">
        <v>0</v>
      </c>
      <c r="R106" s="3">
        <v>0.89700000000000002</v>
      </c>
      <c r="S106" t="s">
        <v>891</v>
      </c>
      <c r="U106" t="s">
        <v>923</v>
      </c>
    </row>
    <row r="107" spans="1:21" x14ac:dyDescent="0.6">
      <c r="A107">
        <v>106</v>
      </c>
      <c r="B107" t="str">
        <f>"5443"</f>
        <v>5443</v>
      </c>
      <c r="C107" t="s">
        <v>169</v>
      </c>
      <c r="D107" s="1">
        <v>42923</v>
      </c>
      <c r="E107">
        <v>24.65</v>
      </c>
      <c r="F107">
        <v>-0.3</v>
      </c>
      <c r="G107" s="3">
        <v>-1.2E-2</v>
      </c>
      <c r="H107">
        <v>2017</v>
      </c>
      <c r="I107">
        <v>1.58</v>
      </c>
      <c r="J107">
        <v>1.8</v>
      </c>
      <c r="K107">
        <v>0</v>
      </c>
      <c r="L107">
        <v>1.8</v>
      </c>
      <c r="M107" s="2">
        <v>7.2999999999999995E-2</v>
      </c>
      <c r="N107" s="2">
        <v>0</v>
      </c>
      <c r="O107" s="2">
        <v>7.2999999999999995E-2</v>
      </c>
      <c r="P107" s="2">
        <v>1.1399999999999999</v>
      </c>
      <c r="Q107" s="2">
        <v>0</v>
      </c>
      <c r="R107" s="2">
        <v>1.1399999999999999</v>
      </c>
    </row>
    <row r="108" spans="1:21" x14ac:dyDescent="0.6">
      <c r="A108">
        <v>107</v>
      </c>
      <c r="B108" t="str">
        <f>"8048"</f>
        <v>8048</v>
      </c>
      <c r="C108" t="s">
        <v>170</v>
      </c>
      <c r="D108" s="1">
        <v>42923</v>
      </c>
      <c r="E108">
        <v>27.4</v>
      </c>
      <c r="F108">
        <v>-0.2</v>
      </c>
      <c r="G108" s="3">
        <v>-7.1999999999999998E-3</v>
      </c>
      <c r="H108">
        <v>2017</v>
      </c>
      <c r="I108">
        <v>2.59</v>
      </c>
      <c r="J108">
        <v>2</v>
      </c>
      <c r="K108">
        <v>0</v>
      </c>
      <c r="L108">
        <v>2</v>
      </c>
      <c r="M108" s="3">
        <v>7.2999999999999995E-2</v>
      </c>
      <c r="N108" s="2">
        <v>0</v>
      </c>
      <c r="O108" s="3">
        <v>7.2999999999999995E-2</v>
      </c>
      <c r="P108" s="3">
        <v>0.77200000000000002</v>
      </c>
      <c r="Q108" s="2">
        <v>0</v>
      </c>
      <c r="R108" s="3">
        <v>0.77200000000000002</v>
      </c>
    </row>
    <row r="109" spans="1:21" x14ac:dyDescent="0.6">
      <c r="A109">
        <v>108</v>
      </c>
      <c r="B109" t="str">
        <f>"1593"</f>
        <v>1593</v>
      </c>
      <c r="C109" t="s">
        <v>171</v>
      </c>
      <c r="D109" s="1">
        <v>42923</v>
      </c>
      <c r="E109">
        <v>41.1</v>
      </c>
      <c r="F109">
        <v>-0.2</v>
      </c>
      <c r="G109" s="3">
        <v>-4.7999999999999996E-3</v>
      </c>
      <c r="H109">
        <v>2017</v>
      </c>
      <c r="I109">
        <v>3.3</v>
      </c>
      <c r="J109">
        <v>3</v>
      </c>
      <c r="K109">
        <v>0</v>
      </c>
      <c r="L109">
        <v>3</v>
      </c>
      <c r="M109" s="3">
        <v>7.2999999999999995E-2</v>
      </c>
      <c r="N109" s="3">
        <v>0</v>
      </c>
      <c r="O109" s="3">
        <v>7.2999999999999995E-2</v>
      </c>
      <c r="P109" s="3">
        <v>0.90900000000000003</v>
      </c>
      <c r="Q109" s="3">
        <v>0</v>
      </c>
      <c r="R109" s="3">
        <v>0.90900000000000003</v>
      </c>
    </row>
    <row r="110" spans="1:21" hidden="1" x14ac:dyDescent="0.6">
      <c r="A110">
        <v>109</v>
      </c>
      <c r="B110" t="str">
        <f>"8070"</f>
        <v>8070</v>
      </c>
      <c r="C110" t="s">
        <v>172</v>
      </c>
      <c r="D110" s="1">
        <v>42923</v>
      </c>
      <c r="E110">
        <v>137.5</v>
      </c>
      <c r="F110">
        <v>5</v>
      </c>
      <c r="G110" s="3">
        <v>3.7699999999999997E-2</v>
      </c>
      <c r="H110">
        <v>2017</v>
      </c>
      <c r="I110">
        <v>11.37</v>
      </c>
      <c r="J110">
        <v>10</v>
      </c>
      <c r="K110">
        <v>0</v>
      </c>
      <c r="L110">
        <v>10</v>
      </c>
      <c r="M110" s="3">
        <v>7.2700000000000001E-2</v>
      </c>
      <c r="N110" s="3">
        <v>0</v>
      </c>
      <c r="O110" s="3">
        <v>7.2700000000000001E-2</v>
      </c>
      <c r="P110" s="3">
        <v>0.88</v>
      </c>
      <c r="Q110" s="3">
        <v>0</v>
      </c>
      <c r="R110" s="3">
        <v>0.88</v>
      </c>
      <c r="S110" t="s">
        <v>938</v>
      </c>
      <c r="U110" t="s">
        <v>916</v>
      </c>
    </row>
    <row r="111" spans="1:21" hidden="1" x14ac:dyDescent="0.6">
      <c r="A111">
        <v>110</v>
      </c>
      <c r="B111" t="str">
        <f>"4527"</f>
        <v>4527</v>
      </c>
      <c r="C111" t="s">
        <v>173</v>
      </c>
      <c r="D111" s="1">
        <v>42923</v>
      </c>
      <c r="E111">
        <v>30.3</v>
      </c>
      <c r="F111">
        <v>-1.65</v>
      </c>
      <c r="G111" s="3">
        <v>-5.16E-2</v>
      </c>
      <c r="H111">
        <v>2017</v>
      </c>
      <c r="I111">
        <v>3.01</v>
      </c>
      <c r="J111">
        <v>2.2000000000000002</v>
      </c>
      <c r="K111">
        <v>0</v>
      </c>
      <c r="L111">
        <v>2.2000000000000002</v>
      </c>
      <c r="M111" s="3">
        <v>7.2599999999999998E-2</v>
      </c>
      <c r="N111" s="2">
        <v>0</v>
      </c>
      <c r="O111" s="3">
        <v>7.2599999999999998E-2</v>
      </c>
      <c r="P111" s="3">
        <v>0.73099999999999998</v>
      </c>
      <c r="Q111" s="2">
        <v>0</v>
      </c>
      <c r="R111" s="3">
        <v>0.73099999999999998</v>
      </c>
      <c r="S111" t="s">
        <v>924</v>
      </c>
      <c r="U111" t="s">
        <v>913</v>
      </c>
    </row>
    <row r="112" spans="1:21" hidden="1" x14ac:dyDescent="0.6">
      <c r="A112">
        <v>111</v>
      </c>
      <c r="B112" t="str">
        <f>"8249"</f>
        <v>8249</v>
      </c>
      <c r="C112" t="s">
        <v>175</v>
      </c>
      <c r="D112" s="1">
        <v>42923</v>
      </c>
      <c r="E112">
        <v>22.15</v>
      </c>
      <c r="F112">
        <v>-0.05</v>
      </c>
      <c r="G112" s="3">
        <v>-2.3E-3</v>
      </c>
      <c r="H112">
        <v>2017</v>
      </c>
      <c r="I112">
        <v>2.0299999999999998</v>
      </c>
      <c r="J112">
        <v>1.6</v>
      </c>
      <c r="K112">
        <v>0</v>
      </c>
      <c r="L112">
        <v>1.6</v>
      </c>
      <c r="M112" s="3">
        <v>7.22E-2</v>
      </c>
      <c r="N112" s="2">
        <v>0</v>
      </c>
      <c r="O112" s="3">
        <v>7.22E-2</v>
      </c>
      <c r="P112" s="3">
        <v>0.78800000000000003</v>
      </c>
      <c r="Q112" s="2">
        <v>0</v>
      </c>
      <c r="R112" s="3">
        <v>0.78800000000000003</v>
      </c>
      <c r="S112" t="s">
        <v>895</v>
      </c>
      <c r="U112" t="s">
        <v>910</v>
      </c>
    </row>
    <row r="113" spans="1:21" x14ac:dyDescent="0.6">
      <c r="A113">
        <v>112</v>
      </c>
      <c r="B113" t="str">
        <f>"3567"</f>
        <v>3567</v>
      </c>
      <c r="C113" t="s">
        <v>176</v>
      </c>
      <c r="D113" s="1">
        <v>42923</v>
      </c>
      <c r="E113">
        <v>27.7</v>
      </c>
      <c r="F113">
        <v>-0.3</v>
      </c>
      <c r="G113" s="3">
        <v>-1.0699999999999999E-2</v>
      </c>
      <c r="H113">
        <v>2017</v>
      </c>
      <c r="I113">
        <v>2.4500000000000002</v>
      </c>
      <c r="J113">
        <v>2</v>
      </c>
      <c r="K113">
        <v>0</v>
      </c>
      <c r="L113">
        <v>2</v>
      </c>
      <c r="M113" s="3">
        <v>7.22E-2</v>
      </c>
      <c r="N113" s="2">
        <v>0</v>
      </c>
      <c r="O113" s="3">
        <v>7.22E-2</v>
      </c>
      <c r="P113" s="3">
        <v>0.81599999999999995</v>
      </c>
      <c r="Q113" s="2">
        <v>0</v>
      </c>
      <c r="R113" s="3">
        <v>0.81599999999999995</v>
      </c>
      <c r="S113" t="s">
        <v>919</v>
      </c>
      <c r="U113" t="s">
        <v>939</v>
      </c>
    </row>
    <row r="114" spans="1:21" hidden="1" x14ac:dyDescent="0.6">
      <c r="A114">
        <v>113</v>
      </c>
      <c r="B114" t="str">
        <f>"6128"</f>
        <v>6128</v>
      </c>
      <c r="C114" t="s">
        <v>177</v>
      </c>
      <c r="D114" s="1">
        <v>42923</v>
      </c>
      <c r="E114">
        <v>38.799999999999997</v>
      </c>
      <c r="F114">
        <v>0.05</v>
      </c>
      <c r="G114" s="3">
        <v>1.2999999999999999E-3</v>
      </c>
      <c r="H114">
        <v>2017</v>
      </c>
      <c r="I114">
        <v>4.2</v>
      </c>
      <c r="J114">
        <v>2.8</v>
      </c>
      <c r="K114">
        <v>0</v>
      </c>
      <c r="L114">
        <v>2.8</v>
      </c>
      <c r="M114" s="3">
        <v>7.22E-2</v>
      </c>
      <c r="N114" s="2">
        <v>0</v>
      </c>
      <c r="O114" s="3">
        <v>7.22E-2</v>
      </c>
      <c r="P114" s="3">
        <v>0.66700000000000004</v>
      </c>
      <c r="Q114" s="2">
        <v>0</v>
      </c>
      <c r="R114" s="3">
        <v>0.66700000000000004</v>
      </c>
      <c r="S114" t="s">
        <v>888</v>
      </c>
      <c r="U114" t="s">
        <v>922</v>
      </c>
    </row>
    <row r="115" spans="1:21" x14ac:dyDescent="0.6">
      <c r="A115">
        <v>114</v>
      </c>
      <c r="B115" t="str">
        <f>"8032"</f>
        <v>8032</v>
      </c>
      <c r="C115" t="s">
        <v>178</v>
      </c>
      <c r="D115" s="1">
        <v>42923</v>
      </c>
      <c r="E115">
        <v>24.95</v>
      </c>
      <c r="F115">
        <v>-0.25</v>
      </c>
      <c r="G115" s="3">
        <v>-9.9000000000000008E-3</v>
      </c>
      <c r="H115">
        <v>2017</v>
      </c>
      <c r="I115">
        <v>2.35</v>
      </c>
      <c r="J115">
        <v>1.8</v>
      </c>
      <c r="K115">
        <v>0</v>
      </c>
      <c r="L115">
        <v>1.8</v>
      </c>
      <c r="M115" s="3">
        <v>7.2099999999999997E-2</v>
      </c>
      <c r="N115" s="2">
        <v>0</v>
      </c>
      <c r="O115" s="3">
        <v>7.2099999999999997E-2</v>
      </c>
      <c r="P115" s="3">
        <v>0.76600000000000001</v>
      </c>
      <c r="Q115" s="2">
        <v>0</v>
      </c>
      <c r="R115" s="3">
        <v>0.76600000000000001</v>
      </c>
      <c r="S115" t="s">
        <v>899</v>
      </c>
      <c r="U115" t="s">
        <v>900</v>
      </c>
    </row>
    <row r="116" spans="1:21" hidden="1" x14ac:dyDescent="0.6">
      <c r="A116">
        <v>115</v>
      </c>
      <c r="B116" t="str">
        <f>"6457"</f>
        <v>6457</v>
      </c>
      <c r="C116" t="s">
        <v>179</v>
      </c>
      <c r="D116" s="1">
        <v>42923</v>
      </c>
      <c r="E116">
        <v>28.55</v>
      </c>
      <c r="F116">
        <v>-0.25</v>
      </c>
      <c r="G116" s="3">
        <v>-8.6999999999999994E-3</v>
      </c>
      <c r="H116">
        <v>2017</v>
      </c>
      <c r="I116">
        <v>1.83</v>
      </c>
      <c r="J116">
        <v>2.0499999999999998</v>
      </c>
      <c r="K116">
        <v>0</v>
      </c>
      <c r="L116">
        <v>2.0499999999999998</v>
      </c>
      <c r="M116" s="2">
        <v>7.1800000000000003E-2</v>
      </c>
      <c r="N116" s="3">
        <v>0</v>
      </c>
      <c r="O116" s="3">
        <v>7.1800000000000003E-2</v>
      </c>
      <c r="P116" s="2">
        <v>1.1200000000000001</v>
      </c>
      <c r="Q116" s="2">
        <v>0</v>
      </c>
      <c r="R116" s="2">
        <v>1.1200000000000001</v>
      </c>
      <c r="S116" t="s">
        <v>888</v>
      </c>
      <c r="U116" t="s">
        <v>908</v>
      </c>
    </row>
    <row r="117" spans="1:21" hidden="1" x14ac:dyDescent="0.6">
      <c r="A117">
        <v>116</v>
      </c>
      <c r="B117" t="str">
        <f>"4711"</f>
        <v>4711</v>
      </c>
      <c r="C117" t="s">
        <v>180</v>
      </c>
      <c r="D117" s="1">
        <v>42923</v>
      </c>
      <c r="E117">
        <v>19.5</v>
      </c>
      <c r="F117">
        <v>0.1</v>
      </c>
      <c r="G117" s="3">
        <v>5.1999999999999998E-3</v>
      </c>
      <c r="H117">
        <v>2017</v>
      </c>
      <c r="I117">
        <v>1.77</v>
      </c>
      <c r="J117">
        <v>1.4</v>
      </c>
      <c r="K117">
        <v>0</v>
      </c>
      <c r="L117">
        <v>1.4</v>
      </c>
      <c r="M117" s="3">
        <v>7.1800000000000003E-2</v>
      </c>
      <c r="N117" s="2">
        <v>0</v>
      </c>
      <c r="O117" s="3">
        <v>7.1800000000000003E-2</v>
      </c>
      <c r="P117" s="3">
        <v>0.79100000000000004</v>
      </c>
      <c r="Q117" s="2">
        <v>0</v>
      </c>
      <c r="R117" s="3">
        <v>0.79100000000000004</v>
      </c>
      <c r="S117" t="s">
        <v>888</v>
      </c>
      <c r="U117" t="s">
        <v>893</v>
      </c>
    </row>
    <row r="118" spans="1:21" hidden="1" x14ac:dyDescent="0.6">
      <c r="A118">
        <v>117</v>
      </c>
      <c r="B118" t="str">
        <f>"2031"</f>
        <v>2031</v>
      </c>
      <c r="C118" t="s">
        <v>181</v>
      </c>
      <c r="D118" s="1">
        <v>42923</v>
      </c>
      <c r="E118">
        <v>25.1</v>
      </c>
      <c r="F118">
        <v>-0.05</v>
      </c>
      <c r="G118" s="3">
        <v>-2E-3</v>
      </c>
      <c r="H118">
        <v>2017</v>
      </c>
      <c r="I118">
        <v>2.67</v>
      </c>
      <c r="J118">
        <v>1.8</v>
      </c>
      <c r="K118">
        <v>0</v>
      </c>
      <c r="L118">
        <v>1.8</v>
      </c>
      <c r="M118" s="3">
        <v>7.17E-2</v>
      </c>
      <c r="N118" s="2">
        <v>0</v>
      </c>
      <c r="O118" s="3">
        <v>7.17E-2</v>
      </c>
      <c r="P118" s="3">
        <v>0.67400000000000004</v>
      </c>
      <c r="Q118" s="2">
        <v>0</v>
      </c>
      <c r="R118" s="3">
        <v>0.67400000000000004</v>
      </c>
      <c r="S118" t="s">
        <v>916</v>
      </c>
      <c r="U118" t="s">
        <v>904</v>
      </c>
    </row>
    <row r="119" spans="1:21" x14ac:dyDescent="0.6">
      <c r="A119">
        <v>118</v>
      </c>
      <c r="B119" t="str">
        <f>"8427"</f>
        <v>8427</v>
      </c>
      <c r="C119" t="s">
        <v>182</v>
      </c>
      <c r="D119" s="1">
        <v>42923</v>
      </c>
      <c r="E119">
        <v>56</v>
      </c>
      <c r="F119">
        <v>-0.4</v>
      </c>
      <c r="G119" s="3">
        <v>-7.1000000000000004E-3</v>
      </c>
      <c r="H119">
        <v>2017</v>
      </c>
      <c r="I119">
        <v>8.16</v>
      </c>
      <c r="J119">
        <v>4</v>
      </c>
      <c r="K119">
        <v>0</v>
      </c>
      <c r="L119">
        <v>4</v>
      </c>
      <c r="M119" s="3">
        <v>7.1400000000000005E-2</v>
      </c>
      <c r="N119" s="3">
        <v>0</v>
      </c>
      <c r="O119" s="3">
        <v>7.1400000000000005E-2</v>
      </c>
      <c r="P119" s="3">
        <v>0.49</v>
      </c>
      <c r="Q119" s="3">
        <v>0</v>
      </c>
      <c r="R119" s="2">
        <v>0.49</v>
      </c>
      <c r="S119" t="s">
        <v>897</v>
      </c>
      <c r="U119" t="s">
        <v>932</v>
      </c>
    </row>
    <row r="120" spans="1:21" x14ac:dyDescent="0.6">
      <c r="A120">
        <v>119</v>
      </c>
      <c r="B120" t="str">
        <f>"4552"</f>
        <v>4552</v>
      </c>
      <c r="C120" t="s">
        <v>184</v>
      </c>
      <c r="D120" s="1">
        <v>42923</v>
      </c>
      <c r="E120">
        <v>112.5</v>
      </c>
      <c r="F120">
        <v>-0.5</v>
      </c>
      <c r="G120" s="3">
        <v>-4.4000000000000003E-3</v>
      </c>
      <c r="H120">
        <v>2017</v>
      </c>
      <c r="I120">
        <v>10.8</v>
      </c>
      <c r="J120">
        <v>8</v>
      </c>
      <c r="K120">
        <v>0</v>
      </c>
      <c r="L120">
        <v>8</v>
      </c>
      <c r="M120" s="3">
        <v>7.1099999999999997E-2</v>
      </c>
      <c r="N120" s="2">
        <v>0</v>
      </c>
      <c r="O120" s="3">
        <v>7.1099999999999997E-2</v>
      </c>
      <c r="P120" s="3">
        <v>0.74099999999999999</v>
      </c>
      <c r="Q120" s="2">
        <v>0</v>
      </c>
      <c r="R120" s="3">
        <v>0.74099999999999999</v>
      </c>
    </row>
    <row r="121" spans="1:21" hidden="1" x14ac:dyDescent="0.6">
      <c r="A121">
        <v>120</v>
      </c>
      <c r="B121" t="str">
        <f>"3090"</f>
        <v>3090</v>
      </c>
      <c r="C121" t="s">
        <v>185</v>
      </c>
      <c r="D121" s="1">
        <v>42923</v>
      </c>
      <c r="E121">
        <v>28.2</v>
      </c>
      <c r="F121">
        <v>-0.25</v>
      </c>
      <c r="G121" s="3">
        <v>-8.8000000000000005E-3</v>
      </c>
      <c r="H121">
        <v>2017</v>
      </c>
      <c r="I121">
        <v>2.35</v>
      </c>
      <c r="J121">
        <v>2</v>
      </c>
      <c r="K121">
        <v>0</v>
      </c>
      <c r="L121">
        <v>2</v>
      </c>
      <c r="M121" s="3">
        <v>7.0900000000000005E-2</v>
      </c>
      <c r="N121" s="3">
        <v>0</v>
      </c>
      <c r="O121" s="3">
        <v>7.0900000000000005E-2</v>
      </c>
      <c r="P121" s="3">
        <v>0.85099999999999998</v>
      </c>
      <c r="Q121" s="3">
        <v>0</v>
      </c>
      <c r="R121" s="3">
        <v>0.85099999999999998</v>
      </c>
      <c r="S121" t="s">
        <v>895</v>
      </c>
      <c r="U121" t="s">
        <v>893</v>
      </c>
    </row>
    <row r="122" spans="1:21" x14ac:dyDescent="0.6">
      <c r="A122">
        <v>121</v>
      </c>
      <c r="B122" t="str">
        <f>"3628"</f>
        <v>3628</v>
      </c>
      <c r="C122" t="s">
        <v>186</v>
      </c>
      <c r="D122" s="1">
        <v>42923</v>
      </c>
      <c r="E122">
        <v>42.3</v>
      </c>
      <c r="F122">
        <v>-0.5</v>
      </c>
      <c r="G122" s="2">
        <v>-1.17E-2</v>
      </c>
      <c r="H122">
        <v>2017</v>
      </c>
      <c r="I122">
        <v>2.2599999999999998</v>
      </c>
      <c r="J122">
        <v>3</v>
      </c>
      <c r="K122">
        <v>0</v>
      </c>
      <c r="L122">
        <v>3</v>
      </c>
      <c r="M122" s="3">
        <v>7.0900000000000005E-2</v>
      </c>
      <c r="N122" s="2">
        <v>0</v>
      </c>
      <c r="O122" s="3">
        <v>7.0900000000000005E-2</v>
      </c>
      <c r="P122" s="3">
        <v>1.33</v>
      </c>
      <c r="Q122" s="2">
        <v>0</v>
      </c>
      <c r="R122" s="3">
        <v>1.33</v>
      </c>
    </row>
    <row r="123" spans="1:21" x14ac:dyDescent="0.6">
      <c r="A123">
        <v>122</v>
      </c>
      <c r="B123" t="str">
        <f>"5410"</f>
        <v>5410</v>
      </c>
      <c r="C123" t="s">
        <v>187</v>
      </c>
      <c r="D123" s="1">
        <v>42923</v>
      </c>
      <c r="E123">
        <v>14.1</v>
      </c>
      <c r="F123">
        <v>0</v>
      </c>
      <c r="G123" s="2">
        <v>0</v>
      </c>
      <c r="H123">
        <v>2017</v>
      </c>
      <c r="I123">
        <v>1.32</v>
      </c>
      <c r="J123">
        <v>1</v>
      </c>
      <c r="K123">
        <v>0</v>
      </c>
      <c r="L123">
        <v>1</v>
      </c>
      <c r="M123" s="3">
        <v>7.0900000000000005E-2</v>
      </c>
      <c r="N123" s="3">
        <v>0</v>
      </c>
      <c r="O123" s="3">
        <v>7.0900000000000005E-2</v>
      </c>
      <c r="P123" s="3">
        <v>0.75800000000000001</v>
      </c>
      <c r="Q123" s="3">
        <v>0</v>
      </c>
      <c r="R123" s="3">
        <v>0.75800000000000001</v>
      </c>
    </row>
    <row r="124" spans="1:21" x14ac:dyDescent="0.6">
      <c r="A124">
        <v>123</v>
      </c>
      <c r="B124" t="str">
        <f>"6263"</f>
        <v>6263</v>
      </c>
      <c r="C124" t="s">
        <v>188</v>
      </c>
      <c r="D124" s="1">
        <v>42923</v>
      </c>
      <c r="E124">
        <v>55</v>
      </c>
      <c r="F124">
        <v>0.1</v>
      </c>
      <c r="G124" s="3">
        <v>1.8E-3</v>
      </c>
      <c r="H124">
        <v>2017</v>
      </c>
      <c r="I124">
        <v>4.38</v>
      </c>
      <c r="J124">
        <v>3.9</v>
      </c>
      <c r="K124">
        <v>0</v>
      </c>
      <c r="L124">
        <v>3.9</v>
      </c>
      <c r="M124" s="3">
        <v>7.0900000000000005E-2</v>
      </c>
      <c r="N124" s="3">
        <v>0</v>
      </c>
      <c r="O124" s="3">
        <v>7.0900000000000005E-2</v>
      </c>
      <c r="P124" s="3">
        <v>0.89</v>
      </c>
      <c r="Q124" s="3">
        <v>0</v>
      </c>
      <c r="R124" s="3">
        <v>0.89</v>
      </c>
    </row>
    <row r="125" spans="1:21" x14ac:dyDescent="0.6">
      <c r="A125">
        <v>124</v>
      </c>
      <c r="B125" t="str">
        <f>"1704"</f>
        <v>1704</v>
      </c>
      <c r="C125" t="s">
        <v>189</v>
      </c>
      <c r="D125" s="1">
        <v>42923</v>
      </c>
      <c r="E125">
        <v>42.4</v>
      </c>
      <c r="F125">
        <v>-0.3</v>
      </c>
      <c r="G125" s="3">
        <v>-7.0000000000000001E-3</v>
      </c>
      <c r="H125">
        <v>2017</v>
      </c>
      <c r="I125">
        <v>4.6500000000000004</v>
      </c>
      <c r="J125">
        <v>3</v>
      </c>
      <c r="K125">
        <v>0</v>
      </c>
      <c r="L125">
        <v>3</v>
      </c>
      <c r="M125" s="3">
        <v>7.0800000000000002E-2</v>
      </c>
      <c r="N125" s="2">
        <v>0</v>
      </c>
      <c r="O125" s="3">
        <v>7.0800000000000002E-2</v>
      </c>
      <c r="P125" s="2">
        <v>0.64500000000000002</v>
      </c>
      <c r="Q125" s="2">
        <v>0</v>
      </c>
      <c r="R125" s="2">
        <v>0.64500000000000002</v>
      </c>
    </row>
    <row r="126" spans="1:21" hidden="1" x14ac:dyDescent="0.6">
      <c r="A126">
        <v>125</v>
      </c>
      <c r="B126" t="str">
        <f>"2024"</f>
        <v>2024</v>
      </c>
      <c r="C126" t="s">
        <v>191</v>
      </c>
      <c r="D126" s="1">
        <v>42923</v>
      </c>
      <c r="E126">
        <v>8.5</v>
      </c>
      <c r="F126">
        <v>-0.06</v>
      </c>
      <c r="G126" s="3">
        <v>-7.0000000000000001E-3</v>
      </c>
      <c r="H126">
        <v>2017</v>
      </c>
      <c r="I126">
        <v>1.03</v>
      </c>
      <c r="J126">
        <v>0.6</v>
      </c>
      <c r="K126">
        <v>0</v>
      </c>
      <c r="L126">
        <v>0.6</v>
      </c>
      <c r="M126" s="2">
        <v>7.0599999999999996E-2</v>
      </c>
      <c r="N126" s="2">
        <v>0</v>
      </c>
      <c r="O126" s="2">
        <v>7.0599999999999996E-2</v>
      </c>
      <c r="P126" s="2">
        <v>0.58199999999999996</v>
      </c>
      <c r="Q126" s="2">
        <v>0</v>
      </c>
      <c r="R126" s="2">
        <v>0.58199999999999996</v>
      </c>
      <c r="S126" t="s">
        <v>890</v>
      </c>
      <c r="U126" t="s">
        <v>893</v>
      </c>
    </row>
    <row r="127" spans="1:21" hidden="1" x14ac:dyDescent="0.6">
      <c r="A127">
        <v>126</v>
      </c>
      <c r="B127" t="str">
        <f>"2480"</f>
        <v>2480</v>
      </c>
      <c r="C127" t="s">
        <v>192</v>
      </c>
      <c r="D127" s="1">
        <v>42923</v>
      </c>
      <c r="E127">
        <v>29.75</v>
      </c>
      <c r="F127">
        <v>-0.1</v>
      </c>
      <c r="G127" s="3">
        <v>-3.3999999999999998E-3</v>
      </c>
      <c r="H127">
        <v>2017</v>
      </c>
      <c r="I127">
        <v>2.25</v>
      </c>
      <c r="J127">
        <v>2.1</v>
      </c>
      <c r="K127">
        <v>0</v>
      </c>
      <c r="L127">
        <v>2.1</v>
      </c>
      <c r="M127" s="3">
        <v>7.0599999999999996E-2</v>
      </c>
      <c r="N127" s="2">
        <v>0</v>
      </c>
      <c r="O127" s="3">
        <v>7.0599999999999996E-2</v>
      </c>
      <c r="P127" s="3">
        <v>0.93300000000000005</v>
      </c>
      <c r="Q127" s="2">
        <v>0</v>
      </c>
      <c r="R127" s="3">
        <v>0.93300000000000005</v>
      </c>
      <c r="S127" t="s">
        <v>901</v>
      </c>
      <c r="U127" t="s">
        <v>893</v>
      </c>
    </row>
    <row r="128" spans="1:21" x14ac:dyDescent="0.6">
      <c r="A128">
        <v>127</v>
      </c>
      <c r="B128" t="str">
        <f>"8131"</f>
        <v>8131</v>
      </c>
      <c r="C128" t="s">
        <v>193</v>
      </c>
      <c r="D128" s="1">
        <v>42923</v>
      </c>
      <c r="E128">
        <v>28.45</v>
      </c>
      <c r="F128">
        <v>-0.1</v>
      </c>
      <c r="G128" s="3">
        <v>-3.5000000000000001E-3</v>
      </c>
      <c r="H128">
        <v>2017</v>
      </c>
      <c r="I128">
        <v>2.31</v>
      </c>
      <c r="J128">
        <v>2</v>
      </c>
      <c r="K128">
        <v>0</v>
      </c>
      <c r="L128">
        <v>2</v>
      </c>
      <c r="M128" s="3">
        <v>7.0300000000000001E-2</v>
      </c>
      <c r="N128" s="2">
        <v>0</v>
      </c>
      <c r="O128" s="3">
        <v>7.0300000000000001E-2</v>
      </c>
      <c r="P128" s="2">
        <v>0.86599999999999999</v>
      </c>
      <c r="Q128" s="2">
        <v>0</v>
      </c>
      <c r="R128" s="2">
        <v>0.86599999999999999</v>
      </c>
      <c r="S128" t="s">
        <v>899</v>
      </c>
      <c r="U128" t="s">
        <v>929</v>
      </c>
    </row>
    <row r="129" spans="1:21" hidden="1" x14ac:dyDescent="0.6">
      <c r="A129">
        <v>128</v>
      </c>
      <c r="B129" t="str">
        <f>"3706"</f>
        <v>3706</v>
      </c>
      <c r="C129" t="s">
        <v>194</v>
      </c>
      <c r="D129" s="1">
        <v>42923</v>
      </c>
      <c r="E129">
        <v>35.6</v>
      </c>
      <c r="F129">
        <v>-0.3</v>
      </c>
      <c r="G129" s="3">
        <v>-8.3999999999999995E-3</v>
      </c>
      <c r="H129">
        <v>2017</v>
      </c>
      <c r="I129">
        <v>3.44</v>
      </c>
      <c r="J129">
        <v>2.5</v>
      </c>
      <c r="K129">
        <v>0</v>
      </c>
      <c r="L129">
        <v>2.5</v>
      </c>
      <c r="M129" s="3">
        <v>7.0099999999999996E-2</v>
      </c>
      <c r="N129" s="2">
        <v>0</v>
      </c>
      <c r="O129" s="3">
        <v>7.0099999999999996E-2</v>
      </c>
      <c r="P129" s="3">
        <v>0.72699999999999998</v>
      </c>
      <c r="Q129" s="2">
        <v>0</v>
      </c>
      <c r="R129" s="3">
        <v>0.72699999999999998</v>
      </c>
      <c r="S129" t="s">
        <v>903</v>
      </c>
      <c r="U129" t="s">
        <v>904</v>
      </c>
    </row>
    <row r="130" spans="1:21" x14ac:dyDescent="0.6">
      <c r="A130">
        <v>129</v>
      </c>
      <c r="B130" t="str">
        <f>"1787"</f>
        <v>1787</v>
      </c>
      <c r="C130" t="s">
        <v>195</v>
      </c>
      <c r="D130" s="1">
        <v>42923</v>
      </c>
      <c r="E130">
        <v>24.7</v>
      </c>
      <c r="F130">
        <v>-0.35</v>
      </c>
      <c r="G130" s="3">
        <v>-1.4E-2</v>
      </c>
      <c r="H130">
        <v>2017</v>
      </c>
      <c r="I130">
        <v>1.87</v>
      </c>
      <c r="J130">
        <v>1.73</v>
      </c>
      <c r="K130">
        <v>0</v>
      </c>
      <c r="L130">
        <v>1.73</v>
      </c>
      <c r="M130" s="3">
        <v>7.0000000000000007E-2</v>
      </c>
      <c r="N130" s="2">
        <v>0</v>
      </c>
      <c r="O130" s="3">
        <v>7.0000000000000007E-2</v>
      </c>
      <c r="P130" s="3">
        <v>0.92500000000000004</v>
      </c>
      <c r="Q130" s="2">
        <v>0</v>
      </c>
      <c r="R130" s="3">
        <v>0.92500000000000004</v>
      </c>
      <c r="S130" t="s">
        <v>913</v>
      </c>
      <c r="U130" t="s">
        <v>904</v>
      </c>
    </row>
    <row r="131" spans="1:21" x14ac:dyDescent="0.6">
      <c r="A131">
        <v>130</v>
      </c>
      <c r="B131" t="str">
        <f>"2450"</f>
        <v>2450</v>
      </c>
      <c r="C131" t="s">
        <v>196</v>
      </c>
      <c r="D131" s="1">
        <v>42923</v>
      </c>
      <c r="E131">
        <v>56.9</v>
      </c>
      <c r="F131">
        <v>0.1</v>
      </c>
      <c r="G131" s="3">
        <v>1.8E-3</v>
      </c>
      <c r="H131">
        <v>2017</v>
      </c>
      <c r="I131">
        <v>4.0199999999999996</v>
      </c>
      <c r="J131">
        <v>3.98</v>
      </c>
      <c r="K131">
        <v>0</v>
      </c>
      <c r="L131">
        <v>3.98</v>
      </c>
      <c r="M131" s="3">
        <v>7.0000000000000007E-2</v>
      </c>
      <c r="N131" s="2">
        <v>0</v>
      </c>
      <c r="O131" s="3">
        <v>7.0000000000000007E-2</v>
      </c>
      <c r="P131" s="3">
        <v>0.99</v>
      </c>
      <c r="Q131" s="2">
        <v>0</v>
      </c>
      <c r="R131" s="3">
        <v>0.99</v>
      </c>
      <c r="S131" t="s">
        <v>932</v>
      </c>
      <c r="U131" t="s">
        <v>936</v>
      </c>
    </row>
    <row r="132" spans="1:21" hidden="1" x14ac:dyDescent="0.6">
      <c r="A132">
        <v>131</v>
      </c>
      <c r="B132" t="str">
        <f>"1558"</f>
        <v>1558</v>
      </c>
      <c r="C132" t="s">
        <v>197</v>
      </c>
      <c r="D132" s="1">
        <v>42923</v>
      </c>
      <c r="E132">
        <v>136</v>
      </c>
      <c r="F132">
        <v>-0.5</v>
      </c>
      <c r="G132" s="3">
        <v>-3.7000000000000002E-3</v>
      </c>
      <c r="H132">
        <v>2017</v>
      </c>
      <c r="I132">
        <v>14.06</v>
      </c>
      <c r="J132">
        <v>9.5</v>
      </c>
      <c r="K132">
        <v>0</v>
      </c>
      <c r="L132">
        <v>9.5</v>
      </c>
      <c r="M132" s="3">
        <v>6.9900000000000004E-2</v>
      </c>
      <c r="N132" s="2">
        <v>0</v>
      </c>
      <c r="O132" s="3">
        <v>6.9900000000000004E-2</v>
      </c>
      <c r="P132" s="3">
        <v>0.67600000000000005</v>
      </c>
      <c r="Q132" s="2">
        <v>0</v>
      </c>
      <c r="R132" s="3">
        <v>0.67600000000000005</v>
      </c>
      <c r="S132" t="s">
        <v>892</v>
      </c>
      <c r="U132" t="s">
        <v>914</v>
      </c>
    </row>
    <row r="133" spans="1:21" hidden="1" x14ac:dyDescent="0.6">
      <c r="A133">
        <v>132</v>
      </c>
      <c r="B133" t="str">
        <f>"2459"</f>
        <v>2459</v>
      </c>
      <c r="C133" t="s">
        <v>198</v>
      </c>
      <c r="D133" s="1">
        <v>42923</v>
      </c>
      <c r="E133">
        <v>37.25</v>
      </c>
      <c r="F133">
        <v>-0.35</v>
      </c>
      <c r="G133" s="3">
        <v>-9.2999999999999992E-3</v>
      </c>
      <c r="H133">
        <v>2017</v>
      </c>
      <c r="I133">
        <v>3.72</v>
      </c>
      <c r="J133">
        <v>2.6</v>
      </c>
      <c r="K133">
        <v>0</v>
      </c>
      <c r="L133">
        <v>2.6</v>
      </c>
      <c r="M133" s="3">
        <v>6.9800000000000001E-2</v>
      </c>
      <c r="N133" s="2">
        <v>0</v>
      </c>
      <c r="O133" s="3">
        <v>6.9800000000000001E-2</v>
      </c>
      <c r="P133" s="2">
        <v>0.69899999999999995</v>
      </c>
      <c r="Q133" s="2">
        <v>0</v>
      </c>
      <c r="R133" s="2">
        <v>0.69899999999999995</v>
      </c>
      <c r="S133" t="s">
        <v>892</v>
      </c>
      <c r="U133" t="s">
        <v>904</v>
      </c>
    </row>
    <row r="134" spans="1:21" hidden="1" x14ac:dyDescent="0.6">
      <c r="A134">
        <v>133</v>
      </c>
      <c r="B134" t="str">
        <f>"6281"</f>
        <v>6281</v>
      </c>
      <c r="C134" t="s">
        <v>199</v>
      </c>
      <c r="D134" s="1">
        <v>42923</v>
      </c>
      <c r="E134">
        <v>61.8</v>
      </c>
      <c r="F134">
        <v>0.2</v>
      </c>
      <c r="G134" s="3">
        <v>3.2000000000000002E-3</v>
      </c>
      <c r="H134">
        <v>2017</v>
      </c>
      <c r="I134">
        <v>4.9800000000000004</v>
      </c>
      <c r="J134">
        <v>4.3</v>
      </c>
      <c r="K134">
        <v>0</v>
      </c>
      <c r="L134">
        <v>4.3</v>
      </c>
      <c r="M134" s="3">
        <v>6.9599999999999995E-2</v>
      </c>
      <c r="N134" s="2">
        <v>0</v>
      </c>
      <c r="O134" s="3">
        <v>6.9599999999999995E-2</v>
      </c>
      <c r="P134" s="3">
        <v>0.86399999999999999</v>
      </c>
      <c r="Q134" s="2">
        <v>0</v>
      </c>
      <c r="R134" s="3">
        <v>0.86399999999999999</v>
      </c>
      <c r="S134" t="s">
        <v>938</v>
      </c>
      <c r="U134" t="s">
        <v>903</v>
      </c>
    </row>
    <row r="135" spans="1:21" x14ac:dyDescent="0.6">
      <c r="A135">
        <v>134</v>
      </c>
      <c r="B135" t="str">
        <f>"6277"</f>
        <v>6277</v>
      </c>
      <c r="C135" t="s">
        <v>200</v>
      </c>
      <c r="D135" s="1">
        <v>42923</v>
      </c>
      <c r="E135">
        <v>83.5</v>
      </c>
      <c r="F135">
        <v>-0.2</v>
      </c>
      <c r="G135" s="3">
        <v>-2.3999999999999998E-3</v>
      </c>
      <c r="H135">
        <v>2017</v>
      </c>
      <c r="I135">
        <v>6.6</v>
      </c>
      <c r="J135">
        <v>5.8</v>
      </c>
      <c r="K135">
        <v>0</v>
      </c>
      <c r="L135">
        <v>5.8</v>
      </c>
      <c r="M135" s="3">
        <v>6.9500000000000006E-2</v>
      </c>
      <c r="N135" s="2">
        <v>0</v>
      </c>
      <c r="O135" s="3">
        <v>6.9500000000000006E-2</v>
      </c>
      <c r="P135" s="3">
        <v>0.879</v>
      </c>
      <c r="Q135" s="2">
        <v>0</v>
      </c>
      <c r="R135" s="3">
        <v>0.879</v>
      </c>
    </row>
    <row r="136" spans="1:21" hidden="1" x14ac:dyDescent="0.6">
      <c r="A136">
        <v>135</v>
      </c>
      <c r="B136" t="str">
        <f>"5234"</f>
        <v>5234</v>
      </c>
      <c r="C136" t="s">
        <v>201</v>
      </c>
      <c r="D136" s="1">
        <v>42923</v>
      </c>
      <c r="E136">
        <v>43.25</v>
      </c>
      <c r="F136">
        <v>-0.5</v>
      </c>
      <c r="G136" s="3">
        <v>-1.14E-2</v>
      </c>
      <c r="H136">
        <v>2017</v>
      </c>
      <c r="I136">
        <v>3.78</v>
      </c>
      <c r="J136">
        <v>3</v>
      </c>
      <c r="K136">
        <v>0</v>
      </c>
      <c r="L136">
        <v>3</v>
      </c>
      <c r="M136" s="3">
        <v>6.9400000000000003E-2</v>
      </c>
      <c r="N136" s="2">
        <v>0</v>
      </c>
      <c r="O136" s="3">
        <v>6.9400000000000003E-2</v>
      </c>
      <c r="P136" s="3">
        <v>0.79400000000000004</v>
      </c>
      <c r="Q136" s="2">
        <v>0</v>
      </c>
      <c r="R136" s="3">
        <v>0.79400000000000004</v>
      </c>
      <c r="S136" t="s">
        <v>888</v>
      </c>
      <c r="U136" t="s">
        <v>933</v>
      </c>
    </row>
    <row r="137" spans="1:21" x14ac:dyDescent="0.6">
      <c r="A137">
        <v>136</v>
      </c>
      <c r="B137" t="str">
        <f>"2414"</f>
        <v>2414</v>
      </c>
      <c r="C137" t="s">
        <v>202</v>
      </c>
      <c r="D137" s="1">
        <v>42923</v>
      </c>
      <c r="E137">
        <v>18.75</v>
      </c>
      <c r="F137">
        <v>-0.05</v>
      </c>
      <c r="G137" s="3">
        <v>-2.7000000000000001E-3</v>
      </c>
      <c r="H137">
        <v>2017</v>
      </c>
      <c r="I137">
        <v>1.44</v>
      </c>
      <c r="J137">
        <v>1.3</v>
      </c>
      <c r="K137">
        <v>0</v>
      </c>
      <c r="L137">
        <v>1.3</v>
      </c>
      <c r="M137" s="3">
        <v>6.93E-2</v>
      </c>
      <c r="N137" s="2">
        <v>0</v>
      </c>
      <c r="O137" s="3">
        <v>6.93E-2</v>
      </c>
      <c r="P137" s="3">
        <v>0.90300000000000002</v>
      </c>
      <c r="Q137" s="2">
        <v>0</v>
      </c>
      <c r="R137" s="3">
        <v>0.90300000000000002</v>
      </c>
      <c r="S137" t="s">
        <v>908</v>
      </c>
      <c r="U137" t="s">
        <v>900</v>
      </c>
    </row>
    <row r="138" spans="1:21" x14ac:dyDescent="0.6">
      <c r="A138">
        <v>137</v>
      </c>
      <c r="B138" t="str">
        <f>"3556"</f>
        <v>3556</v>
      </c>
      <c r="C138" t="s">
        <v>203</v>
      </c>
      <c r="D138" s="1">
        <v>42923</v>
      </c>
      <c r="E138">
        <v>53.7</v>
      </c>
      <c r="F138">
        <v>-0.4</v>
      </c>
      <c r="G138" s="3">
        <v>-7.4000000000000003E-3</v>
      </c>
      <c r="H138">
        <v>2017</v>
      </c>
      <c r="I138">
        <v>3.46</v>
      </c>
      <c r="J138">
        <v>3.7</v>
      </c>
      <c r="K138">
        <v>0.4</v>
      </c>
      <c r="L138">
        <v>4.0999999999999996</v>
      </c>
      <c r="M138" s="2">
        <v>6.8900000000000003E-2</v>
      </c>
      <c r="N138" s="3">
        <v>7.4000000000000003E-3</v>
      </c>
      <c r="O138" s="3">
        <v>7.6399999999999996E-2</v>
      </c>
      <c r="P138" s="3">
        <v>1.07</v>
      </c>
      <c r="Q138" s="3">
        <v>0.11600000000000001</v>
      </c>
      <c r="R138" s="2">
        <v>1.18</v>
      </c>
      <c r="S138" t="s">
        <v>917</v>
      </c>
      <c r="T138" t="s">
        <v>917</v>
      </c>
      <c r="U138" t="s">
        <v>915</v>
      </c>
    </row>
    <row r="139" spans="1:21" hidden="1" x14ac:dyDescent="0.6">
      <c r="A139">
        <v>138</v>
      </c>
      <c r="B139" t="str">
        <f>"5878"</f>
        <v>5878</v>
      </c>
      <c r="C139" t="s">
        <v>205</v>
      </c>
      <c r="D139" s="1">
        <v>42923</v>
      </c>
      <c r="E139">
        <v>46.5</v>
      </c>
      <c r="F139">
        <v>-0.3</v>
      </c>
      <c r="G139" s="3">
        <v>-6.4000000000000003E-3</v>
      </c>
      <c r="H139">
        <v>2017</v>
      </c>
      <c r="I139">
        <v>3.62</v>
      </c>
      <c r="J139">
        <v>3.2</v>
      </c>
      <c r="K139">
        <v>0</v>
      </c>
      <c r="L139">
        <v>3.2</v>
      </c>
      <c r="M139" s="3">
        <v>6.88E-2</v>
      </c>
      <c r="N139" s="3">
        <v>0</v>
      </c>
      <c r="O139" s="3">
        <v>6.88E-2</v>
      </c>
      <c r="P139" s="3">
        <v>0.88400000000000001</v>
      </c>
      <c r="Q139" s="3">
        <v>0</v>
      </c>
      <c r="R139" s="3">
        <v>0.88400000000000001</v>
      </c>
      <c r="S139" t="s">
        <v>888</v>
      </c>
      <c r="U139" t="s">
        <v>922</v>
      </c>
    </row>
    <row r="140" spans="1:21" hidden="1" x14ac:dyDescent="0.6">
      <c r="A140">
        <v>139</v>
      </c>
      <c r="B140" t="str">
        <f>"3684"</f>
        <v>3684</v>
      </c>
      <c r="C140" t="s">
        <v>206</v>
      </c>
      <c r="D140" s="1">
        <v>42923</v>
      </c>
      <c r="E140">
        <v>36.35</v>
      </c>
      <c r="F140">
        <v>-0.7</v>
      </c>
      <c r="G140" s="3">
        <v>-1.89E-2</v>
      </c>
      <c r="H140">
        <v>2017</v>
      </c>
      <c r="I140">
        <v>3.04</v>
      </c>
      <c r="J140">
        <v>2.5</v>
      </c>
      <c r="K140">
        <v>0</v>
      </c>
      <c r="L140">
        <v>2.5</v>
      </c>
      <c r="M140" s="3">
        <v>6.88E-2</v>
      </c>
      <c r="N140" s="2">
        <v>0</v>
      </c>
      <c r="O140" s="3">
        <v>6.88E-2</v>
      </c>
      <c r="P140" s="3">
        <v>0.82199999999999995</v>
      </c>
      <c r="Q140" s="2">
        <v>0</v>
      </c>
      <c r="R140" s="3">
        <v>0.82199999999999995</v>
      </c>
      <c r="S140" t="s">
        <v>895</v>
      </c>
      <c r="U140" t="s">
        <v>904</v>
      </c>
    </row>
    <row r="141" spans="1:21" hidden="1" x14ac:dyDescent="0.6">
      <c r="A141">
        <v>140</v>
      </c>
      <c r="B141" t="str">
        <f>"2376"</f>
        <v>2376</v>
      </c>
      <c r="C141" t="s">
        <v>207</v>
      </c>
      <c r="D141" s="1">
        <v>42923</v>
      </c>
      <c r="E141">
        <v>37.9</v>
      </c>
      <c r="F141">
        <v>-0.4</v>
      </c>
      <c r="G141" s="3">
        <v>-1.04E-2</v>
      </c>
      <c r="H141">
        <v>2017</v>
      </c>
      <c r="I141">
        <v>3.64</v>
      </c>
      <c r="J141">
        <v>2.6</v>
      </c>
      <c r="K141">
        <v>0</v>
      </c>
      <c r="L141">
        <v>2.6</v>
      </c>
      <c r="M141" s="3">
        <v>6.8599999999999994E-2</v>
      </c>
      <c r="N141" s="2">
        <v>0</v>
      </c>
      <c r="O141" s="3">
        <v>6.8599999999999994E-2</v>
      </c>
      <c r="P141" s="3">
        <v>0.71399999999999997</v>
      </c>
      <c r="Q141" s="2">
        <v>0</v>
      </c>
      <c r="R141" s="3">
        <v>0.71399999999999997</v>
      </c>
      <c r="S141" t="s">
        <v>895</v>
      </c>
    </row>
    <row r="142" spans="1:21" hidden="1" x14ac:dyDescent="0.6">
      <c r="A142">
        <v>141</v>
      </c>
      <c r="B142" t="str">
        <f>"8016"</f>
        <v>8016</v>
      </c>
      <c r="C142" t="s">
        <v>208</v>
      </c>
      <c r="D142" s="1">
        <v>42923</v>
      </c>
      <c r="E142">
        <v>87.7</v>
      </c>
      <c r="F142">
        <v>-1.6</v>
      </c>
      <c r="G142" s="3">
        <v>-1.7899999999999999E-2</v>
      </c>
      <c r="H142">
        <v>2017</v>
      </c>
      <c r="I142">
        <v>8.77</v>
      </c>
      <c r="J142">
        <v>6</v>
      </c>
      <c r="K142">
        <v>0</v>
      </c>
      <c r="L142">
        <v>6</v>
      </c>
      <c r="M142" s="3">
        <v>6.8400000000000002E-2</v>
      </c>
      <c r="N142" s="2">
        <v>0</v>
      </c>
      <c r="O142" s="3">
        <v>6.8400000000000002E-2</v>
      </c>
      <c r="P142" s="3">
        <v>0.68400000000000005</v>
      </c>
      <c r="Q142" s="2">
        <v>0</v>
      </c>
      <c r="R142" s="3">
        <v>0.68400000000000005</v>
      </c>
      <c r="S142" t="s">
        <v>903</v>
      </c>
      <c r="U142" t="s">
        <v>910</v>
      </c>
    </row>
    <row r="143" spans="1:21" x14ac:dyDescent="0.6">
      <c r="A143">
        <v>142</v>
      </c>
      <c r="B143" t="str">
        <f>"2340"</f>
        <v>2340</v>
      </c>
      <c r="C143" t="s">
        <v>209</v>
      </c>
      <c r="D143" s="1">
        <v>42923</v>
      </c>
      <c r="E143">
        <v>17.649999999999999</v>
      </c>
      <c r="F143">
        <v>0</v>
      </c>
      <c r="G143" s="2">
        <v>0</v>
      </c>
      <c r="H143">
        <v>2017</v>
      </c>
      <c r="I143">
        <v>1.57</v>
      </c>
      <c r="J143">
        <v>1.2</v>
      </c>
      <c r="K143">
        <v>0</v>
      </c>
      <c r="L143">
        <v>1.2</v>
      </c>
      <c r="M143" s="3">
        <v>6.8000000000000005E-2</v>
      </c>
      <c r="N143" s="2">
        <v>0</v>
      </c>
      <c r="O143" s="3">
        <v>6.8000000000000005E-2</v>
      </c>
      <c r="P143" s="3">
        <v>0.76400000000000001</v>
      </c>
      <c r="Q143" s="2">
        <v>0</v>
      </c>
      <c r="R143" s="3">
        <v>0.76400000000000001</v>
      </c>
    </row>
    <row r="144" spans="1:21" x14ac:dyDescent="0.6">
      <c r="A144">
        <v>143</v>
      </c>
      <c r="B144" t="str">
        <f>"3130"</f>
        <v>3130</v>
      </c>
      <c r="C144" t="s">
        <v>211</v>
      </c>
      <c r="D144" s="1">
        <v>42923</v>
      </c>
      <c r="E144">
        <v>159</v>
      </c>
      <c r="F144">
        <v>-0.5</v>
      </c>
      <c r="G144" s="3">
        <v>-3.0999999999999999E-3</v>
      </c>
      <c r="H144">
        <v>2017</v>
      </c>
      <c r="I144">
        <v>12.04</v>
      </c>
      <c r="J144">
        <v>10.81</v>
      </c>
      <c r="K144">
        <v>0</v>
      </c>
      <c r="L144">
        <v>10.81</v>
      </c>
      <c r="M144" s="3">
        <v>6.8000000000000005E-2</v>
      </c>
      <c r="N144" s="2">
        <v>0</v>
      </c>
      <c r="O144" s="3">
        <v>6.8000000000000005E-2</v>
      </c>
      <c r="P144" s="3">
        <v>0.89800000000000002</v>
      </c>
      <c r="Q144" s="2">
        <v>0</v>
      </c>
      <c r="R144" s="3">
        <v>0.89800000000000002</v>
      </c>
      <c r="S144" t="s">
        <v>889</v>
      </c>
      <c r="U144" t="s">
        <v>929</v>
      </c>
    </row>
    <row r="145" spans="1:21" hidden="1" x14ac:dyDescent="0.6">
      <c r="A145">
        <v>144</v>
      </c>
      <c r="B145" t="str">
        <f>"1615"</f>
        <v>1615</v>
      </c>
      <c r="C145" t="s">
        <v>212</v>
      </c>
      <c r="D145" s="1">
        <v>42923</v>
      </c>
      <c r="E145">
        <v>11.05</v>
      </c>
      <c r="F145">
        <v>-0.05</v>
      </c>
      <c r="G145" s="3">
        <v>-4.4999999999999997E-3</v>
      </c>
      <c r="H145">
        <v>2017</v>
      </c>
      <c r="I145">
        <v>0.84</v>
      </c>
      <c r="J145">
        <v>0.75</v>
      </c>
      <c r="K145">
        <v>0</v>
      </c>
      <c r="L145">
        <v>0.75</v>
      </c>
      <c r="M145" s="3">
        <v>6.7900000000000002E-2</v>
      </c>
      <c r="N145" s="2">
        <v>0</v>
      </c>
      <c r="O145" s="3">
        <v>6.7900000000000002E-2</v>
      </c>
      <c r="P145" s="3">
        <v>0.89300000000000002</v>
      </c>
      <c r="Q145" s="2">
        <v>0</v>
      </c>
      <c r="R145" s="3">
        <v>0.89300000000000002</v>
      </c>
      <c r="S145" t="s">
        <v>892</v>
      </c>
      <c r="U145" t="s">
        <v>893</v>
      </c>
    </row>
    <row r="146" spans="1:21" x14ac:dyDescent="0.6">
      <c r="A146">
        <v>145</v>
      </c>
      <c r="B146" t="str">
        <f>"8472"</f>
        <v>8472</v>
      </c>
      <c r="C146" t="s">
        <v>213</v>
      </c>
      <c r="D146" s="1">
        <v>42923</v>
      </c>
      <c r="E146">
        <v>40.9</v>
      </c>
      <c r="F146">
        <v>0.05</v>
      </c>
      <c r="G146" s="3">
        <v>1.1999999999999999E-3</v>
      </c>
      <c r="H146">
        <v>2017</v>
      </c>
      <c r="I146">
        <v>3.09</v>
      </c>
      <c r="J146">
        <v>2.77</v>
      </c>
      <c r="K146">
        <v>0</v>
      </c>
      <c r="L146">
        <v>2.77</v>
      </c>
      <c r="M146" s="3">
        <v>6.7699999999999996E-2</v>
      </c>
      <c r="N146" s="2">
        <v>0</v>
      </c>
      <c r="O146" s="3">
        <v>6.7699999999999996E-2</v>
      </c>
      <c r="P146" s="3">
        <v>0.89600000000000002</v>
      </c>
      <c r="Q146" s="2">
        <v>0</v>
      </c>
      <c r="R146" s="3">
        <v>0.89600000000000002</v>
      </c>
      <c r="S146" t="s">
        <v>902</v>
      </c>
      <c r="U146" t="s">
        <v>915</v>
      </c>
    </row>
    <row r="147" spans="1:21" x14ac:dyDescent="0.6">
      <c r="A147">
        <v>146</v>
      </c>
      <c r="B147" t="str">
        <f>"6442"</f>
        <v>6442</v>
      </c>
      <c r="C147" t="s">
        <v>214</v>
      </c>
      <c r="D147" s="1">
        <v>42923</v>
      </c>
      <c r="E147">
        <v>48.8</v>
      </c>
      <c r="F147">
        <v>-0.75</v>
      </c>
      <c r="G147" s="3">
        <v>-1.5100000000000001E-2</v>
      </c>
      <c r="H147">
        <v>2017</v>
      </c>
      <c r="I147">
        <v>4.3899999999999997</v>
      </c>
      <c r="J147">
        <v>3.3</v>
      </c>
      <c r="K147">
        <v>0</v>
      </c>
      <c r="L147">
        <v>3.3</v>
      </c>
      <c r="M147" s="3">
        <v>6.7599999999999993E-2</v>
      </c>
      <c r="N147" s="2">
        <v>0</v>
      </c>
      <c r="O147" s="3">
        <v>6.7599999999999993E-2</v>
      </c>
      <c r="P147" s="3">
        <v>0.752</v>
      </c>
      <c r="Q147" s="2">
        <v>0</v>
      </c>
      <c r="R147" s="3">
        <v>0.752</v>
      </c>
      <c r="S147" t="s">
        <v>925</v>
      </c>
      <c r="U147" t="s">
        <v>896</v>
      </c>
    </row>
    <row r="148" spans="1:21" x14ac:dyDescent="0.6">
      <c r="A148">
        <v>147</v>
      </c>
      <c r="B148" t="str">
        <f>"4987"</f>
        <v>4987</v>
      </c>
      <c r="C148" t="s">
        <v>215</v>
      </c>
      <c r="D148" s="1">
        <v>42923</v>
      </c>
      <c r="E148">
        <v>51.8</v>
      </c>
      <c r="F148">
        <v>0.3</v>
      </c>
      <c r="G148" s="3">
        <v>5.7999999999999996E-3</v>
      </c>
      <c r="H148">
        <v>2017</v>
      </c>
      <c r="I148">
        <v>4.25</v>
      </c>
      <c r="J148">
        <v>3.5</v>
      </c>
      <c r="K148">
        <v>0</v>
      </c>
      <c r="L148">
        <v>3.5</v>
      </c>
      <c r="M148" s="3">
        <v>6.7599999999999993E-2</v>
      </c>
      <c r="N148" s="2">
        <v>0</v>
      </c>
      <c r="O148" s="3">
        <v>6.7599999999999993E-2</v>
      </c>
      <c r="P148" s="3">
        <v>0.82399999999999995</v>
      </c>
      <c r="Q148" s="2">
        <v>0</v>
      </c>
      <c r="R148" s="3">
        <v>0.82399999999999995</v>
      </c>
    </row>
    <row r="149" spans="1:21" hidden="1" x14ac:dyDescent="0.6">
      <c r="A149">
        <v>148</v>
      </c>
      <c r="B149" t="str">
        <f>"3479"</f>
        <v>3479</v>
      </c>
      <c r="C149" t="s">
        <v>216</v>
      </c>
      <c r="D149" s="1">
        <v>42923</v>
      </c>
      <c r="E149">
        <v>53.3</v>
      </c>
      <c r="F149">
        <v>0.3</v>
      </c>
      <c r="G149" s="3">
        <v>5.7000000000000002E-3</v>
      </c>
      <c r="H149">
        <v>2017</v>
      </c>
      <c r="I149">
        <v>4.74</v>
      </c>
      <c r="J149">
        <v>3.6</v>
      </c>
      <c r="K149">
        <v>0</v>
      </c>
      <c r="L149">
        <v>3.6</v>
      </c>
      <c r="M149" s="3">
        <v>6.7599999999999993E-2</v>
      </c>
      <c r="N149" s="2">
        <v>0</v>
      </c>
      <c r="O149" s="3">
        <v>6.7599999999999993E-2</v>
      </c>
      <c r="P149" s="3">
        <v>0.76</v>
      </c>
      <c r="Q149" s="2">
        <v>0</v>
      </c>
      <c r="R149" s="3">
        <v>0.76</v>
      </c>
      <c r="S149" t="s">
        <v>888</v>
      </c>
      <c r="U149" t="s">
        <v>893</v>
      </c>
    </row>
    <row r="150" spans="1:21" x14ac:dyDescent="0.6">
      <c r="A150">
        <v>149</v>
      </c>
      <c r="B150" t="str">
        <f>"2029"</f>
        <v>2029</v>
      </c>
      <c r="C150" t="s">
        <v>217</v>
      </c>
      <c r="D150" s="1">
        <v>42923</v>
      </c>
      <c r="E150">
        <v>36.35</v>
      </c>
      <c r="F150">
        <v>-0.75</v>
      </c>
      <c r="G150" s="3">
        <v>-2.0199999999999999E-2</v>
      </c>
      <c r="H150">
        <v>2017</v>
      </c>
      <c r="I150">
        <v>3.96</v>
      </c>
      <c r="J150">
        <v>2.4500000000000002</v>
      </c>
      <c r="K150">
        <v>0</v>
      </c>
      <c r="L150">
        <v>2.4500000000000002</v>
      </c>
      <c r="M150" s="3">
        <v>6.7400000000000002E-2</v>
      </c>
      <c r="N150" s="2">
        <v>0</v>
      </c>
      <c r="O150" s="3">
        <v>6.7400000000000002E-2</v>
      </c>
      <c r="P150" s="3">
        <v>0.61899999999999999</v>
      </c>
      <c r="Q150" s="2">
        <v>0</v>
      </c>
      <c r="R150" s="3">
        <v>0.61899999999999999</v>
      </c>
      <c r="S150" t="s">
        <v>922</v>
      </c>
      <c r="U150" t="s">
        <v>937</v>
      </c>
    </row>
    <row r="151" spans="1:21" x14ac:dyDescent="0.6">
      <c r="A151">
        <v>150</v>
      </c>
      <c r="B151" t="str">
        <f>"5493"</f>
        <v>5493</v>
      </c>
      <c r="C151" t="s">
        <v>218</v>
      </c>
      <c r="D151" s="1">
        <v>42923</v>
      </c>
      <c r="E151">
        <v>29.7</v>
      </c>
      <c r="F151">
        <v>0.05</v>
      </c>
      <c r="G151" s="3">
        <v>1.6999999999999999E-3</v>
      </c>
      <c r="H151">
        <v>2017</v>
      </c>
      <c r="I151">
        <v>2.94</v>
      </c>
      <c r="J151">
        <v>2</v>
      </c>
      <c r="K151">
        <v>0</v>
      </c>
      <c r="L151">
        <v>2</v>
      </c>
      <c r="M151" s="3">
        <v>6.7299999999999999E-2</v>
      </c>
      <c r="N151" s="3">
        <v>0</v>
      </c>
      <c r="O151" s="3">
        <v>6.7299999999999999E-2</v>
      </c>
      <c r="P151" s="3">
        <v>0.68</v>
      </c>
      <c r="Q151" s="2">
        <v>0</v>
      </c>
      <c r="R151" s="3">
        <v>0.68</v>
      </c>
      <c r="S151" t="s">
        <v>917</v>
      </c>
      <c r="U151" t="s">
        <v>915</v>
      </c>
    </row>
    <row r="152" spans="1:21" x14ac:dyDescent="0.6">
      <c r="A152">
        <v>151</v>
      </c>
      <c r="B152" t="str">
        <f>"6174"</f>
        <v>6174</v>
      </c>
      <c r="C152" t="s">
        <v>219</v>
      </c>
      <c r="D152" s="1">
        <v>42923</v>
      </c>
      <c r="E152">
        <v>14.85</v>
      </c>
      <c r="F152">
        <v>-0.05</v>
      </c>
      <c r="G152" s="3">
        <v>-3.3999999999999998E-3</v>
      </c>
      <c r="H152">
        <v>2017</v>
      </c>
      <c r="I152">
        <v>1.08</v>
      </c>
      <c r="J152">
        <v>1</v>
      </c>
      <c r="K152">
        <v>0</v>
      </c>
      <c r="L152">
        <v>1</v>
      </c>
      <c r="M152" s="3">
        <v>6.7299999999999999E-2</v>
      </c>
      <c r="N152" s="2">
        <v>0</v>
      </c>
      <c r="O152" s="3">
        <v>6.7299999999999999E-2</v>
      </c>
      <c r="P152" s="3">
        <v>0.92600000000000005</v>
      </c>
      <c r="Q152" s="2">
        <v>0</v>
      </c>
      <c r="R152" s="3">
        <v>0.92600000000000005</v>
      </c>
    </row>
    <row r="153" spans="1:21" x14ac:dyDescent="0.6">
      <c r="A153">
        <v>152</v>
      </c>
      <c r="B153" t="str">
        <f>"6176"</f>
        <v>6176</v>
      </c>
      <c r="C153" t="s">
        <v>221</v>
      </c>
      <c r="D153" s="1">
        <v>42923</v>
      </c>
      <c r="E153">
        <v>66.900000000000006</v>
      </c>
      <c r="F153">
        <v>-0.6</v>
      </c>
      <c r="G153" s="3">
        <v>-8.8999999999999999E-3</v>
      </c>
      <c r="H153">
        <v>2017</v>
      </c>
      <c r="I153">
        <v>6.81</v>
      </c>
      <c r="J153">
        <v>4.5</v>
      </c>
      <c r="K153">
        <v>0</v>
      </c>
      <c r="L153">
        <v>4.5</v>
      </c>
      <c r="M153" s="3">
        <v>6.7299999999999999E-2</v>
      </c>
      <c r="N153" s="2">
        <v>0</v>
      </c>
      <c r="O153" s="3">
        <v>6.7299999999999999E-2</v>
      </c>
      <c r="P153" s="3">
        <v>0.66100000000000003</v>
      </c>
      <c r="Q153" s="2">
        <v>0</v>
      </c>
      <c r="R153" s="3">
        <v>0.66100000000000003</v>
      </c>
      <c r="S153" t="s">
        <v>922</v>
      </c>
      <c r="U153" t="s">
        <v>909</v>
      </c>
    </row>
    <row r="154" spans="1:21" hidden="1" x14ac:dyDescent="0.6">
      <c r="A154">
        <v>153</v>
      </c>
      <c r="B154" t="str">
        <f>"2114"</f>
        <v>2114</v>
      </c>
      <c r="C154" t="s">
        <v>222</v>
      </c>
      <c r="D154" s="1">
        <v>42923</v>
      </c>
      <c r="E154">
        <v>74.5</v>
      </c>
      <c r="F154">
        <v>0.8</v>
      </c>
      <c r="G154" s="3">
        <v>1.09E-2</v>
      </c>
      <c r="H154">
        <v>2017</v>
      </c>
      <c r="I154">
        <v>5.19</v>
      </c>
      <c r="J154">
        <v>5</v>
      </c>
      <c r="K154">
        <v>0</v>
      </c>
      <c r="L154">
        <v>5</v>
      </c>
      <c r="M154" s="3">
        <v>6.7100000000000007E-2</v>
      </c>
      <c r="N154" s="2">
        <v>0</v>
      </c>
      <c r="O154" s="3">
        <v>6.7100000000000007E-2</v>
      </c>
      <c r="P154" s="3">
        <v>0.96299999999999997</v>
      </c>
      <c r="Q154" s="2">
        <v>0</v>
      </c>
      <c r="R154" s="3">
        <v>0.96299999999999997</v>
      </c>
      <c r="S154" t="s">
        <v>894</v>
      </c>
      <c r="U154" t="s">
        <v>940</v>
      </c>
    </row>
    <row r="155" spans="1:21" x14ac:dyDescent="0.6">
      <c r="A155">
        <v>154</v>
      </c>
      <c r="B155" t="str">
        <f>"4532"</f>
        <v>4532</v>
      </c>
      <c r="C155" t="s">
        <v>223</v>
      </c>
      <c r="D155" s="1">
        <v>42923</v>
      </c>
      <c r="E155">
        <v>34.299999999999997</v>
      </c>
      <c r="F155">
        <v>-0.35</v>
      </c>
      <c r="G155" s="3">
        <v>-1.01E-2</v>
      </c>
      <c r="H155">
        <v>2017</v>
      </c>
      <c r="I155">
        <v>2.8</v>
      </c>
      <c r="J155">
        <v>2.2999999999999998</v>
      </c>
      <c r="K155">
        <v>0</v>
      </c>
      <c r="L155">
        <v>2.2999999999999998</v>
      </c>
      <c r="M155" s="3">
        <v>6.7100000000000007E-2</v>
      </c>
      <c r="N155" s="3">
        <v>0</v>
      </c>
      <c r="O155" s="3">
        <v>6.7100000000000007E-2</v>
      </c>
      <c r="P155" s="3">
        <v>0.82099999999999995</v>
      </c>
      <c r="Q155" s="3">
        <v>0</v>
      </c>
      <c r="R155" s="3">
        <v>0.82099999999999995</v>
      </c>
    </row>
    <row r="156" spans="1:21" x14ac:dyDescent="0.6">
      <c r="A156">
        <v>155</v>
      </c>
      <c r="B156" t="str">
        <f>"6142"</f>
        <v>6142</v>
      </c>
      <c r="C156" t="s">
        <v>224</v>
      </c>
      <c r="D156" s="1">
        <v>42923</v>
      </c>
      <c r="E156">
        <v>8.3699999999999992</v>
      </c>
      <c r="F156">
        <v>-0.11</v>
      </c>
      <c r="G156" s="3">
        <v>-1.2999999999999999E-2</v>
      </c>
      <c r="H156">
        <v>2017</v>
      </c>
      <c r="I156">
        <v>0.6</v>
      </c>
      <c r="J156">
        <v>0.56000000000000005</v>
      </c>
      <c r="K156">
        <v>0</v>
      </c>
      <c r="L156">
        <v>0.56000000000000005</v>
      </c>
      <c r="M156" s="3">
        <v>6.6900000000000001E-2</v>
      </c>
      <c r="N156" s="2">
        <v>0</v>
      </c>
      <c r="O156" s="3">
        <v>6.6900000000000001E-2</v>
      </c>
      <c r="P156" s="3">
        <v>0.93300000000000005</v>
      </c>
      <c r="Q156" s="2">
        <v>0</v>
      </c>
      <c r="R156" s="3">
        <v>0.93300000000000005</v>
      </c>
    </row>
    <row r="157" spans="1:21" x14ac:dyDescent="0.6">
      <c r="A157">
        <v>156</v>
      </c>
      <c r="B157" t="str">
        <f>"1464"</f>
        <v>1464</v>
      </c>
      <c r="C157" t="s">
        <v>225</v>
      </c>
      <c r="D157" s="1">
        <v>42923</v>
      </c>
      <c r="E157">
        <v>29.9</v>
      </c>
      <c r="F157">
        <v>-0.55000000000000004</v>
      </c>
      <c r="G157" s="3">
        <v>-1.8100000000000002E-2</v>
      </c>
      <c r="H157">
        <v>2017</v>
      </c>
      <c r="I157">
        <v>1.45</v>
      </c>
      <c r="J157">
        <v>2</v>
      </c>
      <c r="K157">
        <v>0.5</v>
      </c>
      <c r="L157">
        <v>2.5</v>
      </c>
      <c r="M157" s="3">
        <v>6.6900000000000001E-2</v>
      </c>
      <c r="N157" s="2">
        <v>1.67E-2</v>
      </c>
      <c r="O157" s="3">
        <v>8.3599999999999994E-2</v>
      </c>
      <c r="P157" s="2">
        <v>1.38</v>
      </c>
      <c r="Q157" s="2">
        <v>0.34499999999999997</v>
      </c>
      <c r="R157" s="2">
        <v>1.72</v>
      </c>
      <c r="T157" t="s">
        <v>906</v>
      </c>
    </row>
    <row r="158" spans="1:21" x14ac:dyDescent="0.6">
      <c r="A158">
        <v>157</v>
      </c>
      <c r="B158" t="str">
        <f>"6105"</f>
        <v>6105</v>
      </c>
      <c r="C158" t="s">
        <v>227</v>
      </c>
      <c r="D158" s="1">
        <v>42923</v>
      </c>
      <c r="E158">
        <v>44.3</v>
      </c>
      <c r="F158">
        <v>-0.4</v>
      </c>
      <c r="G158" s="3">
        <v>-8.8999999999999999E-3</v>
      </c>
      <c r="H158">
        <v>2017</v>
      </c>
      <c r="I158">
        <v>2.81</v>
      </c>
      <c r="J158">
        <v>2.96</v>
      </c>
      <c r="K158">
        <v>0</v>
      </c>
      <c r="L158">
        <v>2.96</v>
      </c>
      <c r="M158" s="3">
        <v>6.6799999999999998E-2</v>
      </c>
      <c r="N158" s="2">
        <v>0</v>
      </c>
      <c r="O158" s="3">
        <v>6.6799999999999998E-2</v>
      </c>
      <c r="P158" s="3">
        <v>1.05</v>
      </c>
      <c r="Q158" s="2">
        <v>0</v>
      </c>
      <c r="R158" s="3">
        <v>1.05</v>
      </c>
    </row>
    <row r="159" spans="1:21" hidden="1" x14ac:dyDescent="0.6">
      <c r="A159">
        <v>158</v>
      </c>
      <c r="B159" t="str">
        <f>"6164"</f>
        <v>6164</v>
      </c>
      <c r="C159" t="s">
        <v>228</v>
      </c>
      <c r="D159" s="1">
        <v>42923</v>
      </c>
      <c r="E159">
        <v>12.75</v>
      </c>
      <c r="F159">
        <v>-0.05</v>
      </c>
      <c r="G159" s="3">
        <v>-3.8999999999999998E-3</v>
      </c>
      <c r="H159">
        <v>2017</v>
      </c>
      <c r="I159">
        <v>1.1399999999999999</v>
      </c>
      <c r="J159">
        <v>0.85</v>
      </c>
      <c r="K159">
        <v>0</v>
      </c>
      <c r="L159">
        <v>0.85</v>
      </c>
      <c r="M159" s="3">
        <v>6.6699999999999995E-2</v>
      </c>
      <c r="N159" s="2">
        <v>0</v>
      </c>
      <c r="O159" s="3">
        <v>6.6699999999999995E-2</v>
      </c>
      <c r="P159" s="2">
        <v>0.746</v>
      </c>
      <c r="Q159" s="2">
        <v>0</v>
      </c>
      <c r="R159" s="2">
        <v>0.746</v>
      </c>
      <c r="S159" t="s">
        <v>941</v>
      </c>
      <c r="U159" t="s">
        <v>933</v>
      </c>
    </row>
    <row r="160" spans="1:21" x14ac:dyDescent="0.6">
      <c r="A160">
        <v>159</v>
      </c>
      <c r="B160" t="str">
        <f>"6294"</f>
        <v>6294</v>
      </c>
      <c r="C160" t="s">
        <v>229</v>
      </c>
      <c r="D160" s="1">
        <v>42923</v>
      </c>
      <c r="E160">
        <v>120</v>
      </c>
      <c r="F160">
        <v>0</v>
      </c>
      <c r="G160" s="2">
        <v>0</v>
      </c>
      <c r="H160">
        <v>2017</v>
      </c>
      <c r="I160">
        <v>10.69</v>
      </c>
      <c r="J160">
        <v>8</v>
      </c>
      <c r="K160">
        <v>0.5</v>
      </c>
      <c r="L160">
        <v>8.5</v>
      </c>
      <c r="M160" s="2">
        <v>6.6699999999999995E-2</v>
      </c>
      <c r="N160" s="2">
        <v>4.1999999999999997E-3</v>
      </c>
      <c r="O160" s="2">
        <v>7.0800000000000002E-2</v>
      </c>
      <c r="P160" s="2">
        <v>0.748</v>
      </c>
      <c r="Q160" s="2">
        <v>4.6800000000000001E-2</v>
      </c>
      <c r="R160" s="2">
        <v>0.79500000000000004</v>
      </c>
    </row>
    <row r="161" spans="1:21" x14ac:dyDescent="0.6">
      <c r="A161">
        <v>160</v>
      </c>
      <c r="B161" t="str">
        <f>"6261"</f>
        <v>6261</v>
      </c>
      <c r="C161" t="s">
        <v>230</v>
      </c>
      <c r="D161" s="1">
        <v>42923</v>
      </c>
      <c r="E161">
        <v>46.6</v>
      </c>
      <c r="F161">
        <v>0.3</v>
      </c>
      <c r="G161" s="3">
        <v>6.4999999999999997E-3</v>
      </c>
      <c r="H161">
        <v>2017</v>
      </c>
      <c r="I161">
        <v>3.45</v>
      </c>
      <c r="J161">
        <v>3.1</v>
      </c>
      <c r="K161">
        <v>0</v>
      </c>
      <c r="L161">
        <v>3.1</v>
      </c>
      <c r="M161" s="3">
        <v>6.6500000000000004E-2</v>
      </c>
      <c r="N161" s="2">
        <v>0</v>
      </c>
      <c r="O161" s="3">
        <v>6.6500000000000004E-2</v>
      </c>
      <c r="P161" s="3">
        <v>0.89900000000000002</v>
      </c>
      <c r="Q161" s="2">
        <v>0</v>
      </c>
      <c r="R161" s="3">
        <v>0.89900000000000002</v>
      </c>
    </row>
    <row r="162" spans="1:21" x14ac:dyDescent="0.6">
      <c r="A162">
        <v>161</v>
      </c>
      <c r="B162" t="str">
        <f>"6245"</f>
        <v>6245</v>
      </c>
      <c r="C162" t="s">
        <v>231</v>
      </c>
      <c r="D162" s="1">
        <v>42923</v>
      </c>
      <c r="E162">
        <v>45.1</v>
      </c>
      <c r="F162">
        <v>-0.15</v>
      </c>
      <c r="G162" s="3">
        <v>-3.3E-3</v>
      </c>
      <c r="H162">
        <v>2017</v>
      </c>
      <c r="I162">
        <v>3.83</v>
      </c>
      <c r="J162">
        <v>3</v>
      </c>
      <c r="K162">
        <v>0</v>
      </c>
      <c r="L162">
        <v>3</v>
      </c>
      <c r="M162" s="3">
        <v>6.6500000000000004E-2</v>
      </c>
      <c r="N162" s="3">
        <v>0</v>
      </c>
      <c r="O162" s="3">
        <v>6.6500000000000004E-2</v>
      </c>
      <c r="P162" s="3">
        <v>0.78300000000000003</v>
      </c>
      <c r="Q162" s="3">
        <v>0</v>
      </c>
      <c r="R162" s="2">
        <v>0.78300000000000003</v>
      </c>
    </row>
    <row r="163" spans="1:21" x14ac:dyDescent="0.6">
      <c r="A163">
        <v>162</v>
      </c>
      <c r="B163" t="str">
        <f>"8050"</f>
        <v>8050</v>
      </c>
      <c r="C163" t="s">
        <v>233</v>
      </c>
      <c r="D163" s="1">
        <v>42923</v>
      </c>
      <c r="E163">
        <v>60.4</v>
      </c>
      <c r="F163">
        <v>-0.1</v>
      </c>
      <c r="G163" s="3">
        <v>-1.6999999999999999E-3</v>
      </c>
      <c r="H163">
        <v>2017</v>
      </c>
      <c r="I163">
        <v>5.31</v>
      </c>
      <c r="J163">
        <v>4</v>
      </c>
      <c r="K163">
        <v>0.38</v>
      </c>
      <c r="L163">
        <v>4.38</v>
      </c>
      <c r="M163" s="3">
        <v>6.6199999999999995E-2</v>
      </c>
      <c r="N163" s="3">
        <v>6.3E-3</v>
      </c>
      <c r="O163" s="3">
        <v>7.2499999999999995E-2</v>
      </c>
      <c r="P163" s="3">
        <v>0.753</v>
      </c>
      <c r="Q163" s="3">
        <v>7.1599999999999997E-2</v>
      </c>
      <c r="R163" s="3">
        <v>0.82499999999999996</v>
      </c>
    </row>
    <row r="164" spans="1:21" x14ac:dyDescent="0.6">
      <c r="A164">
        <v>163</v>
      </c>
      <c r="B164" t="str">
        <f>"3213"</f>
        <v>3213</v>
      </c>
      <c r="C164" t="s">
        <v>235</v>
      </c>
      <c r="D164" s="1">
        <v>42923</v>
      </c>
      <c r="E164">
        <v>51.4</v>
      </c>
      <c r="F164">
        <v>0.4</v>
      </c>
      <c r="G164" s="3">
        <v>7.7999999999999996E-3</v>
      </c>
      <c r="H164">
        <v>2017</v>
      </c>
      <c r="I164">
        <v>4.42</v>
      </c>
      <c r="J164">
        <v>3.4</v>
      </c>
      <c r="K164">
        <v>0</v>
      </c>
      <c r="L164">
        <v>3.4</v>
      </c>
      <c r="M164" s="3">
        <v>6.6100000000000006E-2</v>
      </c>
      <c r="N164" s="2">
        <v>0</v>
      </c>
      <c r="O164" s="3">
        <v>6.6100000000000006E-2</v>
      </c>
      <c r="P164" s="3">
        <v>0.76900000000000002</v>
      </c>
      <c r="Q164" s="2">
        <v>0</v>
      </c>
      <c r="R164" s="3">
        <v>0.76900000000000002</v>
      </c>
      <c r="S164" t="s">
        <v>925</v>
      </c>
      <c r="U164" t="s">
        <v>930</v>
      </c>
    </row>
    <row r="165" spans="1:21" hidden="1" x14ac:dyDescent="0.6">
      <c r="A165">
        <v>164</v>
      </c>
      <c r="B165" t="str">
        <f>"4557"</f>
        <v>4557</v>
      </c>
      <c r="C165" t="s">
        <v>236</v>
      </c>
      <c r="D165" s="1">
        <v>42923</v>
      </c>
      <c r="E165">
        <v>75.7</v>
      </c>
      <c r="F165">
        <v>-0.9</v>
      </c>
      <c r="G165" s="3">
        <v>-1.17E-2</v>
      </c>
      <c r="H165">
        <v>2017</v>
      </c>
      <c r="I165">
        <v>7.14</v>
      </c>
      <c r="J165">
        <v>5</v>
      </c>
      <c r="K165">
        <v>0</v>
      </c>
      <c r="L165">
        <v>5</v>
      </c>
      <c r="M165" s="3">
        <v>6.6100000000000006E-2</v>
      </c>
      <c r="N165" s="2">
        <v>0</v>
      </c>
      <c r="O165" s="3">
        <v>6.6100000000000006E-2</v>
      </c>
      <c r="P165" s="2">
        <v>0.7</v>
      </c>
      <c r="Q165" s="2">
        <v>0</v>
      </c>
      <c r="R165" s="2">
        <v>0.7</v>
      </c>
      <c r="S165" t="s">
        <v>890</v>
      </c>
      <c r="U165" t="s">
        <v>926</v>
      </c>
    </row>
    <row r="166" spans="1:21" x14ac:dyDescent="0.6">
      <c r="A166">
        <v>165</v>
      </c>
      <c r="B166" t="str">
        <f>"6203"</f>
        <v>6203</v>
      </c>
      <c r="C166" t="s">
        <v>237</v>
      </c>
      <c r="D166" s="1">
        <v>42923</v>
      </c>
      <c r="E166">
        <v>30.3</v>
      </c>
      <c r="F166">
        <v>0.1</v>
      </c>
      <c r="G166" s="3">
        <v>3.3E-3</v>
      </c>
      <c r="H166">
        <v>2017</v>
      </c>
      <c r="I166">
        <v>2.52</v>
      </c>
      <c r="J166">
        <v>2</v>
      </c>
      <c r="K166">
        <v>0</v>
      </c>
      <c r="L166">
        <v>2</v>
      </c>
      <c r="M166" s="3">
        <v>6.6000000000000003E-2</v>
      </c>
      <c r="N166" s="3">
        <v>0</v>
      </c>
      <c r="O166" s="3">
        <v>6.6000000000000003E-2</v>
      </c>
      <c r="P166" s="3">
        <v>0.79400000000000004</v>
      </c>
      <c r="Q166" s="3">
        <v>0</v>
      </c>
      <c r="R166" s="3">
        <v>0.79400000000000004</v>
      </c>
    </row>
    <row r="167" spans="1:21" x14ac:dyDescent="0.6">
      <c r="A167">
        <v>166</v>
      </c>
      <c r="B167" t="str">
        <f>"6290"</f>
        <v>6290</v>
      </c>
      <c r="C167" t="s">
        <v>238</v>
      </c>
      <c r="D167" s="1">
        <v>42923</v>
      </c>
      <c r="E167">
        <v>40.200000000000003</v>
      </c>
      <c r="F167">
        <v>-0.75</v>
      </c>
      <c r="G167" s="3">
        <v>-1.83E-2</v>
      </c>
      <c r="H167">
        <v>2017</v>
      </c>
      <c r="I167">
        <v>3.09</v>
      </c>
      <c r="J167">
        <v>2.65</v>
      </c>
      <c r="K167">
        <v>0</v>
      </c>
      <c r="L167">
        <v>2.65</v>
      </c>
      <c r="M167" s="3">
        <v>6.6000000000000003E-2</v>
      </c>
      <c r="N167" s="2">
        <v>0</v>
      </c>
      <c r="O167" s="3">
        <v>6.6000000000000003E-2</v>
      </c>
      <c r="P167" s="2">
        <v>0.85799999999999998</v>
      </c>
      <c r="Q167" s="2">
        <v>0</v>
      </c>
      <c r="R167" s="2">
        <v>0.85799999999999998</v>
      </c>
      <c r="S167" t="s">
        <v>899</v>
      </c>
      <c r="U167" t="s">
        <v>929</v>
      </c>
    </row>
    <row r="168" spans="1:21" x14ac:dyDescent="0.6">
      <c r="A168">
        <v>167</v>
      </c>
      <c r="B168" t="str">
        <f>"2476"</f>
        <v>2476</v>
      </c>
      <c r="C168" t="s">
        <v>239</v>
      </c>
      <c r="D168" s="1">
        <v>42923</v>
      </c>
      <c r="E168">
        <v>25.8</v>
      </c>
      <c r="F168">
        <v>0</v>
      </c>
      <c r="G168" s="2">
        <v>0</v>
      </c>
      <c r="H168">
        <v>2017</v>
      </c>
      <c r="I168">
        <v>2.61</v>
      </c>
      <c r="J168">
        <v>1.7</v>
      </c>
      <c r="K168">
        <v>0</v>
      </c>
      <c r="L168">
        <v>1.7</v>
      </c>
      <c r="M168" s="3">
        <v>6.59E-2</v>
      </c>
      <c r="N168" s="2">
        <v>0</v>
      </c>
      <c r="O168" s="3">
        <v>6.59E-2</v>
      </c>
      <c r="P168" s="3">
        <v>0.65100000000000002</v>
      </c>
      <c r="Q168" s="2">
        <v>0</v>
      </c>
      <c r="R168" s="3">
        <v>0.65100000000000002</v>
      </c>
      <c r="S168" t="s">
        <v>932</v>
      </c>
      <c r="U168" t="s">
        <v>942</v>
      </c>
    </row>
    <row r="169" spans="1:21" x14ac:dyDescent="0.6">
      <c r="A169">
        <v>168</v>
      </c>
      <c r="B169" t="str">
        <f>"9924"</f>
        <v>9924</v>
      </c>
      <c r="C169" t="s">
        <v>241</v>
      </c>
      <c r="D169" s="1">
        <v>42923</v>
      </c>
      <c r="E169">
        <v>42.65</v>
      </c>
      <c r="F169">
        <v>-0.15</v>
      </c>
      <c r="G169" s="3">
        <v>-3.5000000000000001E-3</v>
      </c>
      <c r="H169">
        <v>2017</v>
      </c>
      <c r="I169">
        <v>4.3499999999999996</v>
      </c>
      <c r="J169">
        <v>2.8</v>
      </c>
      <c r="K169">
        <v>0</v>
      </c>
      <c r="L169">
        <v>2.8</v>
      </c>
      <c r="M169" s="3">
        <v>6.5699999999999995E-2</v>
      </c>
      <c r="N169" s="2">
        <v>0</v>
      </c>
      <c r="O169" s="3">
        <v>6.5699999999999995E-2</v>
      </c>
      <c r="P169" s="3">
        <v>0.64400000000000002</v>
      </c>
      <c r="Q169" s="2">
        <v>0</v>
      </c>
      <c r="R169" s="3">
        <v>0.64400000000000002</v>
      </c>
      <c r="S169" t="s">
        <v>925</v>
      </c>
      <c r="U169" t="s">
        <v>900</v>
      </c>
    </row>
    <row r="170" spans="1:21" hidden="1" x14ac:dyDescent="0.6">
      <c r="A170">
        <v>169</v>
      </c>
      <c r="B170" t="str">
        <f>"6108"</f>
        <v>6108</v>
      </c>
      <c r="C170" t="s">
        <v>242</v>
      </c>
      <c r="D170" s="1">
        <v>42923</v>
      </c>
      <c r="E170">
        <v>30.5</v>
      </c>
      <c r="F170">
        <v>0.1</v>
      </c>
      <c r="G170" s="3">
        <v>3.3E-3</v>
      </c>
      <c r="H170">
        <v>2017</v>
      </c>
      <c r="I170">
        <v>3.16</v>
      </c>
      <c r="J170">
        <v>2</v>
      </c>
      <c r="K170">
        <v>0</v>
      </c>
      <c r="L170">
        <v>2</v>
      </c>
      <c r="M170" s="3">
        <v>6.5600000000000006E-2</v>
      </c>
      <c r="N170" s="2">
        <v>0</v>
      </c>
      <c r="O170" s="3">
        <v>6.5600000000000006E-2</v>
      </c>
      <c r="P170" s="3">
        <v>0.63300000000000001</v>
      </c>
      <c r="Q170" s="2">
        <v>0</v>
      </c>
      <c r="R170" s="3">
        <v>0.63300000000000001</v>
      </c>
      <c r="S170" t="s">
        <v>895</v>
      </c>
      <c r="U170" t="s">
        <v>893</v>
      </c>
    </row>
    <row r="171" spans="1:21" hidden="1" x14ac:dyDescent="0.6">
      <c r="A171">
        <v>170</v>
      </c>
      <c r="B171" t="str">
        <f>"6525"</f>
        <v>6525</v>
      </c>
      <c r="C171" t="s">
        <v>243</v>
      </c>
      <c r="D171" s="1">
        <v>42923</v>
      </c>
      <c r="E171">
        <v>58</v>
      </c>
      <c r="F171">
        <v>-0.2</v>
      </c>
      <c r="G171" s="3">
        <v>-3.3999999999999998E-3</v>
      </c>
      <c r="H171">
        <v>2017</v>
      </c>
      <c r="I171">
        <v>5.53</v>
      </c>
      <c r="J171">
        <v>3.8</v>
      </c>
      <c r="K171">
        <v>0</v>
      </c>
      <c r="L171">
        <v>3.8</v>
      </c>
      <c r="M171" s="3">
        <v>6.5500000000000003E-2</v>
      </c>
      <c r="N171" s="2">
        <v>0</v>
      </c>
      <c r="O171" s="3">
        <v>6.5500000000000003E-2</v>
      </c>
      <c r="P171" s="3">
        <v>0.68700000000000006</v>
      </c>
      <c r="Q171" s="2">
        <v>0</v>
      </c>
      <c r="R171" s="3">
        <v>0.68700000000000006</v>
      </c>
      <c r="S171" t="s">
        <v>892</v>
      </c>
      <c r="U171" t="s">
        <v>891</v>
      </c>
    </row>
    <row r="172" spans="1:21" hidden="1" x14ac:dyDescent="0.6">
      <c r="A172">
        <v>171</v>
      </c>
      <c r="B172" t="str">
        <f>"6577"</f>
        <v>6577</v>
      </c>
      <c r="C172" t="s">
        <v>244</v>
      </c>
      <c r="D172" s="1">
        <v>42923</v>
      </c>
      <c r="E172">
        <v>62</v>
      </c>
      <c r="F172">
        <v>-0.7</v>
      </c>
      <c r="G172" s="3">
        <v>-1.12E-2</v>
      </c>
      <c r="H172">
        <v>2017</v>
      </c>
      <c r="I172">
        <v>4.3499999999999996</v>
      </c>
      <c r="J172">
        <v>4.0599999999999996</v>
      </c>
      <c r="K172">
        <v>0</v>
      </c>
      <c r="L172">
        <v>4.0599999999999996</v>
      </c>
      <c r="M172" s="3">
        <v>6.5500000000000003E-2</v>
      </c>
      <c r="N172" s="2">
        <v>0</v>
      </c>
      <c r="O172" s="3">
        <v>6.5500000000000003E-2</v>
      </c>
      <c r="P172" s="3">
        <v>0.93300000000000005</v>
      </c>
      <c r="Q172" s="2">
        <v>0</v>
      </c>
      <c r="R172" s="3">
        <v>0.93300000000000005</v>
      </c>
      <c r="S172" t="s">
        <v>892</v>
      </c>
      <c r="U172" t="s">
        <v>919</v>
      </c>
    </row>
    <row r="173" spans="1:21" x14ac:dyDescent="0.6">
      <c r="A173">
        <v>172</v>
      </c>
      <c r="B173" t="str">
        <f>"3675"</f>
        <v>3675</v>
      </c>
      <c r="C173" t="s">
        <v>245</v>
      </c>
      <c r="D173" s="1">
        <v>42923</v>
      </c>
      <c r="E173">
        <v>53</v>
      </c>
      <c r="F173">
        <v>-2.8</v>
      </c>
      <c r="G173" s="3">
        <v>-5.0200000000000002E-2</v>
      </c>
      <c r="H173">
        <v>2017</v>
      </c>
      <c r="I173">
        <v>2.21</v>
      </c>
      <c r="J173">
        <v>3.46</v>
      </c>
      <c r="K173">
        <v>0</v>
      </c>
      <c r="L173">
        <v>3.46</v>
      </c>
      <c r="M173" s="2">
        <v>6.5299999999999997E-2</v>
      </c>
      <c r="N173" s="2">
        <v>0</v>
      </c>
      <c r="O173" s="2">
        <v>6.5299999999999997E-2</v>
      </c>
      <c r="P173" s="2">
        <v>1.57</v>
      </c>
      <c r="Q173" s="2">
        <v>0</v>
      </c>
      <c r="R173" s="2">
        <v>1.57</v>
      </c>
    </row>
    <row r="174" spans="1:21" x14ac:dyDescent="0.6">
      <c r="A174">
        <v>173</v>
      </c>
      <c r="B174" t="str">
        <f>"8996"</f>
        <v>8996</v>
      </c>
      <c r="C174" t="s">
        <v>246</v>
      </c>
      <c r="D174" s="1">
        <v>42923</v>
      </c>
      <c r="E174">
        <v>46</v>
      </c>
      <c r="F174">
        <v>-0.7</v>
      </c>
      <c r="G174" s="3">
        <v>-1.4999999999999999E-2</v>
      </c>
      <c r="H174">
        <v>2017</v>
      </c>
      <c r="I174">
        <v>3.48</v>
      </c>
      <c r="J174">
        <v>3</v>
      </c>
      <c r="K174">
        <v>0</v>
      </c>
      <c r="L174">
        <v>3</v>
      </c>
      <c r="M174" s="3">
        <v>6.5199999999999994E-2</v>
      </c>
      <c r="N174" s="3">
        <v>0</v>
      </c>
      <c r="O174" s="3">
        <v>6.5199999999999994E-2</v>
      </c>
      <c r="P174" s="3">
        <v>0.86199999999999999</v>
      </c>
      <c r="Q174" s="3">
        <v>0</v>
      </c>
      <c r="R174" s="3">
        <v>0.86199999999999999</v>
      </c>
    </row>
    <row r="175" spans="1:21" x14ac:dyDescent="0.6">
      <c r="A175">
        <v>174</v>
      </c>
      <c r="B175" t="str">
        <f>"1541"</f>
        <v>1541</v>
      </c>
      <c r="C175" t="s">
        <v>248</v>
      </c>
      <c r="D175" s="1">
        <v>42923</v>
      </c>
      <c r="E175">
        <v>50.8</v>
      </c>
      <c r="F175">
        <v>0.2</v>
      </c>
      <c r="G175" s="3">
        <v>4.0000000000000001E-3</v>
      </c>
      <c r="H175">
        <v>2017</v>
      </c>
      <c r="I175">
        <v>4.37</v>
      </c>
      <c r="J175">
        <v>3.3</v>
      </c>
      <c r="K175">
        <v>0</v>
      </c>
      <c r="L175">
        <v>3.3</v>
      </c>
      <c r="M175" s="2">
        <v>6.5000000000000002E-2</v>
      </c>
      <c r="N175" s="2">
        <v>0</v>
      </c>
      <c r="O175" s="2">
        <v>6.5000000000000002E-2</v>
      </c>
      <c r="P175" s="2">
        <v>0.755</v>
      </c>
      <c r="Q175" s="2">
        <v>0</v>
      </c>
      <c r="R175" s="2">
        <v>0.755</v>
      </c>
    </row>
    <row r="176" spans="1:21" x14ac:dyDescent="0.6">
      <c r="A176">
        <v>175</v>
      </c>
      <c r="B176" t="str">
        <f>"1540"</f>
        <v>1540</v>
      </c>
      <c r="C176" t="s">
        <v>249</v>
      </c>
      <c r="D176" s="1">
        <v>42923</v>
      </c>
      <c r="E176">
        <v>15.4</v>
      </c>
      <c r="F176">
        <v>0.1</v>
      </c>
      <c r="G176" s="3">
        <v>6.4999999999999997E-3</v>
      </c>
      <c r="H176">
        <v>2017</v>
      </c>
      <c r="I176">
        <v>0.5</v>
      </c>
      <c r="J176">
        <v>1</v>
      </c>
      <c r="K176">
        <v>0</v>
      </c>
      <c r="L176">
        <v>1</v>
      </c>
      <c r="M176" s="3">
        <v>6.4899999999999999E-2</v>
      </c>
      <c r="N176" s="2">
        <v>0</v>
      </c>
      <c r="O176" s="3">
        <v>6.4899999999999999E-2</v>
      </c>
      <c r="P176" s="3">
        <v>2</v>
      </c>
      <c r="Q176" s="2">
        <v>0</v>
      </c>
      <c r="R176" s="3">
        <v>2</v>
      </c>
      <c r="S176" t="s">
        <v>891</v>
      </c>
      <c r="U176" t="s">
        <v>929</v>
      </c>
    </row>
    <row r="177" spans="1:21" x14ac:dyDescent="0.6">
      <c r="A177">
        <v>176</v>
      </c>
      <c r="B177" t="str">
        <f>"3022"</f>
        <v>3022</v>
      </c>
      <c r="C177" t="s">
        <v>250</v>
      </c>
      <c r="D177" s="1">
        <v>42923</v>
      </c>
      <c r="E177">
        <v>46.25</v>
      </c>
      <c r="F177">
        <v>-0.1</v>
      </c>
      <c r="G177" s="3">
        <v>-2.2000000000000001E-3</v>
      </c>
      <c r="H177">
        <v>2017</v>
      </c>
      <c r="I177">
        <v>4.16</v>
      </c>
      <c r="J177">
        <v>3</v>
      </c>
      <c r="K177">
        <v>0</v>
      </c>
      <c r="L177">
        <v>3</v>
      </c>
      <c r="M177" s="3">
        <v>6.4899999999999999E-2</v>
      </c>
      <c r="N177" s="3">
        <v>0</v>
      </c>
      <c r="O177" s="3">
        <v>6.4899999999999999E-2</v>
      </c>
      <c r="P177" s="3">
        <v>0.72099999999999997</v>
      </c>
      <c r="Q177" s="3">
        <v>0</v>
      </c>
      <c r="R177" s="3">
        <v>0.72099999999999997</v>
      </c>
    </row>
    <row r="178" spans="1:21" hidden="1" x14ac:dyDescent="0.6">
      <c r="A178">
        <v>177</v>
      </c>
      <c r="B178" t="str">
        <f>"5490"</f>
        <v>5490</v>
      </c>
      <c r="C178" t="s">
        <v>252</v>
      </c>
      <c r="D178" s="1">
        <v>42923</v>
      </c>
      <c r="E178">
        <v>62</v>
      </c>
      <c r="F178">
        <v>-0.2</v>
      </c>
      <c r="G178" s="3">
        <v>-3.2000000000000002E-3</v>
      </c>
      <c r="H178">
        <v>2017</v>
      </c>
      <c r="I178">
        <v>4.63</v>
      </c>
      <c r="J178">
        <v>4</v>
      </c>
      <c r="K178">
        <v>0</v>
      </c>
      <c r="L178">
        <v>4</v>
      </c>
      <c r="M178" s="3">
        <v>6.4500000000000002E-2</v>
      </c>
      <c r="N178" s="2">
        <v>0</v>
      </c>
      <c r="O178" s="3">
        <v>6.4500000000000002E-2</v>
      </c>
      <c r="P178" s="3">
        <v>0.86399999999999999</v>
      </c>
      <c r="Q178" s="2">
        <v>0</v>
      </c>
      <c r="R178" s="3">
        <v>0.86399999999999999</v>
      </c>
      <c r="S178" t="s">
        <v>927</v>
      </c>
      <c r="U178" t="s">
        <v>904</v>
      </c>
    </row>
    <row r="179" spans="1:21" hidden="1" x14ac:dyDescent="0.6">
      <c r="A179">
        <v>178</v>
      </c>
      <c r="B179" t="str">
        <f>"6023"</f>
        <v>6023</v>
      </c>
      <c r="C179" t="s">
        <v>254</v>
      </c>
      <c r="D179" s="1">
        <v>42923</v>
      </c>
      <c r="E179">
        <v>38.35</v>
      </c>
      <c r="F179">
        <v>0.25</v>
      </c>
      <c r="G179" s="3">
        <v>6.6E-3</v>
      </c>
      <c r="H179">
        <v>2017</v>
      </c>
      <c r="I179">
        <v>3.6</v>
      </c>
      <c r="J179">
        <v>2.4700000000000002</v>
      </c>
      <c r="K179">
        <v>0</v>
      </c>
      <c r="L179">
        <v>2.4700000000000002</v>
      </c>
      <c r="M179" s="3">
        <v>6.4399999999999999E-2</v>
      </c>
      <c r="N179" s="2">
        <v>0</v>
      </c>
      <c r="O179" s="3">
        <v>6.4399999999999999E-2</v>
      </c>
      <c r="P179" s="3">
        <v>0.68600000000000005</v>
      </c>
      <c r="Q179" s="2">
        <v>0</v>
      </c>
      <c r="R179" s="3">
        <v>0.68600000000000005</v>
      </c>
      <c r="S179" t="s">
        <v>943</v>
      </c>
      <c r="U179" t="s">
        <v>907</v>
      </c>
    </row>
    <row r="180" spans="1:21" x14ac:dyDescent="0.6">
      <c r="A180">
        <v>179</v>
      </c>
      <c r="B180" t="str">
        <f>"3088"</f>
        <v>3088</v>
      </c>
      <c r="C180" t="s">
        <v>255</v>
      </c>
      <c r="D180" s="1">
        <v>42923</v>
      </c>
      <c r="E180">
        <v>56.8</v>
      </c>
      <c r="F180">
        <v>-0.4</v>
      </c>
      <c r="G180" s="3">
        <v>-7.0000000000000001E-3</v>
      </c>
      <c r="H180">
        <v>2017</v>
      </c>
      <c r="I180">
        <v>4.5599999999999996</v>
      </c>
      <c r="J180">
        <v>3.65</v>
      </c>
      <c r="K180">
        <v>0</v>
      </c>
      <c r="L180">
        <v>3.65</v>
      </c>
      <c r="M180" s="3">
        <v>6.4299999999999996E-2</v>
      </c>
      <c r="N180" s="2">
        <v>0</v>
      </c>
      <c r="O180" s="3">
        <v>6.4299999999999996E-2</v>
      </c>
      <c r="P180" s="3">
        <v>0.8</v>
      </c>
      <c r="Q180" s="2">
        <v>0</v>
      </c>
      <c r="R180" s="3">
        <v>0.8</v>
      </c>
    </row>
    <row r="181" spans="1:21" x14ac:dyDescent="0.6">
      <c r="A181">
        <v>180</v>
      </c>
      <c r="B181" t="str">
        <f>"6803"</f>
        <v>6803</v>
      </c>
      <c r="C181" t="s">
        <v>256</v>
      </c>
      <c r="D181" s="1">
        <v>42923</v>
      </c>
      <c r="E181">
        <v>177</v>
      </c>
      <c r="F181">
        <v>0</v>
      </c>
      <c r="G181" s="3">
        <v>0</v>
      </c>
      <c r="H181">
        <v>2017</v>
      </c>
      <c r="I181">
        <v>12.8</v>
      </c>
      <c r="J181">
        <v>11.37</v>
      </c>
      <c r="K181">
        <v>0</v>
      </c>
      <c r="L181">
        <v>11.37</v>
      </c>
      <c r="M181" s="3">
        <v>6.4199999999999993E-2</v>
      </c>
      <c r="N181" s="2">
        <v>0</v>
      </c>
      <c r="O181" s="3">
        <v>6.4199999999999993E-2</v>
      </c>
      <c r="P181" s="3">
        <v>0.88800000000000001</v>
      </c>
      <c r="Q181" s="2">
        <v>0</v>
      </c>
      <c r="R181" s="3">
        <v>0.88800000000000001</v>
      </c>
    </row>
    <row r="182" spans="1:21" x14ac:dyDescent="0.6">
      <c r="A182">
        <v>181</v>
      </c>
      <c r="B182" t="str">
        <f>"3015"</f>
        <v>3015</v>
      </c>
      <c r="C182" t="s">
        <v>257</v>
      </c>
      <c r="D182" s="1">
        <v>42923</v>
      </c>
      <c r="E182">
        <v>23.4</v>
      </c>
      <c r="F182">
        <v>-0.1</v>
      </c>
      <c r="G182" s="3">
        <v>-4.3E-3</v>
      </c>
      <c r="H182">
        <v>2017</v>
      </c>
      <c r="I182">
        <v>1.61</v>
      </c>
      <c r="J182">
        <v>1.5</v>
      </c>
      <c r="K182">
        <v>0</v>
      </c>
      <c r="L182">
        <v>1.5</v>
      </c>
      <c r="M182" s="3">
        <v>6.4100000000000004E-2</v>
      </c>
      <c r="N182" s="2">
        <v>0</v>
      </c>
      <c r="O182" s="3">
        <v>6.4100000000000004E-2</v>
      </c>
      <c r="P182" s="3">
        <v>0.93200000000000005</v>
      </c>
      <c r="Q182" s="2">
        <v>0</v>
      </c>
      <c r="R182" s="3">
        <v>0.93200000000000005</v>
      </c>
    </row>
    <row r="183" spans="1:21" x14ac:dyDescent="0.6">
      <c r="A183">
        <v>182</v>
      </c>
      <c r="B183" t="str">
        <f>"3293"</f>
        <v>3293</v>
      </c>
      <c r="C183" t="s">
        <v>258</v>
      </c>
      <c r="D183" s="1">
        <v>42923</v>
      </c>
      <c r="E183">
        <v>156</v>
      </c>
      <c r="F183">
        <v>-3</v>
      </c>
      <c r="G183" s="3">
        <v>-1.89E-2</v>
      </c>
      <c r="H183">
        <v>2017</v>
      </c>
      <c r="I183">
        <v>12.78</v>
      </c>
      <c r="J183">
        <v>10</v>
      </c>
      <c r="K183">
        <v>0</v>
      </c>
      <c r="L183">
        <v>10</v>
      </c>
      <c r="M183" s="3">
        <v>6.4100000000000004E-2</v>
      </c>
      <c r="N183" s="2">
        <v>0</v>
      </c>
      <c r="O183" s="3">
        <v>6.4100000000000004E-2</v>
      </c>
      <c r="P183" s="2">
        <v>0.78200000000000003</v>
      </c>
      <c r="Q183" s="2">
        <v>0</v>
      </c>
      <c r="R183" s="2">
        <v>0.78200000000000003</v>
      </c>
    </row>
    <row r="184" spans="1:21" hidden="1" x14ac:dyDescent="0.6">
      <c r="A184">
        <v>183</v>
      </c>
      <c r="B184" t="str">
        <f>"2451"</f>
        <v>2451</v>
      </c>
      <c r="C184" t="s">
        <v>259</v>
      </c>
      <c r="D184" s="1">
        <v>42923</v>
      </c>
      <c r="E184">
        <v>93.7</v>
      </c>
      <c r="F184">
        <v>0.2</v>
      </c>
      <c r="G184" s="3">
        <v>2.0999999999999999E-3</v>
      </c>
      <c r="H184">
        <v>2017</v>
      </c>
      <c r="I184">
        <v>6.69</v>
      </c>
      <c r="J184">
        <v>6</v>
      </c>
      <c r="K184">
        <v>0</v>
      </c>
      <c r="L184">
        <v>6</v>
      </c>
      <c r="M184" s="3">
        <v>6.4000000000000001E-2</v>
      </c>
      <c r="N184" s="3">
        <v>0</v>
      </c>
      <c r="O184" s="3">
        <v>6.4000000000000001E-2</v>
      </c>
      <c r="P184" s="3">
        <v>0.89700000000000002</v>
      </c>
      <c r="Q184" s="3">
        <v>0</v>
      </c>
      <c r="R184" s="3">
        <v>0.89700000000000002</v>
      </c>
      <c r="S184" t="s">
        <v>918</v>
      </c>
      <c r="U184" t="s">
        <v>893</v>
      </c>
    </row>
    <row r="185" spans="1:21" x14ac:dyDescent="0.6">
      <c r="A185">
        <v>184</v>
      </c>
      <c r="B185" t="str">
        <f>"3042"</f>
        <v>3042</v>
      </c>
      <c r="C185" t="s">
        <v>260</v>
      </c>
      <c r="D185" s="1">
        <v>42923</v>
      </c>
      <c r="E185">
        <v>43.8</v>
      </c>
      <c r="F185">
        <v>-0.95</v>
      </c>
      <c r="G185" s="3">
        <v>-2.12E-2</v>
      </c>
      <c r="H185">
        <v>2017</v>
      </c>
      <c r="I185">
        <v>3.28</v>
      </c>
      <c r="J185">
        <v>2.8</v>
      </c>
      <c r="K185">
        <v>0</v>
      </c>
      <c r="L185">
        <v>2.8</v>
      </c>
      <c r="M185" s="3">
        <v>6.3899999999999998E-2</v>
      </c>
      <c r="N185" s="2">
        <v>0</v>
      </c>
      <c r="O185" s="3">
        <v>6.3899999999999998E-2</v>
      </c>
      <c r="P185" s="2">
        <v>0.85399999999999998</v>
      </c>
      <c r="Q185" s="2">
        <v>0</v>
      </c>
      <c r="R185" s="2">
        <v>0.85399999999999998</v>
      </c>
    </row>
    <row r="186" spans="1:21" x14ac:dyDescent="0.6">
      <c r="A186">
        <v>185</v>
      </c>
      <c r="B186" t="str">
        <f>"8422"</f>
        <v>8422</v>
      </c>
      <c r="C186" t="s">
        <v>261</v>
      </c>
      <c r="D186" s="1">
        <v>42923</v>
      </c>
      <c r="E186">
        <v>180</v>
      </c>
      <c r="F186">
        <v>-1</v>
      </c>
      <c r="G186" s="3">
        <v>-5.4999999999999997E-3</v>
      </c>
      <c r="H186">
        <v>2017</v>
      </c>
      <c r="I186">
        <v>13.23</v>
      </c>
      <c r="J186">
        <v>11.5</v>
      </c>
      <c r="K186">
        <v>0</v>
      </c>
      <c r="L186">
        <v>11.5</v>
      </c>
      <c r="M186" s="3">
        <v>6.3899999999999998E-2</v>
      </c>
      <c r="N186" s="2">
        <v>0</v>
      </c>
      <c r="O186" s="3">
        <v>6.3899999999999998E-2</v>
      </c>
      <c r="P186" s="3">
        <v>0.86899999999999999</v>
      </c>
      <c r="Q186" s="2">
        <v>0</v>
      </c>
      <c r="R186" s="3">
        <v>0.86899999999999999</v>
      </c>
      <c r="S186" t="s">
        <v>897</v>
      </c>
      <c r="U186" t="s">
        <v>898</v>
      </c>
    </row>
    <row r="187" spans="1:21" x14ac:dyDescent="0.6">
      <c r="A187">
        <v>186</v>
      </c>
      <c r="B187" t="str">
        <f>"3455"</f>
        <v>3455</v>
      </c>
      <c r="C187" t="s">
        <v>262</v>
      </c>
      <c r="D187" s="1">
        <v>42923</v>
      </c>
      <c r="E187">
        <v>54.9</v>
      </c>
      <c r="F187">
        <v>0.5</v>
      </c>
      <c r="G187" s="3">
        <v>9.1999999999999998E-3</v>
      </c>
      <c r="H187">
        <v>2017</v>
      </c>
      <c r="I187">
        <v>4.0599999999999996</v>
      </c>
      <c r="J187">
        <v>3.5</v>
      </c>
      <c r="K187">
        <v>0</v>
      </c>
      <c r="L187">
        <v>3.5</v>
      </c>
      <c r="M187" s="2">
        <v>6.3799999999999996E-2</v>
      </c>
      <c r="N187" s="2">
        <v>0</v>
      </c>
      <c r="O187" s="2">
        <v>6.3799999999999996E-2</v>
      </c>
      <c r="P187" s="2">
        <v>0.86199999999999999</v>
      </c>
      <c r="Q187" s="2">
        <v>0</v>
      </c>
      <c r="R187" s="2">
        <v>0.86199999999999999</v>
      </c>
    </row>
    <row r="188" spans="1:21" x14ac:dyDescent="0.6">
      <c r="A188">
        <v>187</v>
      </c>
      <c r="B188" t="str">
        <f>"2509"</f>
        <v>2509</v>
      </c>
      <c r="C188" t="s">
        <v>263</v>
      </c>
      <c r="D188" s="1">
        <v>42923</v>
      </c>
      <c r="E188">
        <v>18.850000000000001</v>
      </c>
      <c r="F188">
        <v>0.1</v>
      </c>
      <c r="G188" s="2">
        <v>5.3E-3</v>
      </c>
      <c r="H188">
        <v>2017</v>
      </c>
      <c r="I188">
        <v>-0.37</v>
      </c>
      <c r="J188">
        <v>1.2</v>
      </c>
      <c r="K188">
        <v>0</v>
      </c>
      <c r="L188">
        <v>1.2</v>
      </c>
      <c r="M188" s="3">
        <v>6.3700000000000007E-2</v>
      </c>
      <c r="N188" s="2">
        <v>0</v>
      </c>
      <c r="O188" s="3">
        <v>6.3700000000000007E-2</v>
      </c>
      <c r="P188" s="3">
        <v>-3.24</v>
      </c>
      <c r="Q188" s="2">
        <v>0</v>
      </c>
      <c r="R188" s="3">
        <v>-3.24</v>
      </c>
      <c r="S188" t="s">
        <v>930</v>
      </c>
      <c r="U188" t="s">
        <v>944</v>
      </c>
    </row>
    <row r="189" spans="1:21" x14ac:dyDescent="0.6">
      <c r="A189">
        <v>188</v>
      </c>
      <c r="B189" t="str">
        <f>"6202"</f>
        <v>6202</v>
      </c>
      <c r="C189" t="s">
        <v>265</v>
      </c>
      <c r="D189" s="1">
        <v>42923</v>
      </c>
      <c r="E189">
        <v>55</v>
      </c>
      <c r="F189">
        <v>-0.4</v>
      </c>
      <c r="G189" s="3">
        <v>-7.1999999999999998E-3</v>
      </c>
      <c r="H189">
        <v>2017</v>
      </c>
      <c r="I189">
        <v>3.47</v>
      </c>
      <c r="J189">
        <v>3.5</v>
      </c>
      <c r="K189">
        <v>0</v>
      </c>
      <c r="L189">
        <v>3.5</v>
      </c>
      <c r="M189" s="3">
        <v>6.3600000000000004E-2</v>
      </c>
      <c r="N189" s="2">
        <v>0</v>
      </c>
      <c r="O189" s="3">
        <v>6.3600000000000004E-2</v>
      </c>
      <c r="P189" s="3">
        <v>1.01</v>
      </c>
      <c r="Q189" s="2">
        <v>0</v>
      </c>
      <c r="R189" s="3">
        <v>1.01</v>
      </c>
    </row>
    <row r="190" spans="1:21" x14ac:dyDescent="0.6">
      <c r="A190">
        <v>189</v>
      </c>
      <c r="B190" t="str">
        <f>"9927"</f>
        <v>9927</v>
      </c>
      <c r="C190" t="s">
        <v>266</v>
      </c>
      <c r="D190" s="1">
        <v>42923</v>
      </c>
      <c r="E190">
        <v>39.299999999999997</v>
      </c>
      <c r="F190">
        <v>-0.1</v>
      </c>
      <c r="G190" s="3">
        <v>-2.5000000000000001E-3</v>
      </c>
      <c r="H190">
        <v>2017</v>
      </c>
      <c r="I190">
        <v>3.8</v>
      </c>
      <c r="J190">
        <v>2.5</v>
      </c>
      <c r="K190">
        <v>0</v>
      </c>
      <c r="L190">
        <v>2.5</v>
      </c>
      <c r="M190" s="3">
        <v>6.3600000000000004E-2</v>
      </c>
      <c r="N190" s="2">
        <v>0</v>
      </c>
      <c r="O190" s="3">
        <v>6.3600000000000004E-2</v>
      </c>
      <c r="P190" s="2">
        <v>0.65800000000000003</v>
      </c>
      <c r="Q190" s="2">
        <v>0</v>
      </c>
      <c r="R190" s="2">
        <v>0.65800000000000003</v>
      </c>
      <c r="S190" t="s">
        <v>930</v>
      </c>
      <c r="U190" t="s">
        <v>945</v>
      </c>
    </row>
    <row r="191" spans="1:21" x14ac:dyDescent="0.6">
      <c r="A191">
        <v>190</v>
      </c>
      <c r="B191" t="str">
        <f>"1108"</f>
        <v>1108</v>
      </c>
      <c r="C191" t="s">
        <v>267</v>
      </c>
      <c r="D191" s="1">
        <v>42923</v>
      </c>
      <c r="E191">
        <v>9.4499999999999993</v>
      </c>
      <c r="F191">
        <v>0</v>
      </c>
      <c r="G191" s="2">
        <v>0</v>
      </c>
      <c r="H191">
        <v>2017</v>
      </c>
      <c r="I191">
        <v>0.78</v>
      </c>
      <c r="J191">
        <v>0.6</v>
      </c>
      <c r="K191">
        <v>0</v>
      </c>
      <c r="L191">
        <v>0.6</v>
      </c>
      <c r="M191" s="2">
        <v>6.3500000000000001E-2</v>
      </c>
      <c r="N191" s="2">
        <v>0</v>
      </c>
      <c r="O191" s="2">
        <v>6.3500000000000001E-2</v>
      </c>
      <c r="P191" s="2">
        <v>0.76900000000000002</v>
      </c>
      <c r="Q191" s="2">
        <v>0</v>
      </c>
      <c r="R191" s="2">
        <v>0.76900000000000002</v>
      </c>
    </row>
    <row r="192" spans="1:21" hidden="1" x14ac:dyDescent="0.6">
      <c r="A192">
        <v>191</v>
      </c>
      <c r="B192" t="str">
        <f>"2433"</f>
        <v>2433</v>
      </c>
      <c r="C192" t="s">
        <v>268</v>
      </c>
      <c r="D192" s="1">
        <v>42923</v>
      </c>
      <c r="E192">
        <v>42.65</v>
      </c>
      <c r="F192">
        <v>0</v>
      </c>
      <c r="G192" s="3">
        <v>0</v>
      </c>
      <c r="H192">
        <v>2017</v>
      </c>
      <c r="I192">
        <v>2.98</v>
      </c>
      <c r="J192">
        <v>2.7</v>
      </c>
      <c r="K192">
        <v>0</v>
      </c>
      <c r="L192">
        <v>2.7</v>
      </c>
      <c r="M192" s="3">
        <v>6.3299999999999995E-2</v>
      </c>
      <c r="N192" s="2">
        <v>0</v>
      </c>
      <c r="O192" s="3">
        <v>6.3299999999999995E-2</v>
      </c>
      <c r="P192" s="3">
        <v>0.90600000000000003</v>
      </c>
      <c r="Q192" s="2">
        <v>0</v>
      </c>
      <c r="R192" s="3">
        <v>0.90600000000000003</v>
      </c>
      <c r="S192" t="s">
        <v>890</v>
      </c>
      <c r="U192" t="s">
        <v>926</v>
      </c>
    </row>
    <row r="193" spans="1:21" x14ac:dyDescent="0.6">
      <c r="A193">
        <v>192</v>
      </c>
      <c r="B193" t="str">
        <f>"8928"</f>
        <v>8928</v>
      </c>
      <c r="C193" t="s">
        <v>269</v>
      </c>
      <c r="D193" s="1">
        <v>42923</v>
      </c>
      <c r="E193">
        <v>23.75</v>
      </c>
      <c r="F193">
        <v>2.15</v>
      </c>
      <c r="G193" s="3">
        <v>9.9500000000000005E-2</v>
      </c>
      <c r="H193">
        <v>2017</v>
      </c>
      <c r="I193">
        <v>1.68</v>
      </c>
      <c r="J193">
        <v>1.5</v>
      </c>
      <c r="K193">
        <v>0</v>
      </c>
      <c r="L193">
        <v>1.5</v>
      </c>
      <c r="M193" s="2">
        <v>6.3200000000000006E-2</v>
      </c>
      <c r="N193" s="2">
        <v>0</v>
      </c>
      <c r="O193" s="2">
        <v>6.3200000000000006E-2</v>
      </c>
      <c r="P193" s="2">
        <v>0.89300000000000002</v>
      </c>
      <c r="Q193" s="2">
        <v>0</v>
      </c>
      <c r="R193" s="2">
        <v>0.89300000000000002</v>
      </c>
      <c r="S193" t="s">
        <v>899</v>
      </c>
      <c r="U193" t="s">
        <v>896</v>
      </c>
    </row>
    <row r="194" spans="1:21" hidden="1" x14ac:dyDescent="0.6">
      <c r="A194">
        <v>193</v>
      </c>
      <c r="B194" t="str">
        <f>"8074"</f>
        <v>8074</v>
      </c>
      <c r="C194" t="s">
        <v>270</v>
      </c>
      <c r="D194" s="1">
        <v>42923</v>
      </c>
      <c r="E194">
        <v>26.45</v>
      </c>
      <c r="F194">
        <v>-0.05</v>
      </c>
      <c r="G194" s="3">
        <v>-1.9E-3</v>
      </c>
      <c r="H194">
        <v>2017</v>
      </c>
      <c r="I194">
        <v>2.4300000000000002</v>
      </c>
      <c r="J194">
        <v>1.67</v>
      </c>
      <c r="K194">
        <v>0</v>
      </c>
      <c r="L194">
        <v>1.67</v>
      </c>
      <c r="M194" s="3">
        <v>6.3100000000000003E-2</v>
      </c>
      <c r="N194" s="2">
        <v>0</v>
      </c>
      <c r="O194" s="3">
        <v>6.3100000000000003E-2</v>
      </c>
      <c r="P194" s="3">
        <v>0.68700000000000006</v>
      </c>
      <c r="Q194" s="2">
        <v>0</v>
      </c>
      <c r="R194" s="3">
        <v>0.68700000000000006</v>
      </c>
      <c r="S194" t="s">
        <v>941</v>
      </c>
      <c r="U194" t="s">
        <v>902</v>
      </c>
    </row>
    <row r="195" spans="1:21" x14ac:dyDescent="0.6">
      <c r="A195">
        <v>194</v>
      </c>
      <c r="B195" t="str">
        <f>"5520"</f>
        <v>5520</v>
      </c>
      <c r="C195" t="s">
        <v>271</v>
      </c>
      <c r="D195" s="1">
        <v>42923</v>
      </c>
      <c r="E195">
        <v>27.8</v>
      </c>
      <c r="F195">
        <v>0.2</v>
      </c>
      <c r="G195" s="3">
        <v>7.1999999999999998E-3</v>
      </c>
      <c r="H195">
        <v>2017</v>
      </c>
      <c r="I195">
        <v>1.94</v>
      </c>
      <c r="J195">
        <v>1.75</v>
      </c>
      <c r="K195">
        <v>0</v>
      </c>
      <c r="L195">
        <v>1.75</v>
      </c>
      <c r="M195" s="3">
        <v>6.2899999999999998E-2</v>
      </c>
      <c r="N195" s="2">
        <v>0</v>
      </c>
      <c r="O195" s="3">
        <v>6.2899999999999998E-2</v>
      </c>
      <c r="P195" s="2">
        <v>0.90200000000000002</v>
      </c>
      <c r="Q195" s="2">
        <v>0</v>
      </c>
      <c r="R195" s="2">
        <v>0.90200000000000002</v>
      </c>
      <c r="S195" t="s">
        <v>925</v>
      </c>
      <c r="U195" t="s">
        <v>929</v>
      </c>
    </row>
    <row r="196" spans="1:21" hidden="1" x14ac:dyDescent="0.6">
      <c r="A196">
        <v>195</v>
      </c>
      <c r="B196" t="str">
        <f>"1220"</f>
        <v>1220</v>
      </c>
      <c r="C196" t="s">
        <v>272</v>
      </c>
      <c r="D196" s="1">
        <v>42923</v>
      </c>
      <c r="E196">
        <v>10.35</v>
      </c>
      <c r="F196">
        <v>0</v>
      </c>
      <c r="G196" s="2">
        <v>0</v>
      </c>
      <c r="H196">
        <v>2017</v>
      </c>
      <c r="I196">
        <v>0.93</v>
      </c>
      <c r="J196">
        <v>0.65</v>
      </c>
      <c r="K196">
        <v>0</v>
      </c>
      <c r="L196">
        <v>0.65</v>
      </c>
      <c r="M196" s="3">
        <v>6.2799999999999995E-2</v>
      </c>
      <c r="N196" s="2">
        <v>0</v>
      </c>
      <c r="O196" s="3">
        <v>6.2799999999999995E-2</v>
      </c>
      <c r="P196" s="3">
        <v>0.69899999999999995</v>
      </c>
      <c r="Q196" s="2">
        <v>0</v>
      </c>
      <c r="R196" s="3">
        <v>0.69899999999999995</v>
      </c>
      <c r="S196" t="s">
        <v>903</v>
      </c>
      <c r="U196" t="s">
        <v>930</v>
      </c>
    </row>
    <row r="197" spans="1:21" x14ac:dyDescent="0.6">
      <c r="A197">
        <v>196</v>
      </c>
      <c r="B197" t="str">
        <f>"8421"</f>
        <v>8421</v>
      </c>
      <c r="C197" t="s">
        <v>273</v>
      </c>
      <c r="D197" s="1">
        <v>42923</v>
      </c>
      <c r="E197">
        <v>18.8</v>
      </c>
      <c r="F197">
        <v>0.2</v>
      </c>
      <c r="G197" s="3">
        <v>1.0800000000000001E-2</v>
      </c>
      <c r="H197">
        <v>2017</v>
      </c>
      <c r="I197">
        <v>1.83</v>
      </c>
      <c r="J197">
        <v>1.18</v>
      </c>
      <c r="K197">
        <v>0</v>
      </c>
      <c r="L197">
        <v>1.18</v>
      </c>
      <c r="M197" s="3">
        <v>6.2799999999999995E-2</v>
      </c>
      <c r="N197" s="3">
        <v>0</v>
      </c>
      <c r="O197" s="3">
        <v>6.2799999999999995E-2</v>
      </c>
      <c r="P197" s="2">
        <v>0.64500000000000002</v>
      </c>
      <c r="Q197" s="3">
        <v>0</v>
      </c>
      <c r="R197" s="2">
        <v>0.64500000000000002</v>
      </c>
      <c r="S197" t="s">
        <v>889</v>
      </c>
      <c r="U197" t="s">
        <v>923</v>
      </c>
    </row>
    <row r="198" spans="1:21" x14ac:dyDescent="0.6">
      <c r="A198">
        <v>197</v>
      </c>
      <c r="B198" t="str">
        <f>"2377"</f>
        <v>2377</v>
      </c>
      <c r="C198" t="s">
        <v>274</v>
      </c>
      <c r="D198" s="1">
        <v>42923</v>
      </c>
      <c r="E198">
        <v>71.7</v>
      </c>
      <c r="F198">
        <v>-0.1</v>
      </c>
      <c r="G198" s="3">
        <v>-1.4E-3</v>
      </c>
      <c r="H198">
        <v>2017</v>
      </c>
      <c r="I198">
        <v>5.79</v>
      </c>
      <c r="J198">
        <v>4.5</v>
      </c>
      <c r="K198">
        <v>0</v>
      </c>
      <c r="L198">
        <v>4.5</v>
      </c>
      <c r="M198" s="3">
        <v>6.2799999999999995E-2</v>
      </c>
      <c r="N198" s="2">
        <v>0</v>
      </c>
      <c r="O198" s="3">
        <v>6.2799999999999995E-2</v>
      </c>
      <c r="P198" s="2">
        <v>0.77700000000000002</v>
      </c>
      <c r="Q198" s="2">
        <v>0</v>
      </c>
      <c r="R198" s="2">
        <v>0.77700000000000002</v>
      </c>
    </row>
    <row r="199" spans="1:21" x14ac:dyDescent="0.6">
      <c r="A199">
        <v>198</v>
      </c>
      <c r="B199" t="str">
        <f>"1724"</f>
        <v>1724</v>
      </c>
      <c r="C199" t="s">
        <v>276</v>
      </c>
      <c r="D199" s="1">
        <v>42923</v>
      </c>
      <c r="E199">
        <v>15.95</v>
      </c>
      <c r="F199">
        <v>-0.2</v>
      </c>
      <c r="G199" s="3">
        <v>-1.24E-2</v>
      </c>
      <c r="H199">
        <v>2017</v>
      </c>
      <c r="I199">
        <v>1.42</v>
      </c>
      <c r="J199">
        <v>1</v>
      </c>
      <c r="K199">
        <v>0</v>
      </c>
      <c r="L199">
        <v>1</v>
      </c>
      <c r="M199" s="3">
        <v>6.2700000000000006E-2</v>
      </c>
      <c r="N199" s="2">
        <v>0</v>
      </c>
      <c r="O199" s="3">
        <v>6.2700000000000006E-2</v>
      </c>
      <c r="P199" s="3">
        <v>0.70399999999999996</v>
      </c>
      <c r="Q199" s="2">
        <v>0</v>
      </c>
      <c r="R199" s="3">
        <v>0.70399999999999996</v>
      </c>
      <c r="S199" t="s">
        <v>899</v>
      </c>
      <c r="U199" t="s">
        <v>909</v>
      </c>
    </row>
    <row r="200" spans="1:21" hidden="1" x14ac:dyDescent="0.6">
      <c r="A200">
        <v>199</v>
      </c>
      <c r="B200" t="str">
        <f>"3388"</f>
        <v>3388</v>
      </c>
      <c r="C200" t="s">
        <v>277</v>
      </c>
      <c r="D200" s="1">
        <v>42923</v>
      </c>
      <c r="E200">
        <v>63.8</v>
      </c>
      <c r="F200">
        <v>0.7</v>
      </c>
      <c r="G200" s="3">
        <v>1.11E-2</v>
      </c>
      <c r="H200">
        <v>2017</v>
      </c>
      <c r="I200">
        <v>4.68</v>
      </c>
      <c r="J200">
        <v>4</v>
      </c>
      <c r="K200">
        <v>0</v>
      </c>
      <c r="L200">
        <v>4</v>
      </c>
      <c r="M200" s="3">
        <v>6.2700000000000006E-2</v>
      </c>
      <c r="N200" s="2">
        <v>0</v>
      </c>
      <c r="O200" s="3">
        <v>6.2700000000000006E-2</v>
      </c>
      <c r="P200" s="3">
        <v>0.85499999999999998</v>
      </c>
      <c r="Q200" s="2">
        <v>0</v>
      </c>
      <c r="R200" s="3">
        <v>0.85499999999999998</v>
      </c>
      <c r="S200" t="s">
        <v>895</v>
      </c>
      <c r="U200" t="s">
        <v>904</v>
      </c>
    </row>
    <row r="201" spans="1:21" x14ac:dyDescent="0.6">
      <c r="A201">
        <v>200</v>
      </c>
      <c r="B201" t="str">
        <f>"5538"</f>
        <v>5538</v>
      </c>
      <c r="C201" t="s">
        <v>278</v>
      </c>
      <c r="D201" s="1">
        <v>42923</v>
      </c>
      <c r="E201">
        <v>31.9</v>
      </c>
      <c r="F201">
        <v>0.1</v>
      </c>
      <c r="G201" s="2">
        <v>3.0999999999999999E-3</v>
      </c>
      <c r="H201">
        <v>2017</v>
      </c>
      <c r="I201">
        <v>2.78</v>
      </c>
      <c r="J201">
        <v>2</v>
      </c>
      <c r="K201">
        <v>0</v>
      </c>
      <c r="L201">
        <v>2</v>
      </c>
      <c r="M201" s="3">
        <v>6.2700000000000006E-2</v>
      </c>
      <c r="N201" s="3">
        <v>0</v>
      </c>
      <c r="O201" s="3">
        <v>6.2700000000000006E-2</v>
      </c>
      <c r="P201" s="3">
        <v>0.71899999999999997</v>
      </c>
      <c r="Q201" s="3">
        <v>0</v>
      </c>
      <c r="R201" s="3">
        <v>0.71899999999999997</v>
      </c>
      <c r="S201" t="s">
        <v>926</v>
      </c>
      <c r="U201" t="s">
        <v>915</v>
      </c>
    </row>
    <row r="202" spans="1:21" x14ac:dyDescent="0.6">
      <c r="A202">
        <v>201</v>
      </c>
      <c r="B202" t="str">
        <f>"3526"</f>
        <v>3526</v>
      </c>
      <c r="C202" t="s">
        <v>279</v>
      </c>
      <c r="D202" s="1">
        <v>42923</v>
      </c>
      <c r="E202">
        <v>76.599999999999994</v>
      </c>
      <c r="F202">
        <v>0.6</v>
      </c>
      <c r="G202" s="3">
        <v>7.9000000000000008E-3</v>
      </c>
      <c r="H202">
        <v>2017</v>
      </c>
      <c r="I202">
        <v>5.94</v>
      </c>
      <c r="J202">
        <v>4.8</v>
      </c>
      <c r="K202">
        <v>0</v>
      </c>
      <c r="L202">
        <v>4.8</v>
      </c>
      <c r="M202" s="3">
        <v>6.2700000000000006E-2</v>
      </c>
      <c r="N202" s="2">
        <v>0</v>
      </c>
      <c r="O202" s="3">
        <v>6.2700000000000006E-2</v>
      </c>
      <c r="P202" s="3">
        <v>0.80800000000000005</v>
      </c>
      <c r="Q202" s="2">
        <v>0</v>
      </c>
      <c r="R202" s="3">
        <v>0.80800000000000005</v>
      </c>
      <c r="S202" t="s">
        <v>925</v>
      </c>
      <c r="U202" t="s">
        <v>893</v>
      </c>
    </row>
    <row r="203" spans="1:21" hidden="1" x14ac:dyDescent="0.6">
      <c r="A203">
        <v>202</v>
      </c>
      <c r="B203" t="str">
        <f>"1451"</f>
        <v>1451</v>
      </c>
      <c r="C203" t="s">
        <v>280</v>
      </c>
      <c r="D203" s="1">
        <v>42923</v>
      </c>
      <c r="E203">
        <v>23.95</v>
      </c>
      <c r="F203">
        <v>-0.1</v>
      </c>
      <c r="G203" s="3">
        <v>-4.1999999999999997E-3</v>
      </c>
      <c r="H203">
        <v>2017</v>
      </c>
      <c r="I203">
        <v>1.83</v>
      </c>
      <c r="J203">
        <v>1.5</v>
      </c>
      <c r="K203">
        <v>0</v>
      </c>
      <c r="L203">
        <v>1.5</v>
      </c>
      <c r="M203" s="3">
        <v>6.2600000000000003E-2</v>
      </c>
      <c r="N203" s="3">
        <v>0</v>
      </c>
      <c r="O203" s="3">
        <v>6.2600000000000003E-2</v>
      </c>
      <c r="P203" s="3">
        <v>0.82</v>
      </c>
      <c r="Q203" s="3">
        <v>0</v>
      </c>
      <c r="R203" s="3">
        <v>0.82</v>
      </c>
      <c r="S203" t="s">
        <v>888</v>
      </c>
      <c r="U203" t="s">
        <v>919</v>
      </c>
    </row>
    <row r="204" spans="1:21" hidden="1" x14ac:dyDescent="0.6">
      <c r="A204">
        <v>203</v>
      </c>
      <c r="B204" t="str">
        <f>"1773"</f>
        <v>1773</v>
      </c>
      <c r="C204" t="s">
        <v>281</v>
      </c>
      <c r="D204" s="1">
        <v>42923</v>
      </c>
      <c r="E204">
        <v>63.9</v>
      </c>
      <c r="F204">
        <v>-0.3</v>
      </c>
      <c r="G204" s="3">
        <v>-4.7000000000000002E-3</v>
      </c>
      <c r="H204">
        <v>2017</v>
      </c>
      <c r="I204">
        <v>5.23</v>
      </c>
      <c r="J204">
        <v>4</v>
      </c>
      <c r="K204">
        <v>0</v>
      </c>
      <c r="L204">
        <v>4</v>
      </c>
      <c r="M204" s="3">
        <v>6.2600000000000003E-2</v>
      </c>
      <c r="N204" s="2">
        <v>0</v>
      </c>
      <c r="O204" s="3">
        <v>6.2600000000000003E-2</v>
      </c>
      <c r="P204" s="3">
        <v>0.76500000000000001</v>
      </c>
      <c r="Q204" s="2">
        <v>0</v>
      </c>
      <c r="R204" s="3">
        <v>0.76500000000000001</v>
      </c>
      <c r="S204" t="s">
        <v>901</v>
      </c>
      <c r="U204" t="s">
        <v>922</v>
      </c>
    </row>
    <row r="205" spans="1:21" x14ac:dyDescent="0.6">
      <c r="A205">
        <v>204</v>
      </c>
      <c r="B205" t="str">
        <f>"4138"</f>
        <v>4138</v>
      </c>
      <c r="C205" t="s">
        <v>283</v>
      </c>
      <c r="D205" s="1">
        <v>42923</v>
      </c>
      <c r="E205">
        <v>56.9</v>
      </c>
      <c r="F205">
        <v>-0.4</v>
      </c>
      <c r="G205" s="3">
        <v>-7.0000000000000001E-3</v>
      </c>
      <c r="H205">
        <v>2017</v>
      </c>
      <c r="I205">
        <v>3.95</v>
      </c>
      <c r="J205">
        <v>3.56</v>
      </c>
      <c r="K205">
        <v>0</v>
      </c>
      <c r="L205">
        <v>3.56</v>
      </c>
      <c r="M205" s="3">
        <v>6.2600000000000003E-2</v>
      </c>
      <c r="N205" s="2">
        <v>0</v>
      </c>
      <c r="O205" s="3">
        <v>6.2600000000000003E-2</v>
      </c>
      <c r="P205" s="2">
        <v>0.90100000000000002</v>
      </c>
      <c r="Q205" s="2">
        <v>0</v>
      </c>
      <c r="R205" s="2">
        <v>0.90100000000000002</v>
      </c>
    </row>
    <row r="206" spans="1:21" x14ac:dyDescent="0.6">
      <c r="A206">
        <v>205</v>
      </c>
      <c r="B206" t="str">
        <f>"3029"</f>
        <v>3029</v>
      </c>
      <c r="C206" t="s">
        <v>284</v>
      </c>
      <c r="D206" s="1">
        <v>42923</v>
      </c>
      <c r="E206">
        <v>19.2</v>
      </c>
      <c r="F206">
        <v>0.15</v>
      </c>
      <c r="G206" s="3">
        <v>7.9000000000000008E-3</v>
      </c>
      <c r="H206">
        <v>2017</v>
      </c>
      <c r="I206">
        <v>1.85</v>
      </c>
      <c r="J206">
        <v>1.2</v>
      </c>
      <c r="K206">
        <v>0</v>
      </c>
      <c r="L206">
        <v>1.2</v>
      </c>
      <c r="M206" s="3">
        <v>6.25E-2</v>
      </c>
      <c r="N206" s="2">
        <v>0</v>
      </c>
      <c r="O206" s="3">
        <v>6.25E-2</v>
      </c>
      <c r="P206" s="3">
        <v>0.64900000000000002</v>
      </c>
      <c r="Q206" s="2">
        <v>0</v>
      </c>
      <c r="R206" s="3">
        <v>0.64900000000000002</v>
      </c>
    </row>
    <row r="207" spans="1:21" x14ac:dyDescent="0.6">
      <c r="A207">
        <v>206</v>
      </c>
      <c r="B207" t="str">
        <f>"6506"</f>
        <v>6506</v>
      </c>
      <c r="C207" t="s">
        <v>285</v>
      </c>
      <c r="D207" s="1">
        <v>42923</v>
      </c>
      <c r="E207">
        <v>24</v>
      </c>
      <c r="F207">
        <v>-0.25</v>
      </c>
      <c r="G207" s="3">
        <v>-1.03E-2</v>
      </c>
      <c r="H207">
        <v>2017</v>
      </c>
      <c r="I207">
        <v>2.62</v>
      </c>
      <c r="J207">
        <v>1.5</v>
      </c>
      <c r="K207">
        <v>0.2</v>
      </c>
      <c r="L207">
        <v>1.7</v>
      </c>
      <c r="M207" s="3">
        <v>6.25E-2</v>
      </c>
      <c r="N207" s="2">
        <v>8.3000000000000001E-3</v>
      </c>
      <c r="O207" s="3">
        <v>7.0800000000000002E-2</v>
      </c>
      <c r="P207" s="3">
        <v>0.57199999999999995</v>
      </c>
      <c r="Q207" s="2">
        <v>7.6300000000000007E-2</v>
      </c>
      <c r="R207" s="3">
        <v>0.64900000000000002</v>
      </c>
    </row>
    <row r="208" spans="1:21" hidden="1" x14ac:dyDescent="0.6">
      <c r="A208">
        <v>207</v>
      </c>
      <c r="B208" t="str">
        <f>"8420"</f>
        <v>8420</v>
      </c>
      <c r="C208" t="s">
        <v>286</v>
      </c>
      <c r="D208" s="1">
        <v>42923</v>
      </c>
      <c r="E208">
        <v>19.2</v>
      </c>
      <c r="F208">
        <v>0</v>
      </c>
      <c r="G208" s="2">
        <v>0</v>
      </c>
      <c r="H208">
        <v>2017</v>
      </c>
      <c r="I208">
        <v>2.16</v>
      </c>
      <c r="J208">
        <v>1.2</v>
      </c>
      <c r="K208">
        <v>0</v>
      </c>
      <c r="L208">
        <v>1.2</v>
      </c>
      <c r="M208" s="2">
        <v>6.25E-2</v>
      </c>
      <c r="N208" s="2">
        <v>0</v>
      </c>
      <c r="O208" s="2">
        <v>6.25E-2</v>
      </c>
      <c r="P208" s="2">
        <v>0.55600000000000005</v>
      </c>
      <c r="Q208" s="2">
        <v>0</v>
      </c>
      <c r="R208" s="2">
        <v>0.55600000000000005</v>
      </c>
      <c r="S208" t="s">
        <v>927</v>
      </c>
      <c r="U208" t="s">
        <v>899</v>
      </c>
    </row>
    <row r="209" spans="1:21" hidden="1" x14ac:dyDescent="0.6">
      <c r="A209">
        <v>208</v>
      </c>
      <c r="B209" t="str">
        <f>"8435"</f>
        <v>8435</v>
      </c>
      <c r="C209" t="s">
        <v>287</v>
      </c>
      <c r="D209" s="1">
        <v>42923</v>
      </c>
      <c r="E209">
        <v>48</v>
      </c>
      <c r="F209">
        <v>0.5</v>
      </c>
      <c r="G209" s="3">
        <v>1.0500000000000001E-2</v>
      </c>
      <c r="H209">
        <v>2017</v>
      </c>
      <c r="I209">
        <v>2.98</v>
      </c>
      <c r="J209">
        <v>3</v>
      </c>
      <c r="K209">
        <v>0</v>
      </c>
      <c r="L209">
        <v>3</v>
      </c>
      <c r="M209" s="3">
        <v>6.25E-2</v>
      </c>
      <c r="N209" s="2">
        <v>0</v>
      </c>
      <c r="O209" s="3">
        <v>6.25E-2</v>
      </c>
      <c r="P209" s="2">
        <v>1.01</v>
      </c>
      <c r="Q209" s="2">
        <v>0</v>
      </c>
      <c r="R209" s="2">
        <v>1.01</v>
      </c>
      <c r="S209" t="s">
        <v>895</v>
      </c>
      <c r="U209" t="s">
        <v>932</v>
      </c>
    </row>
    <row r="210" spans="1:21" hidden="1" x14ac:dyDescent="0.6">
      <c r="A210">
        <v>209</v>
      </c>
      <c r="B210" t="str">
        <f>"2449"</f>
        <v>2449</v>
      </c>
      <c r="C210" t="s">
        <v>288</v>
      </c>
      <c r="D210" s="1">
        <v>42923</v>
      </c>
      <c r="E210">
        <v>28.75</v>
      </c>
      <c r="F210">
        <v>-0.3</v>
      </c>
      <c r="G210" s="3">
        <v>-1.03E-2</v>
      </c>
      <c r="H210">
        <v>2017</v>
      </c>
      <c r="I210">
        <v>2.56</v>
      </c>
      <c r="J210">
        <v>1.8</v>
      </c>
      <c r="K210">
        <v>0</v>
      </c>
      <c r="L210">
        <v>1.8</v>
      </c>
      <c r="M210" s="3">
        <v>6.25E-2</v>
      </c>
      <c r="N210" s="2">
        <v>0</v>
      </c>
      <c r="O210" s="3">
        <v>6.25E-2</v>
      </c>
      <c r="P210" s="2">
        <v>0.70299999999999996</v>
      </c>
      <c r="Q210" s="2">
        <v>0</v>
      </c>
      <c r="R210" s="2">
        <v>0.70299999999999996</v>
      </c>
      <c r="S210" t="s">
        <v>892</v>
      </c>
      <c r="U210" t="s">
        <v>932</v>
      </c>
    </row>
    <row r="211" spans="1:21" x14ac:dyDescent="0.6">
      <c r="A211">
        <v>210</v>
      </c>
      <c r="B211" t="str">
        <f>"2426"</f>
        <v>2426</v>
      </c>
      <c r="C211" t="s">
        <v>289</v>
      </c>
      <c r="D211" s="1">
        <v>42923</v>
      </c>
      <c r="E211">
        <v>14.3</v>
      </c>
      <c r="F211">
        <v>-0.1</v>
      </c>
      <c r="G211" s="3">
        <v>-6.8999999999999999E-3</v>
      </c>
      <c r="H211">
        <v>2017</v>
      </c>
      <c r="I211">
        <v>0.91</v>
      </c>
      <c r="J211">
        <v>0.89</v>
      </c>
      <c r="K211">
        <v>0</v>
      </c>
      <c r="L211">
        <v>0.89</v>
      </c>
      <c r="M211" s="2">
        <v>6.2399999999999997E-2</v>
      </c>
      <c r="N211" s="2">
        <v>0</v>
      </c>
      <c r="O211" s="2">
        <v>6.2399999999999997E-2</v>
      </c>
      <c r="P211" s="2">
        <v>0.97799999999999998</v>
      </c>
      <c r="Q211" s="2">
        <v>0</v>
      </c>
      <c r="R211" s="2">
        <v>0.97799999999999998</v>
      </c>
      <c r="S211" t="s">
        <v>926</v>
      </c>
      <c r="U211" t="s">
        <v>930</v>
      </c>
    </row>
    <row r="212" spans="1:21" hidden="1" x14ac:dyDescent="0.6">
      <c r="A212">
        <v>211</v>
      </c>
      <c r="B212" t="str">
        <f>"1326"</f>
        <v>1326</v>
      </c>
      <c r="C212" t="s">
        <v>290</v>
      </c>
      <c r="D212" s="1">
        <v>42923</v>
      </c>
      <c r="E212">
        <v>90</v>
      </c>
      <c r="F212">
        <v>-0.8</v>
      </c>
      <c r="G212" s="3">
        <v>-8.8000000000000005E-3</v>
      </c>
      <c r="H212">
        <v>2017</v>
      </c>
      <c r="I212">
        <v>7.5</v>
      </c>
      <c r="J212">
        <v>5.6</v>
      </c>
      <c r="K212">
        <v>0</v>
      </c>
      <c r="L212">
        <v>5.6</v>
      </c>
      <c r="M212" s="3">
        <v>6.2199999999999998E-2</v>
      </c>
      <c r="N212" s="3">
        <v>0</v>
      </c>
      <c r="O212" s="3">
        <v>6.2199999999999998E-2</v>
      </c>
      <c r="P212" s="2">
        <v>0.747</v>
      </c>
      <c r="Q212" s="2">
        <v>0</v>
      </c>
      <c r="R212" s="2">
        <v>0.747</v>
      </c>
      <c r="S212" t="s">
        <v>895</v>
      </c>
      <c r="U212" t="s">
        <v>904</v>
      </c>
    </row>
    <row r="213" spans="1:21" hidden="1" x14ac:dyDescent="0.6">
      <c r="A213">
        <v>212</v>
      </c>
      <c r="B213" t="str">
        <f>"8099"</f>
        <v>8099</v>
      </c>
      <c r="C213" t="s">
        <v>291</v>
      </c>
      <c r="D213" s="1">
        <v>42923</v>
      </c>
      <c r="E213">
        <v>18.350000000000001</v>
      </c>
      <c r="F213">
        <v>-0.15</v>
      </c>
      <c r="G213" s="3">
        <v>-8.0999999999999996E-3</v>
      </c>
      <c r="H213">
        <v>2017</v>
      </c>
      <c r="I213">
        <v>1.34</v>
      </c>
      <c r="J213">
        <v>1.1399999999999999</v>
      </c>
      <c r="K213">
        <v>0</v>
      </c>
      <c r="L213">
        <v>1.1399999999999999</v>
      </c>
      <c r="M213" s="3">
        <v>6.2100000000000002E-2</v>
      </c>
      <c r="N213" s="2">
        <v>0</v>
      </c>
      <c r="O213" s="3">
        <v>6.2100000000000002E-2</v>
      </c>
      <c r="P213" s="3">
        <v>0.85099999999999998</v>
      </c>
      <c r="Q213" s="2">
        <v>0</v>
      </c>
      <c r="R213" s="3">
        <v>0.85099999999999998</v>
      </c>
      <c r="S213" t="s">
        <v>888</v>
      </c>
      <c r="U213" t="s">
        <v>908</v>
      </c>
    </row>
    <row r="214" spans="1:21" hidden="1" x14ac:dyDescent="0.6">
      <c r="A214">
        <v>213</v>
      </c>
      <c r="B214" t="str">
        <f>"8416"</f>
        <v>8416</v>
      </c>
      <c r="C214" t="s">
        <v>292</v>
      </c>
      <c r="D214" s="1">
        <v>42923</v>
      </c>
      <c r="E214">
        <v>96.8</v>
      </c>
      <c r="F214">
        <v>0</v>
      </c>
      <c r="G214" s="2">
        <v>0</v>
      </c>
      <c r="H214">
        <v>2017</v>
      </c>
      <c r="I214">
        <v>7.7</v>
      </c>
      <c r="J214">
        <v>6</v>
      </c>
      <c r="K214">
        <v>0</v>
      </c>
      <c r="L214">
        <v>6</v>
      </c>
      <c r="M214" s="3">
        <v>6.2E-2</v>
      </c>
      <c r="N214" s="2">
        <v>0</v>
      </c>
      <c r="O214" s="3">
        <v>6.2E-2</v>
      </c>
      <c r="P214" s="3">
        <v>0.77900000000000003</v>
      </c>
      <c r="Q214" s="2">
        <v>0</v>
      </c>
      <c r="R214" s="3">
        <v>0.77900000000000003</v>
      </c>
      <c r="S214" t="s">
        <v>906</v>
      </c>
      <c r="U214" t="s">
        <v>889</v>
      </c>
    </row>
    <row r="215" spans="1:21" hidden="1" x14ac:dyDescent="0.6">
      <c r="A215">
        <v>214</v>
      </c>
      <c r="B215" t="str">
        <f>"2739"</f>
        <v>2739</v>
      </c>
      <c r="C215" t="s">
        <v>293</v>
      </c>
      <c r="D215" s="1">
        <v>42923</v>
      </c>
      <c r="E215">
        <v>35.5</v>
      </c>
      <c r="F215">
        <v>-0.5</v>
      </c>
      <c r="G215" s="3">
        <v>-1.3899999999999999E-2</v>
      </c>
      <c r="H215">
        <v>2017</v>
      </c>
      <c r="I215">
        <v>2.63</v>
      </c>
      <c r="J215">
        <v>2.2000000000000002</v>
      </c>
      <c r="K215">
        <v>0</v>
      </c>
      <c r="L215">
        <v>2.2000000000000002</v>
      </c>
      <c r="M215" s="3">
        <v>6.2E-2</v>
      </c>
      <c r="N215" s="2">
        <v>0</v>
      </c>
      <c r="O215" s="3">
        <v>6.2E-2</v>
      </c>
      <c r="P215" s="3">
        <v>0.83599999999999997</v>
      </c>
      <c r="Q215" s="2">
        <v>0</v>
      </c>
      <c r="R215" s="3">
        <v>0.83599999999999997</v>
      </c>
      <c r="S215" t="s">
        <v>943</v>
      </c>
      <c r="U215" t="s">
        <v>916</v>
      </c>
    </row>
    <row r="216" spans="1:21" hidden="1" x14ac:dyDescent="0.6">
      <c r="A216">
        <v>215</v>
      </c>
      <c r="B216" t="str">
        <f>"6213"</f>
        <v>6213</v>
      </c>
      <c r="C216" t="s">
        <v>294</v>
      </c>
      <c r="D216" s="1">
        <v>42923</v>
      </c>
      <c r="E216">
        <v>40.35</v>
      </c>
      <c r="F216">
        <v>-0.2</v>
      </c>
      <c r="G216" s="3">
        <v>-4.8999999999999998E-3</v>
      </c>
      <c r="H216">
        <v>2017</v>
      </c>
      <c r="I216">
        <v>3.13</v>
      </c>
      <c r="J216">
        <v>2.5</v>
      </c>
      <c r="K216">
        <v>0</v>
      </c>
      <c r="L216">
        <v>2.5</v>
      </c>
      <c r="M216" s="3">
        <v>6.2E-2</v>
      </c>
      <c r="N216" s="2">
        <v>0</v>
      </c>
      <c r="O216" s="3">
        <v>6.2E-2</v>
      </c>
      <c r="P216" s="2">
        <v>0.79900000000000004</v>
      </c>
      <c r="Q216" s="2">
        <v>0</v>
      </c>
      <c r="R216" s="2">
        <v>0.79900000000000004</v>
      </c>
      <c r="S216" t="s">
        <v>918</v>
      </c>
      <c r="U216" t="s">
        <v>904</v>
      </c>
    </row>
    <row r="217" spans="1:21" x14ac:dyDescent="0.6">
      <c r="A217">
        <v>216</v>
      </c>
      <c r="B217" t="str">
        <f>"5508"</f>
        <v>5508</v>
      </c>
      <c r="C217" t="s">
        <v>295</v>
      </c>
      <c r="D217" s="1">
        <v>42923</v>
      </c>
      <c r="E217">
        <v>29.2</v>
      </c>
      <c r="F217">
        <v>-0.35</v>
      </c>
      <c r="G217" s="2">
        <v>-1.18E-2</v>
      </c>
      <c r="H217">
        <v>2017</v>
      </c>
      <c r="I217">
        <v>2.0099999999999998</v>
      </c>
      <c r="J217">
        <v>1.81</v>
      </c>
      <c r="K217">
        <v>0</v>
      </c>
      <c r="L217">
        <v>1.81</v>
      </c>
      <c r="M217" s="3">
        <v>6.1899999999999997E-2</v>
      </c>
      <c r="N217" s="2">
        <v>0</v>
      </c>
      <c r="O217" s="3">
        <v>6.1899999999999997E-2</v>
      </c>
      <c r="P217" s="3">
        <v>0.9</v>
      </c>
      <c r="Q217" s="2">
        <v>0</v>
      </c>
      <c r="R217" s="3">
        <v>0.9</v>
      </c>
      <c r="S217" t="s">
        <v>899</v>
      </c>
      <c r="U217" t="s">
        <v>929</v>
      </c>
    </row>
    <row r="218" spans="1:21" x14ac:dyDescent="0.6">
      <c r="A218">
        <v>217</v>
      </c>
      <c r="B218" t="str">
        <f>"6422"</f>
        <v>6422</v>
      </c>
      <c r="C218" t="s">
        <v>296</v>
      </c>
      <c r="D218" s="1">
        <v>42923</v>
      </c>
      <c r="E218">
        <v>70.599999999999994</v>
      </c>
      <c r="F218">
        <v>0.6</v>
      </c>
      <c r="G218" s="3">
        <v>8.6E-3</v>
      </c>
      <c r="H218">
        <v>2017</v>
      </c>
      <c r="I218">
        <v>7.2</v>
      </c>
      <c r="J218">
        <v>4.3499999999999996</v>
      </c>
      <c r="K218">
        <v>0</v>
      </c>
      <c r="L218">
        <v>4.3499999999999996</v>
      </c>
      <c r="M218" s="3">
        <v>6.1600000000000002E-2</v>
      </c>
      <c r="N218" s="2">
        <v>0</v>
      </c>
      <c r="O218" s="3">
        <v>6.1600000000000002E-2</v>
      </c>
      <c r="P218" s="3">
        <v>0.60399999999999998</v>
      </c>
      <c r="Q218" s="2">
        <v>0</v>
      </c>
      <c r="R218" s="3">
        <v>0.60399999999999998</v>
      </c>
    </row>
    <row r="219" spans="1:21" hidden="1" x14ac:dyDescent="0.6">
      <c r="A219">
        <v>218</v>
      </c>
      <c r="B219" t="str">
        <f>"8255"</f>
        <v>8255</v>
      </c>
      <c r="C219" t="s">
        <v>297</v>
      </c>
      <c r="D219" s="1">
        <v>42923</v>
      </c>
      <c r="E219">
        <v>105.5</v>
      </c>
      <c r="F219">
        <v>-1.5</v>
      </c>
      <c r="G219" s="3">
        <v>-1.4E-2</v>
      </c>
      <c r="H219">
        <v>2017</v>
      </c>
      <c r="I219">
        <v>7.5</v>
      </c>
      <c r="J219">
        <v>6.5</v>
      </c>
      <c r="K219">
        <v>0</v>
      </c>
      <c r="L219">
        <v>6.5</v>
      </c>
      <c r="M219" s="3">
        <v>6.1600000000000002E-2</v>
      </c>
      <c r="N219" s="2">
        <v>0</v>
      </c>
      <c r="O219" s="3">
        <v>6.1600000000000002E-2</v>
      </c>
      <c r="P219" s="2">
        <v>0.86699999999999999</v>
      </c>
      <c r="Q219" s="2">
        <v>0</v>
      </c>
      <c r="R219" s="2">
        <v>0.86699999999999999</v>
      </c>
      <c r="S219" t="s">
        <v>895</v>
      </c>
      <c r="U219" t="s">
        <v>911</v>
      </c>
    </row>
    <row r="220" spans="1:21" x14ac:dyDescent="0.6">
      <c r="A220">
        <v>219</v>
      </c>
      <c r="B220" t="str">
        <f>"3026"</f>
        <v>3026</v>
      </c>
      <c r="C220" t="s">
        <v>298</v>
      </c>
      <c r="D220" s="1">
        <v>42923</v>
      </c>
      <c r="E220">
        <v>40.6</v>
      </c>
      <c r="F220">
        <v>-0.3</v>
      </c>
      <c r="G220" s="3">
        <v>-7.3000000000000001E-3</v>
      </c>
      <c r="H220">
        <v>2017</v>
      </c>
      <c r="I220">
        <v>2.2599999999999998</v>
      </c>
      <c r="J220">
        <v>2.5</v>
      </c>
      <c r="K220">
        <v>0</v>
      </c>
      <c r="L220">
        <v>2.5</v>
      </c>
      <c r="M220" s="3">
        <v>6.1600000000000002E-2</v>
      </c>
      <c r="N220" s="2">
        <v>0</v>
      </c>
      <c r="O220" s="3">
        <v>6.1600000000000002E-2</v>
      </c>
      <c r="P220" s="3">
        <v>1.1100000000000001</v>
      </c>
      <c r="Q220" s="2">
        <v>0</v>
      </c>
      <c r="R220" s="3">
        <v>1.1100000000000001</v>
      </c>
      <c r="S220" t="s">
        <v>925</v>
      </c>
      <c r="U220" t="s">
        <v>930</v>
      </c>
    </row>
    <row r="221" spans="1:21" x14ac:dyDescent="0.6">
      <c r="A221">
        <v>220</v>
      </c>
      <c r="B221" t="str">
        <f>"2484"</f>
        <v>2484</v>
      </c>
      <c r="C221" t="s">
        <v>299</v>
      </c>
      <c r="D221" s="1">
        <v>42923</v>
      </c>
      <c r="E221">
        <v>19.5</v>
      </c>
      <c r="F221">
        <v>-0.2</v>
      </c>
      <c r="G221" s="3">
        <v>-1.0200000000000001E-2</v>
      </c>
      <c r="H221">
        <v>2017</v>
      </c>
      <c r="I221">
        <v>1.48</v>
      </c>
      <c r="J221">
        <v>1.2</v>
      </c>
      <c r="K221">
        <v>0</v>
      </c>
      <c r="L221">
        <v>1.2</v>
      </c>
      <c r="M221" s="2">
        <v>6.1499999999999999E-2</v>
      </c>
      <c r="N221" s="2">
        <v>0</v>
      </c>
      <c r="O221" s="2">
        <v>6.1499999999999999E-2</v>
      </c>
      <c r="P221" s="2">
        <v>0.81100000000000005</v>
      </c>
      <c r="Q221" s="2">
        <v>0</v>
      </c>
      <c r="R221" s="2">
        <v>0.81100000000000005</v>
      </c>
    </row>
    <row r="222" spans="1:21" hidden="1" x14ac:dyDescent="0.6">
      <c r="A222">
        <v>221</v>
      </c>
      <c r="B222" t="str">
        <f>"2010"</f>
        <v>2010</v>
      </c>
      <c r="C222" t="s">
        <v>300</v>
      </c>
      <c r="D222" s="1">
        <v>42923</v>
      </c>
      <c r="E222">
        <v>11.4</v>
      </c>
      <c r="F222">
        <v>0</v>
      </c>
      <c r="G222" s="2">
        <v>0</v>
      </c>
      <c r="H222">
        <v>2017</v>
      </c>
      <c r="I222">
        <v>1.02</v>
      </c>
      <c r="J222">
        <v>0.7</v>
      </c>
      <c r="K222">
        <v>0</v>
      </c>
      <c r="L222">
        <v>0.7</v>
      </c>
      <c r="M222" s="3">
        <v>6.1400000000000003E-2</v>
      </c>
      <c r="N222" s="2">
        <v>0</v>
      </c>
      <c r="O222" s="3">
        <v>6.1400000000000003E-2</v>
      </c>
      <c r="P222" s="3">
        <v>0.68600000000000005</v>
      </c>
      <c r="Q222" s="2">
        <v>0</v>
      </c>
      <c r="R222" s="3">
        <v>0.68600000000000005</v>
      </c>
      <c r="S222" t="s">
        <v>892</v>
      </c>
      <c r="U222" t="s">
        <v>910</v>
      </c>
    </row>
    <row r="223" spans="1:21" x14ac:dyDescent="0.6">
      <c r="A223">
        <v>222</v>
      </c>
      <c r="B223" t="str">
        <f>"1522"</f>
        <v>1522</v>
      </c>
      <c r="C223" t="s">
        <v>301</v>
      </c>
      <c r="D223" s="1">
        <v>42923</v>
      </c>
      <c r="E223">
        <v>32.6</v>
      </c>
      <c r="F223">
        <v>0</v>
      </c>
      <c r="G223" s="2">
        <v>0</v>
      </c>
      <c r="H223">
        <v>2017</v>
      </c>
      <c r="I223">
        <v>3.17</v>
      </c>
      <c r="J223">
        <v>2</v>
      </c>
      <c r="K223">
        <v>0</v>
      </c>
      <c r="L223">
        <v>2</v>
      </c>
      <c r="M223" s="2">
        <v>6.13E-2</v>
      </c>
      <c r="N223" s="2">
        <v>0</v>
      </c>
      <c r="O223" s="2">
        <v>6.13E-2</v>
      </c>
      <c r="P223" s="2">
        <v>0.63100000000000001</v>
      </c>
      <c r="Q223" s="2">
        <v>0</v>
      </c>
      <c r="R223" s="2">
        <v>0.63100000000000001</v>
      </c>
      <c r="S223" t="s">
        <v>919</v>
      </c>
      <c r="U223" t="s">
        <v>928</v>
      </c>
    </row>
    <row r="224" spans="1:21" x14ac:dyDescent="0.6">
      <c r="A224">
        <v>223</v>
      </c>
      <c r="B224" t="str">
        <f>"3033"</f>
        <v>3033</v>
      </c>
      <c r="C224" t="s">
        <v>302</v>
      </c>
      <c r="D224" s="1">
        <v>42923</v>
      </c>
      <c r="E224">
        <v>17.350000000000001</v>
      </c>
      <c r="F224">
        <v>-0.1</v>
      </c>
      <c r="G224" s="3">
        <v>-5.7000000000000002E-3</v>
      </c>
      <c r="H224">
        <v>2017</v>
      </c>
      <c r="I224">
        <v>1.33</v>
      </c>
      <c r="J224">
        <v>1.06</v>
      </c>
      <c r="K224">
        <v>0</v>
      </c>
      <c r="L224">
        <v>1.06</v>
      </c>
      <c r="M224" s="3">
        <v>6.13E-2</v>
      </c>
      <c r="N224" s="2">
        <v>0</v>
      </c>
      <c r="O224" s="3">
        <v>6.13E-2</v>
      </c>
      <c r="P224" s="2">
        <v>0.79700000000000004</v>
      </c>
      <c r="Q224" s="2">
        <v>0</v>
      </c>
      <c r="R224" s="2">
        <v>0.79700000000000004</v>
      </c>
      <c r="S224" t="s">
        <v>925</v>
      </c>
      <c r="U224" t="s">
        <v>923</v>
      </c>
    </row>
    <row r="225" spans="1:21" x14ac:dyDescent="0.6">
      <c r="A225">
        <v>224</v>
      </c>
      <c r="B225" t="str">
        <f>"2393"</f>
        <v>2393</v>
      </c>
      <c r="C225" t="s">
        <v>303</v>
      </c>
      <c r="D225" s="1">
        <v>42923</v>
      </c>
      <c r="E225">
        <v>48.95</v>
      </c>
      <c r="F225">
        <v>0</v>
      </c>
      <c r="G225" s="2">
        <v>0</v>
      </c>
      <c r="H225">
        <v>2017</v>
      </c>
      <c r="I225">
        <v>4.13</v>
      </c>
      <c r="J225">
        <v>3</v>
      </c>
      <c r="K225">
        <v>0</v>
      </c>
      <c r="L225">
        <v>3</v>
      </c>
      <c r="M225" s="3">
        <v>6.13E-2</v>
      </c>
      <c r="N225" s="2">
        <v>0</v>
      </c>
      <c r="O225" s="3">
        <v>6.13E-2</v>
      </c>
      <c r="P225" s="3">
        <v>0.72599999999999998</v>
      </c>
      <c r="Q225" s="2">
        <v>0</v>
      </c>
      <c r="R225" s="3">
        <v>0.72599999999999998</v>
      </c>
    </row>
    <row r="226" spans="1:21" x14ac:dyDescent="0.6">
      <c r="A226">
        <v>225</v>
      </c>
      <c r="B226" t="str">
        <f>"2472"</f>
        <v>2472</v>
      </c>
      <c r="C226" t="s">
        <v>304</v>
      </c>
      <c r="D226" s="1">
        <v>42923</v>
      </c>
      <c r="E226">
        <v>39.25</v>
      </c>
      <c r="F226">
        <v>0</v>
      </c>
      <c r="G226" s="2">
        <v>0</v>
      </c>
      <c r="H226">
        <v>2017</v>
      </c>
      <c r="I226">
        <v>3.33</v>
      </c>
      <c r="J226">
        <v>2.4</v>
      </c>
      <c r="K226">
        <v>0</v>
      </c>
      <c r="L226">
        <v>2.4</v>
      </c>
      <c r="M226" s="3">
        <v>6.1100000000000002E-2</v>
      </c>
      <c r="N226" s="2">
        <v>0</v>
      </c>
      <c r="O226" s="3">
        <v>6.1100000000000002E-2</v>
      </c>
      <c r="P226" s="3">
        <v>0.72099999999999997</v>
      </c>
      <c r="Q226" s="2">
        <v>0</v>
      </c>
      <c r="R226" s="3">
        <v>0.72099999999999997</v>
      </c>
    </row>
    <row r="227" spans="1:21" x14ac:dyDescent="0.6">
      <c r="A227">
        <v>226</v>
      </c>
      <c r="B227" t="str">
        <f>"2069"</f>
        <v>2069</v>
      </c>
      <c r="C227" t="s">
        <v>305</v>
      </c>
      <c r="D227" s="1">
        <v>42923</v>
      </c>
      <c r="E227">
        <v>27.05</v>
      </c>
      <c r="F227">
        <v>-0.45</v>
      </c>
      <c r="G227" s="3">
        <v>-1.6400000000000001E-2</v>
      </c>
      <c r="H227">
        <v>2017</v>
      </c>
      <c r="I227">
        <v>2.36</v>
      </c>
      <c r="J227">
        <v>1.65</v>
      </c>
      <c r="K227">
        <v>0</v>
      </c>
      <c r="L227">
        <v>1.65</v>
      </c>
      <c r="M227" s="3">
        <v>6.0999999999999999E-2</v>
      </c>
      <c r="N227" s="2">
        <v>0</v>
      </c>
      <c r="O227" s="3">
        <v>6.0999999999999999E-2</v>
      </c>
      <c r="P227" s="3">
        <v>0.69899999999999995</v>
      </c>
      <c r="Q227" s="2">
        <v>0</v>
      </c>
      <c r="R227" s="3">
        <v>0.69899999999999995</v>
      </c>
    </row>
    <row r="228" spans="1:21" x14ac:dyDescent="0.6">
      <c r="A228">
        <v>227</v>
      </c>
      <c r="B228" t="str">
        <f>"2904"</f>
        <v>2904</v>
      </c>
      <c r="C228" t="s">
        <v>306</v>
      </c>
      <c r="D228" s="1">
        <v>42923</v>
      </c>
      <c r="E228">
        <v>22.2</v>
      </c>
      <c r="F228">
        <v>0.2</v>
      </c>
      <c r="G228" s="3">
        <v>9.1000000000000004E-3</v>
      </c>
      <c r="H228">
        <v>2017</v>
      </c>
      <c r="I228">
        <v>1.52</v>
      </c>
      <c r="J228">
        <v>1.35</v>
      </c>
      <c r="K228">
        <v>0</v>
      </c>
      <c r="L228">
        <v>1.35</v>
      </c>
      <c r="M228" s="3">
        <v>6.08E-2</v>
      </c>
      <c r="N228" s="2">
        <v>0</v>
      </c>
      <c r="O228" s="3">
        <v>6.08E-2</v>
      </c>
      <c r="P228" s="3">
        <v>0.88800000000000001</v>
      </c>
      <c r="Q228" s="2">
        <v>0</v>
      </c>
      <c r="R228" s="3">
        <v>0.88800000000000001</v>
      </c>
      <c r="S228" t="s">
        <v>925</v>
      </c>
      <c r="U228" t="s">
        <v>904</v>
      </c>
    </row>
    <row r="229" spans="1:21" hidden="1" x14ac:dyDescent="0.6">
      <c r="A229">
        <v>228</v>
      </c>
      <c r="B229" t="str">
        <f>"3093"</f>
        <v>3093</v>
      </c>
      <c r="C229" t="s">
        <v>307</v>
      </c>
      <c r="D229" s="1">
        <v>42923</v>
      </c>
      <c r="E229">
        <v>30</v>
      </c>
      <c r="F229">
        <v>-0.25</v>
      </c>
      <c r="G229" s="3">
        <v>-8.3000000000000001E-3</v>
      </c>
      <c r="H229">
        <v>2017</v>
      </c>
      <c r="I229">
        <v>2.0299999999999998</v>
      </c>
      <c r="J229">
        <v>1.82</v>
      </c>
      <c r="K229">
        <v>0</v>
      </c>
      <c r="L229">
        <v>1.82</v>
      </c>
      <c r="M229" s="3">
        <v>6.0699999999999997E-2</v>
      </c>
      <c r="N229" s="2">
        <v>0</v>
      </c>
      <c r="O229" s="3">
        <v>6.0699999999999997E-2</v>
      </c>
      <c r="P229" s="3">
        <v>0.89700000000000002</v>
      </c>
      <c r="Q229" s="2">
        <v>0</v>
      </c>
      <c r="R229" s="3">
        <v>0.89700000000000002</v>
      </c>
      <c r="S229" t="s">
        <v>895</v>
      </c>
      <c r="U229" t="s">
        <v>898</v>
      </c>
    </row>
    <row r="230" spans="1:21" hidden="1" x14ac:dyDescent="0.6">
      <c r="A230">
        <v>229</v>
      </c>
      <c r="B230" t="str">
        <f>"1307"</f>
        <v>1307</v>
      </c>
      <c r="C230" t="s">
        <v>308</v>
      </c>
      <c r="D230" s="1">
        <v>42923</v>
      </c>
      <c r="E230">
        <v>36.299999999999997</v>
      </c>
      <c r="F230">
        <v>-0.25</v>
      </c>
      <c r="G230" s="3">
        <v>-6.7999999999999996E-3</v>
      </c>
      <c r="H230">
        <v>2017</v>
      </c>
      <c r="I230">
        <v>3.13</v>
      </c>
      <c r="J230">
        <v>2.2000000000000002</v>
      </c>
      <c r="K230">
        <v>0</v>
      </c>
      <c r="L230">
        <v>2.2000000000000002</v>
      </c>
      <c r="M230" s="3">
        <v>6.0600000000000001E-2</v>
      </c>
      <c r="N230" s="3">
        <v>0</v>
      </c>
      <c r="O230" s="3">
        <v>6.0600000000000001E-2</v>
      </c>
      <c r="P230" s="2">
        <v>0.70299999999999996</v>
      </c>
      <c r="Q230" s="2">
        <v>0</v>
      </c>
      <c r="R230" s="2">
        <v>0.70299999999999996</v>
      </c>
      <c r="S230" t="s">
        <v>941</v>
      </c>
      <c r="U230" t="s">
        <v>889</v>
      </c>
    </row>
    <row r="231" spans="1:21" x14ac:dyDescent="0.6">
      <c r="A231">
        <v>230</v>
      </c>
      <c r="B231" t="str">
        <f>"4119"</f>
        <v>4119</v>
      </c>
      <c r="C231" t="s">
        <v>309</v>
      </c>
      <c r="D231" s="1">
        <v>42923</v>
      </c>
      <c r="E231">
        <v>69.3</v>
      </c>
      <c r="F231">
        <v>-0.6</v>
      </c>
      <c r="G231" s="3">
        <v>-8.6E-3</v>
      </c>
      <c r="H231">
        <v>2017</v>
      </c>
      <c r="I231">
        <v>5.34</v>
      </c>
      <c r="J231">
        <v>4.2</v>
      </c>
      <c r="K231">
        <v>0</v>
      </c>
      <c r="L231">
        <v>4.2</v>
      </c>
      <c r="M231" s="3">
        <v>6.0600000000000001E-2</v>
      </c>
      <c r="N231" s="3">
        <v>0</v>
      </c>
      <c r="O231" s="3">
        <v>6.0600000000000001E-2</v>
      </c>
      <c r="P231" s="3">
        <v>0.78600000000000003</v>
      </c>
      <c r="Q231" s="3">
        <v>0</v>
      </c>
      <c r="R231" s="3">
        <v>0.78600000000000003</v>
      </c>
    </row>
    <row r="232" spans="1:21" hidden="1" x14ac:dyDescent="0.6">
      <c r="A232">
        <v>231</v>
      </c>
      <c r="B232" t="str">
        <f>"1521"</f>
        <v>1521</v>
      </c>
      <c r="C232" t="s">
        <v>310</v>
      </c>
      <c r="D232" s="1">
        <v>42923</v>
      </c>
      <c r="E232">
        <v>85.9</v>
      </c>
      <c r="F232">
        <v>0</v>
      </c>
      <c r="G232" s="2">
        <v>0</v>
      </c>
      <c r="H232">
        <v>2017</v>
      </c>
      <c r="I232">
        <v>6.52</v>
      </c>
      <c r="J232">
        <v>5.2</v>
      </c>
      <c r="K232">
        <v>0</v>
      </c>
      <c r="L232">
        <v>5.2</v>
      </c>
      <c r="M232" s="3">
        <v>6.0499999999999998E-2</v>
      </c>
      <c r="N232" s="2">
        <v>0</v>
      </c>
      <c r="O232" s="3">
        <v>6.0499999999999998E-2</v>
      </c>
      <c r="P232" s="3">
        <v>0.79800000000000004</v>
      </c>
      <c r="Q232" s="2">
        <v>0</v>
      </c>
      <c r="R232" s="3">
        <v>0.79800000000000004</v>
      </c>
      <c r="S232" t="s">
        <v>894</v>
      </c>
      <c r="U232" t="s">
        <v>910</v>
      </c>
    </row>
    <row r="233" spans="1:21" x14ac:dyDescent="0.6">
      <c r="A233">
        <v>232</v>
      </c>
      <c r="B233" t="str">
        <f>"4942"</f>
        <v>4942</v>
      </c>
      <c r="C233" t="s">
        <v>311</v>
      </c>
      <c r="D233" s="1">
        <v>42923</v>
      </c>
      <c r="E233">
        <v>24.8</v>
      </c>
      <c r="F233">
        <v>0</v>
      </c>
      <c r="G233" s="3">
        <v>0</v>
      </c>
      <c r="H233">
        <v>2017</v>
      </c>
      <c r="I233">
        <v>2.2599999999999998</v>
      </c>
      <c r="J233">
        <v>1.5</v>
      </c>
      <c r="K233">
        <v>0</v>
      </c>
      <c r="L233">
        <v>1.5</v>
      </c>
      <c r="M233" s="3">
        <v>6.0499999999999998E-2</v>
      </c>
      <c r="N233" s="2">
        <v>0</v>
      </c>
      <c r="O233" s="3">
        <v>6.0499999999999998E-2</v>
      </c>
      <c r="P233" s="3">
        <v>0.66400000000000003</v>
      </c>
      <c r="Q233" s="2">
        <v>0</v>
      </c>
      <c r="R233" s="3">
        <v>0.66400000000000003</v>
      </c>
    </row>
    <row r="234" spans="1:21" x14ac:dyDescent="0.6">
      <c r="A234">
        <v>233</v>
      </c>
      <c r="B234" t="str">
        <f>"6282"</f>
        <v>6282</v>
      </c>
      <c r="C234" t="s">
        <v>312</v>
      </c>
      <c r="D234" s="1">
        <v>42923</v>
      </c>
      <c r="E234">
        <v>23.15</v>
      </c>
      <c r="F234">
        <v>-0.3</v>
      </c>
      <c r="G234" s="3">
        <v>-1.2800000000000001E-2</v>
      </c>
      <c r="H234">
        <v>2017</v>
      </c>
      <c r="I234">
        <v>1.01</v>
      </c>
      <c r="J234">
        <v>1.4</v>
      </c>
      <c r="K234">
        <v>0</v>
      </c>
      <c r="L234">
        <v>1.4</v>
      </c>
      <c r="M234" s="3">
        <v>6.0499999999999998E-2</v>
      </c>
      <c r="N234" s="2">
        <v>0</v>
      </c>
      <c r="O234" s="3">
        <v>6.0499999999999998E-2</v>
      </c>
      <c r="P234" s="2">
        <v>1.39</v>
      </c>
      <c r="Q234" s="2">
        <v>0</v>
      </c>
      <c r="R234" s="2">
        <v>1.39</v>
      </c>
    </row>
    <row r="235" spans="1:21" hidden="1" x14ac:dyDescent="0.6">
      <c r="A235">
        <v>234</v>
      </c>
      <c r="B235" t="str">
        <f>"8463"</f>
        <v>8463</v>
      </c>
      <c r="C235" t="s">
        <v>313</v>
      </c>
      <c r="D235" s="1">
        <v>42923</v>
      </c>
      <c r="E235">
        <v>18.2</v>
      </c>
      <c r="F235">
        <v>-0.1</v>
      </c>
      <c r="G235" s="3">
        <v>-5.4999999999999997E-3</v>
      </c>
      <c r="H235">
        <v>2017</v>
      </c>
      <c r="I235">
        <v>1.27</v>
      </c>
      <c r="J235">
        <v>1.1000000000000001</v>
      </c>
      <c r="K235">
        <v>0</v>
      </c>
      <c r="L235">
        <v>1.1000000000000001</v>
      </c>
      <c r="M235" s="3">
        <v>6.0400000000000002E-2</v>
      </c>
      <c r="N235" s="2">
        <v>0</v>
      </c>
      <c r="O235" s="3">
        <v>6.0400000000000002E-2</v>
      </c>
      <c r="P235" s="3">
        <v>0.86599999999999999</v>
      </c>
      <c r="Q235" s="2">
        <v>0</v>
      </c>
      <c r="R235" s="3">
        <v>0.86599999999999999</v>
      </c>
      <c r="S235" t="s">
        <v>895</v>
      </c>
      <c r="U235" t="s">
        <v>922</v>
      </c>
    </row>
    <row r="236" spans="1:21" hidden="1" x14ac:dyDescent="0.6">
      <c r="A236">
        <v>235</v>
      </c>
      <c r="B236" t="str">
        <f>"8271"</f>
        <v>8271</v>
      </c>
      <c r="C236" t="s">
        <v>314</v>
      </c>
      <c r="D236" s="1">
        <v>42923</v>
      </c>
      <c r="E236">
        <v>39.75</v>
      </c>
      <c r="F236">
        <v>-0.25</v>
      </c>
      <c r="G236" s="3">
        <v>-6.1999999999999998E-3</v>
      </c>
      <c r="H236">
        <v>2017</v>
      </c>
      <c r="I236">
        <v>2.74</v>
      </c>
      <c r="J236">
        <v>2.4</v>
      </c>
      <c r="K236">
        <v>0</v>
      </c>
      <c r="L236">
        <v>2.4</v>
      </c>
      <c r="M236" s="3">
        <v>6.0400000000000002E-2</v>
      </c>
      <c r="N236" s="3">
        <v>0</v>
      </c>
      <c r="O236" s="3">
        <v>6.0400000000000002E-2</v>
      </c>
      <c r="P236" s="3">
        <v>0.876</v>
      </c>
      <c r="Q236" s="3">
        <v>0</v>
      </c>
      <c r="R236" s="3">
        <v>0.876</v>
      </c>
      <c r="S236" t="s">
        <v>888</v>
      </c>
      <c r="U236" t="s">
        <v>893</v>
      </c>
    </row>
    <row r="237" spans="1:21" hidden="1" x14ac:dyDescent="0.6">
      <c r="A237">
        <v>236</v>
      </c>
      <c r="B237" t="str">
        <f>"4706"</f>
        <v>4706</v>
      </c>
      <c r="C237" t="s">
        <v>315</v>
      </c>
      <c r="D237" s="1">
        <v>42923</v>
      </c>
      <c r="E237">
        <v>21.55</v>
      </c>
      <c r="F237">
        <v>0.15</v>
      </c>
      <c r="G237" s="3">
        <v>7.0000000000000001E-3</v>
      </c>
      <c r="H237">
        <v>2017</v>
      </c>
      <c r="I237">
        <v>2.11</v>
      </c>
      <c r="J237">
        <v>1.3</v>
      </c>
      <c r="K237">
        <v>0</v>
      </c>
      <c r="L237">
        <v>1.3</v>
      </c>
      <c r="M237" s="3">
        <v>6.0299999999999999E-2</v>
      </c>
      <c r="N237" s="2">
        <v>0</v>
      </c>
      <c r="O237" s="3">
        <v>6.0299999999999999E-2</v>
      </c>
      <c r="P237" s="3">
        <v>0.61599999999999999</v>
      </c>
      <c r="Q237" s="2">
        <v>0</v>
      </c>
      <c r="R237" s="3">
        <v>0.61599999999999999</v>
      </c>
      <c r="S237" t="s">
        <v>903</v>
      </c>
      <c r="U237" t="s">
        <v>904</v>
      </c>
    </row>
    <row r="238" spans="1:21" hidden="1" x14ac:dyDescent="0.6">
      <c r="A238">
        <v>237</v>
      </c>
      <c r="B238" t="str">
        <f>"3118"</f>
        <v>3118</v>
      </c>
      <c r="C238" t="s">
        <v>316</v>
      </c>
      <c r="D238" s="1">
        <v>42923</v>
      </c>
      <c r="E238">
        <v>31.55</v>
      </c>
      <c r="F238">
        <v>0.05</v>
      </c>
      <c r="G238" s="3">
        <v>1.6000000000000001E-3</v>
      </c>
      <c r="H238">
        <v>2017</v>
      </c>
      <c r="I238">
        <v>1.95</v>
      </c>
      <c r="J238">
        <v>1.9</v>
      </c>
      <c r="K238">
        <v>0</v>
      </c>
      <c r="L238">
        <v>1.9</v>
      </c>
      <c r="M238" s="3">
        <v>6.0199999999999997E-2</v>
      </c>
      <c r="N238" s="2">
        <v>0</v>
      </c>
      <c r="O238" s="3">
        <v>6.0199999999999997E-2</v>
      </c>
      <c r="P238" s="3">
        <v>0.97399999999999998</v>
      </c>
      <c r="Q238" s="2">
        <v>0</v>
      </c>
      <c r="R238" s="3">
        <v>0.97399999999999998</v>
      </c>
      <c r="S238" t="s">
        <v>888</v>
      </c>
      <c r="U238" t="s">
        <v>889</v>
      </c>
    </row>
    <row r="239" spans="1:21" hidden="1" x14ac:dyDescent="0.6">
      <c r="A239">
        <v>238</v>
      </c>
      <c r="B239" t="str">
        <f>"5604"</f>
        <v>5604</v>
      </c>
      <c r="C239" t="s">
        <v>317</v>
      </c>
      <c r="D239" s="1">
        <v>42923</v>
      </c>
      <c r="E239">
        <v>29.9</v>
      </c>
      <c r="F239">
        <v>0.1</v>
      </c>
      <c r="G239" s="3">
        <v>3.3999999999999998E-3</v>
      </c>
      <c r="H239">
        <v>2017</v>
      </c>
      <c r="I239">
        <v>0.88</v>
      </c>
      <c r="J239">
        <v>1.8</v>
      </c>
      <c r="K239">
        <v>0</v>
      </c>
      <c r="L239">
        <v>1.8</v>
      </c>
      <c r="M239" s="3">
        <v>6.0199999999999997E-2</v>
      </c>
      <c r="N239" s="3">
        <v>0</v>
      </c>
      <c r="O239" s="3">
        <v>6.0199999999999997E-2</v>
      </c>
      <c r="P239" s="3">
        <v>2.0499999999999998</v>
      </c>
      <c r="Q239" s="3">
        <v>0</v>
      </c>
      <c r="R239" s="3">
        <v>2.0499999999999998</v>
      </c>
      <c r="S239" t="s">
        <v>892</v>
      </c>
      <c r="U239" t="s">
        <v>899</v>
      </c>
    </row>
    <row r="240" spans="1:21" x14ac:dyDescent="0.6">
      <c r="A240">
        <v>239</v>
      </c>
      <c r="B240" t="str">
        <f>"2836"</f>
        <v>2836</v>
      </c>
      <c r="C240" t="s">
        <v>318</v>
      </c>
      <c r="D240" s="1">
        <v>42923</v>
      </c>
      <c r="E240">
        <v>9.9700000000000006</v>
      </c>
      <c r="F240">
        <v>-0.02</v>
      </c>
      <c r="G240" s="3">
        <v>-2E-3</v>
      </c>
      <c r="H240">
        <v>2017</v>
      </c>
      <c r="I240">
        <v>0.79</v>
      </c>
      <c r="J240">
        <v>0.6</v>
      </c>
      <c r="K240">
        <v>0</v>
      </c>
      <c r="L240">
        <v>0.6</v>
      </c>
      <c r="M240" s="3">
        <v>6.0199999999999997E-2</v>
      </c>
      <c r="N240" s="3">
        <v>0</v>
      </c>
      <c r="O240" s="3">
        <v>6.0199999999999997E-2</v>
      </c>
      <c r="P240" s="3">
        <v>0.76</v>
      </c>
      <c r="Q240" s="3">
        <v>0</v>
      </c>
      <c r="R240" s="3">
        <v>0.76</v>
      </c>
    </row>
    <row r="241" spans="1:21" x14ac:dyDescent="0.6">
      <c r="A241">
        <v>240</v>
      </c>
      <c r="B241" t="str">
        <f>"8042"</f>
        <v>8042</v>
      </c>
      <c r="C241" t="s">
        <v>319</v>
      </c>
      <c r="D241" s="1">
        <v>42923</v>
      </c>
      <c r="E241">
        <v>57.8</v>
      </c>
      <c r="F241">
        <v>-0.3</v>
      </c>
      <c r="G241" s="3">
        <v>-5.1999999999999998E-3</v>
      </c>
      <c r="H241">
        <v>2017</v>
      </c>
      <c r="I241">
        <v>5.37</v>
      </c>
      <c r="J241">
        <v>3.47</v>
      </c>
      <c r="K241">
        <v>0</v>
      </c>
      <c r="L241">
        <v>3.47</v>
      </c>
      <c r="M241" s="3">
        <v>0.06</v>
      </c>
      <c r="N241" s="2">
        <v>0</v>
      </c>
      <c r="O241" s="3">
        <v>0.06</v>
      </c>
      <c r="P241" s="3">
        <v>0.64600000000000002</v>
      </c>
      <c r="Q241" s="2">
        <v>0</v>
      </c>
      <c r="R241" s="3">
        <v>0.64600000000000002</v>
      </c>
      <c r="S241" t="s">
        <v>925</v>
      </c>
      <c r="U241" t="s">
        <v>930</v>
      </c>
    </row>
    <row r="242" spans="1:21" hidden="1" x14ac:dyDescent="0.6">
      <c r="A242">
        <v>241</v>
      </c>
      <c r="B242" t="str">
        <f>"2883"</f>
        <v>2883</v>
      </c>
      <c r="C242" t="s">
        <v>320</v>
      </c>
      <c r="D242" s="1">
        <v>42923</v>
      </c>
      <c r="E242">
        <v>8.33</v>
      </c>
      <c r="F242">
        <v>-0.06</v>
      </c>
      <c r="G242" s="3">
        <v>-7.1999999999999998E-3</v>
      </c>
      <c r="H242">
        <v>2017</v>
      </c>
      <c r="I242">
        <v>0.4</v>
      </c>
      <c r="J242">
        <v>0.5</v>
      </c>
      <c r="K242">
        <v>0</v>
      </c>
      <c r="L242">
        <v>0.5</v>
      </c>
      <c r="M242" s="3">
        <v>0.06</v>
      </c>
      <c r="N242" s="2">
        <v>0</v>
      </c>
      <c r="O242" s="3">
        <v>0.06</v>
      </c>
      <c r="P242" s="3">
        <v>1.25</v>
      </c>
      <c r="Q242" s="2">
        <v>0</v>
      </c>
      <c r="R242" s="3">
        <v>1.25</v>
      </c>
      <c r="S242" t="s">
        <v>916</v>
      </c>
      <c r="U242" t="s">
        <v>904</v>
      </c>
    </row>
    <row r="243" spans="1:21" x14ac:dyDescent="0.6">
      <c r="A243">
        <v>242</v>
      </c>
      <c r="B243" t="str">
        <f>"8155"</f>
        <v>8155</v>
      </c>
      <c r="C243" t="s">
        <v>321</v>
      </c>
      <c r="D243" s="1">
        <v>42923</v>
      </c>
      <c r="E243">
        <v>48.85</v>
      </c>
      <c r="F243">
        <v>-0.25</v>
      </c>
      <c r="G243" s="3">
        <v>-5.1000000000000004E-3</v>
      </c>
      <c r="H243">
        <v>2017</v>
      </c>
      <c r="I243">
        <v>3.27</v>
      </c>
      <c r="J243">
        <v>2.93</v>
      </c>
      <c r="K243">
        <v>0</v>
      </c>
      <c r="L243">
        <v>2.93</v>
      </c>
      <c r="M243" s="3">
        <v>0.06</v>
      </c>
      <c r="N243" s="2">
        <v>0</v>
      </c>
      <c r="O243" s="3">
        <v>0.06</v>
      </c>
      <c r="P243" s="3">
        <v>0.89600000000000002</v>
      </c>
      <c r="Q243" s="2">
        <v>0</v>
      </c>
      <c r="R243" s="3">
        <v>0.89600000000000002</v>
      </c>
    </row>
    <row r="244" spans="1:21" x14ac:dyDescent="0.6">
      <c r="A244">
        <v>243</v>
      </c>
      <c r="B244" t="str">
        <f>"1303"</f>
        <v>1303</v>
      </c>
      <c r="C244" t="s">
        <v>322</v>
      </c>
      <c r="D244" s="1">
        <v>42923</v>
      </c>
      <c r="E244">
        <v>75.099999999999994</v>
      </c>
      <c r="F244">
        <v>-0.5</v>
      </c>
      <c r="G244" s="3">
        <v>-6.6E-3</v>
      </c>
      <c r="H244">
        <v>2017</v>
      </c>
      <c r="I244">
        <v>6.16</v>
      </c>
      <c r="J244">
        <v>4.5</v>
      </c>
      <c r="K244">
        <v>0</v>
      </c>
      <c r="L244">
        <v>4.5</v>
      </c>
      <c r="M244" s="3">
        <v>5.9900000000000002E-2</v>
      </c>
      <c r="N244" s="3">
        <v>0</v>
      </c>
      <c r="O244" s="3">
        <v>5.9900000000000002E-2</v>
      </c>
      <c r="P244" s="3">
        <v>0.73</v>
      </c>
      <c r="Q244" s="3">
        <v>0</v>
      </c>
      <c r="R244" s="3">
        <v>0.73</v>
      </c>
      <c r="S244" t="s">
        <v>926</v>
      </c>
      <c r="U244" t="s">
        <v>900</v>
      </c>
    </row>
    <row r="245" spans="1:21" x14ac:dyDescent="0.6">
      <c r="A245">
        <v>244</v>
      </c>
      <c r="B245" t="str">
        <f>"5425"</f>
        <v>5425</v>
      </c>
      <c r="C245" t="s">
        <v>323</v>
      </c>
      <c r="D245" s="1">
        <v>42923</v>
      </c>
      <c r="E245">
        <v>41.85</v>
      </c>
      <c r="F245">
        <v>0.05</v>
      </c>
      <c r="G245" s="3">
        <v>1.1999999999999999E-3</v>
      </c>
      <c r="H245">
        <v>2017</v>
      </c>
      <c r="I245">
        <v>3.34</v>
      </c>
      <c r="J245">
        <v>2.5</v>
      </c>
      <c r="K245">
        <v>0</v>
      </c>
      <c r="L245">
        <v>2.5</v>
      </c>
      <c r="M245" s="3">
        <v>5.9700000000000003E-2</v>
      </c>
      <c r="N245" s="2">
        <v>0</v>
      </c>
      <c r="O245" s="3">
        <v>5.9700000000000003E-2</v>
      </c>
      <c r="P245" s="3">
        <v>0.748</v>
      </c>
      <c r="Q245" s="2">
        <v>0</v>
      </c>
      <c r="R245" s="3">
        <v>0.748</v>
      </c>
      <c r="S245" t="s">
        <v>917</v>
      </c>
      <c r="U245" t="s">
        <v>900</v>
      </c>
    </row>
    <row r="246" spans="1:21" hidden="1" x14ac:dyDescent="0.6">
      <c r="A246">
        <v>245</v>
      </c>
      <c r="B246" t="str">
        <f>"8433"</f>
        <v>8433</v>
      </c>
      <c r="C246" t="s">
        <v>324</v>
      </c>
      <c r="D246" s="1">
        <v>42923</v>
      </c>
      <c r="E246">
        <v>101.5</v>
      </c>
      <c r="F246">
        <v>-2.5</v>
      </c>
      <c r="G246" s="3">
        <v>-2.4E-2</v>
      </c>
      <c r="H246">
        <v>2017</v>
      </c>
      <c r="I246">
        <v>7.11</v>
      </c>
      <c r="J246">
        <v>6.06</v>
      </c>
      <c r="K246">
        <v>0</v>
      </c>
      <c r="L246">
        <v>6.06</v>
      </c>
      <c r="M246" s="3">
        <v>5.9700000000000003E-2</v>
      </c>
      <c r="N246" s="2">
        <v>0</v>
      </c>
      <c r="O246" s="3">
        <v>5.9700000000000003E-2</v>
      </c>
      <c r="P246" s="2">
        <v>0.85199999999999998</v>
      </c>
      <c r="Q246" s="2">
        <v>0</v>
      </c>
      <c r="R246" s="2">
        <v>0.85199999999999998</v>
      </c>
      <c r="S246" t="s">
        <v>892</v>
      </c>
      <c r="U246" t="s">
        <v>933</v>
      </c>
    </row>
    <row r="247" spans="1:21" x14ac:dyDescent="0.6">
      <c r="A247">
        <v>246</v>
      </c>
      <c r="B247" t="str">
        <f>"3691"</f>
        <v>3691</v>
      </c>
      <c r="C247" t="s">
        <v>325</v>
      </c>
      <c r="D247" s="1">
        <v>42923</v>
      </c>
      <c r="E247">
        <v>251.5</v>
      </c>
      <c r="F247">
        <v>-20</v>
      </c>
      <c r="G247" s="3">
        <v>-7.3700000000000002E-2</v>
      </c>
      <c r="H247">
        <v>2017</v>
      </c>
      <c r="I247">
        <v>26.42</v>
      </c>
      <c r="J247">
        <v>15</v>
      </c>
      <c r="K247">
        <v>0</v>
      </c>
      <c r="L247">
        <v>15</v>
      </c>
      <c r="M247" s="3">
        <v>5.96E-2</v>
      </c>
      <c r="N247" s="3">
        <v>0</v>
      </c>
      <c r="O247" s="3">
        <v>5.96E-2</v>
      </c>
      <c r="P247" s="2">
        <v>0.56799999999999995</v>
      </c>
      <c r="Q247" s="3">
        <v>0</v>
      </c>
      <c r="R247" s="3">
        <v>0.56799999999999995</v>
      </c>
    </row>
    <row r="248" spans="1:21" hidden="1" x14ac:dyDescent="0.6">
      <c r="A248">
        <v>247</v>
      </c>
      <c r="B248" t="str">
        <f>"5251"</f>
        <v>5251</v>
      </c>
      <c r="C248" t="s">
        <v>326</v>
      </c>
      <c r="D248" s="1">
        <v>42923</v>
      </c>
      <c r="E248">
        <v>33.6</v>
      </c>
      <c r="F248">
        <v>-1</v>
      </c>
      <c r="G248" s="3">
        <v>-2.8899999999999999E-2</v>
      </c>
      <c r="H248">
        <v>2017</v>
      </c>
      <c r="I248">
        <v>2.0299999999999998</v>
      </c>
      <c r="J248">
        <v>2</v>
      </c>
      <c r="K248">
        <v>0</v>
      </c>
      <c r="L248">
        <v>2</v>
      </c>
      <c r="M248" s="3">
        <v>5.9499999999999997E-2</v>
      </c>
      <c r="N248" s="2">
        <v>0</v>
      </c>
      <c r="O248" s="3">
        <v>5.9499999999999997E-2</v>
      </c>
      <c r="P248" s="3">
        <v>0.98499999999999999</v>
      </c>
      <c r="Q248" s="2">
        <v>0</v>
      </c>
      <c r="R248" s="3">
        <v>0.98499999999999999</v>
      </c>
      <c r="S248" t="s">
        <v>894</v>
      </c>
      <c r="U248" t="s">
        <v>904</v>
      </c>
    </row>
    <row r="249" spans="1:21" x14ac:dyDescent="0.6">
      <c r="A249">
        <v>248</v>
      </c>
      <c r="B249" t="str">
        <f>"6257"</f>
        <v>6257</v>
      </c>
      <c r="C249" t="s">
        <v>327</v>
      </c>
      <c r="D249" s="1">
        <v>42923</v>
      </c>
      <c r="E249">
        <v>27.75</v>
      </c>
      <c r="F249">
        <v>-0.3</v>
      </c>
      <c r="G249" s="3">
        <v>-1.0699999999999999E-2</v>
      </c>
      <c r="H249">
        <v>2017</v>
      </c>
      <c r="I249">
        <v>2.17</v>
      </c>
      <c r="J249">
        <v>1.65</v>
      </c>
      <c r="K249">
        <v>0</v>
      </c>
      <c r="L249">
        <v>1.65</v>
      </c>
      <c r="M249" s="3">
        <v>5.9499999999999997E-2</v>
      </c>
      <c r="N249" s="2">
        <v>0</v>
      </c>
      <c r="O249" s="3">
        <v>5.9499999999999997E-2</v>
      </c>
      <c r="P249" s="3">
        <v>0.76</v>
      </c>
      <c r="Q249" s="2">
        <v>0</v>
      </c>
      <c r="R249" s="3">
        <v>0.76</v>
      </c>
    </row>
    <row r="250" spans="1:21" x14ac:dyDescent="0.6">
      <c r="A250">
        <v>249</v>
      </c>
      <c r="B250" t="str">
        <f>"1234"</f>
        <v>1234</v>
      </c>
      <c r="C250" t="s">
        <v>328</v>
      </c>
      <c r="D250" s="1">
        <v>42923</v>
      </c>
      <c r="E250">
        <v>33.65</v>
      </c>
      <c r="F250">
        <v>-0.25</v>
      </c>
      <c r="G250" s="3">
        <v>-7.4000000000000003E-3</v>
      </c>
      <c r="H250">
        <v>2017</v>
      </c>
      <c r="I250">
        <v>2.75</v>
      </c>
      <c r="J250">
        <v>2</v>
      </c>
      <c r="K250">
        <v>0</v>
      </c>
      <c r="L250">
        <v>2</v>
      </c>
      <c r="M250" s="3">
        <v>5.9400000000000001E-2</v>
      </c>
      <c r="N250" s="2">
        <v>0</v>
      </c>
      <c r="O250" s="3">
        <v>5.9400000000000001E-2</v>
      </c>
      <c r="P250" s="3">
        <v>0.72699999999999998</v>
      </c>
      <c r="Q250" s="2">
        <v>0</v>
      </c>
      <c r="R250" s="3">
        <v>0.72699999999999998</v>
      </c>
    </row>
    <row r="251" spans="1:21" x14ac:dyDescent="0.6">
      <c r="A251">
        <v>250</v>
      </c>
      <c r="B251" t="str">
        <f>"2616"</f>
        <v>2616</v>
      </c>
      <c r="C251" t="s">
        <v>329</v>
      </c>
      <c r="D251" s="1">
        <v>42923</v>
      </c>
      <c r="E251">
        <v>34.6</v>
      </c>
      <c r="F251">
        <v>-0.1</v>
      </c>
      <c r="G251" s="3">
        <v>-2.8999999999999998E-3</v>
      </c>
      <c r="H251">
        <v>2017</v>
      </c>
      <c r="I251">
        <v>3.09</v>
      </c>
      <c r="J251">
        <v>2.06</v>
      </c>
      <c r="K251">
        <v>0</v>
      </c>
      <c r="L251">
        <v>2.06</v>
      </c>
      <c r="M251" s="3">
        <v>5.9400000000000001E-2</v>
      </c>
      <c r="N251" s="2">
        <v>0</v>
      </c>
      <c r="O251" s="3">
        <v>5.9400000000000001E-2</v>
      </c>
      <c r="P251" s="3">
        <v>0.66700000000000004</v>
      </c>
      <c r="Q251" s="2">
        <v>0</v>
      </c>
      <c r="R251" s="3">
        <v>0.66700000000000004</v>
      </c>
      <c r="S251" t="s">
        <v>899</v>
      </c>
      <c r="U251" t="s">
        <v>920</v>
      </c>
    </row>
    <row r="252" spans="1:21" hidden="1" x14ac:dyDescent="0.6">
      <c r="A252">
        <v>251</v>
      </c>
      <c r="B252" t="str">
        <f>"2850"</f>
        <v>2850</v>
      </c>
      <c r="C252" t="s">
        <v>330</v>
      </c>
      <c r="D252" s="1">
        <v>42923</v>
      </c>
      <c r="E252">
        <v>25.45</v>
      </c>
      <c r="F252">
        <v>0.05</v>
      </c>
      <c r="G252" s="3">
        <v>2E-3</v>
      </c>
      <c r="H252">
        <v>2017</v>
      </c>
      <c r="I252">
        <v>3.35</v>
      </c>
      <c r="J252">
        <v>1.51</v>
      </c>
      <c r="K252">
        <v>0</v>
      </c>
      <c r="L252">
        <v>1.51</v>
      </c>
      <c r="M252" s="3">
        <v>5.9299999999999999E-2</v>
      </c>
      <c r="N252" s="2">
        <v>0</v>
      </c>
      <c r="O252" s="3">
        <v>5.9299999999999999E-2</v>
      </c>
      <c r="P252" s="2">
        <v>0.45100000000000001</v>
      </c>
      <c r="Q252" s="2">
        <v>0</v>
      </c>
      <c r="R252" s="2">
        <v>0.45100000000000001</v>
      </c>
      <c r="S252" t="s">
        <v>903</v>
      </c>
      <c r="U252" t="s">
        <v>904</v>
      </c>
    </row>
    <row r="253" spans="1:21" x14ac:dyDescent="0.6">
      <c r="A253">
        <v>252</v>
      </c>
      <c r="B253" t="str">
        <f>"2352"</f>
        <v>2352</v>
      </c>
      <c r="C253" t="s">
        <v>331</v>
      </c>
      <c r="D253" s="1">
        <v>42923</v>
      </c>
      <c r="E253">
        <v>22.25</v>
      </c>
      <c r="F253">
        <v>-0.15</v>
      </c>
      <c r="G253" s="3">
        <v>-6.7000000000000002E-3</v>
      </c>
      <c r="H253">
        <v>2017</v>
      </c>
      <c r="I253">
        <v>2.21</v>
      </c>
      <c r="J253">
        <v>1.32</v>
      </c>
      <c r="K253">
        <v>0</v>
      </c>
      <c r="L253">
        <v>1.32</v>
      </c>
      <c r="M253" s="2">
        <v>5.9299999999999999E-2</v>
      </c>
      <c r="N253" s="2">
        <v>0</v>
      </c>
      <c r="O253" s="2">
        <v>5.9299999999999999E-2</v>
      </c>
      <c r="P253" s="2">
        <v>0.59699999999999998</v>
      </c>
      <c r="Q253" s="2">
        <v>0</v>
      </c>
      <c r="R253" s="2">
        <v>0.59699999999999998</v>
      </c>
      <c r="S253" t="s">
        <v>899</v>
      </c>
      <c r="U253" t="s">
        <v>915</v>
      </c>
    </row>
    <row r="254" spans="1:21" hidden="1" x14ac:dyDescent="0.6">
      <c r="A254">
        <v>253</v>
      </c>
      <c r="B254" t="str">
        <f>"2015"</f>
        <v>2015</v>
      </c>
      <c r="C254" t="s">
        <v>332</v>
      </c>
      <c r="D254" s="1">
        <v>42923</v>
      </c>
      <c r="E254">
        <v>50.6</v>
      </c>
      <c r="F254">
        <v>-0.4</v>
      </c>
      <c r="G254" s="3">
        <v>-7.7999999999999996E-3</v>
      </c>
      <c r="H254">
        <v>2017</v>
      </c>
      <c r="I254">
        <v>3.12</v>
      </c>
      <c r="J254">
        <v>3</v>
      </c>
      <c r="K254">
        <v>0</v>
      </c>
      <c r="L254">
        <v>3</v>
      </c>
      <c r="M254" s="3">
        <v>5.9299999999999999E-2</v>
      </c>
      <c r="N254" s="2">
        <v>0</v>
      </c>
      <c r="O254" s="3">
        <v>5.9299999999999999E-2</v>
      </c>
      <c r="P254" s="3">
        <v>0.96199999999999997</v>
      </c>
      <c r="Q254" s="2">
        <v>0</v>
      </c>
      <c r="R254" s="3">
        <v>0.96199999999999997</v>
      </c>
      <c r="S254" t="s">
        <v>931</v>
      </c>
      <c r="U254" t="s">
        <v>899</v>
      </c>
    </row>
    <row r="255" spans="1:21" x14ac:dyDescent="0.6">
      <c r="A255">
        <v>254</v>
      </c>
      <c r="B255" t="str">
        <f>"1712"</f>
        <v>1712</v>
      </c>
      <c r="C255" t="s">
        <v>333</v>
      </c>
      <c r="D255" s="1">
        <v>42923</v>
      </c>
      <c r="E255">
        <v>15.85</v>
      </c>
      <c r="F255">
        <v>-0.1</v>
      </c>
      <c r="G255" s="3">
        <v>-6.3E-3</v>
      </c>
      <c r="H255">
        <v>2017</v>
      </c>
      <c r="I255">
        <v>1.6</v>
      </c>
      <c r="J255">
        <v>0.94</v>
      </c>
      <c r="K255">
        <v>0</v>
      </c>
      <c r="L255">
        <v>0.94</v>
      </c>
      <c r="M255" s="3">
        <v>5.9200000000000003E-2</v>
      </c>
      <c r="N255" s="2">
        <v>0</v>
      </c>
      <c r="O255" s="3">
        <v>5.9200000000000003E-2</v>
      </c>
      <c r="P255" s="3">
        <v>0.58799999999999997</v>
      </c>
      <c r="Q255" s="2">
        <v>0</v>
      </c>
      <c r="R255" s="3">
        <v>0.58799999999999997</v>
      </c>
      <c r="S255" t="s">
        <v>889</v>
      </c>
      <c r="U255" t="s">
        <v>937</v>
      </c>
    </row>
    <row r="256" spans="1:21" x14ac:dyDescent="0.6">
      <c r="A256">
        <v>255</v>
      </c>
      <c r="B256" t="str">
        <f>"1305"</f>
        <v>1305</v>
      </c>
      <c r="C256" t="s">
        <v>334</v>
      </c>
      <c r="D256" s="1">
        <v>42923</v>
      </c>
      <c r="E256">
        <v>28.75</v>
      </c>
      <c r="F256">
        <v>-0.25</v>
      </c>
      <c r="G256" s="3">
        <v>-8.6E-3</v>
      </c>
      <c r="H256">
        <v>2017</v>
      </c>
      <c r="I256">
        <v>3.02</v>
      </c>
      <c r="J256">
        <v>1.7</v>
      </c>
      <c r="K256">
        <v>0.3</v>
      </c>
      <c r="L256">
        <v>2</v>
      </c>
      <c r="M256" s="3">
        <v>5.91E-2</v>
      </c>
      <c r="N256" s="3">
        <v>1.04E-2</v>
      </c>
      <c r="O256" s="3">
        <v>6.9599999999999995E-2</v>
      </c>
      <c r="P256" s="3">
        <v>0.56299999999999994</v>
      </c>
      <c r="Q256" s="3">
        <v>9.9299999999999999E-2</v>
      </c>
      <c r="R256" s="3">
        <v>0.66200000000000003</v>
      </c>
      <c r="S256" t="s">
        <v>919</v>
      </c>
      <c r="T256" t="s">
        <v>919</v>
      </c>
      <c r="U256" t="s">
        <v>928</v>
      </c>
    </row>
    <row r="257" spans="1:21" x14ac:dyDescent="0.6">
      <c r="A257">
        <v>256</v>
      </c>
      <c r="B257" t="str">
        <f>"2324"</f>
        <v>2324</v>
      </c>
      <c r="C257" t="s">
        <v>335</v>
      </c>
      <c r="D257" s="1">
        <v>42923</v>
      </c>
      <c r="E257">
        <v>20.3</v>
      </c>
      <c r="F257">
        <v>-0.15</v>
      </c>
      <c r="G257" s="3">
        <v>-7.3000000000000001E-3</v>
      </c>
      <c r="H257">
        <v>2017</v>
      </c>
      <c r="I257">
        <v>1.88</v>
      </c>
      <c r="J257">
        <v>1.2</v>
      </c>
      <c r="K257">
        <v>0</v>
      </c>
      <c r="L257">
        <v>1.2</v>
      </c>
      <c r="M257" s="3">
        <v>5.91E-2</v>
      </c>
      <c r="N257" s="2">
        <v>0</v>
      </c>
      <c r="O257" s="3">
        <v>5.91E-2</v>
      </c>
      <c r="P257" s="3">
        <v>0.63800000000000001</v>
      </c>
      <c r="Q257" s="2">
        <v>0</v>
      </c>
      <c r="R257" s="3">
        <v>0.63800000000000001</v>
      </c>
    </row>
    <row r="258" spans="1:21" x14ac:dyDescent="0.6">
      <c r="A258">
        <v>257</v>
      </c>
      <c r="B258" t="str">
        <f>"2892"</f>
        <v>2892</v>
      </c>
      <c r="C258" t="s">
        <v>336</v>
      </c>
      <c r="D258" s="1">
        <v>42923</v>
      </c>
      <c r="E258">
        <v>20.3</v>
      </c>
      <c r="F258">
        <v>-0.1</v>
      </c>
      <c r="G258" s="3">
        <v>-4.8999999999999998E-3</v>
      </c>
      <c r="H258">
        <v>2017</v>
      </c>
      <c r="I258">
        <v>1.45</v>
      </c>
      <c r="J258">
        <v>1.2</v>
      </c>
      <c r="K258">
        <v>0.2</v>
      </c>
      <c r="L258">
        <v>1.4</v>
      </c>
      <c r="M258" s="3">
        <v>5.91E-2</v>
      </c>
      <c r="N258" s="3">
        <v>9.9000000000000008E-3</v>
      </c>
      <c r="O258" s="3">
        <v>6.9000000000000006E-2</v>
      </c>
      <c r="P258" s="2">
        <v>0.82799999999999996</v>
      </c>
      <c r="Q258" s="2">
        <v>0.13800000000000001</v>
      </c>
      <c r="R258" s="2">
        <v>0.96599999999999997</v>
      </c>
    </row>
    <row r="259" spans="1:21" x14ac:dyDescent="0.6">
      <c r="A259">
        <v>258</v>
      </c>
      <c r="B259" t="str">
        <f>"6185"</f>
        <v>6185</v>
      </c>
      <c r="C259" t="s">
        <v>337</v>
      </c>
      <c r="D259" s="1">
        <v>42923</v>
      </c>
      <c r="E259">
        <v>22</v>
      </c>
      <c r="F259">
        <v>-0.1</v>
      </c>
      <c r="G259" s="3">
        <v>-4.4999999999999997E-3</v>
      </c>
      <c r="H259">
        <v>2017</v>
      </c>
      <c r="I259">
        <v>2.38</v>
      </c>
      <c r="J259">
        <v>1.3</v>
      </c>
      <c r="K259">
        <v>0.4</v>
      </c>
      <c r="L259">
        <v>1.7</v>
      </c>
      <c r="M259" s="3">
        <v>5.91E-2</v>
      </c>
      <c r="N259" s="2">
        <v>1.8200000000000001E-2</v>
      </c>
      <c r="O259" s="3">
        <v>7.7299999999999994E-2</v>
      </c>
      <c r="P259" s="3">
        <v>0.54600000000000004</v>
      </c>
      <c r="Q259" s="2">
        <v>0.16800000000000001</v>
      </c>
      <c r="R259" s="3">
        <v>0.71399999999999997</v>
      </c>
    </row>
    <row r="260" spans="1:21" hidden="1" x14ac:dyDescent="0.6">
      <c r="A260">
        <v>259</v>
      </c>
      <c r="B260" t="str">
        <f>"3360"</f>
        <v>3360</v>
      </c>
      <c r="C260" t="s">
        <v>338</v>
      </c>
      <c r="D260" s="1">
        <v>42923</v>
      </c>
      <c r="E260">
        <v>20.350000000000001</v>
      </c>
      <c r="F260">
        <v>-0.15</v>
      </c>
      <c r="G260" s="3">
        <v>-7.3000000000000001E-3</v>
      </c>
      <c r="H260">
        <v>2017</v>
      </c>
      <c r="I260">
        <v>1.32</v>
      </c>
      <c r="J260">
        <v>1.2</v>
      </c>
      <c r="K260">
        <v>0</v>
      </c>
      <c r="L260">
        <v>1.2</v>
      </c>
      <c r="M260" s="3">
        <v>5.8999999999999997E-2</v>
      </c>
      <c r="N260" s="2">
        <v>0</v>
      </c>
      <c r="O260" s="3">
        <v>5.8999999999999997E-2</v>
      </c>
      <c r="P260" s="2">
        <v>0.90900000000000003</v>
      </c>
      <c r="Q260" s="2">
        <v>0</v>
      </c>
      <c r="R260" s="2">
        <v>0.90900000000000003</v>
      </c>
      <c r="S260" t="s">
        <v>892</v>
      </c>
      <c r="U260" t="s">
        <v>910</v>
      </c>
    </row>
    <row r="261" spans="1:21" x14ac:dyDescent="0.6">
      <c r="A261">
        <v>260</v>
      </c>
      <c r="B261" t="str">
        <f>"3548"</f>
        <v>3548</v>
      </c>
      <c r="C261" t="s">
        <v>340</v>
      </c>
      <c r="D261" s="1">
        <v>42923</v>
      </c>
      <c r="E261">
        <v>59.8</v>
      </c>
      <c r="F261">
        <v>-0.2</v>
      </c>
      <c r="G261" s="3">
        <v>-3.3E-3</v>
      </c>
      <c r="H261">
        <v>2017</v>
      </c>
      <c r="I261">
        <v>7.23</v>
      </c>
      <c r="J261">
        <v>3.53</v>
      </c>
      <c r="K261">
        <v>0</v>
      </c>
      <c r="L261">
        <v>3.53</v>
      </c>
      <c r="M261" s="3">
        <v>5.8900000000000001E-2</v>
      </c>
      <c r="N261" s="2">
        <v>0</v>
      </c>
      <c r="O261" s="3">
        <v>5.8900000000000001E-2</v>
      </c>
      <c r="P261" s="3">
        <v>0.48799999999999999</v>
      </c>
      <c r="Q261" s="2">
        <v>0</v>
      </c>
      <c r="R261" s="3">
        <v>0.48799999999999999</v>
      </c>
      <c r="S261" t="s">
        <v>902</v>
      </c>
      <c r="U261" t="s">
        <v>898</v>
      </c>
    </row>
    <row r="262" spans="1:21" x14ac:dyDescent="0.6">
      <c r="A262">
        <v>261</v>
      </c>
      <c r="B262" t="str">
        <f>"2643"</f>
        <v>2643</v>
      </c>
      <c r="C262" t="s">
        <v>341</v>
      </c>
      <c r="D262" s="1">
        <v>42923</v>
      </c>
      <c r="E262">
        <v>38.85</v>
      </c>
      <c r="F262">
        <v>-0.25</v>
      </c>
      <c r="G262" s="3">
        <v>-6.4000000000000003E-3</v>
      </c>
      <c r="H262">
        <v>2017</v>
      </c>
      <c r="I262">
        <v>5.27</v>
      </c>
      <c r="J262">
        <v>2.29</v>
      </c>
      <c r="K262">
        <v>0</v>
      </c>
      <c r="L262">
        <v>2.29</v>
      </c>
      <c r="M262" s="3">
        <v>5.8900000000000001E-2</v>
      </c>
      <c r="N262" s="2">
        <v>0</v>
      </c>
      <c r="O262" s="3">
        <v>5.8900000000000001E-2</v>
      </c>
      <c r="P262" s="3">
        <v>0.434</v>
      </c>
      <c r="Q262" s="2">
        <v>0</v>
      </c>
      <c r="R262" s="3">
        <v>0.434</v>
      </c>
    </row>
    <row r="263" spans="1:21" hidden="1" x14ac:dyDescent="0.6">
      <c r="A263">
        <v>262</v>
      </c>
      <c r="B263" t="str">
        <f>"4737"</f>
        <v>4737</v>
      </c>
      <c r="C263" t="s">
        <v>342</v>
      </c>
      <c r="D263" s="1">
        <v>42923</v>
      </c>
      <c r="E263">
        <v>70.400000000000006</v>
      </c>
      <c r="F263">
        <v>-0.5</v>
      </c>
      <c r="G263" s="3">
        <v>-7.1000000000000004E-3</v>
      </c>
      <c r="H263">
        <v>2017</v>
      </c>
      <c r="I263">
        <v>2.82</v>
      </c>
      <c r="J263">
        <v>4.1399999999999997</v>
      </c>
      <c r="K263">
        <v>0</v>
      </c>
      <c r="L263">
        <v>4.1399999999999997</v>
      </c>
      <c r="M263" s="3">
        <v>5.8799999999999998E-2</v>
      </c>
      <c r="N263" s="2">
        <v>0</v>
      </c>
      <c r="O263" s="3">
        <v>5.8799999999999998E-2</v>
      </c>
      <c r="P263" s="2">
        <v>1.47</v>
      </c>
      <c r="Q263" s="2">
        <v>0</v>
      </c>
      <c r="R263" s="2">
        <v>1.47</v>
      </c>
      <c r="S263" t="s">
        <v>894</v>
      </c>
      <c r="U263" t="s">
        <v>904</v>
      </c>
    </row>
    <row r="264" spans="1:21" x14ac:dyDescent="0.6">
      <c r="A264">
        <v>263</v>
      </c>
      <c r="B264" t="str">
        <f>"3702"</f>
        <v>3702</v>
      </c>
      <c r="C264" t="s">
        <v>343</v>
      </c>
      <c r="D264" s="1">
        <v>42923</v>
      </c>
      <c r="E264">
        <v>40.85</v>
      </c>
      <c r="F264">
        <v>0.1</v>
      </c>
      <c r="G264" s="2">
        <v>2.5000000000000001E-3</v>
      </c>
      <c r="H264">
        <v>2017</v>
      </c>
      <c r="I264">
        <v>3.18</v>
      </c>
      <c r="J264">
        <v>2.4</v>
      </c>
      <c r="K264">
        <v>0</v>
      </c>
      <c r="L264">
        <v>2.4</v>
      </c>
      <c r="M264" s="3">
        <v>5.8799999999999998E-2</v>
      </c>
      <c r="N264" s="2">
        <v>0</v>
      </c>
      <c r="O264" s="3">
        <v>5.8799999999999998E-2</v>
      </c>
      <c r="P264" s="3">
        <v>0.755</v>
      </c>
      <c r="Q264" s="2">
        <v>0</v>
      </c>
      <c r="R264" s="3">
        <v>0.755</v>
      </c>
    </row>
    <row r="265" spans="1:21" x14ac:dyDescent="0.6">
      <c r="A265">
        <v>264</v>
      </c>
      <c r="B265" t="str">
        <f>"6179"</f>
        <v>6179</v>
      </c>
      <c r="C265" t="s">
        <v>344</v>
      </c>
      <c r="D265" s="1">
        <v>42923</v>
      </c>
      <c r="E265">
        <v>49</v>
      </c>
      <c r="F265">
        <v>0.55000000000000004</v>
      </c>
      <c r="G265" s="3">
        <v>1.14E-2</v>
      </c>
      <c r="H265">
        <v>2017</v>
      </c>
      <c r="I265">
        <v>3.34</v>
      </c>
      <c r="J265">
        <v>2.88</v>
      </c>
      <c r="K265">
        <v>0</v>
      </c>
      <c r="L265">
        <v>2.88</v>
      </c>
      <c r="M265" s="2">
        <v>5.8700000000000002E-2</v>
      </c>
      <c r="N265" s="2">
        <v>0</v>
      </c>
      <c r="O265" s="2">
        <v>5.8700000000000002E-2</v>
      </c>
      <c r="P265" s="2">
        <v>0.86199999999999999</v>
      </c>
      <c r="Q265" s="2">
        <v>0</v>
      </c>
      <c r="R265" s="2">
        <v>0.86199999999999999</v>
      </c>
    </row>
    <row r="266" spans="1:21" hidden="1" x14ac:dyDescent="0.6">
      <c r="A266">
        <v>265</v>
      </c>
      <c r="B266" t="str">
        <f>"5287"</f>
        <v>5287</v>
      </c>
      <c r="C266" t="s">
        <v>345</v>
      </c>
      <c r="D266" s="1">
        <v>42923</v>
      </c>
      <c r="E266">
        <v>255.5</v>
      </c>
      <c r="F266">
        <v>0</v>
      </c>
      <c r="G266" s="2">
        <v>0</v>
      </c>
      <c r="H266">
        <v>2017</v>
      </c>
      <c r="I266">
        <v>13.07</v>
      </c>
      <c r="J266">
        <v>15</v>
      </c>
      <c r="K266">
        <v>0</v>
      </c>
      <c r="L266">
        <v>15</v>
      </c>
      <c r="M266" s="3">
        <v>5.8700000000000002E-2</v>
      </c>
      <c r="N266" s="2">
        <v>0</v>
      </c>
      <c r="O266" s="3">
        <v>5.8700000000000002E-2</v>
      </c>
      <c r="P266" s="2">
        <v>1.1499999999999999</v>
      </c>
      <c r="Q266" s="2">
        <v>0</v>
      </c>
      <c r="R266" s="2">
        <v>1.1499999999999999</v>
      </c>
      <c r="S266" t="s">
        <v>903</v>
      </c>
      <c r="U266" t="s">
        <v>900</v>
      </c>
    </row>
    <row r="267" spans="1:21" x14ac:dyDescent="0.6">
      <c r="A267">
        <v>266</v>
      </c>
      <c r="B267" t="str">
        <f>"4935"</f>
        <v>4935</v>
      </c>
      <c r="C267" t="s">
        <v>346</v>
      </c>
      <c r="D267" s="1">
        <v>42923</v>
      </c>
      <c r="E267">
        <v>51.1</v>
      </c>
      <c r="F267">
        <v>0</v>
      </c>
      <c r="G267" s="2">
        <v>0</v>
      </c>
      <c r="H267">
        <v>2017</v>
      </c>
      <c r="I267">
        <v>6.05</v>
      </c>
      <c r="J267">
        <v>3</v>
      </c>
      <c r="K267">
        <v>0</v>
      </c>
      <c r="L267">
        <v>3</v>
      </c>
      <c r="M267" s="3">
        <v>5.8700000000000002E-2</v>
      </c>
      <c r="N267" s="2">
        <v>0</v>
      </c>
      <c r="O267" s="3">
        <v>5.8700000000000002E-2</v>
      </c>
      <c r="P267" s="3">
        <v>0.496</v>
      </c>
      <c r="Q267" s="2">
        <v>0</v>
      </c>
      <c r="R267" s="3">
        <v>0.496</v>
      </c>
      <c r="S267" t="s">
        <v>899</v>
      </c>
      <c r="U267" t="s">
        <v>929</v>
      </c>
    </row>
    <row r="268" spans="1:21" x14ac:dyDescent="0.6">
      <c r="A268">
        <v>267</v>
      </c>
      <c r="B268" t="str">
        <f>"2301"</f>
        <v>2301</v>
      </c>
      <c r="C268" t="s">
        <v>347</v>
      </c>
      <c r="D268" s="1">
        <v>42923</v>
      </c>
      <c r="E268">
        <v>49.8</v>
      </c>
      <c r="F268">
        <v>-0.2</v>
      </c>
      <c r="G268" s="3">
        <v>-4.0000000000000001E-3</v>
      </c>
      <c r="H268">
        <v>2017</v>
      </c>
      <c r="I268">
        <v>4.05</v>
      </c>
      <c r="J268">
        <v>2.92</v>
      </c>
      <c r="K268">
        <v>0</v>
      </c>
      <c r="L268">
        <v>2.92</v>
      </c>
      <c r="M268" s="3">
        <v>5.8599999999999999E-2</v>
      </c>
      <c r="N268" s="3">
        <v>0</v>
      </c>
      <c r="O268" s="3">
        <v>5.8599999999999999E-2</v>
      </c>
      <c r="P268" s="3">
        <v>0.72099999999999997</v>
      </c>
      <c r="Q268" s="3">
        <v>0</v>
      </c>
      <c r="R268" s="3">
        <v>0.72099999999999997</v>
      </c>
    </row>
    <row r="269" spans="1:21" x14ac:dyDescent="0.6">
      <c r="A269">
        <v>268</v>
      </c>
      <c r="B269" t="str">
        <f>"2357"</f>
        <v>2357</v>
      </c>
      <c r="C269" t="s">
        <v>348</v>
      </c>
      <c r="D269" s="1">
        <v>42923</v>
      </c>
      <c r="E269">
        <v>290</v>
      </c>
      <c r="F269">
        <v>0</v>
      </c>
      <c r="G269" s="3">
        <v>0</v>
      </c>
      <c r="H269">
        <v>2017</v>
      </c>
      <c r="I269">
        <v>25.85</v>
      </c>
      <c r="J269">
        <v>17</v>
      </c>
      <c r="K269">
        <v>0</v>
      </c>
      <c r="L269">
        <v>17</v>
      </c>
      <c r="M269" s="3">
        <v>5.8599999999999999E-2</v>
      </c>
      <c r="N269" s="2">
        <v>0</v>
      </c>
      <c r="O269" s="3">
        <v>5.8599999999999999E-2</v>
      </c>
      <c r="P269" s="3">
        <v>0.65800000000000003</v>
      </c>
      <c r="Q269" s="2">
        <v>0</v>
      </c>
      <c r="R269" s="3">
        <v>0.65800000000000003</v>
      </c>
    </row>
    <row r="270" spans="1:21" x14ac:dyDescent="0.6">
      <c r="A270">
        <v>269</v>
      </c>
      <c r="B270" t="str">
        <f>"6121"</f>
        <v>6121</v>
      </c>
      <c r="C270" t="s">
        <v>349</v>
      </c>
      <c r="D270" s="1">
        <v>42923</v>
      </c>
      <c r="E270">
        <v>102.5</v>
      </c>
      <c r="F270">
        <v>-1.5</v>
      </c>
      <c r="G270" s="3">
        <v>-1.44E-2</v>
      </c>
      <c r="H270">
        <v>2017</v>
      </c>
      <c r="I270">
        <v>9.09</v>
      </c>
      <c r="J270">
        <v>6</v>
      </c>
      <c r="K270">
        <v>0</v>
      </c>
      <c r="L270">
        <v>6</v>
      </c>
      <c r="M270" s="3">
        <v>5.8500000000000003E-2</v>
      </c>
      <c r="N270" s="2">
        <v>0</v>
      </c>
      <c r="O270" s="3">
        <v>5.8500000000000003E-2</v>
      </c>
      <c r="P270" s="3">
        <v>0.66</v>
      </c>
      <c r="Q270" s="2">
        <v>0</v>
      </c>
      <c r="R270" s="3">
        <v>0.66</v>
      </c>
      <c r="S270" t="s">
        <v>925</v>
      </c>
      <c r="U270" t="s">
        <v>946</v>
      </c>
    </row>
    <row r="271" spans="1:21" hidden="1" x14ac:dyDescent="0.6">
      <c r="A271">
        <v>270</v>
      </c>
      <c r="B271" t="str">
        <f>"1410"</f>
        <v>1410</v>
      </c>
      <c r="C271" t="s">
        <v>350</v>
      </c>
      <c r="D271" s="1">
        <v>42923</v>
      </c>
      <c r="E271">
        <v>24.85</v>
      </c>
      <c r="F271">
        <v>0.05</v>
      </c>
      <c r="G271" s="3">
        <v>2E-3</v>
      </c>
      <c r="H271">
        <v>2017</v>
      </c>
      <c r="I271">
        <v>1.63</v>
      </c>
      <c r="J271">
        <v>1.45</v>
      </c>
      <c r="K271">
        <v>0</v>
      </c>
      <c r="L271">
        <v>1.45</v>
      </c>
      <c r="M271" s="3">
        <v>5.8400000000000001E-2</v>
      </c>
      <c r="N271" s="2">
        <v>0</v>
      </c>
      <c r="O271" s="3">
        <v>5.8400000000000001E-2</v>
      </c>
      <c r="P271" s="3">
        <v>0.89</v>
      </c>
      <c r="Q271" s="2">
        <v>0</v>
      </c>
      <c r="R271" s="3">
        <v>0.89</v>
      </c>
      <c r="S271" t="s">
        <v>894</v>
      </c>
      <c r="U271" t="s">
        <v>896</v>
      </c>
    </row>
    <row r="272" spans="1:21" hidden="1" x14ac:dyDescent="0.6">
      <c r="A272">
        <v>271</v>
      </c>
      <c r="B272" t="str">
        <f>"6161"</f>
        <v>6161</v>
      </c>
      <c r="C272" t="s">
        <v>351</v>
      </c>
      <c r="D272" s="1">
        <v>42923</v>
      </c>
      <c r="E272">
        <v>15.45</v>
      </c>
      <c r="F272">
        <v>-0.15</v>
      </c>
      <c r="G272" s="3">
        <v>-9.5999999999999992E-3</v>
      </c>
      <c r="H272">
        <v>2017</v>
      </c>
      <c r="I272">
        <v>0.89</v>
      </c>
      <c r="J272">
        <v>0.9</v>
      </c>
      <c r="K272">
        <v>0</v>
      </c>
      <c r="L272">
        <v>0.9</v>
      </c>
      <c r="M272" s="2">
        <v>5.8299999999999998E-2</v>
      </c>
      <c r="N272" s="2">
        <v>0</v>
      </c>
      <c r="O272" s="2">
        <v>5.8299999999999998E-2</v>
      </c>
      <c r="P272" s="2">
        <v>1.01</v>
      </c>
      <c r="Q272" s="2">
        <v>0</v>
      </c>
      <c r="R272" s="2">
        <v>1.01</v>
      </c>
      <c r="S272" t="s">
        <v>903</v>
      </c>
      <c r="U272" t="s">
        <v>910</v>
      </c>
    </row>
    <row r="273" spans="1:21" hidden="1" x14ac:dyDescent="0.6">
      <c r="A273">
        <v>272</v>
      </c>
      <c r="B273" t="str">
        <f>"6494"</f>
        <v>6494</v>
      </c>
      <c r="C273" t="s">
        <v>352</v>
      </c>
      <c r="D273" s="1">
        <v>42923</v>
      </c>
      <c r="E273">
        <v>51.5</v>
      </c>
      <c r="F273">
        <v>0.2</v>
      </c>
      <c r="G273" s="3">
        <v>3.8999999999999998E-3</v>
      </c>
      <c r="H273">
        <v>2017</v>
      </c>
      <c r="I273">
        <v>3.6</v>
      </c>
      <c r="J273">
        <v>3</v>
      </c>
      <c r="K273">
        <v>0</v>
      </c>
      <c r="L273">
        <v>3</v>
      </c>
      <c r="M273" s="3">
        <v>5.8299999999999998E-2</v>
      </c>
      <c r="N273" s="2">
        <v>0</v>
      </c>
      <c r="O273" s="3">
        <v>5.8299999999999998E-2</v>
      </c>
      <c r="P273" s="3">
        <v>0.83299999999999996</v>
      </c>
      <c r="Q273" s="2">
        <v>0</v>
      </c>
      <c r="R273" s="3">
        <v>0.83299999999999996</v>
      </c>
      <c r="S273" t="s">
        <v>892</v>
      </c>
      <c r="U273" t="s">
        <v>908</v>
      </c>
    </row>
    <row r="274" spans="1:21" x14ac:dyDescent="0.6">
      <c r="A274">
        <v>273</v>
      </c>
      <c r="B274" t="str">
        <f>"2020"</f>
        <v>2020</v>
      </c>
      <c r="C274" t="s">
        <v>353</v>
      </c>
      <c r="D274" s="1">
        <v>42923</v>
      </c>
      <c r="E274">
        <v>13.75</v>
      </c>
      <c r="F274">
        <v>-0.05</v>
      </c>
      <c r="G274" s="3">
        <v>-3.5999999999999999E-3</v>
      </c>
      <c r="H274">
        <v>2017</v>
      </c>
      <c r="I274">
        <v>1.65</v>
      </c>
      <c r="J274">
        <v>0.8</v>
      </c>
      <c r="K274">
        <v>0</v>
      </c>
      <c r="L274">
        <v>0.8</v>
      </c>
      <c r="M274" s="3">
        <v>5.8200000000000002E-2</v>
      </c>
      <c r="N274" s="2">
        <v>0</v>
      </c>
      <c r="O274" s="3">
        <v>5.8200000000000002E-2</v>
      </c>
      <c r="P274" s="3">
        <v>0.48499999999999999</v>
      </c>
      <c r="Q274" s="2">
        <v>0</v>
      </c>
      <c r="R274" s="3">
        <v>0.48499999999999999</v>
      </c>
      <c r="S274" t="s">
        <v>925</v>
      </c>
      <c r="U274" t="s">
        <v>898</v>
      </c>
    </row>
    <row r="275" spans="1:21" x14ac:dyDescent="0.6">
      <c r="A275">
        <v>274</v>
      </c>
      <c r="B275" t="str">
        <f>"2889"</f>
        <v>2889</v>
      </c>
      <c r="C275" t="s">
        <v>354</v>
      </c>
      <c r="D275" s="1">
        <v>42923</v>
      </c>
      <c r="E275">
        <v>9.4600000000000009</v>
      </c>
      <c r="F275">
        <v>-0.04</v>
      </c>
      <c r="G275" s="3">
        <v>-4.1999999999999997E-3</v>
      </c>
      <c r="H275">
        <v>2017</v>
      </c>
      <c r="I275">
        <v>0.78</v>
      </c>
      <c r="J275">
        <v>0.55000000000000004</v>
      </c>
      <c r="K275">
        <v>0.15</v>
      </c>
      <c r="L275">
        <v>0.7</v>
      </c>
      <c r="M275" s="3">
        <v>5.8099999999999999E-2</v>
      </c>
      <c r="N275" s="3">
        <v>1.5900000000000001E-2</v>
      </c>
      <c r="O275" s="3">
        <v>7.3999999999999996E-2</v>
      </c>
      <c r="P275" s="3">
        <v>0.70499999999999996</v>
      </c>
      <c r="Q275" s="3">
        <v>0.192</v>
      </c>
      <c r="R275" s="3">
        <v>0.89700000000000002</v>
      </c>
    </row>
    <row r="276" spans="1:21" hidden="1" x14ac:dyDescent="0.6">
      <c r="A276">
        <v>275</v>
      </c>
      <c r="B276" t="str">
        <f>"8083"</f>
        <v>8083</v>
      </c>
      <c r="C276" t="s">
        <v>355</v>
      </c>
      <c r="D276" s="1">
        <v>42923</v>
      </c>
      <c r="E276">
        <v>146.5</v>
      </c>
      <c r="F276">
        <v>-3.5</v>
      </c>
      <c r="G276" s="3">
        <v>-2.3300000000000001E-2</v>
      </c>
      <c r="H276">
        <v>2017</v>
      </c>
      <c r="I276">
        <v>10.42</v>
      </c>
      <c r="J276">
        <v>8.5</v>
      </c>
      <c r="K276">
        <v>0</v>
      </c>
      <c r="L276">
        <v>8.5</v>
      </c>
      <c r="M276" s="3">
        <v>5.8000000000000003E-2</v>
      </c>
      <c r="N276" s="2">
        <v>0</v>
      </c>
      <c r="O276" s="3">
        <v>5.8000000000000003E-2</v>
      </c>
      <c r="P276" s="3">
        <v>0.81599999999999995</v>
      </c>
      <c r="Q276" s="2">
        <v>0</v>
      </c>
      <c r="R276" s="3">
        <v>0.81599999999999995</v>
      </c>
      <c r="S276" t="s">
        <v>916</v>
      </c>
      <c r="U276" t="s">
        <v>896</v>
      </c>
    </row>
    <row r="277" spans="1:21" x14ac:dyDescent="0.6">
      <c r="A277">
        <v>276</v>
      </c>
      <c r="B277" t="str">
        <f>"6154"</f>
        <v>6154</v>
      </c>
      <c r="C277" t="s">
        <v>356</v>
      </c>
      <c r="D277" s="1">
        <v>42923</v>
      </c>
      <c r="E277">
        <v>17.25</v>
      </c>
      <c r="F277">
        <v>0</v>
      </c>
      <c r="G277" s="3">
        <v>0</v>
      </c>
      <c r="H277">
        <v>2017</v>
      </c>
      <c r="I277">
        <v>1.19</v>
      </c>
      <c r="J277">
        <v>1</v>
      </c>
      <c r="K277">
        <v>0</v>
      </c>
      <c r="L277">
        <v>1</v>
      </c>
      <c r="M277" s="3">
        <v>5.8000000000000003E-2</v>
      </c>
      <c r="N277" s="2">
        <v>0</v>
      </c>
      <c r="O277" s="3">
        <v>5.8000000000000003E-2</v>
      </c>
      <c r="P277" s="3">
        <v>0.84</v>
      </c>
      <c r="Q277" s="2">
        <v>0</v>
      </c>
      <c r="R277" s="3">
        <v>0.84</v>
      </c>
    </row>
    <row r="278" spans="1:21" x14ac:dyDescent="0.6">
      <c r="A278">
        <v>277</v>
      </c>
      <c r="B278" t="str">
        <f>"6582"</f>
        <v>6582</v>
      </c>
      <c r="C278" t="s">
        <v>357</v>
      </c>
      <c r="D278" s="1">
        <v>42923</v>
      </c>
      <c r="E278">
        <v>69.099999999999994</v>
      </c>
      <c r="F278">
        <v>0.2</v>
      </c>
      <c r="G278" s="3">
        <v>2.8999999999999998E-3</v>
      </c>
      <c r="H278">
        <v>2017</v>
      </c>
      <c r="I278">
        <v>6.3</v>
      </c>
      <c r="J278">
        <v>4</v>
      </c>
      <c r="K278">
        <v>0</v>
      </c>
      <c r="L278">
        <v>4</v>
      </c>
      <c r="M278" s="3">
        <v>5.79E-2</v>
      </c>
      <c r="N278" s="2">
        <v>0</v>
      </c>
      <c r="O278" s="3">
        <v>5.79E-2</v>
      </c>
      <c r="P278" s="3">
        <v>0.63500000000000001</v>
      </c>
      <c r="Q278" s="2">
        <v>0</v>
      </c>
      <c r="R278" s="3">
        <v>0.63500000000000001</v>
      </c>
    </row>
    <row r="279" spans="1:21" x14ac:dyDescent="0.6">
      <c r="A279">
        <v>278</v>
      </c>
      <c r="B279" t="str">
        <f>"3296"</f>
        <v>3296</v>
      </c>
      <c r="C279" t="s">
        <v>358</v>
      </c>
      <c r="D279" s="1">
        <v>42923</v>
      </c>
      <c r="E279">
        <v>20.75</v>
      </c>
      <c r="F279">
        <v>-0.45</v>
      </c>
      <c r="G279" s="3">
        <v>-2.12E-2</v>
      </c>
      <c r="H279">
        <v>2017</v>
      </c>
      <c r="I279">
        <v>1.22</v>
      </c>
      <c r="J279">
        <v>1.2</v>
      </c>
      <c r="K279">
        <v>0</v>
      </c>
      <c r="L279">
        <v>1.2</v>
      </c>
      <c r="M279" s="3">
        <v>5.7799999999999997E-2</v>
      </c>
      <c r="N279" s="2">
        <v>0</v>
      </c>
      <c r="O279" s="3">
        <v>5.7799999999999997E-2</v>
      </c>
      <c r="P279" s="3">
        <v>0.98399999999999999</v>
      </c>
      <c r="Q279" s="2">
        <v>0</v>
      </c>
      <c r="R279" s="3">
        <v>0.98399999999999999</v>
      </c>
    </row>
    <row r="280" spans="1:21" x14ac:dyDescent="0.6">
      <c r="A280">
        <v>279</v>
      </c>
      <c r="B280" t="str">
        <f>"4432"</f>
        <v>4432</v>
      </c>
      <c r="C280" t="s">
        <v>359</v>
      </c>
      <c r="D280" s="1">
        <v>42923</v>
      </c>
      <c r="E280">
        <v>41.5</v>
      </c>
      <c r="F280">
        <v>-0.2</v>
      </c>
      <c r="G280" s="3">
        <v>-4.7999999999999996E-3</v>
      </c>
      <c r="H280">
        <v>2017</v>
      </c>
      <c r="I280">
        <v>3</v>
      </c>
      <c r="J280">
        <v>2.4</v>
      </c>
      <c r="K280">
        <v>0</v>
      </c>
      <c r="L280">
        <v>2.4</v>
      </c>
      <c r="M280" s="3">
        <v>5.7799999999999997E-2</v>
      </c>
      <c r="N280" s="2">
        <v>0</v>
      </c>
      <c r="O280" s="3">
        <v>5.7799999999999997E-2</v>
      </c>
      <c r="P280" s="3">
        <v>0.8</v>
      </c>
      <c r="Q280" s="2">
        <v>0</v>
      </c>
      <c r="R280" s="3">
        <v>0.8</v>
      </c>
      <c r="S280" t="s">
        <v>889</v>
      </c>
      <c r="U280" t="s">
        <v>909</v>
      </c>
    </row>
    <row r="281" spans="1:21" x14ac:dyDescent="0.6">
      <c r="A281">
        <v>280</v>
      </c>
      <c r="B281" t="str">
        <f>"4754"</f>
        <v>4754</v>
      </c>
      <c r="C281" t="s">
        <v>360</v>
      </c>
      <c r="D281" s="1">
        <v>42923</v>
      </c>
      <c r="E281">
        <v>45</v>
      </c>
      <c r="F281">
        <v>0</v>
      </c>
      <c r="G281" s="2">
        <v>0</v>
      </c>
      <c r="H281">
        <v>2017</v>
      </c>
      <c r="I281">
        <v>3.32</v>
      </c>
      <c r="J281">
        <v>2.6</v>
      </c>
      <c r="K281">
        <v>0</v>
      </c>
      <c r="L281">
        <v>2.6</v>
      </c>
      <c r="M281" s="3">
        <v>5.7799999999999997E-2</v>
      </c>
      <c r="N281" s="2">
        <v>0</v>
      </c>
      <c r="O281" s="3">
        <v>5.7799999999999997E-2</v>
      </c>
      <c r="P281" s="3">
        <v>0.78300000000000003</v>
      </c>
      <c r="Q281" s="2">
        <v>0</v>
      </c>
      <c r="R281" s="3">
        <v>0.78300000000000003</v>
      </c>
      <c r="S281" t="s">
        <v>926</v>
      </c>
      <c r="U281" t="s">
        <v>930</v>
      </c>
    </row>
    <row r="282" spans="1:21" hidden="1" x14ac:dyDescent="0.6">
      <c r="A282">
        <v>281</v>
      </c>
      <c r="B282" t="str">
        <f>"6505"</f>
        <v>6505</v>
      </c>
      <c r="C282" t="s">
        <v>362</v>
      </c>
      <c r="D282" s="1">
        <v>42923</v>
      </c>
      <c r="E282">
        <v>104</v>
      </c>
      <c r="F282">
        <v>-0.5</v>
      </c>
      <c r="G282" s="3">
        <v>-4.7999999999999996E-3</v>
      </c>
      <c r="H282">
        <v>2017</v>
      </c>
      <c r="I282">
        <v>7.95</v>
      </c>
      <c r="J282">
        <v>6</v>
      </c>
      <c r="K282">
        <v>0</v>
      </c>
      <c r="L282">
        <v>6</v>
      </c>
      <c r="M282" s="3">
        <v>5.7700000000000001E-2</v>
      </c>
      <c r="N282" s="2">
        <v>0</v>
      </c>
      <c r="O282" s="3">
        <v>5.7700000000000001E-2</v>
      </c>
      <c r="P282" s="3">
        <v>0.755</v>
      </c>
      <c r="Q282" s="2">
        <v>0</v>
      </c>
      <c r="R282" s="3">
        <v>0.755</v>
      </c>
      <c r="S282" t="s">
        <v>890</v>
      </c>
      <c r="U282" t="s">
        <v>926</v>
      </c>
    </row>
    <row r="283" spans="1:21" x14ac:dyDescent="0.6">
      <c r="A283">
        <v>282</v>
      </c>
      <c r="B283" t="str">
        <f>"4417"</f>
        <v>4417</v>
      </c>
      <c r="C283" t="s">
        <v>363</v>
      </c>
      <c r="D283" s="1">
        <v>42923</v>
      </c>
      <c r="E283">
        <v>38.200000000000003</v>
      </c>
      <c r="F283">
        <v>-0.1</v>
      </c>
      <c r="G283" s="3">
        <v>-2.5999999999999999E-3</v>
      </c>
      <c r="H283">
        <v>2017</v>
      </c>
      <c r="I283">
        <v>4.74</v>
      </c>
      <c r="J283">
        <v>2.2000000000000002</v>
      </c>
      <c r="K283">
        <v>0.2</v>
      </c>
      <c r="L283">
        <v>2.4</v>
      </c>
      <c r="M283" s="3">
        <v>5.7599999999999998E-2</v>
      </c>
      <c r="N283" s="3">
        <v>5.1999999999999998E-3</v>
      </c>
      <c r="O283" s="3">
        <v>6.2799999999999995E-2</v>
      </c>
      <c r="P283" s="3">
        <v>0.46400000000000002</v>
      </c>
      <c r="Q283" s="2">
        <v>4.2200000000000001E-2</v>
      </c>
      <c r="R283" s="3">
        <v>0.50600000000000001</v>
      </c>
    </row>
    <row r="284" spans="1:21" x14ac:dyDescent="0.6">
      <c r="A284">
        <v>283</v>
      </c>
      <c r="B284" t="str">
        <f>"2530"</f>
        <v>2530</v>
      </c>
      <c r="C284" t="s">
        <v>364</v>
      </c>
      <c r="D284" s="1">
        <v>42923</v>
      </c>
      <c r="E284">
        <v>13.9</v>
      </c>
      <c r="F284">
        <v>-0.05</v>
      </c>
      <c r="G284" s="3">
        <v>-3.5999999999999999E-3</v>
      </c>
      <c r="H284">
        <v>2017</v>
      </c>
      <c r="I284">
        <v>1.57</v>
      </c>
      <c r="J284">
        <v>0.8</v>
      </c>
      <c r="K284">
        <v>0</v>
      </c>
      <c r="L284">
        <v>0.8</v>
      </c>
      <c r="M284" s="3">
        <v>5.7599999999999998E-2</v>
      </c>
      <c r="N284" s="2">
        <v>0</v>
      </c>
      <c r="O284" s="3">
        <v>5.7599999999999998E-2</v>
      </c>
      <c r="P284" s="2">
        <v>0.51</v>
      </c>
      <c r="Q284" s="2">
        <v>0</v>
      </c>
      <c r="R284" s="2">
        <v>0.51</v>
      </c>
    </row>
    <row r="285" spans="1:21" x14ac:dyDescent="0.6">
      <c r="A285">
        <v>284</v>
      </c>
      <c r="B285" t="str">
        <f>"8147"</f>
        <v>8147</v>
      </c>
      <c r="C285" t="s">
        <v>365</v>
      </c>
      <c r="D285" s="1">
        <v>42923</v>
      </c>
      <c r="E285">
        <v>34.799999999999997</v>
      </c>
      <c r="F285">
        <v>0.05</v>
      </c>
      <c r="G285" s="3">
        <v>1.4E-3</v>
      </c>
      <c r="H285">
        <v>2017</v>
      </c>
      <c r="I285">
        <v>2.3199999999999998</v>
      </c>
      <c r="J285">
        <v>2</v>
      </c>
      <c r="K285">
        <v>0</v>
      </c>
      <c r="L285">
        <v>2</v>
      </c>
      <c r="M285" s="3">
        <v>5.7500000000000002E-2</v>
      </c>
      <c r="N285" s="3">
        <v>0</v>
      </c>
      <c r="O285" s="3">
        <v>5.7500000000000002E-2</v>
      </c>
      <c r="P285" s="3">
        <v>0.86199999999999999</v>
      </c>
      <c r="Q285" s="3">
        <v>0</v>
      </c>
      <c r="R285" s="3">
        <v>0.86199999999999999</v>
      </c>
    </row>
    <row r="286" spans="1:21" x14ac:dyDescent="0.6">
      <c r="A286">
        <v>285</v>
      </c>
      <c r="B286" t="s">
        <v>366</v>
      </c>
      <c r="C286" t="s">
        <v>367</v>
      </c>
      <c r="D286" s="1">
        <v>42923</v>
      </c>
      <c r="E286">
        <v>27.9</v>
      </c>
      <c r="F286">
        <v>0.05</v>
      </c>
      <c r="G286" s="3">
        <v>1.8E-3</v>
      </c>
      <c r="H286">
        <v>2017</v>
      </c>
      <c r="J286">
        <v>1.6</v>
      </c>
      <c r="K286">
        <v>0</v>
      </c>
      <c r="L286">
        <v>1.6</v>
      </c>
      <c r="M286" s="3">
        <v>5.7299999999999997E-2</v>
      </c>
      <c r="N286" s="2">
        <v>0</v>
      </c>
      <c r="O286" s="3">
        <v>5.7299999999999997E-2</v>
      </c>
      <c r="P286" s="3"/>
      <c r="Q286" s="2"/>
      <c r="R286" s="3"/>
      <c r="S286" t="s">
        <v>902</v>
      </c>
      <c r="U286" t="s">
        <v>915</v>
      </c>
    </row>
    <row r="287" spans="1:21" x14ac:dyDescent="0.6">
      <c r="A287">
        <v>286</v>
      </c>
      <c r="B287" t="str">
        <f>"6230"</f>
        <v>6230</v>
      </c>
      <c r="C287" t="s">
        <v>368</v>
      </c>
      <c r="D287" s="1">
        <v>42923</v>
      </c>
      <c r="E287">
        <v>131</v>
      </c>
      <c r="F287">
        <v>-2</v>
      </c>
      <c r="G287" s="3">
        <v>-1.4999999999999999E-2</v>
      </c>
      <c r="H287">
        <v>2017</v>
      </c>
      <c r="I287">
        <v>10.95</v>
      </c>
      <c r="J287">
        <v>7.5</v>
      </c>
      <c r="K287">
        <v>0</v>
      </c>
      <c r="L287">
        <v>7.5</v>
      </c>
      <c r="M287" s="3">
        <v>5.7299999999999997E-2</v>
      </c>
      <c r="N287" s="2">
        <v>0</v>
      </c>
      <c r="O287" s="3">
        <v>5.7299999999999997E-2</v>
      </c>
      <c r="P287" s="3">
        <v>0.68500000000000005</v>
      </c>
      <c r="Q287" s="2">
        <v>0</v>
      </c>
      <c r="R287" s="3">
        <v>0.68500000000000005</v>
      </c>
    </row>
    <row r="288" spans="1:21" x14ac:dyDescent="0.6">
      <c r="A288">
        <v>287</v>
      </c>
      <c r="B288" t="str">
        <f>"2356"</f>
        <v>2356</v>
      </c>
      <c r="C288" t="s">
        <v>369</v>
      </c>
      <c r="D288" s="1">
        <v>42923</v>
      </c>
      <c r="E288">
        <v>25.35</v>
      </c>
      <c r="F288">
        <v>0.15</v>
      </c>
      <c r="G288" s="3">
        <v>6.0000000000000001E-3</v>
      </c>
      <c r="H288">
        <v>2017</v>
      </c>
      <c r="I288">
        <v>1.57</v>
      </c>
      <c r="J288">
        <v>1.45</v>
      </c>
      <c r="K288">
        <v>0</v>
      </c>
      <c r="L288">
        <v>1.45</v>
      </c>
      <c r="M288" s="3">
        <v>5.7200000000000001E-2</v>
      </c>
      <c r="N288" s="2">
        <v>0</v>
      </c>
      <c r="O288" s="3">
        <v>5.7200000000000001E-2</v>
      </c>
      <c r="P288" s="3">
        <v>0.92400000000000004</v>
      </c>
      <c r="Q288" s="2">
        <v>0</v>
      </c>
      <c r="R288" s="3">
        <v>0.92400000000000004</v>
      </c>
      <c r="S288" t="s">
        <v>925</v>
      </c>
      <c r="U288" t="s">
        <v>930</v>
      </c>
    </row>
    <row r="289" spans="1:21" hidden="1" x14ac:dyDescent="0.6">
      <c r="A289">
        <v>288</v>
      </c>
      <c r="B289" t="str">
        <f>"9188"</f>
        <v>9188</v>
      </c>
      <c r="C289" t="s">
        <v>370</v>
      </c>
      <c r="D289" s="1">
        <v>42923</v>
      </c>
      <c r="E289">
        <v>4.8499999999999996</v>
      </c>
      <c r="F289">
        <v>0</v>
      </c>
      <c r="G289" s="2">
        <v>0</v>
      </c>
      <c r="H289">
        <v>2017</v>
      </c>
      <c r="J289">
        <v>0.28000000000000003</v>
      </c>
      <c r="K289">
        <v>0</v>
      </c>
      <c r="L289">
        <v>0.28000000000000003</v>
      </c>
      <c r="M289" s="3">
        <v>5.7200000000000001E-2</v>
      </c>
      <c r="N289" s="2">
        <v>0</v>
      </c>
      <c r="O289" s="3">
        <v>5.7200000000000001E-2</v>
      </c>
      <c r="P289" s="2"/>
      <c r="Q289" s="2"/>
      <c r="R289" s="2"/>
      <c r="S289" t="s">
        <v>916</v>
      </c>
    </row>
    <row r="290" spans="1:21" x14ac:dyDescent="0.6">
      <c r="A290">
        <v>289</v>
      </c>
      <c r="B290" t="str">
        <f>"3034"</f>
        <v>3034</v>
      </c>
      <c r="C290" t="s">
        <v>371</v>
      </c>
      <c r="D290" s="1">
        <v>42923</v>
      </c>
      <c r="E290">
        <v>122.5</v>
      </c>
      <c r="F290">
        <v>-2</v>
      </c>
      <c r="G290" s="3">
        <v>-1.61E-2</v>
      </c>
      <c r="H290">
        <v>2017</v>
      </c>
      <c r="I290">
        <v>8.2200000000000006</v>
      </c>
      <c r="J290">
        <v>7</v>
      </c>
      <c r="K290">
        <v>0</v>
      </c>
      <c r="L290">
        <v>7</v>
      </c>
      <c r="M290" s="3">
        <v>5.7099999999999998E-2</v>
      </c>
      <c r="N290" s="2">
        <v>0</v>
      </c>
      <c r="O290" s="3">
        <v>5.7099999999999998E-2</v>
      </c>
      <c r="P290" s="2">
        <v>0.85199999999999998</v>
      </c>
      <c r="Q290" s="2">
        <v>0</v>
      </c>
      <c r="R290" s="2">
        <v>0.85199999999999998</v>
      </c>
      <c r="S290" t="s">
        <v>913</v>
      </c>
      <c r="U290" t="s">
        <v>900</v>
      </c>
    </row>
    <row r="291" spans="1:21" x14ac:dyDescent="0.6">
      <c r="A291">
        <v>290</v>
      </c>
      <c r="B291" t="str">
        <f>"3558"</f>
        <v>3558</v>
      </c>
      <c r="C291" t="s">
        <v>372</v>
      </c>
      <c r="D291" s="1">
        <v>42923</v>
      </c>
      <c r="E291">
        <v>140</v>
      </c>
      <c r="F291">
        <v>0</v>
      </c>
      <c r="G291" s="2">
        <v>0</v>
      </c>
      <c r="H291">
        <v>2017</v>
      </c>
      <c r="I291">
        <v>11.42</v>
      </c>
      <c r="J291">
        <v>8</v>
      </c>
      <c r="K291">
        <v>0</v>
      </c>
      <c r="L291">
        <v>8</v>
      </c>
      <c r="M291" s="3">
        <v>5.7099999999999998E-2</v>
      </c>
      <c r="N291" s="2">
        <v>0</v>
      </c>
      <c r="O291" s="3">
        <v>5.7099999999999998E-2</v>
      </c>
      <c r="P291" s="3">
        <v>0.7</v>
      </c>
      <c r="Q291" s="2">
        <v>0</v>
      </c>
      <c r="R291" s="3">
        <v>0.7</v>
      </c>
      <c r="S291" t="s">
        <v>922</v>
      </c>
      <c r="U291" t="s">
        <v>923</v>
      </c>
    </row>
    <row r="292" spans="1:21" x14ac:dyDescent="0.6">
      <c r="A292">
        <v>291</v>
      </c>
      <c r="B292" t="str">
        <f>"4536"</f>
        <v>4536</v>
      </c>
      <c r="C292" t="s">
        <v>373</v>
      </c>
      <c r="D292" s="1">
        <v>42923</v>
      </c>
      <c r="E292">
        <v>105</v>
      </c>
      <c r="F292">
        <v>0.5</v>
      </c>
      <c r="G292" s="3">
        <v>4.7999999999999996E-3</v>
      </c>
      <c r="H292">
        <v>2017</v>
      </c>
      <c r="I292">
        <v>8.58</v>
      </c>
      <c r="J292">
        <v>6</v>
      </c>
      <c r="K292">
        <v>0</v>
      </c>
      <c r="L292">
        <v>6</v>
      </c>
      <c r="M292" s="3">
        <v>5.7099999999999998E-2</v>
      </c>
      <c r="N292" s="2">
        <v>0</v>
      </c>
      <c r="O292" s="3">
        <v>5.7099999999999998E-2</v>
      </c>
      <c r="P292" s="3">
        <v>0.69899999999999995</v>
      </c>
      <c r="Q292" s="2">
        <v>0</v>
      </c>
      <c r="R292" s="3">
        <v>0.69899999999999995</v>
      </c>
      <c r="S292" t="s">
        <v>922</v>
      </c>
      <c r="U292" t="s">
        <v>921</v>
      </c>
    </row>
    <row r="293" spans="1:21" x14ac:dyDescent="0.6">
      <c r="A293">
        <v>292</v>
      </c>
      <c r="B293" t="str">
        <f>"8103"</f>
        <v>8103</v>
      </c>
      <c r="C293" t="s">
        <v>374</v>
      </c>
      <c r="D293" s="1">
        <v>42923</v>
      </c>
      <c r="E293">
        <v>31.5</v>
      </c>
      <c r="F293">
        <v>-0.2</v>
      </c>
      <c r="G293" s="3">
        <v>-6.3E-3</v>
      </c>
      <c r="H293">
        <v>2017</v>
      </c>
      <c r="I293">
        <v>3</v>
      </c>
      <c r="J293">
        <v>1.8</v>
      </c>
      <c r="K293">
        <v>0</v>
      </c>
      <c r="L293">
        <v>1.8</v>
      </c>
      <c r="M293" s="3">
        <v>5.7099999999999998E-2</v>
      </c>
      <c r="N293" s="2">
        <v>0</v>
      </c>
      <c r="O293" s="3">
        <v>5.7099999999999998E-2</v>
      </c>
      <c r="P293" s="3">
        <v>0.6</v>
      </c>
      <c r="Q293" s="2">
        <v>0</v>
      </c>
      <c r="R293" s="3">
        <v>0.6</v>
      </c>
    </row>
    <row r="294" spans="1:21" hidden="1" x14ac:dyDescent="0.6">
      <c r="A294">
        <v>293</v>
      </c>
      <c r="B294" t="str">
        <f>"9962"</f>
        <v>9962</v>
      </c>
      <c r="C294" t="s">
        <v>375</v>
      </c>
      <c r="D294" s="1">
        <v>42923</v>
      </c>
      <c r="E294">
        <v>10.5</v>
      </c>
      <c r="F294">
        <v>-0.15</v>
      </c>
      <c r="G294" s="3">
        <v>-1.41E-2</v>
      </c>
      <c r="H294">
        <v>2017</v>
      </c>
      <c r="I294">
        <v>0.74</v>
      </c>
      <c r="J294">
        <v>0.6</v>
      </c>
      <c r="K294">
        <v>0</v>
      </c>
      <c r="L294">
        <v>0.6</v>
      </c>
      <c r="M294" s="3">
        <v>5.7099999999999998E-2</v>
      </c>
      <c r="N294" s="2">
        <v>0</v>
      </c>
      <c r="O294" s="3">
        <v>5.7099999999999998E-2</v>
      </c>
      <c r="P294" s="3">
        <v>0.81100000000000005</v>
      </c>
      <c r="Q294" s="2">
        <v>0</v>
      </c>
      <c r="R294" s="3">
        <v>0.81100000000000005</v>
      </c>
      <c r="S294" t="s">
        <v>918</v>
      </c>
      <c r="U294" t="s">
        <v>899</v>
      </c>
    </row>
    <row r="295" spans="1:21" x14ac:dyDescent="0.6">
      <c r="A295">
        <v>294</v>
      </c>
      <c r="B295" t="str">
        <f>"5209"</f>
        <v>5209</v>
      </c>
      <c r="C295" t="s">
        <v>376</v>
      </c>
      <c r="D295" s="1">
        <v>42923</v>
      </c>
      <c r="E295">
        <v>43.95</v>
      </c>
      <c r="F295">
        <v>-0.15</v>
      </c>
      <c r="G295" s="3">
        <v>-3.3999999999999998E-3</v>
      </c>
      <c r="H295">
        <v>2017</v>
      </c>
      <c r="I295">
        <v>3.08</v>
      </c>
      <c r="J295">
        <v>2.5</v>
      </c>
      <c r="K295">
        <v>0</v>
      </c>
      <c r="L295">
        <v>2.5</v>
      </c>
      <c r="M295" s="3">
        <v>5.7000000000000002E-2</v>
      </c>
      <c r="N295" s="2">
        <v>0</v>
      </c>
      <c r="O295" s="3">
        <v>5.7000000000000002E-2</v>
      </c>
      <c r="P295" s="2">
        <v>0.81200000000000006</v>
      </c>
      <c r="Q295" s="2">
        <v>0</v>
      </c>
      <c r="R295" s="2">
        <v>0.81200000000000006</v>
      </c>
    </row>
    <row r="296" spans="1:21" x14ac:dyDescent="0.6">
      <c r="A296">
        <v>295</v>
      </c>
      <c r="B296" t="str">
        <f>"6266"</f>
        <v>6266</v>
      </c>
      <c r="C296" t="s">
        <v>377</v>
      </c>
      <c r="D296" s="1">
        <v>42923</v>
      </c>
      <c r="E296">
        <v>11.95</v>
      </c>
      <c r="F296">
        <v>0</v>
      </c>
      <c r="G296" s="2">
        <v>0</v>
      </c>
      <c r="H296">
        <v>2017</v>
      </c>
      <c r="I296">
        <v>0.81</v>
      </c>
      <c r="J296">
        <v>0.68</v>
      </c>
      <c r="K296">
        <v>0</v>
      </c>
      <c r="L296">
        <v>0.68</v>
      </c>
      <c r="M296" s="3">
        <v>5.6899999999999999E-2</v>
      </c>
      <c r="N296" s="3">
        <v>0</v>
      </c>
      <c r="O296" s="3">
        <v>5.6899999999999999E-2</v>
      </c>
      <c r="P296" s="3">
        <v>0.84</v>
      </c>
      <c r="Q296" s="3">
        <v>0</v>
      </c>
      <c r="R296" s="3">
        <v>0.84</v>
      </c>
      <c r="S296" t="s">
        <v>925</v>
      </c>
      <c r="U296" t="s">
        <v>909</v>
      </c>
    </row>
    <row r="297" spans="1:21" hidden="1" x14ac:dyDescent="0.6">
      <c r="A297">
        <v>296</v>
      </c>
      <c r="B297" t="str">
        <f>"5474"</f>
        <v>5474</v>
      </c>
      <c r="C297" t="s">
        <v>378</v>
      </c>
      <c r="D297" s="1">
        <v>42923</v>
      </c>
      <c r="E297">
        <v>58</v>
      </c>
      <c r="F297">
        <v>0.4</v>
      </c>
      <c r="G297" s="3">
        <v>6.8999999999999999E-3</v>
      </c>
      <c r="H297">
        <v>2017</v>
      </c>
      <c r="I297">
        <v>7.21</v>
      </c>
      <c r="J297">
        <v>3.3</v>
      </c>
      <c r="K297">
        <v>0</v>
      </c>
      <c r="L297">
        <v>3.3</v>
      </c>
      <c r="M297" s="3">
        <v>5.6899999999999999E-2</v>
      </c>
      <c r="N297" s="2">
        <v>0</v>
      </c>
      <c r="O297" s="3">
        <v>5.6899999999999999E-2</v>
      </c>
      <c r="P297" s="3">
        <v>0.45800000000000002</v>
      </c>
      <c r="Q297" s="2">
        <v>0</v>
      </c>
      <c r="R297" s="3">
        <v>0.45800000000000002</v>
      </c>
      <c r="S297" t="s">
        <v>903</v>
      </c>
      <c r="U297" t="s">
        <v>898</v>
      </c>
    </row>
    <row r="298" spans="1:21" x14ac:dyDescent="0.6">
      <c r="A298">
        <v>297</v>
      </c>
      <c r="B298" t="str">
        <f>"6298"</f>
        <v>6298</v>
      </c>
      <c r="C298" t="s">
        <v>379</v>
      </c>
      <c r="D298" s="1">
        <v>42923</v>
      </c>
      <c r="E298">
        <v>17.600000000000001</v>
      </c>
      <c r="F298">
        <v>-0.2</v>
      </c>
      <c r="G298" s="2">
        <v>-1.12E-2</v>
      </c>
      <c r="H298">
        <v>2017</v>
      </c>
      <c r="I298">
        <v>2.11</v>
      </c>
      <c r="J298">
        <v>1</v>
      </c>
      <c r="K298">
        <v>0</v>
      </c>
      <c r="L298">
        <v>1</v>
      </c>
      <c r="M298" s="3">
        <v>5.6800000000000003E-2</v>
      </c>
      <c r="N298" s="2">
        <v>0</v>
      </c>
      <c r="O298" s="3">
        <v>5.6800000000000003E-2</v>
      </c>
      <c r="P298" s="2">
        <v>0.47399999999999998</v>
      </c>
      <c r="Q298" s="2">
        <v>0</v>
      </c>
      <c r="R298" s="2">
        <v>0.47399999999999998</v>
      </c>
    </row>
    <row r="299" spans="1:21" x14ac:dyDescent="0.6">
      <c r="A299">
        <v>298</v>
      </c>
      <c r="B299" t="str">
        <f>"8905"</f>
        <v>8905</v>
      </c>
      <c r="C299" t="s">
        <v>380</v>
      </c>
      <c r="D299" s="1">
        <v>42923</v>
      </c>
      <c r="E299">
        <v>17.600000000000001</v>
      </c>
      <c r="F299">
        <v>-0.1</v>
      </c>
      <c r="G299" s="3">
        <v>-5.5999999999999999E-3</v>
      </c>
      <c r="H299">
        <v>2017</v>
      </c>
      <c r="I299">
        <v>3.15</v>
      </c>
      <c r="J299">
        <v>1</v>
      </c>
      <c r="K299">
        <v>0</v>
      </c>
      <c r="L299">
        <v>1</v>
      </c>
      <c r="M299" s="3">
        <v>5.6800000000000003E-2</v>
      </c>
      <c r="N299" s="2">
        <v>0</v>
      </c>
      <c r="O299" s="3">
        <v>5.6800000000000003E-2</v>
      </c>
      <c r="P299" s="3">
        <v>0.318</v>
      </c>
      <c r="Q299" s="2">
        <v>0</v>
      </c>
      <c r="R299" s="3">
        <v>0.318</v>
      </c>
      <c r="S299" t="s">
        <v>926</v>
      </c>
      <c r="U299" t="s">
        <v>900</v>
      </c>
    </row>
    <row r="300" spans="1:21" x14ac:dyDescent="0.6">
      <c r="A300">
        <v>299</v>
      </c>
      <c r="B300" t="str">
        <f>"6024"</f>
        <v>6024</v>
      </c>
      <c r="C300" t="s">
        <v>381</v>
      </c>
      <c r="D300" s="1">
        <v>42923</v>
      </c>
      <c r="E300">
        <v>38.9</v>
      </c>
      <c r="F300">
        <v>0.55000000000000004</v>
      </c>
      <c r="G300" s="3">
        <v>1.43E-2</v>
      </c>
      <c r="H300">
        <v>2017</v>
      </c>
      <c r="I300">
        <v>4.18</v>
      </c>
      <c r="J300">
        <v>2.21</v>
      </c>
      <c r="K300">
        <v>0</v>
      </c>
      <c r="L300">
        <v>2.21</v>
      </c>
      <c r="M300" s="3">
        <v>5.6800000000000003E-2</v>
      </c>
      <c r="N300" s="3">
        <v>0</v>
      </c>
      <c r="O300" s="3">
        <v>5.6800000000000003E-2</v>
      </c>
      <c r="P300" s="3">
        <v>0.52900000000000003</v>
      </c>
      <c r="Q300" s="3">
        <v>0</v>
      </c>
      <c r="R300" s="2">
        <v>0.52900000000000003</v>
      </c>
      <c r="S300" t="s">
        <v>891</v>
      </c>
      <c r="U300" t="s">
        <v>928</v>
      </c>
    </row>
    <row r="301" spans="1:21" x14ac:dyDescent="0.6">
      <c r="A301">
        <v>300</v>
      </c>
      <c r="B301" t="str">
        <f>"1537"</f>
        <v>1537</v>
      </c>
      <c r="C301" t="s">
        <v>382</v>
      </c>
      <c r="D301" s="1">
        <v>42923</v>
      </c>
      <c r="E301">
        <v>158.5</v>
      </c>
      <c r="F301">
        <v>-2</v>
      </c>
      <c r="G301" s="3">
        <v>-1.2500000000000001E-2</v>
      </c>
      <c r="H301">
        <v>2017</v>
      </c>
      <c r="I301">
        <v>11.31</v>
      </c>
      <c r="J301">
        <v>9</v>
      </c>
      <c r="K301">
        <v>0</v>
      </c>
      <c r="L301">
        <v>9</v>
      </c>
      <c r="M301" s="3">
        <v>5.6800000000000003E-2</v>
      </c>
      <c r="N301" s="2">
        <v>0</v>
      </c>
      <c r="O301" s="3">
        <v>5.6800000000000003E-2</v>
      </c>
      <c r="P301" s="3">
        <v>0.79600000000000004</v>
      </c>
      <c r="Q301" s="2">
        <v>0</v>
      </c>
      <c r="R301" s="3">
        <v>0.79600000000000004</v>
      </c>
      <c r="S301" t="s">
        <v>919</v>
      </c>
      <c r="U301" t="s">
        <v>909</v>
      </c>
    </row>
    <row r="302" spans="1:21" x14ac:dyDescent="0.6">
      <c r="A302">
        <v>301</v>
      </c>
      <c r="B302" t="str">
        <f>"4999"</f>
        <v>4999</v>
      </c>
      <c r="C302" t="s">
        <v>383</v>
      </c>
      <c r="D302" s="1">
        <v>42923</v>
      </c>
      <c r="E302">
        <v>54.7</v>
      </c>
      <c r="F302">
        <v>-0.5</v>
      </c>
      <c r="G302" s="3">
        <v>-9.1000000000000004E-3</v>
      </c>
      <c r="H302">
        <v>2017</v>
      </c>
      <c r="I302">
        <v>6.14</v>
      </c>
      <c r="J302">
        <v>3.1</v>
      </c>
      <c r="K302">
        <v>0</v>
      </c>
      <c r="L302">
        <v>3.1</v>
      </c>
      <c r="M302" s="3">
        <v>5.67E-2</v>
      </c>
      <c r="N302" s="3">
        <v>0</v>
      </c>
      <c r="O302" s="3">
        <v>5.67E-2</v>
      </c>
      <c r="P302" s="3">
        <v>0.505</v>
      </c>
      <c r="Q302" s="3">
        <v>0</v>
      </c>
      <c r="R302" s="3">
        <v>0.505</v>
      </c>
      <c r="S302" t="s">
        <v>925</v>
      </c>
      <c r="U302" t="s">
        <v>900</v>
      </c>
    </row>
    <row r="303" spans="1:21" hidden="1" x14ac:dyDescent="0.6">
      <c r="A303">
        <v>302</v>
      </c>
      <c r="B303" t="str">
        <f>"2732"</f>
        <v>2732</v>
      </c>
      <c r="C303" t="s">
        <v>384</v>
      </c>
      <c r="D303" s="1">
        <v>42923</v>
      </c>
      <c r="E303">
        <v>87</v>
      </c>
      <c r="F303">
        <v>0</v>
      </c>
      <c r="G303" s="2">
        <v>0</v>
      </c>
      <c r="H303">
        <v>2017</v>
      </c>
      <c r="I303">
        <v>4.82</v>
      </c>
      <c r="J303">
        <v>4.92</v>
      </c>
      <c r="K303">
        <v>0</v>
      </c>
      <c r="L303">
        <v>4.92</v>
      </c>
      <c r="M303" s="3">
        <v>5.6500000000000002E-2</v>
      </c>
      <c r="N303" s="3">
        <v>0</v>
      </c>
      <c r="O303" s="3">
        <v>5.6500000000000002E-2</v>
      </c>
      <c r="P303" s="3">
        <v>1.02</v>
      </c>
      <c r="Q303" s="3">
        <v>0</v>
      </c>
      <c r="R303" s="3">
        <v>1.02</v>
      </c>
      <c r="S303" t="s">
        <v>895</v>
      </c>
      <c r="U303" t="s">
        <v>898</v>
      </c>
    </row>
    <row r="304" spans="1:21" x14ac:dyDescent="0.6">
      <c r="A304">
        <v>303</v>
      </c>
      <c r="B304" t="str">
        <f>"4545"</f>
        <v>4545</v>
      </c>
      <c r="C304" t="s">
        <v>385</v>
      </c>
      <c r="D304" s="1">
        <v>42923</v>
      </c>
      <c r="E304">
        <v>39.85</v>
      </c>
      <c r="F304">
        <v>-0.3</v>
      </c>
      <c r="G304" s="3">
        <v>-7.4999999999999997E-3</v>
      </c>
      <c r="H304">
        <v>2017</v>
      </c>
      <c r="I304">
        <v>2.96</v>
      </c>
      <c r="J304">
        <v>2.25</v>
      </c>
      <c r="K304">
        <v>0</v>
      </c>
      <c r="L304">
        <v>2.25</v>
      </c>
      <c r="M304" s="3">
        <v>5.6500000000000002E-2</v>
      </c>
      <c r="N304" s="3">
        <v>0</v>
      </c>
      <c r="O304" s="3">
        <v>5.6500000000000002E-2</v>
      </c>
      <c r="P304" s="3">
        <v>0.76</v>
      </c>
      <c r="Q304" s="2">
        <v>0</v>
      </c>
      <c r="R304" s="3">
        <v>0.76</v>
      </c>
    </row>
    <row r="305" spans="1:21" x14ac:dyDescent="0.6">
      <c r="A305">
        <v>304</v>
      </c>
      <c r="B305" t="str">
        <f>"1229"</f>
        <v>1229</v>
      </c>
      <c r="C305" t="s">
        <v>386</v>
      </c>
      <c r="D305" s="1">
        <v>42923</v>
      </c>
      <c r="E305">
        <v>28.35</v>
      </c>
      <c r="F305">
        <v>-0.15</v>
      </c>
      <c r="G305" s="3">
        <v>-5.3E-3</v>
      </c>
      <c r="H305">
        <v>2017</v>
      </c>
      <c r="I305">
        <v>2.37</v>
      </c>
      <c r="J305">
        <v>1.6</v>
      </c>
      <c r="K305">
        <v>0.5</v>
      </c>
      <c r="L305">
        <v>2.1</v>
      </c>
      <c r="M305" s="3">
        <v>5.6399999999999999E-2</v>
      </c>
      <c r="N305" s="2">
        <v>1.7600000000000001E-2</v>
      </c>
      <c r="O305" s="3">
        <v>7.4099999999999999E-2</v>
      </c>
      <c r="P305" s="3">
        <v>0.67500000000000004</v>
      </c>
      <c r="Q305" s="2">
        <v>0.21099999999999999</v>
      </c>
      <c r="R305" s="3">
        <v>0.88600000000000001</v>
      </c>
    </row>
    <row r="306" spans="1:21" hidden="1" x14ac:dyDescent="0.6">
      <c r="A306">
        <v>305</v>
      </c>
      <c r="B306" t="str">
        <f>"2373"</f>
        <v>2373</v>
      </c>
      <c r="C306" t="s">
        <v>387</v>
      </c>
      <c r="D306" s="1">
        <v>42923</v>
      </c>
      <c r="E306">
        <v>57.6</v>
      </c>
      <c r="F306">
        <v>-0.4</v>
      </c>
      <c r="G306" s="2">
        <v>-6.8999999999999999E-3</v>
      </c>
      <c r="H306">
        <v>2017</v>
      </c>
      <c r="I306">
        <v>4.0199999999999996</v>
      </c>
      <c r="J306">
        <v>3.25</v>
      </c>
      <c r="K306">
        <v>0</v>
      </c>
      <c r="L306">
        <v>3.25</v>
      </c>
      <c r="M306" s="3">
        <v>5.6399999999999999E-2</v>
      </c>
      <c r="N306" s="2">
        <v>0</v>
      </c>
      <c r="O306" s="3">
        <v>5.6399999999999999E-2</v>
      </c>
      <c r="P306" s="3">
        <v>0.80800000000000005</v>
      </c>
      <c r="Q306" s="2">
        <v>0</v>
      </c>
      <c r="R306" s="3">
        <v>0.80800000000000005</v>
      </c>
      <c r="S306" t="s">
        <v>888</v>
      </c>
      <c r="U306" t="s">
        <v>899</v>
      </c>
    </row>
    <row r="307" spans="1:21" x14ac:dyDescent="0.6">
      <c r="A307">
        <v>306</v>
      </c>
      <c r="B307" t="str">
        <f>"5439"</f>
        <v>5439</v>
      </c>
      <c r="C307" t="s">
        <v>388</v>
      </c>
      <c r="D307" s="1">
        <v>42923</v>
      </c>
      <c r="E307">
        <v>32.15</v>
      </c>
      <c r="F307">
        <v>0</v>
      </c>
      <c r="G307" s="2">
        <v>0</v>
      </c>
      <c r="H307">
        <v>2017</v>
      </c>
      <c r="I307">
        <v>2.5499999999999998</v>
      </c>
      <c r="J307">
        <v>1.81</v>
      </c>
      <c r="K307">
        <v>0</v>
      </c>
      <c r="L307">
        <v>1.81</v>
      </c>
      <c r="M307" s="3">
        <v>5.6399999999999999E-2</v>
      </c>
      <c r="N307" s="2">
        <v>0</v>
      </c>
      <c r="O307" s="3">
        <v>5.6399999999999999E-2</v>
      </c>
      <c r="P307" s="3">
        <v>0.71</v>
      </c>
      <c r="Q307" s="2">
        <v>0</v>
      </c>
      <c r="R307" s="3">
        <v>0.71</v>
      </c>
    </row>
    <row r="308" spans="1:21" hidden="1" x14ac:dyDescent="0.6">
      <c r="A308">
        <v>307</v>
      </c>
      <c r="B308" t="str">
        <f>"8210"</f>
        <v>8210</v>
      </c>
      <c r="C308" t="s">
        <v>389</v>
      </c>
      <c r="D308" s="1">
        <v>42923</v>
      </c>
      <c r="E308">
        <v>53.2</v>
      </c>
      <c r="F308">
        <v>-0.6</v>
      </c>
      <c r="G308" s="3">
        <v>-1.12E-2</v>
      </c>
      <c r="H308">
        <v>2017</v>
      </c>
      <c r="I308">
        <v>5.01</v>
      </c>
      <c r="J308">
        <v>3</v>
      </c>
      <c r="K308">
        <v>0</v>
      </c>
      <c r="L308">
        <v>3</v>
      </c>
      <c r="M308" s="3">
        <v>5.6399999999999999E-2</v>
      </c>
      <c r="N308" s="2">
        <v>0</v>
      </c>
      <c r="O308" s="3">
        <v>5.6399999999999999E-2</v>
      </c>
      <c r="P308" s="3">
        <v>0.59899999999999998</v>
      </c>
      <c r="Q308" s="2">
        <v>0</v>
      </c>
      <c r="R308" s="3">
        <v>0.59899999999999998</v>
      </c>
      <c r="S308" t="s">
        <v>894</v>
      </c>
      <c r="U308" t="s">
        <v>910</v>
      </c>
    </row>
    <row r="309" spans="1:21" x14ac:dyDescent="0.6">
      <c r="A309">
        <v>308</v>
      </c>
      <c r="B309" t="str">
        <f>"2204"</f>
        <v>2204</v>
      </c>
      <c r="C309" t="s">
        <v>390</v>
      </c>
      <c r="D309" s="1">
        <v>42923</v>
      </c>
      <c r="E309">
        <v>28.4</v>
      </c>
      <c r="F309">
        <v>-0.15</v>
      </c>
      <c r="G309" s="3">
        <v>-5.3E-3</v>
      </c>
      <c r="H309">
        <v>2017</v>
      </c>
      <c r="I309">
        <v>2.34</v>
      </c>
      <c r="J309">
        <v>1.6</v>
      </c>
      <c r="K309">
        <v>0</v>
      </c>
      <c r="L309">
        <v>1.6</v>
      </c>
      <c r="M309" s="3">
        <v>5.6300000000000003E-2</v>
      </c>
      <c r="N309" s="2">
        <v>0</v>
      </c>
      <c r="O309" s="3">
        <v>5.6300000000000003E-2</v>
      </c>
      <c r="P309" s="3">
        <v>0.68400000000000005</v>
      </c>
      <c r="Q309" s="2">
        <v>0</v>
      </c>
      <c r="R309" s="3">
        <v>0.68400000000000005</v>
      </c>
      <c r="S309" t="s">
        <v>899</v>
      </c>
      <c r="U309" t="s">
        <v>920</v>
      </c>
    </row>
    <row r="310" spans="1:21" hidden="1" x14ac:dyDescent="0.6">
      <c r="A310">
        <v>309</v>
      </c>
      <c r="B310" t="str">
        <f>"1598"</f>
        <v>1598</v>
      </c>
      <c r="C310" t="s">
        <v>391</v>
      </c>
      <c r="D310" s="1">
        <v>42923</v>
      </c>
      <c r="E310">
        <v>37.299999999999997</v>
      </c>
      <c r="F310">
        <v>-0.2</v>
      </c>
      <c r="G310" s="3">
        <v>-5.3E-3</v>
      </c>
      <c r="H310">
        <v>2017</v>
      </c>
      <c r="I310">
        <v>3.54</v>
      </c>
      <c r="J310">
        <v>2.1</v>
      </c>
      <c r="K310">
        <v>0</v>
      </c>
      <c r="L310">
        <v>2.1</v>
      </c>
      <c r="M310" s="3">
        <v>5.6300000000000003E-2</v>
      </c>
      <c r="N310" s="2">
        <v>0</v>
      </c>
      <c r="O310" s="3">
        <v>5.6300000000000003E-2</v>
      </c>
      <c r="P310" s="2">
        <v>0.59299999999999997</v>
      </c>
      <c r="Q310" s="2">
        <v>0</v>
      </c>
      <c r="R310" s="2">
        <v>0.59299999999999997</v>
      </c>
      <c r="S310" t="s">
        <v>943</v>
      </c>
      <c r="U310" t="s">
        <v>903</v>
      </c>
    </row>
    <row r="311" spans="1:21" x14ac:dyDescent="0.6">
      <c r="A311">
        <v>310</v>
      </c>
      <c r="B311" t="str">
        <f>"1817"</f>
        <v>1817</v>
      </c>
      <c r="C311" t="s">
        <v>392</v>
      </c>
      <c r="D311" s="1">
        <v>42923</v>
      </c>
      <c r="E311">
        <v>39.1</v>
      </c>
      <c r="F311">
        <v>-0.25</v>
      </c>
      <c r="G311" s="3">
        <v>-6.4000000000000003E-3</v>
      </c>
      <c r="H311">
        <v>2017</v>
      </c>
      <c r="I311">
        <v>3.4</v>
      </c>
      <c r="J311">
        <v>2.2000000000000002</v>
      </c>
      <c r="K311">
        <v>0</v>
      </c>
      <c r="L311">
        <v>2.2000000000000002</v>
      </c>
      <c r="M311" s="3">
        <v>5.6300000000000003E-2</v>
      </c>
      <c r="N311" s="2">
        <v>0</v>
      </c>
      <c r="O311" s="3">
        <v>5.6300000000000003E-2</v>
      </c>
      <c r="P311" s="3">
        <v>0.64700000000000002</v>
      </c>
      <c r="Q311" s="2">
        <v>0</v>
      </c>
      <c r="R311" s="3">
        <v>0.64700000000000002</v>
      </c>
    </row>
    <row r="312" spans="1:21" hidden="1" x14ac:dyDescent="0.6">
      <c r="A312">
        <v>311</v>
      </c>
      <c r="B312" t="str">
        <f>"8923"</f>
        <v>8923</v>
      </c>
      <c r="C312" t="s">
        <v>393</v>
      </c>
      <c r="D312" s="1">
        <v>42923</v>
      </c>
      <c r="E312">
        <v>16</v>
      </c>
      <c r="F312">
        <v>0</v>
      </c>
      <c r="G312" s="3">
        <v>0</v>
      </c>
      <c r="H312">
        <v>2017</v>
      </c>
      <c r="I312">
        <v>1.03</v>
      </c>
      <c r="J312">
        <v>0.9</v>
      </c>
      <c r="K312">
        <v>0</v>
      </c>
      <c r="L312">
        <v>0.9</v>
      </c>
      <c r="M312" s="3">
        <v>5.62E-2</v>
      </c>
      <c r="N312" s="2">
        <v>0</v>
      </c>
      <c r="O312" s="3">
        <v>5.62E-2</v>
      </c>
      <c r="P312" s="2">
        <v>0.874</v>
      </c>
      <c r="Q312" s="2">
        <v>0</v>
      </c>
      <c r="R312" s="2">
        <v>0.874</v>
      </c>
      <c r="S312" t="s">
        <v>892</v>
      </c>
      <c r="U312" t="s">
        <v>908</v>
      </c>
    </row>
    <row r="313" spans="1:21" x14ac:dyDescent="0.6">
      <c r="A313">
        <v>312</v>
      </c>
      <c r="B313" t="str">
        <f>"8466"</f>
        <v>8466</v>
      </c>
      <c r="C313" t="s">
        <v>394</v>
      </c>
      <c r="D313" s="1">
        <v>42923</v>
      </c>
      <c r="E313">
        <v>124.5</v>
      </c>
      <c r="F313">
        <v>-1.5</v>
      </c>
      <c r="G313" s="3">
        <v>-1.1900000000000001E-2</v>
      </c>
      <c r="H313">
        <v>2017</v>
      </c>
      <c r="I313">
        <v>9.5</v>
      </c>
      <c r="J313">
        <v>7</v>
      </c>
      <c r="K313">
        <v>0</v>
      </c>
      <c r="L313">
        <v>7</v>
      </c>
      <c r="M313" s="3">
        <v>5.62E-2</v>
      </c>
      <c r="N313" s="2">
        <v>0</v>
      </c>
      <c r="O313" s="3">
        <v>5.62E-2</v>
      </c>
      <c r="P313" s="3">
        <v>0.73699999999999999</v>
      </c>
      <c r="Q313" s="2">
        <v>0</v>
      </c>
      <c r="R313" s="3">
        <v>0.73699999999999999</v>
      </c>
    </row>
    <row r="314" spans="1:21" hidden="1" x14ac:dyDescent="0.6">
      <c r="A314">
        <v>313</v>
      </c>
      <c r="B314" t="str">
        <f>"2820"</f>
        <v>2820</v>
      </c>
      <c r="C314" t="s">
        <v>395</v>
      </c>
      <c r="D314" s="1">
        <v>42923</v>
      </c>
      <c r="E314">
        <v>14.95</v>
      </c>
      <c r="F314">
        <v>-0.1</v>
      </c>
      <c r="G314" s="3">
        <v>-6.6E-3</v>
      </c>
      <c r="H314">
        <v>2017</v>
      </c>
      <c r="I314">
        <v>1.22</v>
      </c>
      <c r="J314">
        <v>0.84</v>
      </c>
      <c r="K314">
        <v>0</v>
      </c>
      <c r="L314">
        <v>0.84</v>
      </c>
      <c r="M314" s="3">
        <v>5.62E-2</v>
      </c>
      <c r="N314" s="2">
        <v>0</v>
      </c>
      <c r="O314" s="3">
        <v>5.62E-2</v>
      </c>
      <c r="P314" s="3">
        <v>0.68799999999999994</v>
      </c>
      <c r="Q314" s="2">
        <v>0</v>
      </c>
      <c r="R314" s="3">
        <v>0.68799999999999994</v>
      </c>
      <c r="S314" t="s">
        <v>890</v>
      </c>
      <c r="U314" t="s">
        <v>933</v>
      </c>
    </row>
    <row r="315" spans="1:21" x14ac:dyDescent="0.6">
      <c r="A315">
        <v>314</v>
      </c>
      <c r="B315" t="str">
        <f>"2481"</f>
        <v>2481</v>
      </c>
      <c r="C315" t="s">
        <v>396</v>
      </c>
      <c r="D315" s="1">
        <v>42923</v>
      </c>
      <c r="E315">
        <v>17.8</v>
      </c>
      <c r="F315">
        <v>-0.1</v>
      </c>
      <c r="G315" s="3">
        <v>-5.5999999999999999E-3</v>
      </c>
      <c r="H315">
        <v>2017</v>
      </c>
      <c r="I315">
        <v>1.66</v>
      </c>
      <c r="J315">
        <v>1</v>
      </c>
      <c r="K315">
        <v>0</v>
      </c>
      <c r="L315">
        <v>1</v>
      </c>
      <c r="M315" s="2">
        <v>5.62E-2</v>
      </c>
      <c r="N315" s="2">
        <v>0</v>
      </c>
      <c r="O315" s="2">
        <v>5.62E-2</v>
      </c>
      <c r="P315" s="2">
        <v>0.60199999999999998</v>
      </c>
      <c r="Q315" s="2">
        <v>0</v>
      </c>
      <c r="R315" s="2">
        <v>0.60199999999999998</v>
      </c>
    </row>
    <row r="316" spans="1:21" x14ac:dyDescent="0.6">
      <c r="A316">
        <v>315</v>
      </c>
      <c r="B316" t="str">
        <f>"2886"</f>
        <v>2886</v>
      </c>
      <c r="C316" t="s">
        <v>397</v>
      </c>
      <c r="D316" s="1">
        <v>42923</v>
      </c>
      <c r="E316">
        <v>25.35</v>
      </c>
      <c r="F316">
        <v>-0.25</v>
      </c>
      <c r="G316" s="3">
        <v>-9.7999999999999997E-3</v>
      </c>
      <c r="H316">
        <v>2017</v>
      </c>
      <c r="I316">
        <v>1.65</v>
      </c>
      <c r="J316">
        <v>1.42</v>
      </c>
      <c r="K316">
        <v>0</v>
      </c>
      <c r="L316">
        <v>1.42</v>
      </c>
      <c r="M316" s="3">
        <v>5.6000000000000001E-2</v>
      </c>
      <c r="N316" s="2">
        <v>0</v>
      </c>
      <c r="O316" s="3">
        <v>5.6000000000000001E-2</v>
      </c>
      <c r="P316" s="3">
        <v>0.86099999999999999</v>
      </c>
      <c r="Q316" s="2">
        <v>0</v>
      </c>
      <c r="R316" s="3">
        <v>0.86099999999999999</v>
      </c>
    </row>
    <row r="317" spans="1:21" x14ac:dyDescent="0.6">
      <c r="A317">
        <v>316</v>
      </c>
      <c r="B317" t="str">
        <f>"1725"</f>
        <v>1725</v>
      </c>
      <c r="C317" t="s">
        <v>398</v>
      </c>
      <c r="D317" s="1">
        <v>42923</v>
      </c>
      <c r="E317">
        <v>14.3</v>
      </c>
      <c r="F317">
        <v>0</v>
      </c>
      <c r="G317" s="2">
        <v>0</v>
      </c>
      <c r="H317">
        <v>2017</v>
      </c>
      <c r="I317">
        <v>1.1499999999999999</v>
      </c>
      <c r="J317">
        <v>0.8</v>
      </c>
      <c r="K317">
        <v>0</v>
      </c>
      <c r="L317">
        <v>0.8</v>
      </c>
      <c r="M317" s="2">
        <v>5.5899999999999998E-2</v>
      </c>
      <c r="N317" s="2">
        <v>0</v>
      </c>
      <c r="O317" s="2">
        <v>5.5899999999999998E-2</v>
      </c>
      <c r="P317" s="2">
        <v>0.69599999999999995</v>
      </c>
      <c r="Q317" s="2">
        <v>0</v>
      </c>
      <c r="R317" s="2">
        <v>0.69599999999999995</v>
      </c>
    </row>
    <row r="318" spans="1:21" x14ac:dyDescent="0.6">
      <c r="A318">
        <v>317</v>
      </c>
      <c r="B318" t="str">
        <f>"2495"</f>
        <v>2495</v>
      </c>
      <c r="C318" t="s">
        <v>399</v>
      </c>
      <c r="D318" s="1">
        <v>42923</v>
      </c>
      <c r="E318">
        <v>16.100000000000001</v>
      </c>
      <c r="F318">
        <v>0</v>
      </c>
      <c r="G318" s="2">
        <v>0</v>
      </c>
      <c r="H318">
        <v>2017</v>
      </c>
      <c r="I318">
        <v>1.07</v>
      </c>
      <c r="J318">
        <v>0.9</v>
      </c>
      <c r="K318">
        <v>0</v>
      </c>
      <c r="L318">
        <v>0.9</v>
      </c>
      <c r="M318" s="3">
        <v>5.5899999999999998E-2</v>
      </c>
      <c r="N318" s="2">
        <v>0</v>
      </c>
      <c r="O318" s="3">
        <v>5.5899999999999998E-2</v>
      </c>
      <c r="P318" s="3">
        <v>0.84099999999999997</v>
      </c>
      <c r="Q318" s="2">
        <v>0</v>
      </c>
      <c r="R318" s="3">
        <v>0.84099999999999997</v>
      </c>
    </row>
    <row r="319" spans="1:21" hidden="1" x14ac:dyDescent="0.6">
      <c r="A319">
        <v>318</v>
      </c>
      <c r="B319" t="str">
        <f>"2385"</f>
        <v>2385</v>
      </c>
      <c r="C319" t="s">
        <v>400</v>
      </c>
      <c r="D319" s="1">
        <v>42923</v>
      </c>
      <c r="E319">
        <v>76.2</v>
      </c>
      <c r="F319">
        <v>0.3</v>
      </c>
      <c r="G319" s="3">
        <v>4.0000000000000001E-3</v>
      </c>
      <c r="H319">
        <v>2017</v>
      </c>
      <c r="I319">
        <v>5.24</v>
      </c>
      <c r="J319">
        <v>4.25</v>
      </c>
      <c r="K319">
        <v>0.05</v>
      </c>
      <c r="L319">
        <v>4.3</v>
      </c>
      <c r="M319" s="3">
        <v>5.5800000000000002E-2</v>
      </c>
      <c r="N319" s="3">
        <v>6.9999999999999999E-4</v>
      </c>
      <c r="O319" s="3">
        <v>5.6399999999999999E-2</v>
      </c>
      <c r="P319" s="3">
        <v>0.81100000000000005</v>
      </c>
      <c r="Q319" s="3">
        <v>9.4999999999999998E-3</v>
      </c>
      <c r="R319" s="3">
        <v>0.82099999999999995</v>
      </c>
      <c r="S319" t="s">
        <v>901</v>
      </c>
      <c r="U319" t="s">
        <v>922</v>
      </c>
    </row>
    <row r="320" spans="1:21" x14ac:dyDescent="0.6">
      <c r="A320">
        <v>319</v>
      </c>
      <c r="B320" t="str">
        <f>"2441"</f>
        <v>2441</v>
      </c>
      <c r="C320" t="s">
        <v>401</v>
      </c>
      <c r="D320" s="1">
        <v>42923</v>
      </c>
      <c r="E320">
        <v>49.35</v>
      </c>
      <c r="F320">
        <v>-0.15</v>
      </c>
      <c r="G320" s="3">
        <v>-3.0000000000000001E-3</v>
      </c>
      <c r="H320">
        <v>2017</v>
      </c>
      <c r="I320">
        <v>3.94</v>
      </c>
      <c r="J320">
        <v>2.75</v>
      </c>
      <c r="K320">
        <v>0</v>
      </c>
      <c r="L320">
        <v>2.75</v>
      </c>
      <c r="M320" s="3">
        <v>5.57E-2</v>
      </c>
      <c r="N320" s="2">
        <v>0</v>
      </c>
      <c r="O320" s="3">
        <v>5.57E-2</v>
      </c>
      <c r="P320" s="3">
        <v>0.69799999999999995</v>
      </c>
      <c r="Q320" s="2">
        <v>0</v>
      </c>
      <c r="R320" s="3">
        <v>0.69799999999999995</v>
      </c>
    </row>
    <row r="321" spans="1:21" x14ac:dyDescent="0.6">
      <c r="A321">
        <v>320</v>
      </c>
      <c r="B321" t="str">
        <f>"6158"</f>
        <v>6158</v>
      </c>
      <c r="C321" t="s">
        <v>402</v>
      </c>
      <c r="D321" s="1">
        <v>42923</v>
      </c>
      <c r="E321">
        <v>21.55</v>
      </c>
      <c r="F321">
        <v>-0.35</v>
      </c>
      <c r="G321" s="3">
        <v>-1.6E-2</v>
      </c>
      <c r="H321">
        <v>2017</v>
      </c>
      <c r="I321">
        <v>1.37</v>
      </c>
      <c r="J321">
        <v>1.2</v>
      </c>
      <c r="K321">
        <v>0</v>
      </c>
      <c r="L321">
        <v>1.2</v>
      </c>
      <c r="M321" s="3">
        <v>5.57E-2</v>
      </c>
      <c r="N321" s="2">
        <v>0</v>
      </c>
      <c r="O321" s="3">
        <v>5.57E-2</v>
      </c>
      <c r="P321" s="3">
        <v>0.876</v>
      </c>
      <c r="Q321" s="2">
        <v>0</v>
      </c>
      <c r="R321" s="3">
        <v>0.876</v>
      </c>
      <c r="S321" t="s">
        <v>922</v>
      </c>
      <c r="U321" t="s">
        <v>929</v>
      </c>
    </row>
    <row r="322" spans="1:21" x14ac:dyDescent="0.6">
      <c r="A322">
        <v>321</v>
      </c>
      <c r="B322" t="str">
        <f>"8383"</f>
        <v>8383</v>
      </c>
      <c r="C322" t="s">
        <v>403</v>
      </c>
      <c r="D322" s="1">
        <v>42923</v>
      </c>
      <c r="E322">
        <v>48.55</v>
      </c>
      <c r="F322">
        <v>-0.15</v>
      </c>
      <c r="G322" s="3">
        <v>-3.0999999999999999E-3</v>
      </c>
      <c r="H322">
        <v>2017</v>
      </c>
      <c r="I322">
        <v>4.51</v>
      </c>
      <c r="J322">
        <v>2.7</v>
      </c>
      <c r="K322">
        <v>0</v>
      </c>
      <c r="L322">
        <v>2.7</v>
      </c>
      <c r="M322" s="3">
        <v>5.5599999999999997E-2</v>
      </c>
      <c r="N322" s="2">
        <v>0</v>
      </c>
      <c r="O322" s="3">
        <v>5.5599999999999997E-2</v>
      </c>
      <c r="P322" s="3">
        <v>0.59899999999999998</v>
      </c>
      <c r="Q322" s="2">
        <v>0</v>
      </c>
      <c r="R322" s="3">
        <v>0.59899999999999998</v>
      </c>
    </row>
    <row r="323" spans="1:21" hidden="1" x14ac:dyDescent="0.6">
      <c r="A323">
        <v>322</v>
      </c>
      <c r="B323" t="str">
        <f>"1906"</f>
        <v>1906</v>
      </c>
      <c r="C323" t="s">
        <v>404</v>
      </c>
      <c r="D323" s="1">
        <v>42923</v>
      </c>
      <c r="E323">
        <v>27</v>
      </c>
      <c r="F323">
        <v>1.1000000000000001</v>
      </c>
      <c r="G323" s="3">
        <v>4.2500000000000003E-2</v>
      </c>
      <c r="H323">
        <v>2017</v>
      </c>
      <c r="I323">
        <v>6.56</v>
      </c>
      <c r="J323">
        <v>1.5</v>
      </c>
      <c r="K323">
        <v>0</v>
      </c>
      <c r="L323">
        <v>1.5</v>
      </c>
      <c r="M323" s="2">
        <v>5.5599999999999997E-2</v>
      </c>
      <c r="N323" s="2">
        <v>0</v>
      </c>
      <c r="O323" s="2">
        <v>5.5599999999999997E-2</v>
      </c>
      <c r="P323" s="2">
        <v>0.22900000000000001</v>
      </c>
      <c r="Q323" s="2">
        <v>0</v>
      </c>
      <c r="R323" s="2">
        <v>0.22900000000000001</v>
      </c>
      <c r="S323" t="s">
        <v>888</v>
      </c>
      <c r="U323" t="s">
        <v>899</v>
      </c>
    </row>
    <row r="324" spans="1:21" x14ac:dyDescent="0.6">
      <c r="A324">
        <v>323</v>
      </c>
      <c r="B324" t="str">
        <f>"1532"</f>
        <v>1532</v>
      </c>
      <c r="C324" t="s">
        <v>405</v>
      </c>
      <c r="D324" s="1">
        <v>42923</v>
      </c>
      <c r="E324">
        <v>30.65</v>
      </c>
      <c r="F324">
        <v>0.15</v>
      </c>
      <c r="G324" s="3">
        <v>4.8999999999999998E-3</v>
      </c>
      <c r="H324">
        <v>2017</v>
      </c>
      <c r="I324">
        <v>2.6</v>
      </c>
      <c r="J324">
        <v>1.7</v>
      </c>
      <c r="K324">
        <v>0</v>
      </c>
      <c r="L324">
        <v>1.7</v>
      </c>
      <c r="M324" s="3">
        <v>5.5500000000000001E-2</v>
      </c>
      <c r="N324" s="3">
        <v>0</v>
      </c>
      <c r="O324" s="3">
        <v>5.5500000000000001E-2</v>
      </c>
      <c r="P324" s="3">
        <v>0.65400000000000003</v>
      </c>
      <c r="Q324" s="3">
        <v>0</v>
      </c>
      <c r="R324" s="3">
        <v>0.65400000000000003</v>
      </c>
      <c r="S324" t="s">
        <v>926</v>
      </c>
      <c r="U324" t="s">
        <v>904</v>
      </c>
    </row>
    <row r="325" spans="1:21" hidden="1" x14ac:dyDescent="0.6">
      <c r="A325">
        <v>324</v>
      </c>
      <c r="B325" t="str">
        <f>"2461"</f>
        <v>2461</v>
      </c>
      <c r="C325" t="s">
        <v>406</v>
      </c>
      <c r="D325" s="1">
        <v>42923</v>
      </c>
      <c r="E325">
        <v>14.7</v>
      </c>
      <c r="F325">
        <v>-0.15</v>
      </c>
      <c r="G325" s="3">
        <v>-1.01E-2</v>
      </c>
      <c r="H325">
        <v>2017</v>
      </c>
      <c r="I325">
        <v>1.63</v>
      </c>
      <c r="J325">
        <v>0.82</v>
      </c>
      <c r="K325">
        <v>0</v>
      </c>
      <c r="L325">
        <v>0.82</v>
      </c>
      <c r="M325" s="3">
        <v>5.5399999999999998E-2</v>
      </c>
      <c r="N325" s="2">
        <v>0</v>
      </c>
      <c r="O325" s="3">
        <v>5.5399999999999998E-2</v>
      </c>
      <c r="P325" s="3">
        <v>0.503</v>
      </c>
      <c r="Q325" s="2">
        <v>0</v>
      </c>
      <c r="R325" s="3">
        <v>0.503</v>
      </c>
      <c r="S325" t="s">
        <v>895</v>
      </c>
      <c r="U325" t="s">
        <v>933</v>
      </c>
    </row>
    <row r="326" spans="1:21" x14ac:dyDescent="0.6">
      <c r="A326">
        <v>325</v>
      </c>
      <c r="B326" t="str">
        <f>"6218"</f>
        <v>6218</v>
      </c>
      <c r="C326" t="s">
        <v>407</v>
      </c>
      <c r="D326" s="1">
        <v>42923</v>
      </c>
      <c r="E326">
        <v>21.65</v>
      </c>
      <c r="F326">
        <v>-0.1</v>
      </c>
      <c r="G326" s="3">
        <v>-4.5999999999999999E-3</v>
      </c>
      <c r="H326">
        <v>2017</v>
      </c>
      <c r="I326">
        <v>1.28</v>
      </c>
      <c r="J326">
        <v>1.2</v>
      </c>
      <c r="K326">
        <v>0</v>
      </c>
      <c r="L326">
        <v>1.2</v>
      </c>
      <c r="M326" s="3">
        <v>5.5399999999999998E-2</v>
      </c>
      <c r="N326" s="2">
        <v>0</v>
      </c>
      <c r="O326" s="3">
        <v>5.5399999999999998E-2</v>
      </c>
      <c r="P326" s="3">
        <v>0.93799999999999994</v>
      </c>
      <c r="Q326" s="2">
        <v>0</v>
      </c>
      <c r="R326" s="3">
        <v>0.93799999999999994</v>
      </c>
      <c r="S326" t="s">
        <v>899</v>
      </c>
      <c r="U326" t="s">
        <v>900</v>
      </c>
    </row>
    <row r="327" spans="1:21" hidden="1" x14ac:dyDescent="0.6">
      <c r="A327">
        <v>326</v>
      </c>
      <c r="B327" t="str">
        <f>"5347"</f>
        <v>5347</v>
      </c>
      <c r="C327" t="s">
        <v>408</v>
      </c>
      <c r="D327" s="1">
        <v>42923</v>
      </c>
      <c r="E327">
        <v>54.2</v>
      </c>
      <c r="F327">
        <v>-1.4</v>
      </c>
      <c r="G327" s="3">
        <v>-2.52E-2</v>
      </c>
      <c r="H327">
        <v>2017</v>
      </c>
      <c r="I327">
        <v>3.38</v>
      </c>
      <c r="J327">
        <v>3</v>
      </c>
      <c r="K327">
        <v>0</v>
      </c>
      <c r="L327">
        <v>3</v>
      </c>
      <c r="M327" s="3">
        <v>5.5399999999999998E-2</v>
      </c>
      <c r="N327" s="2">
        <v>0</v>
      </c>
      <c r="O327" s="3">
        <v>5.5399999999999998E-2</v>
      </c>
      <c r="P327" s="3">
        <v>0.88800000000000001</v>
      </c>
      <c r="Q327" s="2">
        <v>0</v>
      </c>
      <c r="R327" s="3">
        <v>0.88800000000000001</v>
      </c>
      <c r="S327" t="s">
        <v>895</v>
      </c>
      <c r="U327" t="s">
        <v>893</v>
      </c>
    </row>
    <row r="328" spans="1:21" x14ac:dyDescent="0.6">
      <c r="A328">
        <v>327</v>
      </c>
      <c r="B328" t="str">
        <f>"3570"</f>
        <v>3570</v>
      </c>
      <c r="C328" t="s">
        <v>409</v>
      </c>
      <c r="D328" s="1">
        <v>42923</v>
      </c>
      <c r="E328">
        <v>54.3</v>
      </c>
      <c r="F328">
        <v>-0.8</v>
      </c>
      <c r="G328" s="3">
        <v>-1.4500000000000001E-2</v>
      </c>
      <c r="H328">
        <v>2017</v>
      </c>
      <c r="I328">
        <v>4.04</v>
      </c>
      <c r="J328">
        <v>3</v>
      </c>
      <c r="K328">
        <v>0</v>
      </c>
      <c r="L328">
        <v>3</v>
      </c>
      <c r="M328" s="3">
        <v>5.5199999999999999E-2</v>
      </c>
      <c r="N328" s="2">
        <v>0</v>
      </c>
      <c r="O328" s="3">
        <v>5.5199999999999999E-2</v>
      </c>
      <c r="P328" s="2">
        <v>0.74299999999999999</v>
      </c>
      <c r="Q328" s="2">
        <v>0</v>
      </c>
      <c r="R328" s="2">
        <v>0.74299999999999999</v>
      </c>
    </row>
    <row r="329" spans="1:21" x14ac:dyDescent="0.6">
      <c r="A329">
        <v>328</v>
      </c>
      <c r="B329" t="str">
        <f>"8415"</f>
        <v>8415</v>
      </c>
      <c r="C329" t="s">
        <v>410</v>
      </c>
      <c r="D329" s="1">
        <v>42923</v>
      </c>
      <c r="E329">
        <v>18.100000000000001</v>
      </c>
      <c r="F329">
        <v>0.05</v>
      </c>
      <c r="G329" s="3">
        <v>2.8E-3</v>
      </c>
      <c r="H329">
        <v>2017</v>
      </c>
      <c r="I329">
        <v>0.56000000000000005</v>
      </c>
      <c r="J329">
        <v>1</v>
      </c>
      <c r="K329">
        <v>0</v>
      </c>
      <c r="L329">
        <v>1</v>
      </c>
      <c r="M329" s="2">
        <v>5.5199999999999999E-2</v>
      </c>
      <c r="N329" s="2">
        <v>0</v>
      </c>
      <c r="O329" s="2">
        <v>5.5199999999999999E-2</v>
      </c>
      <c r="P329" s="2">
        <v>1.79</v>
      </c>
      <c r="Q329" s="2">
        <v>0</v>
      </c>
      <c r="R329" s="2">
        <v>1.79</v>
      </c>
      <c r="S329" t="s">
        <v>917</v>
      </c>
      <c r="U329" t="s">
        <v>915</v>
      </c>
    </row>
    <row r="330" spans="1:21" x14ac:dyDescent="0.6">
      <c r="A330">
        <v>329</v>
      </c>
      <c r="B330" t="str">
        <f>"4933"</f>
        <v>4933</v>
      </c>
      <c r="C330" t="s">
        <v>411</v>
      </c>
      <c r="D330" s="1">
        <v>42923</v>
      </c>
      <c r="E330">
        <v>24.45</v>
      </c>
      <c r="F330">
        <v>-0.3</v>
      </c>
      <c r="G330" s="3">
        <v>-1.21E-2</v>
      </c>
      <c r="H330">
        <v>2017</v>
      </c>
      <c r="I330">
        <v>2.21</v>
      </c>
      <c r="J330">
        <v>1.35</v>
      </c>
      <c r="K330">
        <v>0</v>
      </c>
      <c r="L330">
        <v>1.35</v>
      </c>
      <c r="M330" s="3">
        <v>5.5199999999999999E-2</v>
      </c>
      <c r="N330" s="2">
        <v>0</v>
      </c>
      <c r="O330" s="3">
        <v>5.5199999999999999E-2</v>
      </c>
      <c r="P330" s="3">
        <v>0.61099999999999999</v>
      </c>
      <c r="Q330" s="2">
        <v>0</v>
      </c>
      <c r="R330" s="3">
        <v>0.61099999999999999</v>
      </c>
    </row>
    <row r="331" spans="1:21" hidden="1" x14ac:dyDescent="0.6">
      <c r="A331">
        <v>330</v>
      </c>
      <c r="B331" t="str">
        <f>"8109"</f>
        <v>8109</v>
      </c>
      <c r="C331" t="s">
        <v>412</v>
      </c>
      <c r="D331" s="1">
        <v>42923</v>
      </c>
      <c r="E331">
        <v>63.4</v>
      </c>
      <c r="F331">
        <v>-0.2</v>
      </c>
      <c r="G331" s="3">
        <v>-3.0999999999999999E-3</v>
      </c>
      <c r="H331">
        <v>2017</v>
      </c>
      <c r="I331">
        <v>5.38</v>
      </c>
      <c r="J331">
        <v>3.5</v>
      </c>
      <c r="K331">
        <v>1</v>
      </c>
      <c r="L331">
        <v>4.5</v>
      </c>
      <c r="M331" s="3">
        <v>5.5199999999999999E-2</v>
      </c>
      <c r="N331" s="2">
        <v>1.5800000000000002E-2</v>
      </c>
      <c r="O331" s="3">
        <v>7.0999999999999994E-2</v>
      </c>
      <c r="P331" s="3">
        <v>0.65100000000000002</v>
      </c>
      <c r="Q331" s="2">
        <v>0.186</v>
      </c>
      <c r="R331" s="3">
        <v>0.83599999999999997</v>
      </c>
      <c r="S331" t="s">
        <v>918</v>
      </c>
      <c r="T331" t="s">
        <v>918</v>
      </c>
      <c r="U331" t="s">
        <v>898</v>
      </c>
    </row>
    <row r="332" spans="1:21" x14ac:dyDescent="0.6">
      <c r="A332">
        <v>331</v>
      </c>
      <c r="B332" t="str">
        <f>"6116"</f>
        <v>6116</v>
      </c>
      <c r="C332" t="s">
        <v>413</v>
      </c>
      <c r="D332" s="1">
        <v>42923</v>
      </c>
      <c r="E332">
        <v>9.08</v>
      </c>
      <c r="F332">
        <v>-0.04</v>
      </c>
      <c r="G332" s="3">
        <v>-4.4000000000000003E-3</v>
      </c>
      <c r="H332">
        <v>2017</v>
      </c>
      <c r="I332">
        <v>1.25</v>
      </c>
      <c r="J332">
        <v>0.5</v>
      </c>
      <c r="K332">
        <v>0</v>
      </c>
      <c r="L332">
        <v>0.5</v>
      </c>
      <c r="M332" s="2">
        <v>5.5100000000000003E-2</v>
      </c>
      <c r="N332" s="2">
        <v>0</v>
      </c>
      <c r="O332" s="2">
        <v>5.5100000000000003E-2</v>
      </c>
      <c r="P332" s="2">
        <v>0.4</v>
      </c>
      <c r="Q332" s="2">
        <v>0</v>
      </c>
      <c r="R332" s="2">
        <v>0.4</v>
      </c>
    </row>
    <row r="333" spans="1:21" x14ac:dyDescent="0.6">
      <c r="A333">
        <v>332</v>
      </c>
      <c r="B333" t="str">
        <f>"4909"</f>
        <v>4909</v>
      </c>
      <c r="C333" t="s">
        <v>414</v>
      </c>
      <c r="D333" s="1">
        <v>42923</v>
      </c>
      <c r="E333">
        <v>21.8</v>
      </c>
      <c r="F333">
        <v>-0.15</v>
      </c>
      <c r="G333" s="3">
        <v>-6.7999999999999996E-3</v>
      </c>
      <c r="H333">
        <v>2017</v>
      </c>
      <c r="I333">
        <v>2.11</v>
      </c>
      <c r="J333">
        <v>1.2</v>
      </c>
      <c r="K333">
        <v>0</v>
      </c>
      <c r="L333">
        <v>1.2</v>
      </c>
      <c r="M333" s="3">
        <v>5.5E-2</v>
      </c>
      <c r="N333" s="2">
        <v>0</v>
      </c>
      <c r="O333" s="3">
        <v>5.5E-2</v>
      </c>
      <c r="P333" s="3">
        <v>0.56899999999999995</v>
      </c>
      <c r="Q333" s="2">
        <v>0</v>
      </c>
      <c r="R333" s="3">
        <v>0.56899999999999995</v>
      </c>
    </row>
    <row r="334" spans="1:21" x14ac:dyDescent="0.6">
      <c r="A334">
        <v>333</v>
      </c>
      <c r="B334" t="str">
        <f>"2539"</f>
        <v>2539</v>
      </c>
      <c r="C334" t="s">
        <v>415</v>
      </c>
      <c r="D334" s="1">
        <v>42923</v>
      </c>
      <c r="E334">
        <v>29.15</v>
      </c>
      <c r="F334">
        <v>-0.05</v>
      </c>
      <c r="G334" s="3">
        <v>-1.6999999999999999E-3</v>
      </c>
      <c r="H334">
        <v>2017</v>
      </c>
      <c r="I334">
        <v>2.84</v>
      </c>
      <c r="J334">
        <v>1.6</v>
      </c>
      <c r="K334">
        <v>1</v>
      </c>
      <c r="L334">
        <v>2.6</v>
      </c>
      <c r="M334" s="3">
        <v>5.4899999999999997E-2</v>
      </c>
      <c r="N334" s="3">
        <v>3.4299999999999997E-2</v>
      </c>
      <c r="O334" s="3">
        <v>8.9200000000000002E-2</v>
      </c>
      <c r="P334" s="3">
        <v>0.56299999999999994</v>
      </c>
      <c r="Q334" s="2">
        <v>0.35199999999999998</v>
      </c>
      <c r="R334" s="2">
        <v>0.91600000000000004</v>
      </c>
    </row>
    <row r="335" spans="1:21" x14ac:dyDescent="0.6">
      <c r="A335">
        <v>334</v>
      </c>
      <c r="B335" t="str">
        <f>"3537"</f>
        <v>3537</v>
      </c>
      <c r="C335" t="s">
        <v>416</v>
      </c>
      <c r="D335" s="1">
        <v>42923</v>
      </c>
      <c r="E335">
        <v>21.9</v>
      </c>
      <c r="F335">
        <v>0</v>
      </c>
      <c r="G335" s="3">
        <v>0</v>
      </c>
      <c r="H335">
        <v>2017</v>
      </c>
      <c r="I335">
        <v>1.26</v>
      </c>
      <c r="J335">
        <v>1.2</v>
      </c>
      <c r="K335">
        <v>0</v>
      </c>
      <c r="L335">
        <v>1.2</v>
      </c>
      <c r="M335" s="3">
        <v>5.4800000000000001E-2</v>
      </c>
      <c r="N335" s="3">
        <v>0</v>
      </c>
      <c r="O335" s="3">
        <v>5.4800000000000001E-2</v>
      </c>
      <c r="P335" s="3">
        <v>0.95199999999999996</v>
      </c>
      <c r="Q335" s="3">
        <v>0</v>
      </c>
      <c r="R335" s="3">
        <v>0.95199999999999996</v>
      </c>
      <c r="S335" t="s">
        <v>902</v>
      </c>
      <c r="U335" t="s">
        <v>896</v>
      </c>
    </row>
    <row r="336" spans="1:21" x14ac:dyDescent="0.6">
      <c r="A336">
        <v>335</v>
      </c>
      <c r="B336" t="str">
        <f>"6205"</f>
        <v>6205</v>
      </c>
      <c r="C336" t="s">
        <v>417</v>
      </c>
      <c r="D336" s="1">
        <v>42923</v>
      </c>
      <c r="E336">
        <v>36.5</v>
      </c>
      <c r="F336">
        <v>-0.75</v>
      </c>
      <c r="G336" s="3">
        <v>-2.01E-2</v>
      </c>
      <c r="H336">
        <v>2017</v>
      </c>
      <c r="I336">
        <v>3.34</v>
      </c>
      <c r="J336">
        <v>2</v>
      </c>
      <c r="K336">
        <v>0</v>
      </c>
      <c r="L336">
        <v>2</v>
      </c>
      <c r="M336" s="3">
        <v>5.4800000000000001E-2</v>
      </c>
      <c r="N336" s="2">
        <v>0</v>
      </c>
      <c r="O336" s="3">
        <v>5.4800000000000001E-2</v>
      </c>
      <c r="P336" s="3">
        <v>0.59899999999999998</v>
      </c>
      <c r="Q336" s="2">
        <v>0</v>
      </c>
      <c r="R336" s="3">
        <v>0.59899999999999998</v>
      </c>
    </row>
    <row r="337" spans="1:21" x14ac:dyDescent="0.6">
      <c r="A337">
        <v>336</v>
      </c>
      <c r="B337" t="str">
        <f>"5434"</f>
        <v>5434</v>
      </c>
      <c r="C337" t="s">
        <v>418</v>
      </c>
      <c r="D337" s="1">
        <v>42923</v>
      </c>
      <c r="E337">
        <v>91.4</v>
      </c>
      <c r="F337">
        <v>-0.4</v>
      </c>
      <c r="G337" s="3">
        <v>-4.4000000000000003E-3</v>
      </c>
      <c r="H337">
        <v>2017</v>
      </c>
      <c r="I337">
        <v>7.25</v>
      </c>
      <c r="J337">
        <v>5</v>
      </c>
      <c r="K337">
        <v>0</v>
      </c>
      <c r="L337">
        <v>5</v>
      </c>
      <c r="M337" s="3">
        <v>5.4699999999999999E-2</v>
      </c>
      <c r="N337" s="3">
        <v>0</v>
      </c>
      <c r="O337" s="3">
        <v>5.4699999999999999E-2</v>
      </c>
      <c r="P337" s="3">
        <v>0.69</v>
      </c>
      <c r="Q337" s="3">
        <v>0</v>
      </c>
      <c r="R337" s="2">
        <v>0.69</v>
      </c>
    </row>
    <row r="338" spans="1:21" hidden="1" x14ac:dyDescent="0.6">
      <c r="A338">
        <v>337</v>
      </c>
      <c r="B338" t="str">
        <f>"1788"</f>
        <v>1788</v>
      </c>
      <c r="C338" t="s">
        <v>419</v>
      </c>
      <c r="D338" s="1">
        <v>42923</v>
      </c>
      <c r="E338">
        <v>91.5</v>
      </c>
      <c r="F338">
        <v>-0.5</v>
      </c>
      <c r="G338" s="3">
        <v>-5.4000000000000003E-3</v>
      </c>
      <c r="H338">
        <v>2017</v>
      </c>
      <c r="I338">
        <v>5.93</v>
      </c>
      <c r="J338">
        <v>5</v>
      </c>
      <c r="K338">
        <v>0</v>
      </c>
      <c r="L338">
        <v>5</v>
      </c>
      <c r="M338" s="3">
        <v>5.4600000000000003E-2</v>
      </c>
      <c r="N338" s="2">
        <v>0</v>
      </c>
      <c r="O338" s="3">
        <v>5.4600000000000003E-2</v>
      </c>
      <c r="P338" s="3">
        <v>0.84299999999999997</v>
      </c>
      <c r="Q338" s="2">
        <v>0</v>
      </c>
      <c r="R338" s="3">
        <v>0.84299999999999997</v>
      </c>
      <c r="S338" t="s">
        <v>901</v>
      </c>
      <c r="U338" t="s">
        <v>933</v>
      </c>
    </row>
    <row r="339" spans="1:21" hidden="1" x14ac:dyDescent="0.6">
      <c r="A339">
        <v>338</v>
      </c>
      <c r="B339" t="str">
        <f>"8481"</f>
        <v>8481</v>
      </c>
      <c r="C339" t="s">
        <v>420</v>
      </c>
      <c r="D339" s="1">
        <v>42923</v>
      </c>
      <c r="E339">
        <v>40.299999999999997</v>
      </c>
      <c r="F339">
        <v>-0.2</v>
      </c>
      <c r="G339" s="3">
        <v>-4.8999999999999998E-3</v>
      </c>
      <c r="H339">
        <v>2017</v>
      </c>
      <c r="I339">
        <v>2.89</v>
      </c>
      <c r="J339">
        <v>2.2000000000000002</v>
      </c>
      <c r="K339">
        <v>0</v>
      </c>
      <c r="L339">
        <v>2.2000000000000002</v>
      </c>
      <c r="M339" s="3">
        <v>5.4600000000000003E-2</v>
      </c>
      <c r="N339" s="2">
        <v>0</v>
      </c>
      <c r="O339" s="3">
        <v>5.4600000000000003E-2</v>
      </c>
      <c r="P339" s="3">
        <v>0.76100000000000001</v>
      </c>
      <c r="Q339" s="2">
        <v>0</v>
      </c>
      <c r="R339" s="3">
        <v>0.76100000000000001</v>
      </c>
      <c r="S339" t="s">
        <v>894</v>
      </c>
      <c r="U339" t="s">
        <v>919</v>
      </c>
    </row>
    <row r="340" spans="1:21" x14ac:dyDescent="0.6">
      <c r="A340">
        <v>339</v>
      </c>
      <c r="B340" t="str">
        <f>"6212"</f>
        <v>6212</v>
      </c>
      <c r="C340" t="s">
        <v>421</v>
      </c>
      <c r="D340" s="1">
        <v>42923</v>
      </c>
      <c r="E340">
        <v>27.5</v>
      </c>
      <c r="F340">
        <v>-0.05</v>
      </c>
      <c r="G340" s="3">
        <v>-1.8E-3</v>
      </c>
      <c r="H340">
        <v>2017</v>
      </c>
      <c r="I340">
        <v>3.31</v>
      </c>
      <c r="J340">
        <v>1.5</v>
      </c>
      <c r="K340">
        <v>0</v>
      </c>
      <c r="L340">
        <v>1.5</v>
      </c>
      <c r="M340" s="2">
        <v>5.45E-2</v>
      </c>
      <c r="N340" s="2">
        <v>0</v>
      </c>
      <c r="O340" s="2">
        <v>5.45E-2</v>
      </c>
      <c r="P340" s="2">
        <v>0.45300000000000001</v>
      </c>
      <c r="Q340" s="2">
        <v>0</v>
      </c>
      <c r="R340" s="2">
        <v>0.45300000000000001</v>
      </c>
      <c r="S340" t="s">
        <v>897</v>
      </c>
      <c r="U340" t="s">
        <v>898</v>
      </c>
    </row>
    <row r="341" spans="1:21" hidden="1" x14ac:dyDescent="0.6">
      <c r="A341">
        <v>340</v>
      </c>
      <c r="B341" t="str">
        <f>"2359"</f>
        <v>2359</v>
      </c>
      <c r="C341" t="s">
        <v>422</v>
      </c>
      <c r="D341" s="1">
        <v>42923</v>
      </c>
      <c r="E341">
        <v>18.399999999999999</v>
      </c>
      <c r="F341">
        <v>0.2</v>
      </c>
      <c r="G341" s="3">
        <v>1.0999999999999999E-2</v>
      </c>
      <c r="H341">
        <v>2017</v>
      </c>
      <c r="I341">
        <v>0.95</v>
      </c>
      <c r="J341">
        <v>1</v>
      </c>
      <c r="K341">
        <v>0</v>
      </c>
      <c r="L341">
        <v>1</v>
      </c>
      <c r="M341" s="2">
        <v>5.4300000000000001E-2</v>
      </c>
      <c r="N341" s="2">
        <v>0</v>
      </c>
      <c r="O341" s="2">
        <v>5.4300000000000001E-2</v>
      </c>
      <c r="P341" s="2">
        <v>1.05</v>
      </c>
      <c r="Q341" s="2">
        <v>0</v>
      </c>
      <c r="R341" s="2">
        <v>1.05</v>
      </c>
      <c r="S341" t="s">
        <v>947</v>
      </c>
      <c r="U341" t="s">
        <v>918</v>
      </c>
    </row>
    <row r="342" spans="1:21" x14ac:dyDescent="0.6">
      <c r="A342">
        <v>341</v>
      </c>
      <c r="B342" t="str">
        <f>"4804"</f>
        <v>4804</v>
      </c>
      <c r="C342" t="s">
        <v>423</v>
      </c>
      <c r="D342" s="1">
        <v>42923</v>
      </c>
      <c r="E342">
        <v>55.2</v>
      </c>
      <c r="F342">
        <v>-0.2</v>
      </c>
      <c r="G342" s="3">
        <v>-3.5999999999999999E-3</v>
      </c>
      <c r="H342">
        <v>2017</v>
      </c>
      <c r="I342">
        <v>4.49</v>
      </c>
      <c r="J342">
        <v>3</v>
      </c>
      <c r="K342">
        <v>0</v>
      </c>
      <c r="L342">
        <v>3</v>
      </c>
      <c r="M342" s="3">
        <v>5.4300000000000001E-2</v>
      </c>
      <c r="N342" s="2">
        <v>0</v>
      </c>
      <c r="O342" s="3">
        <v>5.4300000000000001E-2</v>
      </c>
      <c r="P342" s="3">
        <v>0.66800000000000004</v>
      </c>
      <c r="Q342" s="2">
        <v>0</v>
      </c>
      <c r="R342" s="3">
        <v>0.66800000000000004</v>
      </c>
      <c r="S342" t="s">
        <v>919</v>
      </c>
      <c r="U342" t="s">
        <v>928</v>
      </c>
    </row>
    <row r="343" spans="1:21" x14ac:dyDescent="0.6">
      <c r="A343">
        <v>342</v>
      </c>
      <c r="B343" t="str">
        <f>"1605"</f>
        <v>1605</v>
      </c>
      <c r="C343" t="s">
        <v>424</v>
      </c>
      <c r="D343" s="1">
        <v>42923</v>
      </c>
      <c r="E343">
        <v>12.9</v>
      </c>
      <c r="F343">
        <v>-0.35</v>
      </c>
      <c r="G343" s="3">
        <v>-2.64E-2</v>
      </c>
      <c r="H343">
        <v>2017</v>
      </c>
      <c r="I343">
        <v>1.33</v>
      </c>
      <c r="J343">
        <v>0.7</v>
      </c>
      <c r="K343">
        <v>0</v>
      </c>
      <c r="L343">
        <v>0.7</v>
      </c>
      <c r="M343" s="2">
        <v>5.4300000000000001E-2</v>
      </c>
      <c r="N343" s="2">
        <v>0</v>
      </c>
      <c r="O343" s="2">
        <v>5.4300000000000001E-2</v>
      </c>
      <c r="P343" s="2">
        <v>0.52600000000000002</v>
      </c>
      <c r="Q343" s="2">
        <v>0</v>
      </c>
      <c r="R343" s="2">
        <v>0.52600000000000002</v>
      </c>
      <c r="S343" t="s">
        <v>897</v>
      </c>
      <c r="U343" t="s">
        <v>932</v>
      </c>
    </row>
    <row r="344" spans="1:21" x14ac:dyDescent="0.6">
      <c r="A344">
        <v>343</v>
      </c>
      <c r="B344" t="str">
        <f>"9905"</f>
        <v>9905</v>
      </c>
      <c r="C344" t="s">
        <v>425</v>
      </c>
      <c r="D344" s="1">
        <v>42923</v>
      </c>
      <c r="E344">
        <v>27.65</v>
      </c>
      <c r="F344">
        <v>-0.1</v>
      </c>
      <c r="G344" s="3">
        <v>-3.5999999999999999E-3</v>
      </c>
      <c r="H344">
        <v>2017</v>
      </c>
      <c r="I344">
        <v>1.93</v>
      </c>
      <c r="J344">
        <v>1.5</v>
      </c>
      <c r="K344">
        <v>0</v>
      </c>
      <c r="L344">
        <v>1.5</v>
      </c>
      <c r="M344" s="3">
        <v>5.4199999999999998E-2</v>
      </c>
      <c r="N344" s="3">
        <v>0</v>
      </c>
      <c r="O344" s="3">
        <v>5.4199999999999998E-2</v>
      </c>
      <c r="P344" s="3">
        <v>0.77700000000000002</v>
      </c>
      <c r="Q344" s="3">
        <v>0</v>
      </c>
      <c r="R344" s="3">
        <v>0.77700000000000002</v>
      </c>
    </row>
    <row r="345" spans="1:21" hidden="1" x14ac:dyDescent="0.6">
      <c r="A345">
        <v>344</v>
      </c>
      <c r="B345" t="str">
        <f>"1232"</f>
        <v>1232</v>
      </c>
      <c r="C345" t="s">
        <v>426</v>
      </c>
      <c r="D345" s="1">
        <v>42923</v>
      </c>
      <c r="E345">
        <v>92.2</v>
      </c>
      <c r="F345">
        <v>-0.1</v>
      </c>
      <c r="G345" s="3">
        <v>-1.1000000000000001E-3</v>
      </c>
      <c r="H345">
        <v>2017</v>
      </c>
      <c r="I345">
        <v>5.58</v>
      </c>
      <c r="J345">
        <v>5</v>
      </c>
      <c r="K345">
        <v>0</v>
      </c>
      <c r="L345">
        <v>5</v>
      </c>
      <c r="M345" s="3">
        <v>5.4199999999999998E-2</v>
      </c>
      <c r="N345" s="2">
        <v>0</v>
      </c>
      <c r="O345" s="3">
        <v>5.4199999999999998E-2</v>
      </c>
      <c r="P345" s="2">
        <v>0.89600000000000002</v>
      </c>
      <c r="Q345" s="2">
        <v>0</v>
      </c>
      <c r="R345" s="2">
        <v>0.89600000000000002</v>
      </c>
      <c r="S345" t="s">
        <v>916</v>
      </c>
      <c r="U345" t="s">
        <v>893</v>
      </c>
    </row>
    <row r="346" spans="1:21" x14ac:dyDescent="0.6">
      <c r="A346">
        <v>345</v>
      </c>
      <c r="B346" t="str">
        <f>"5706"</f>
        <v>5706</v>
      </c>
      <c r="C346" t="s">
        <v>427</v>
      </c>
      <c r="D346" s="1">
        <v>42923</v>
      </c>
      <c r="E346">
        <v>36.950000000000003</v>
      </c>
      <c r="F346">
        <v>0.35</v>
      </c>
      <c r="G346" s="3">
        <v>9.5999999999999992E-3</v>
      </c>
      <c r="H346">
        <v>2017</v>
      </c>
      <c r="I346">
        <v>2.76</v>
      </c>
      <c r="J346">
        <v>2</v>
      </c>
      <c r="K346">
        <v>0</v>
      </c>
      <c r="L346">
        <v>2</v>
      </c>
      <c r="M346" s="3">
        <v>5.4100000000000002E-2</v>
      </c>
      <c r="N346" s="2">
        <v>0</v>
      </c>
      <c r="O346" s="3">
        <v>5.4100000000000002E-2</v>
      </c>
      <c r="P346" s="3">
        <v>0.72499999999999998</v>
      </c>
      <c r="Q346" s="2">
        <v>0</v>
      </c>
      <c r="R346" s="3">
        <v>0.72499999999999998</v>
      </c>
      <c r="S346" t="s">
        <v>897</v>
      </c>
      <c r="U346" t="s">
        <v>904</v>
      </c>
    </row>
    <row r="347" spans="1:21" x14ac:dyDescent="0.6">
      <c r="A347">
        <v>346</v>
      </c>
      <c r="B347" t="str">
        <f>"6138"</f>
        <v>6138</v>
      </c>
      <c r="C347" t="s">
        <v>428</v>
      </c>
      <c r="D347" s="1">
        <v>42923</v>
      </c>
      <c r="E347">
        <v>39.200000000000003</v>
      </c>
      <c r="F347">
        <v>0.2</v>
      </c>
      <c r="G347" s="3">
        <v>5.1000000000000004E-3</v>
      </c>
      <c r="H347">
        <v>2017</v>
      </c>
      <c r="I347">
        <v>2</v>
      </c>
      <c r="J347">
        <v>2.12</v>
      </c>
      <c r="K347">
        <v>0</v>
      </c>
      <c r="L347">
        <v>2.12</v>
      </c>
      <c r="M347" s="3">
        <v>5.4100000000000002E-2</v>
      </c>
      <c r="N347" s="2">
        <v>0</v>
      </c>
      <c r="O347" s="3">
        <v>5.4100000000000002E-2</v>
      </c>
      <c r="P347" s="2">
        <v>1.06</v>
      </c>
      <c r="Q347" s="2">
        <v>0</v>
      </c>
      <c r="R347" s="2">
        <v>1.06</v>
      </c>
    </row>
    <row r="348" spans="1:21" x14ac:dyDescent="0.6">
      <c r="A348">
        <v>347</v>
      </c>
      <c r="B348" t="str">
        <f>"2520"</f>
        <v>2520</v>
      </c>
      <c r="C348" t="s">
        <v>429</v>
      </c>
      <c r="D348" s="1">
        <v>42923</v>
      </c>
      <c r="E348">
        <v>20.350000000000001</v>
      </c>
      <c r="F348">
        <v>0.1</v>
      </c>
      <c r="G348" s="3">
        <v>4.8999999999999998E-3</v>
      </c>
      <c r="H348">
        <v>2017</v>
      </c>
      <c r="I348">
        <v>1.49</v>
      </c>
      <c r="J348">
        <v>1.1000000000000001</v>
      </c>
      <c r="K348">
        <v>0</v>
      </c>
      <c r="L348">
        <v>1.1000000000000001</v>
      </c>
      <c r="M348" s="3">
        <v>5.4100000000000002E-2</v>
      </c>
      <c r="N348" s="2">
        <v>0</v>
      </c>
      <c r="O348" s="3">
        <v>5.4100000000000002E-2</v>
      </c>
      <c r="P348" s="3">
        <v>0.73799999999999999</v>
      </c>
      <c r="Q348" s="2">
        <v>0</v>
      </c>
      <c r="R348" s="3">
        <v>0.73799999999999999</v>
      </c>
      <c r="S348" t="s">
        <v>922</v>
      </c>
      <c r="U348" t="s">
        <v>915</v>
      </c>
    </row>
    <row r="349" spans="1:21" hidden="1" x14ac:dyDescent="0.6">
      <c r="A349">
        <v>348</v>
      </c>
      <c r="B349" t="str">
        <f>"4747"</f>
        <v>4747</v>
      </c>
      <c r="C349" t="s">
        <v>430</v>
      </c>
      <c r="D349" s="1">
        <v>42923</v>
      </c>
      <c r="E349">
        <v>35.15</v>
      </c>
      <c r="F349">
        <v>-0.25</v>
      </c>
      <c r="G349" s="3">
        <v>-7.1000000000000004E-3</v>
      </c>
      <c r="H349">
        <v>2017</v>
      </c>
      <c r="I349">
        <v>2.11</v>
      </c>
      <c r="J349">
        <v>1.9</v>
      </c>
      <c r="K349">
        <v>0</v>
      </c>
      <c r="L349">
        <v>1.9</v>
      </c>
      <c r="M349" s="3">
        <v>5.4100000000000002E-2</v>
      </c>
      <c r="N349" s="3">
        <v>0</v>
      </c>
      <c r="O349" s="3">
        <v>5.4100000000000002E-2</v>
      </c>
      <c r="P349" s="3">
        <v>0.9</v>
      </c>
      <c r="Q349" s="3">
        <v>0</v>
      </c>
      <c r="R349" s="3">
        <v>0.9</v>
      </c>
      <c r="S349" t="s">
        <v>924</v>
      </c>
      <c r="U349" t="s">
        <v>903</v>
      </c>
    </row>
    <row r="350" spans="1:21" hidden="1" x14ac:dyDescent="0.6">
      <c r="A350">
        <v>349</v>
      </c>
      <c r="B350" t="str">
        <f>"6451"</f>
        <v>6451</v>
      </c>
      <c r="C350" t="s">
        <v>431</v>
      </c>
      <c r="D350" s="1">
        <v>42923</v>
      </c>
      <c r="E350">
        <v>99.9</v>
      </c>
      <c r="F350">
        <v>-3.1</v>
      </c>
      <c r="G350" s="3">
        <v>-3.0099999999999998E-2</v>
      </c>
      <c r="H350">
        <v>2017</v>
      </c>
      <c r="I350">
        <v>9.1199999999999992</v>
      </c>
      <c r="J350">
        <v>5.4</v>
      </c>
      <c r="K350">
        <v>0</v>
      </c>
      <c r="L350">
        <v>5.4</v>
      </c>
      <c r="M350" s="3">
        <v>5.4100000000000002E-2</v>
      </c>
      <c r="N350" s="2">
        <v>0</v>
      </c>
      <c r="O350" s="3">
        <v>5.4100000000000002E-2</v>
      </c>
      <c r="P350" s="3">
        <v>0.59199999999999997</v>
      </c>
      <c r="Q350" s="2">
        <v>0</v>
      </c>
      <c r="R350" s="3">
        <v>0.59199999999999997</v>
      </c>
      <c r="S350" t="s">
        <v>903</v>
      </c>
      <c r="U350" t="s">
        <v>896</v>
      </c>
    </row>
    <row r="351" spans="1:21" x14ac:dyDescent="0.6">
      <c r="A351">
        <v>350</v>
      </c>
      <c r="B351" t="str">
        <f>"1323"</f>
        <v>1323</v>
      </c>
      <c r="C351" t="s">
        <v>432</v>
      </c>
      <c r="D351" s="1">
        <v>42923</v>
      </c>
      <c r="E351">
        <v>33.35</v>
      </c>
      <c r="F351">
        <v>-0.3</v>
      </c>
      <c r="G351" s="3">
        <v>-8.8999999999999999E-3</v>
      </c>
      <c r="H351">
        <v>2017</v>
      </c>
      <c r="I351">
        <v>3.11</v>
      </c>
      <c r="J351">
        <v>1.8</v>
      </c>
      <c r="K351">
        <v>0</v>
      </c>
      <c r="L351">
        <v>1.8</v>
      </c>
      <c r="M351" s="3">
        <v>5.3999999999999999E-2</v>
      </c>
      <c r="N351" s="3">
        <v>0</v>
      </c>
      <c r="O351" s="3">
        <v>5.3999999999999999E-2</v>
      </c>
      <c r="P351" s="2">
        <v>0.57899999999999996</v>
      </c>
      <c r="Q351" s="3">
        <v>0</v>
      </c>
      <c r="R351" s="3">
        <v>0.57899999999999996</v>
      </c>
      <c r="S351" t="s">
        <v>902</v>
      </c>
      <c r="U351" t="s">
        <v>896</v>
      </c>
    </row>
    <row r="352" spans="1:21" x14ac:dyDescent="0.6">
      <c r="A352">
        <v>351</v>
      </c>
      <c r="B352" t="str">
        <f>"2812"</f>
        <v>2812</v>
      </c>
      <c r="C352" t="s">
        <v>433</v>
      </c>
      <c r="D352" s="1">
        <v>42923</v>
      </c>
      <c r="E352">
        <v>10.199999999999999</v>
      </c>
      <c r="F352">
        <v>-0.05</v>
      </c>
      <c r="G352" s="3">
        <v>-4.8999999999999998E-3</v>
      </c>
      <c r="H352">
        <v>2017</v>
      </c>
      <c r="I352">
        <v>1.0900000000000001</v>
      </c>
      <c r="J352">
        <v>0.55000000000000004</v>
      </c>
      <c r="K352">
        <v>0.17</v>
      </c>
      <c r="L352">
        <v>0.72</v>
      </c>
      <c r="M352" s="3">
        <v>5.3900000000000003E-2</v>
      </c>
      <c r="N352" s="3">
        <v>1.67E-2</v>
      </c>
      <c r="O352" s="3">
        <v>7.0599999999999996E-2</v>
      </c>
      <c r="P352" s="3">
        <v>0.505</v>
      </c>
      <c r="Q352" s="2">
        <v>0.156</v>
      </c>
      <c r="R352" s="3">
        <v>0.66100000000000003</v>
      </c>
    </row>
    <row r="353" spans="1:21" x14ac:dyDescent="0.6">
      <c r="A353">
        <v>352</v>
      </c>
      <c r="B353" t="str">
        <f>"3454"</f>
        <v>3454</v>
      </c>
      <c r="C353" t="s">
        <v>435</v>
      </c>
      <c r="D353" s="1">
        <v>42923</v>
      </c>
      <c r="E353">
        <v>88.1</v>
      </c>
      <c r="F353">
        <v>1.2</v>
      </c>
      <c r="G353" s="3">
        <v>1.38E-2</v>
      </c>
      <c r="H353">
        <v>2017</v>
      </c>
      <c r="I353">
        <v>6.57</v>
      </c>
      <c r="J353">
        <v>4.75</v>
      </c>
      <c r="K353">
        <v>0.25</v>
      </c>
      <c r="L353">
        <v>5</v>
      </c>
      <c r="M353" s="3">
        <v>5.3900000000000003E-2</v>
      </c>
      <c r="N353" s="2">
        <v>2.8E-3</v>
      </c>
      <c r="O353" s="3">
        <v>5.6800000000000003E-2</v>
      </c>
      <c r="P353" s="3">
        <v>0.72299999999999998</v>
      </c>
      <c r="Q353" s="2">
        <v>3.8100000000000002E-2</v>
      </c>
      <c r="R353" s="3">
        <v>0.76100000000000001</v>
      </c>
      <c r="S353" t="s">
        <v>917</v>
      </c>
      <c r="T353" t="s">
        <v>917</v>
      </c>
      <c r="U353" t="s">
        <v>900</v>
      </c>
    </row>
    <row r="354" spans="1:21" x14ac:dyDescent="0.6">
      <c r="A354">
        <v>353</v>
      </c>
      <c r="B354" t="str">
        <f>"5603"</f>
        <v>5603</v>
      </c>
      <c r="C354" t="s">
        <v>436</v>
      </c>
      <c r="D354" s="1">
        <v>42923</v>
      </c>
      <c r="E354">
        <v>13</v>
      </c>
      <c r="F354">
        <v>-0.05</v>
      </c>
      <c r="G354" s="3">
        <v>-3.8E-3</v>
      </c>
      <c r="H354">
        <v>2017</v>
      </c>
      <c r="I354">
        <v>1.06</v>
      </c>
      <c r="J354">
        <v>0.7</v>
      </c>
      <c r="K354">
        <v>0</v>
      </c>
      <c r="L354">
        <v>0.7</v>
      </c>
      <c r="M354" s="2">
        <v>5.3800000000000001E-2</v>
      </c>
      <c r="N354" s="2">
        <v>0</v>
      </c>
      <c r="O354" s="2">
        <v>5.3800000000000001E-2</v>
      </c>
      <c r="P354" s="2">
        <v>0.66</v>
      </c>
      <c r="Q354" s="2">
        <v>0</v>
      </c>
      <c r="R354" s="2">
        <v>0.66</v>
      </c>
      <c r="S354" t="s">
        <v>897</v>
      </c>
      <c r="U354" t="s">
        <v>932</v>
      </c>
    </row>
    <row r="355" spans="1:21" hidden="1" x14ac:dyDescent="0.6">
      <c r="A355">
        <v>354</v>
      </c>
      <c r="B355" t="str">
        <f>"3260"</f>
        <v>3260</v>
      </c>
      <c r="C355" t="s">
        <v>437</v>
      </c>
      <c r="D355" s="1">
        <v>42923</v>
      </c>
      <c r="E355">
        <v>74.3</v>
      </c>
      <c r="F355">
        <v>-0.5</v>
      </c>
      <c r="G355" s="3">
        <v>-6.7000000000000002E-3</v>
      </c>
      <c r="H355">
        <v>2017</v>
      </c>
      <c r="I355">
        <v>6.21</v>
      </c>
      <c r="J355">
        <v>4</v>
      </c>
      <c r="K355">
        <v>0</v>
      </c>
      <c r="L355">
        <v>4</v>
      </c>
      <c r="M355" s="3">
        <v>5.3800000000000001E-2</v>
      </c>
      <c r="N355" s="2">
        <v>0</v>
      </c>
      <c r="O355" s="3">
        <v>5.3800000000000001E-2</v>
      </c>
      <c r="P355" s="3">
        <v>0.64400000000000002</v>
      </c>
      <c r="Q355" s="2">
        <v>0</v>
      </c>
      <c r="R355" s="3">
        <v>0.64400000000000002</v>
      </c>
      <c r="S355" t="s">
        <v>892</v>
      </c>
      <c r="U355" t="s">
        <v>899</v>
      </c>
    </row>
    <row r="356" spans="1:21" x14ac:dyDescent="0.6">
      <c r="A356">
        <v>355</v>
      </c>
      <c r="B356" t="str">
        <f>"3036"</f>
        <v>3036</v>
      </c>
      <c r="C356" t="s">
        <v>438</v>
      </c>
      <c r="D356" s="1">
        <v>42923</v>
      </c>
      <c r="E356">
        <v>44.6</v>
      </c>
      <c r="F356">
        <v>-0.35</v>
      </c>
      <c r="G356" s="3">
        <v>-7.7999999999999996E-3</v>
      </c>
      <c r="H356">
        <v>2017</v>
      </c>
      <c r="I356">
        <v>3.61</v>
      </c>
      <c r="J356">
        <v>2.4</v>
      </c>
      <c r="K356">
        <v>0</v>
      </c>
      <c r="L356">
        <v>2.4</v>
      </c>
      <c r="M356" s="3">
        <v>5.3800000000000001E-2</v>
      </c>
      <c r="N356" s="2">
        <v>0</v>
      </c>
      <c r="O356" s="3">
        <v>5.3800000000000001E-2</v>
      </c>
      <c r="P356" s="2">
        <v>0.66500000000000004</v>
      </c>
      <c r="Q356" s="2">
        <v>0</v>
      </c>
      <c r="R356" s="2">
        <v>0.66500000000000004</v>
      </c>
    </row>
    <row r="357" spans="1:21" hidden="1" x14ac:dyDescent="0.6">
      <c r="A357">
        <v>356</v>
      </c>
      <c r="B357" t="str">
        <f>"3607"</f>
        <v>3607</v>
      </c>
      <c r="C357" t="s">
        <v>439</v>
      </c>
      <c r="D357" s="1">
        <v>42923</v>
      </c>
      <c r="E357">
        <v>27.9</v>
      </c>
      <c r="F357">
        <v>-0.25</v>
      </c>
      <c r="G357" s="3">
        <v>-8.8999999999999999E-3</v>
      </c>
      <c r="H357">
        <v>2017</v>
      </c>
      <c r="I357">
        <v>-2.5299999999999998</v>
      </c>
      <c r="J357">
        <v>1.5</v>
      </c>
      <c r="K357">
        <v>0</v>
      </c>
      <c r="L357">
        <v>1.5</v>
      </c>
      <c r="M357" s="3">
        <v>5.3800000000000001E-2</v>
      </c>
      <c r="N357" s="2">
        <v>0</v>
      </c>
      <c r="O357" s="3">
        <v>5.3800000000000001E-2</v>
      </c>
      <c r="P357" s="3">
        <v>-0.59299999999999997</v>
      </c>
      <c r="Q357" s="2">
        <v>0</v>
      </c>
      <c r="R357" s="3">
        <v>-0.59299999999999997</v>
      </c>
      <c r="S357" t="s">
        <v>916</v>
      </c>
      <c r="U357" t="s">
        <v>912</v>
      </c>
    </row>
    <row r="358" spans="1:21" x14ac:dyDescent="0.6">
      <c r="A358">
        <v>357</v>
      </c>
      <c r="B358" t="str">
        <f>"6496"</f>
        <v>6496</v>
      </c>
      <c r="C358" t="s">
        <v>440</v>
      </c>
      <c r="D358" s="1">
        <v>42923</v>
      </c>
      <c r="E358">
        <v>74.400000000000006</v>
      </c>
      <c r="F358">
        <v>-0.8</v>
      </c>
      <c r="G358" s="3">
        <v>-1.06E-2</v>
      </c>
      <c r="H358">
        <v>2017</v>
      </c>
      <c r="I358">
        <v>3.87</v>
      </c>
      <c r="J358">
        <v>4</v>
      </c>
      <c r="K358">
        <v>0</v>
      </c>
      <c r="L358">
        <v>4</v>
      </c>
      <c r="M358" s="3">
        <v>5.3800000000000001E-2</v>
      </c>
      <c r="N358" s="2">
        <v>0</v>
      </c>
      <c r="O358" s="3">
        <v>5.3800000000000001E-2</v>
      </c>
      <c r="P358" s="2">
        <v>1.03</v>
      </c>
      <c r="Q358" s="2">
        <v>0</v>
      </c>
      <c r="R358" s="2">
        <v>1.03</v>
      </c>
      <c r="S358" t="s">
        <v>897</v>
      </c>
      <c r="U358" t="s">
        <v>898</v>
      </c>
    </row>
    <row r="359" spans="1:21" x14ac:dyDescent="0.6">
      <c r="A359">
        <v>358</v>
      </c>
      <c r="B359" t="str">
        <f>"4103"</f>
        <v>4103</v>
      </c>
      <c r="C359" t="s">
        <v>441</v>
      </c>
      <c r="D359" s="1">
        <v>42923</v>
      </c>
      <c r="E359">
        <v>74.5</v>
      </c>
      <c r="F359">
        <v>0.2</v>
      </c>
      <c r="G359" s="3">
        <v>2.7000000000000001E-3</v>
      </c>
      <c r="H359">
        <v>2017</v>
      </c>
      <c r="I359">
        <v>5.53</v>
      </c>
      <c r="J359">
        <v>4</v>
      </c>
      <c r="K359">
        <v>0</v>
      </c>
      <c r="L359">
        <v>4</v>
      </c>
      <c r="M359" s="3">
        <v>5.3699999999999998E-2</v>
      </c>
      <c r="N359" s="3">
        <v>0</v>
      </c>
      <c r="O359" s="3">
        <v>5.3699999999999998E-2</v>
      </c>
      <c r="P359" s="3">
        <v>0.72299999999999998</v>
      </c>
      <c r="Q359" s="3">
        <v>0</v>
      </c>
      <c r="R359" s="3">
        <v>0.72299999999999998</v>
      </c>
    </row>
    <row r="360" spans="1:21" x14ac:dyDescent="0.6">
      <c r="A360">
        <v>359</v>
      </c>
      <c r="B360" t="str">
        <f>"1539"</f>
        <v>1539</v>
      </c>
      <c r="C360" t="s">
        <v>442</v>
      </c>
      <c r="D360" s="1">
        <v>42923</v>
      </c>
      <c r="E360">
        <v>22.35</v>
      </c>
      <c r="F360">
        <v>-0.05</v>
      </c>
      <c r="G360" s="3">
        <v>-2.2000000000000001E-3</v>
      </c>
      <c r="H360">
        <v>2017</v>
      </c>
      <c r="I360">
        <v>2.95</v>
      </c>
      <c r="J360">
        <v>1.2</v>
      </c>
      <c r="K360">
        <v>0</v>
      </c>
      <c r="L360">
        <v>1.2</v>
      </c>
      <c r="M360" s="2">
        <v>5.3699999999999998E-2</v>
      </c>
      <c r="N360" s="2">
        <v>0</v>
      </c>
      <c r="O360" s="2">
        <v>5.3699999999999998E-2</v>
      </c>
      <c r="P360" s="2">
        <v>0.40699999999999997</v>
      </c>
      <c r="Q360" s="2">
        <v>0</v>
      </c>
      <c r="R360" s="2">
        <v>0.40699999999999997</v>
      </c>
    </row>
    <row r="361" spans="1:21" x14ac:dyDescent="0.6">
      <c r="A361">
        <v>360</v>
      </c>
      <c r="B361" t="str">
        <f>"1730"</f>
        <v>1730</v>
      </c>
      <c r="C361" t="s">
        <v>443</v>
      </c>
      <c r="D361" s="1">
        <v>42923</v>
      </c>
      <c r="E361">
        <v>41</v>
      </c>
      <c r="F361">
        <v>0.05</v>
      </c>
      <c r="G361" s="3">
        <v>1.1999999999999999E-3</v>
      </c>
      <c r="H361">
        <v>2017</v>
      </c>
      <c r="I361">
        <v>3.04</v>
      </c>
      <c r="J361">
        <v>2.2000000000000002</v>
      </c>
      <c r="K361">
        <v>0</v>
      </c>
      <c r="L361">
        <v>2.2000000000000002</v>
      </c>
      <c r="M361" s="3">
        <v>5.3699999999999998E-2</v>
      </c>
      <c r="N361" s="2">
        <v>0</v>
      </c>
      <c r="O361" s="3">
        <v>5.3699999999999998E-2</v>
      </c>
      <c r="P361" s="3">
        <v>0.72399999999999998</v>
      </c>
      <c r="Q361" s="2">
        <v>0</v>
      </c>
      <c r="R361" s="3">
        <v>0.72399999999999998</v>
      </c>
    </row>
    <row r="362" spans="1:21" x14ac:dyDescent="0.6">
      <c r="A362">
        <v>361</v>
      </c>
      <c r="B362" t="str">
        <f>"5515"</f>
        <v>5515</v>
      </c>
      <c r="C362" t="s">
        <v>444</v>
      </c>
      <c r="D362" s="1">
        <v>42923</v>
      </c>
      <c r="E362">
        <v>9.32</v>
      </c>
      <c r="F362">
        <v>-0.05</v>
      </c>
      <c r="G362" s="3">
        <v>-5.3E-3</v>
      </c>
      <c r="H362">
        <v>2017</v>
      </c>
      <c r="I362">
        <v>0.13</v>
      </c>
      <c r="J362">
        <v>0.5</v>
      </c>
      <c r="K362">
        <v>0</v>
      </c>
      <c r="L362">
        <v>0.5</v>
      </c>
      <c r="M362" s="3">
        <v>5.3600000000000002E-2</v>
      </c>
      <c r="N362" s="2">
        <v>0</v>
      </c>
      <c r="O362" s="3">
        <v>5.3600000000000002E-2</v>
      </c>
      <c r="P362" s="3">
        <v>3.85</v>
      </c>
      <c r="Q362" s="2">
        <v>0</v>
      </c>
      <c r="R362" s="3">
        <v>3.85</v>
      </c>
      <c r="S362" t="s">
        <v>899</v>
      </c>
      <c r="U362" t="s">
        <v>928</v>
      </c>
    </row>
    <row r="363" spans="1:21" x14ac:dyDescent="0.6">
      <c r="A363">
        <v>362</v>
      </c>
      <c r="B363" t="str">
        <f>"6195"</f>
        <v>6195</v>
      </c>
      <c r="C363" t="s">
        <v>445</v>
      </c>
      <c r="D363" s="1">
        <v>42923</v>
      </c>
      <c r="E363">
        <v>56</v>
      </c>
      <c r="F363">
        <v>-0.2</v>
      </c>
      <c r="G363" s="3">
        <v>-3.5999999999999999E-3</v>
      </c>
      <c r="H363">
        <v>2017</v>
      </c>
      <c r="I363">
        <v>3.82</v>
      </c>
      <c r="J363">
        <v>3</v>
      </c>
      <c r="K363">
        <v>0</v>
      </c>
      <c r="L363">
        <v>3</v>
      </c>
      <c r="M363" s="3">
        <v>5.3600000000000002E-2</v>
      </c>
      <c r="N363" s="2">
        <v>0</v>
      </c>
      <c r="O363" s="3">
        <v>5.3600000000000002E-2</v>
      </c>
      <c r="P363" s="3">
        <v>0.78500000000000003</v>
      </c>
      <c r="Q363" s="2">
        <v>0</v>
      </c>
      <c r="R363" s="3">
        <v>0.78500000000000003</v>
      </c>
    </row>
    <row r="364" spans="1:21" x14ac:dyDescent="0.6">
      <c r="A364">
        <v>363</v>
      </c>
      <c r="B364" t="str">
        <f>"5471"</f>
        <v>5471</v>
      </c>
      <c r="C364" t="s">
        <v>446</v>
      </c>
      <c r="D364" s="1">
        <v>42923</v>
      </c>
      <c r="E364">
        <v>33.700000000000003</v>
      </c>
      <c r="F364">
        <v>-0.2</v>
      </c>
      <c r="G364" s="3">
        <v>-5.8999999999999999E-3</v>
      </c>
      <c r="H364">
        <v>2017</v>
      </c>
      <c r="I364">
        <v>1.67</v>
      </c>
      <c r="J364">
        <v>1.8</v>
      </c>
      <c r="K364">
        <v>0</v>
      </c>
      <c r="L364">
        <v>1.8</v>
      </c>
      <c r="M364" s="3">
        <v>5.3400000000000003E-2</v>
      </c>
      <c r="N364" s="2">
        <v>0</v>
      </c>
      <c r="O364" s="3">
        <v>5.3400000000000003E-2</v>
      </c>
      <c r="P364" s="3">
        <v>1.08</v>
      </c>
      <c r="Q364" s="2">
        <v>0</v>
      </c>
      <c r="R364" s="3">
        <v>1.08</v>
      </c>
      <c r="S364" t="s">
        <v>891</v>
      </c>
      <c r="U364" t="s">
        <v>900</v>
      </c>
    </row>
    <row r="365" spans="1:21" x14ac:dyDescent="0.6">
      <c r="A365">
        <v>364</v>
      </c>
      <c r="B365" t="str">
        <f>"8091"</f>
        <v>8091</v>
      </c>
      <c r="C365" t="s">
        <v>447</v>
      </c>
      <c r="D365" s="1">
        <v>42923</v>
      </c>
      <c r="E365">
        <v>68</v>
      </c>
      <c r="F365">
        <v>-0.2</v>
      </c>
      <c r="G365" s="3">
        <v>-2.8999999999999998E-3</v>
      </c>
      <c r="H365">
        <v>2017</v>
      </c>
      <c r="I365">
        <v>4.08</v>
      </c>
      <c r="J365">
        <v>3.63</v>
      </c>
      <c r="K365">
        <v>0</v>
      </c>
      <c r="L365">
        <v>3.63</v>
      </c>
      <c r="M365" s="3">
        <v>5.3400000000000003E-2</v>
      </c>
      <c r="N365" s="3">
        <v>0</v>
      </c>
      <c r="O365" s="3">
        <v>5.3400000000000003E-2</v>
      </c>
      <c r="P365" s="3">
        <v>0.89</v>
      </c>
      <c r="Q365" s="3">
        <v>0</v>
      </c>
      <c r="R365" s="3">
        <v>0.89</v>
      </c>
    </row>
    <row r="366" spans="1:21" x14ac:dyDescent="0.6">
      <c r="A366">
        <v>365</v>
      </c>
      <c r="B366" t="str">
        <f>"2355"</f>
        <v>2355</v>
      </c>
      <c r="C366" t="s">
        <v>448</v>
      </c>
      <c r="D366" s="1">
        <v>42923</v>
      </c>
      <c r="E366">
        <v>60.1</v>
      </c>
      <c r="F366">
        <v>-0.7</v>
      </c>
      <c r="G366" s="3">
        <v>-1.15E-2</v>
      </c>
      <c r="H366">
        <v>2017</v>
      </c>
      <c r="I366">
        <v>6.26</v>
      </c>
      <c r="J366">
        <v>3.2</v>
      </c>
      <c r="K366">
        <v>0</v>
      </c>
      <c r="L366">
        <v>3.2</v>
      </c>
      <c r="M366" s="3">
        <v>5.3199999999999997E-2</v>
      </c>
      <c r="N366" s="2">
        <v>0</v>
      </c>
      <c r="O366" s="3">
        <v>5.3199999999999997E-2</v>
      </c>
      <c r="P366" s="3">
        <v>0.51100000000000001</v>
      </c>
      <c r="Q366" s="2">
        <v>0</v>
      </c>
      <c r="R366" s="3">
        <v>0.51100000000000001</v>
      </c>
    </row>
    <row r="367" spans="1:21" hidden="1" x14ac:dyDescent="0.6">
      <c r="A367">
        <v>366</v>
      </c>
      <c r="B367" t="str">
        <f>"6196"</f>
        <v>6196</v>
      </c>
      <c r="C367" t="s">
        <v>449</v>
      </c>
      <c r="D367" s="1">
        <v>42923</v>
      </c>
      <c r="E367">
        <v>39.1</v>
      </c>
      <c r="F367">
        <v>-0.1</v>
      </c>
      <c r="G367" s="3">
        <v>-2.5999999999999999E-3</v>
      </c>
      <c r="H367">
        <v>2017</v>
      </c>
      <c r="I367">
        <v>3.12</v>
      </c>
      <c r="J367">
        <v>2.0699999999999998</v>
      </c>
      <c r="K367">
        <v>0</v>
      </c>
      <c r="L367">
        <v>2.0699999999999998</v>
      </c>
      <c r="M367" s="3">
        <v>5.3100000000000001E-2</v>
      </c>
      <c r="N367" s="2">
        <v>0</v>
      </c>
      <c r="O367" s="3">
        <v>5.3100000000000001E-2</v>
      </c>
      <c r="P367" s="3">
        <v>0.66400000000000003</v>
      </c>
      <c r="Q367" s="2">
        <v>0</v>
      </c>
      <c r="R367" s="3">
        <v>0.66400000000000003</v>
      </c>
      <c r="S367" t="s">
        <v>888</v>
      </c>
      <c r="U367" t="s">
        <v>933</v>
      </c>
    </row>
    <row r="368" spans="1:21" hidden="1" x14ac:dyDescent="0.6">
      <c r="A368">
        <v>367</v>
      </c>
      <c r="B368" t="str">
        <f>"4974"</f>
        <v>4974</v>
      </c>
      <c r="C368" t="s">
        <v>450</v>
      </c>
      <c r="D368" s="1">
        <v>42923</v>
      </c>
      <c r="E368">
        <v>46.95</v>
      </c>
      <c r="F368">
        <v>0</v>
      </c>
      <c r="G368" s="3">
        <v>0</v>
      </c>
      <c r="H368">
        <v>2017</v>
      </c>
      <c r="I368">
        <v>4.41</v>
      </c>
      <c r="J368">
        <v>2.4900000000000002</v>
      </c>
      <c r="K368">
        <v>0</v>
      </c>
      <c r="L368">
        <v>2.4900000000000002</v>
      </c>
      <c r="M368" s="3">
        <v>5.2999999999999999E-2</v>
      </c>
      <c r="N368" s="2">
        <v>0</v>
      </c>
      <c r="O368" s="3">
        <v>5.2999999999999999E-2</v>
      </c>
      <c r="P368" s="2">
        <v>0.56499999999999995</v>
      </c>
      <c r="Q368" s="2">
        <v>0</v>
      </c>
      <c r="R368" s="2">
        <v>0.56499999999999995</v>
      </c>
      <c r="S368" t="s">
        <v>931</v>
      </c>
      <c r="U368" t="s">
        <v>899</v>
      </c>
    </row>
    <row r="369" spans="1:21" x14ac:dyDescent="0.6">
      <c r="A369">
        <v>368</v>
      </c>
      <c r="B369" t="str">
        <f>"8069"</f>
        <v>8069</v>
      </c>
      <c r="C369" t="s">
        <v>451</v>
      </c>
      <c r="D369" s="1">
        <v>42923</v>
      </c>
      <c r="E369">
        <v>28.35</v>
      </c>
      <c r="F369">
        <v>-0.05</v>
      </c>
      <c r="G369" s="3">
        <v>-1.8E-3</v>
      </c>
      <c r="H369">
        <v>2017</v>
      </c>
      <c r="I369">
        <v>1.69</v>
      </c>
      <c r="J369">
        <v>1.5</v>
      </c>
      <c r="K369">
        <v>0</v>
      </c>
      <c r="L369">
        <v>1.5</v>
      </c>
      <c r="M369" s="2">
        <v>5.2900000000000003E-2</v>
      </c>
      <c r="N369" s="2">
        <v>0</v>
      </c>
      <c r="O369" s="2">
        <v>5.2900000000000003E-2</v>
      </c>
      <c r="P369" s="2">
        <v>0.88800000000000001</v>
      </c>
      <c r="Q369" s="2">
        <v>0</v>
      </c>
      <c r="R369" s="2">
        <v>0.88800000000000001</v>
      </c>
    </row>
    <row r="370" spans="1:21" hidden="1" x14ac:dyDescent="0.6">
      <c r="A370">
        <v>369</v>
      </c>
      <c r="B370" t="str">
        <f>"1452"</f>
        <v>1452</v>
      </c>
      <c r="C370" t="s">
        <v>452</v>
      </c>
      <c r="D370" s="1">
        <v>42923</v>
      </c>
      <c r="E370">
        <v>22.7</v>
      </c>
      <c r="F370">
        <v>-0.1</v>
      </c>
      <c r="G370" s="3">
        <v>-4.4000000000000003E-3</v>
      </c>
      <c r="H370">
        <v>2017</v>
      </c>
      <c r="I370">
        <v>1.5</v>
      </c>
      <c r="J370">
        <v>1.2</v>
      </c>
      <c r="K370">
        <v>0</v>
      </c>
      <c r="L370">
        <v>1.2</v>
      </c>
      <c r="M370" s="3">
        <v>5.2900000000000003E-2</v>
      </c>
      <c r="N370" s="2">
        <v>0</v>
      </c>
      <c r="O370" s="3">
        <v>5.2900000000000003E-2</v>
      </c>
      <c r="P370" s="3">
        <v>0.8</v>
      </c>
      <c r="Q370" s="2">
        <v>0</v>
      </c>
      <c r="R370" s="3">
        <v>0.8</v>
      </c>
      <c r="S370" t="s">
        <v>918</v>
      </c>
      <c r="U370" t="s">
        <v>930</v>
      </c>
    </row>
    <row r="371" spans="1:21" x14ac:dyDescent="0.6">
      <c r="A371">
        <v>370</v>
      </c>
      <c r="B371" t="str">
        <f>"3332"</f>
        <v>3332</v>
      </c>
      <c r="C371" t="s">
        <v>453</v>
      </c>
      <c r="D371" s="1">
        <v>42923</v>
      </c>
      <c r="E371">
        <v>37.9</v>
      </c>
      <c r="F371">
        <v>0</v>
      </c>
      <c r="G371" s="3">
        <v>0</v>
      </c>
      <c r="H371">
        <v>2017</v>
      </c>
      <c r="I371">
        <v>2.2599999999999998</v>
      </c>
      <c r="J371">
        <v>2</v>
      </c>
      <c r="K371">
        <v>0</v>
      </c>
      <c r="L371">
        <v>2</v>
      </c>
      <c r="M371" s="3">
        <v>5.28E-2</v>
      </c>
      <c r="N371" s="3">
        <v>0</v>
      </c>
      <c r="O371" s="3">
        <v>5.28E-2</v>
      </c>
      <c r="P371" s="3">
        <v>0.88500000000000001</v>
      </c>
      <c r="Q371" s="3">
        <v>0</v>
      </c>
      <c r="R371" s="3">
        <v>0.88500000000000001</v>
      </c>
      <c r="S371" t="s">
        <v>910</v>
      </c>
      <c r="U371" t="s">
        <v>928</v>
      </c>
    </row>
    <row r="372" spans="1:21" x14ac:dyDescent="0.6">
      <c r="A372">
        <v>371</v>
      </c>
      <c r="B372" t="str">
        <f>"3444"</f>
        <v>3444</v>
      </c>
      <c r="C372" t="s">
        <v>454</v>
      </c>
      <c r="D372" s="1">
        <v>42923</v>
      </c>
      <c r="E372">
        <v>18.95</v>
      </c>
      <c r="F372">
        <v>-0.05</v>
      </c>
      <c r="G372" s="3">
        <v>-2.5999999999999999E-3</v>
      </c>
      <c r="H372">
        <v>2017</v>
      </c>
      <c r="I372">
        <v>1.1599999999999999</v>
      </c>
      <c r="J372">
        <v>1</v>
      </c>
      <c r="K372">
        <v>0</v>
      </c>
      <c r="L372">
        <v>1</v>
      </c>
      <c r="M372" s="3">
        <v>5.28E-2</v>
      </c>
      <c r="N372" s="2">
        <v>0</v>
      </c>
      <c r="O372" s="3">
        <v>5.28E-2</v>
      </c>
      <c r="P372" s="2">
        <v>0.86199999999999999</v>
      </c>
      <c r="Q372" s="2">
        <v>0</v>
      </c>
      <c r="R372" s="2">
        <v>0.86199999999999999</v>
      </c>
      <c r="S372" t="s">
        <v>922</v>
      </c>
      <c r="U372" t="s">
        <v>920</v>
      </c>
    </row>
    <row r="373" spans="1:21" hidden="1" x14ac:dyDescent="0.6">
      <c r="A373">
        <v>372</v>
      </c>
      <c r="B373" t="str">
        <f>"3416"</f>
        <v>3416</v>
      </c>
      <c r="C373" t="s">
        <v>455</v>
      </c>
      <c r="D373" s="1">
        <v>42923</v>
      </c>
      <c r="E373">
        <v>56.9</v>
      </c>
      <c r="F373">
        <v>-0.4</v>
      </c>
      <c r="G373" s="3">
        <v>-7.0000000000000001E-3</v>
      </c>
      <c r="H373">
        <v>2017</v>
      </c>
      <c r="I373">
        <v>3.06</v>
      </c>
      <c r="J373">
        <v>3</v>
      </c>
      <c r="K373">
        <v>0</v>
      </c>
      <c r="L373">
        <v>3</v>
      </c>
      <c r="M373" s="3">
        <v>5.2699999999999997E-2</v>
      </c>
      <c r="N373" s="3">
        <v>0</v>
      </c>
      <c r="O373" s="3">
        <v>5.2699999999999997E-2</v>
      </c>
      <c r="P373" s="3">
        <v>0.98</v>
      </c>
      <c r="Q373" s="2">
        <v>0</v>
      </c>
      <c r="R373" s="3">
        <v>0.98</v>
      </c>
      <c r="S373" t="s">
        <v>948</v>
      </c>
      <c r="U373" t="s">
        <v>922</v>
      </c>
    </row>
    <row r="374" spans="1:21" x14ac:dyDescent="0.6">
      <c r="A374">
        <v>373</v>
      </c>
      <c r="B374" t="str">
        <f>"6207"</f>
        <v>6207</v>
      </c>
      <c r="C374" t="s">
        <v>456</v>
      </c>
      <c r="D374" s="1">
        <v>42923</v>
      </c>
      <c r="E374">
        <v>28.55</v>
      </c>
      <c r="F374">
        <v>0.25</v>
      </c>
      <c r="G374" s="3">
        <v>8.8000000000000005E-3</v>
      </c>
      <c r="H374">
        <v>2017</v>
      </c>
      <c r="I374">
        <v>2.02</v>
      </c>
      <c r="J374">
        <v>1.5</v>
      </c>
      <c r="K374">
        <v>0</v>
      </c>
      <c r="L374">
        <v>1.5</v>
      </c>
      <c r="M374" s="3">
        <v>5.2499999999999998E-2</v>
      </c>
      <c r="N374" s="3">
        <v>0</v>
      </c>
      <c r="O374" s="3">
        <v>5.2499999999999998E-2</v>
      </c>
      <c r="P374" s="2">
        <v>0.74299999999999999</v>
      </c>
      <c r="Q374" s="3">
        <v>0</v>
      </c>
      <c r="R374" s="3">
        <v>0.74299999999999999</v>
      </c>
    </row>
    <row r="375" spans="1:21" x14ac:dyDescent="0.6">
      <c r="A375">
        <v>374</v>
      </c>
      <c r="B375" t="str">
        <f>"8234"</f>
        <v>8234</v>
      </c>
      <c r="C375" t="s">
        <v>457</v>
      </c>
      <c r="D375" s="1">
        <v>42923</v>
      </c>
      <c r="E375">
        <v>28.55</v>
      </c>
      <c r="F375">
        <v>-0.15</v>
      </c>
      <c r="G375" s="3">
        <v>-5.1999999999999998E-3</v>
      </c>
      <c r="H375">
        <v>2017</v>
      </c>
      <c r="I375">
        <v>1.61</v>
      </c>
      <c r="J375">
        <v>1.5</v>
      </c>
      <c r="K375">
        <v>0</v>
      </c>
      <c r="L375">
        <v>1.5</v>
      </c>
      <c r="M375" s="3">
        <v>5.2499999999999998E-2</v>
      </c>
      <c r="N375" s="3">
        <v>0</v>
      </c>
      <c r="O375" s="2">
        <v>5.2499999999999998E-2</v>
      </c>
      <c r="P375" s="3">
        <v>0.93200000000000005</v>
      </c>
      <c r="Q375" s="3">
        <v>0</v>
      </c>
      <c r="R375" s="3">
        <v>0.93200000000000005</v>
      </c>
    </row>
    <row r="376" spans="1:21" x14ac:dyDescent="0.6">
      <c r="A376">
        <v>375</v>
      </c>
      <c r="B376" t="str">
        <f>"2006"</f>
        <v>2006</v>
      </c>
      <c r="C376" t="s">
        <v>458</v>
      </c>
      <c r="D376" s="1">
        <v>42923</v>
      </c>
      <c r="E376">
        <v>24.75</v>
      </c>
      <c r="F376">
        <v>-0.05</v>
      </c>
      <c r="G376" s="3">
        <v>-2E-3</v>
      </c>
      <c r="H376">
        <v>2017</v>
      </c>
      <c r="I376">
        <v>1.49</v>
      </c>
      <c r="J376">
        <v>1.3</v>
      </c>
      <c r="K376">
        <v>0</v>
      </c>
      <c r="L376">
        <v>1.3</v>
      </c>
      <c r="M376" s="3">
        <v>5.2499999999999998E-2</v>
      </c>
      <c r="N376" s="3">
        <v>0</v>
      </c>
      <c r="O376" s="3">
        <v>5.2499999999999998E-2</v>
      </c>
      <c r="P376" s="3">
        <v>0.872</v>
      </c>
      <c r="Q376" s="3">
        <v>0</v>
      </c>
      <c r="R376" s="3">
        <v>0.872</v>
      </c>
    </row>
    <row r="377" spans="1:21" x14ac:dyDescent="0.6">
      <c r="A377">
        <v>376</v>
      </c>
      <c r="B377" t="str">
        <f>"5388"</f>
        <v>5388</v>
      </c>
      <c r="C377" t="s">
        <v>459</v>
      </c>
      <c r="D377" s="1">
        <v>42923</v>
      </c>
      <c r="E377">
        <v>80</v>
      </c>
      <c r="F377">
        <v>-0.4</v>
      </c>
      <c r="G377" s="3">
        <v>-5.0000000000000001E-3</v>
      </c>
      <c r="H377">
        <v>2017</v>
      </c>
      <c r="I377">
        <v>6.02</v>
      </c>
      <c r="J377">
        <v>4.2</v>
      </c>
      <c r="K377">
        <v>0</v>
      </c>
      <c r="L377">
        <v>4.2</v>
      </c>
      <c r="M377" s="3">
        <v>5.2499999999999998E-2</v>
      </c>
      <c r="N377" s="2">
        <v>0</v>
      </c>
      <c r="O377" s="3">
        <v>5.2499999999999998E-2</v>
      </c>
      <c r="P377" s="2">
        <v>0.69799999999999995</v>
      </c>
      <c r="Q377" s="2">
        <v>0</v>
      </c>
      <c r="R377" s="2">
        <v>0.69799999999999995</v>
      </c>
      <c r="S377" t="s">
        <v>922</v>
      </c>
      <c r="U377" t="s">
        <v>923</v>
      </c>
    </row>
    <row r="378" spans="1:21" x14ac:dyDescent="0.6">
      <c r="A378">
        <v>377</v>
      </c>
      <c r="B378" t="str">
        <f>"2012"</f>
        <v>2012</v>
      </c>
      <c r="C378" t="s">
        <v>460</v>
      </c>
      <c r="D378" s="1">
        <v>42923</v>
      </c>
      <c r="E378">
        <v>14.3</v>
      </c>
      <c r="F378">
        <v>0.15</v>
      </c>
      <c r="G378" s="3">
        <v>1.06E-2</v>
      </c>
      <c r="H378">
        <v>2017</v>
      </c>
      <c r="I378">
        <v>0.95</v>
      </c>
      <c r="J378">
        <v>0.75</v>
      </c>
      <c r="K378">
        <v>0</v>
      </c>
      <c r="L378">
        <v>0.75</v>
      </c>
      <c r="M378" s="2">
        <v>5.2400000000000002E-2</v>
      </c>
      <c r="N378" s="2">
        <v>0</v>
      </c>
      <c r="O378" s="2">
        <v>5.2400000000000002E-2</v>
      </c>
      <c r="P378" s="2">
        <v>0.79</v>
      </c>
      <c r="Q378" s="2">
        <v>0</v>
      </c>
      <c r="R378" s="2">
        <v>0.79</v>
      </c>
    </row>
    <row r="379" spans="1:21" x14ac:dyDescent="0.6">
      <c r="A379">
        <v>378</v>
      </c>
      <c r="B379" t="str">
        <f>"2233"</f>
        <v>2233</v>
      </c>
      <c r="C379" t="s">
        <v>461</v>
      </c>
      <c r="D379" s="1">
        <v>42923</v>
      </c>
      <c r="E379">
        <v>95.4</v>
      </c>
      <c r="F379">
        <v>0</v>
      </c>
      <c r="G379" s="2">
        <v>0</v>
      </c>
      <c r="H379">
        <v>2017</v>
      </c>
      <c r="I379">
        <v>6.94</v>
      </c>
      <c r="J379">
        <v>5</v>
      </c>
      <c r="K379">
        <v>0</v>
      </c>
      <c r="L379">
        <v>5</v>
      </c>
      <c r="M379" s="3">
        <v>5.2400000000000002E-2</v>
      </c>
      <c r="N379" s="3">
        <v>0</v>
      </c>
      <c r="O379" s="3">
        <v>5.2400000000000002E-2</v>
      </c>
      <c r="P379" s="3">
        <v>0.72</v>
      </c>
      <c r="Q379" s="3">
        <v>0</v>
      </c>
      <c r="R379" s="3">
        <v>0.72</v>
      </c>
    </row>
    <row r="380" spans="1:21" x14ac:dyDescent="0.6">
      <c r="A380">
        <v>379</v>
      </c>
      <c r="B380" t="str">
        <f>"4104"</f>
        <v>4104</v>
      </c>
      <c r="C380" t="s">
        <v>462</v>
      </c>
      <c r="D380" s="1">
        <v>42923</v>
      </c>
      <c r="E380">
        <v>47.7</v>
      </c>
      <c r="F380">
        <v>-0.85</v>
      </c>
      <c r="G380" s="3">
        <v>-1.7500000000000002E-2</v>
      </c>
      <c r="H380">
        <v>2017</v>
      </c>
      <c r="I380">
        <v>3.09</v>
      </c>
      <c r="J380">
        <v>2.5</v>
      </c>
      <c r="K380">
        <v>0</v>
      </c>
      <c r="L380">
        <v>2.5</v>
      </c>
      <c r="M380" s="3">
        <v>5.2400000000000002E-2</v>
      </c>
      <c r="N380" s="2">
        <v>0</v>
      </c>
      <c r="O380" s="3">
        <v>5.2400000000000002E-2</v>
      </c>
      <c r="P380" s="2">
        <v>0.80900000000000005</v>
      </c>
      <c r="Q380" s="2">
        <v>0</v>
      </c>
      <c r="R380" s="2">
        <v>0.80900000000000005</v>
      </c>
    </row>
    <row r="381" spans="1:21" x14ac:dyDescent="0.6">
      <c r="A381">
        <v>380</v>
      </c>
      <c r="B381" t="str">
        <f>"3588"</f>
        <v>3588</v>
      </c>
      <c r="C381" t="s">
        <v>464</v>
      </c>
      <c r="D381" s="1">
        <v>42923</v>
      </c>
      <c r="E381">
        <v>28.65</v>
      </c>
      <c r="F381">
        <v>-0.05</v>
      </c>
      <c r="G381" s="3">
        <v>-1.6999999999999999E-3</v>
      </c>
      <c r="H381">
        <v>2017</v>
      </c>
      <c r="I381">
        <v>2.25</v>
      </c>
      <c r="J381">
        <v>1.5</v>
      </c>
      <c r="K381">
        <v>0</v>
      </c>
      <c r="L381">
        <v>1.5</v>
      </c>
      <c r="M381" s="3">
        <v>5.2400000000000002E-2</v>
      </c>
      <c r="N381" s="2">
        <v>0</v>
      </c>
      <c r="O381" s="3">
        <v>5.2400000000000002E-2</v>
      </c>
      <c r="P381" s="3">
        <v>0.66700000000000004</v>
      </c>
      <c r="Q381" s="2">
        <v>0</v>
      </c>
      <c r="R381" s="3">
        <v>0.66700000000000004</v>
      </c>
    </row>
    <row r="382" spans="1:21" x14ac:dyDescent="0.6">
      <c r="A382">
        <v>381</v>
      </c>
      <c r="B382" t="str">
        <f>"3023"</f>
        <v>3023</v>
      </c>
      <c r="C382" t="s">
        <v>465</v>
      </c>
      <c r="D382" s="1">
        <v>42923</v>
      </c>
      <c r="E382">
        <v>71.099999999999994</v>
      </c>
      <c r="F382">
        <v>-1</v>
      </c>
      <c r="G382" s="3">
        <v>-1.3899999999999999E-2</v>
      </c>
      <c r="H382">
        <v>2017</v>
      </c>
      <c r="I382">
        <v>5.15</v>
      </c>
      <c r="J382">
        <v>3.7</v>
      </c>
      <c r="K382">
        <v>0</v>
      </c>
      <c r="L382">
        <v>3.7</v>
      </c>
      <c r="M382" s="3">
        <v>5.1999999999999998E-2</v>
      </c>
      <c r="N382" s="2">
        <v>0</v>
      </c>
      <c r="O382" s="3">
        <v>5.1999999999999998E-2</v>
      </c>
      <c r="P382" s="3">
        <v>0.71799999999999997</v>
      </c>
      <c r="Q382" s="2">
        <v>0</v>
      </c>
      <c r="R382" s="3">
        <v>0.71799999999999997</v>
      </c>
      <c r="S382" t="s">
        <v>902</v>
      </c>
      <c r="U382" t="s">
        <v>915</v>
      </c>
    </row>
    <row r="383" spans="1:21" x14ac:dyDescent="0.6">
      <c r="A383">
        <v>382</v>
      </c>
      <c r="B383" t="str">
        <f>"2431"</f>
        <v>2431</v>
      </c>
      <c r="C383" t="s">
        <v>466</v>
      </c>
      <c r="D383" s="1">
        <v>42923</v>
      </c>
      <c r="E383">
        <v>14.8</v>
      </c>
      <c r="F383">
        <v>-0.25</v>
      </c>
      <c r="G383" s="3">
        <v>-1.66E-2</v>
      </c>
      <c r="H383">
        <v>2017</v>
      </c>
      <c r="I383">
        <v>0.88</v>
      </c>
      <c r="J383">
        <v>0.77</v>
      </c>
      <c r="K383">
        <v>0</v>
      </c>
      <c r="L383">
        <v>0.77</v>
      </c>
      <c r="M383" s="2">
        <v>5.1999999999999998E-2</v>
      </c>
      <c r="N383" s="2">
        <v>0</v>
      </c>
      <c r="O383" s="2">
        <v>5.1999999999999998E-2</v>
      </c>
      <c r="P383" s="2">
        <v>0.875</v>
      </c>
      <c r="Q383" s="2">
        <v>0</v>
      </c>
      <c r="R383" s="2">
        <v>0.875</v>
      </c>
    </row>
    <row r="384" spans="1:21" x14ac:dyDescent="0.6">
      <c r="A384">
        <v>383</v>
      </c>
      <c r="B384" t="str">
        <f>"5489"</f>
        <v>5489</v>
      </c>
      <c r="C384" t="s">
        <v>467</v>
      </c>
      <c r="D384" s="1">
        <v>42923</v>
      </c>
      <c r="E384">
        <v>34.6</v>
      </c>
      <c r="F384">
        <v>0.05</v>
      </c>
      <c r="G384" s="3">
        <v>1.4E-3</v>
      </c>
      <c r="H384">
        <v>2017</v>
      </c>
      <c r="I384">
        <v>2.1800000000000002</v>
      </c>
      <c r="J384">
        <v>1.8</v>
      </c>
      <c r="K384">
        <v>0</v>
      </c>
      <c r="L384">
        <v>1.8</v>
      </c>
      <c r="M384" s="3">
        <v>5.1999999999999998E-2</v>
      </c>
      <c r="N384" s="2">
        <v>0</v>
      </c>
      <c r="O384" s="3">
        <v>5.1999999999999998E-2</v>
      </c>
      <c r="P384" s="3">
        <v>0.82599999999999996</v>
      </c>
      <c r="Q384" s="2">
        <v>0</v>
      </c>
      <c r="R384" s="3">
        <v>0.82599999999999996</v>
      </c>
    </row>
    <row r="385" spans="1:21" x14ac:dyDescent="0.6">
      <c r="A385">
        <v>384</v>
      </c>
      <c r="B385" t="str">
        <f>"4163"</f>
        <v>4163</v>
      </c>
      <c r="C385" t="s">
        <v>468</v>
      </c>
      <c r="D385" s="1">
        <v>42923</v>
      </c>
      <c r="E385">
        <v>115.5</v>
      </c>
      <c r="F385">
        <v>-2</v>
      </c>
      <c r="G385" s="3">
        <v>-1.7000000000000001E-2</v>
      </c>
      <c r="H385">
        <v>2017</v>
      </c>
      <c r="I385">
        <v>8.75</v>
      </c>
      <c r="J385">
        <v>6</v>
      </c>
      <c r="K385">
        <v>0</v>
      </c>
      <c r="L385">
        <v>6</v>
      </c>
      <c r="M385" s="3">
        <v>5.1900000000000002E-2</v>
      </c>
      <c r="N385" s="2">
        <v>0</v>
      </c>
      <c r="O385" s="3">
        <v>5.1900000000000002E-2</v>
      </c>
      <c r="P385" s="2">
        <v>0.68600000000000005</v>
      </c>
      <c r="Q385" s="2">
        <v>0</v>
      </c>
      <c r="R385" s="2">
        <v>0.68600000000000005</v>
      </c>
      <c r="S385" t="s">
        <v>922</v>
      </c>
      <c r="U385" t="s">
        <v>930</v>
      </c>
    </row>
    <row r="386" spans="1:21" x14ac:dyDescent="0.6">
      <c r="A386">
        <v>385</v>
      </c>
      <c r="B386" t="str">
        <f>"8039"</f>
        <v>8039</v>
      </c>
      <c r="C386" t="s">
        <v>469</v>
      </c>
      <c r="D386" s="1">
        <v>42923</v>
      </c>
      <c r="E386">
        <v>38.5</v>
      </c>
      <c r="F386">
        <v>-0.25</v>
      </c>
      <c r="G386" s="3">
        <v>-6.4999999999999997E-3</v>
      </c>
      <c r="H386">
        <v>2017</v>
      </c>
      <c r="I386">
        <v>2.81</v>
      </c>
      <c r="J386">
        <v>2</v>
      </c>
      <c r="K386">
        <v>0</v>
      </c>
      <c r="L386">
        <v>2</v>
      </c>
      <c r="M386" s="3">
        <v>5.1900000000000002E-2</v>
      </c>
      <c r="N386" s="2">
        <v>0</v>
      </c>
      <c r="O386" s="3">
        <v>5.1900000000000002E-2</v>
      </c>
      <c r="P386" s="2">
        <v>0.71199999999999997</v>
      </c>
      <c r="Q386" s="2">
        <v>0</v>
      </c>
      <c r="R386" s="2">
        <v>0.71199999999999997</v>
      </c>
    </row>
    <row r="387" spans="1:21" hidden="1" x14ac:dyDescent="0.6">
      <c r="A387">
        <v>386</v>
      </c>
      <c r="B387" t="str">
        <f>"8066"</f>
        <v>8066</v>
      </c>
      <c r="C387" t="s">
        <v>470</v>
      </c>
      <c r="D387" s="1">
        <v>42923</v>
      </c>
      <c r="E387">
        <v>115.5</v>
      </c>
      <c r="F387">
        <v>-0.5</v>
      </c>
      <c r="G387" s="3">
        <v>-4.3E-3</v>
      </c>
      <c r="H387">
        <v>2017</v>
      </c>
      <c r="I387">
        <v>10.220000000000001</v>
      </c>
      <c r="J387">
        <v>6</v>
      </c>
      <c r="K387">
        <v>2</v>
      </c>
      <c r="L387">
        <v>8</v>
      </c>
      <c r="M387" s="2">
        <v>5.1900000000000002E-2</v>
      </c>
      <c r="N387" s="2">
        <v>1.7299999999999999E-2</v>
      </c>
      <c r="O387" s="2">
        <v>6.93E-2</v>
      </c>
      <c r="P387" s="2">
        <v>0.58699999999999997</v>
      </c>
      <c r="Q387" s="2">
        <v>0.19600000000000001</v>
      </c>
      <c r="R387" s="2">
        <v>0.78300000000000003</v>
      </c>
      <c r="S387" t="s">
        <v>931</v>
      </c>
      <c r="T387" t="s">
        <v>903</v>
      </c>
    </row>
    <row r="388" spans="1:21" x14ac:dyDescent="0.6">
      <c r="A388">
        <v>387</v>
      </c>
      <c r="B388" t="str">
        <f>"6125"</f>
        <v>6125</v>
      </c>
      <c r="C388" t="s">
        <v>471</v>
      </c>
      <c r="D388" s="1">
        <v>42923</v>
      </c>
      <c r="E388">
        <v>9.6300000000000008</v>
      </c>
      <c r="F388">
        <v>0</v>
      </c>
      <c r="G388" s="2">
        <v>0</v>
      </c>
      <c r="H388">
        <v>2017</v>
      </c>
      <c r="I388">
        <v>-1.29</v>
      </c>
      <c r="J388">
        <v>0.5</v>
      </c>
      <c r="K388">
        <v>0</v>
      </c>
      <c r="L388">
        <v>0.5</v>
      </c>
      <c r="M388" s="2">
        <v>5.1900000000000002E-2</v>
      </c>
      <c r="N388" s="2">
        <v>0</v>
      </c>
      <c r="O388" s="2">
        <v>5.1900000000000002E-2</v>
      </c>
      <c r="P388" s="2">
        <v>-0.38800000000000001</v>
      </c>
      <c r="Q388" s="2">
        <v>0</v>
      </c>
      <c r="R388" s="2">
        <v>-0.38800000000000001</v>
      </c>
    </row>
    <row r="389" spans="1:21" x14ac:dyDescent="0.6">
      <c r="A389">
        <v>388</v>
      </c>
      <c r="B389" t="str">
        <f>"4950"</f>
        <v>4950</v>
      </c>
      <c r="C389" t="s">
        <v>472</v>
      </c>
      <c r="D389" s="1">
        <v>42923</v>
      </c>
      <c r="E389">
        <v>19.3</v>
      </c>
      <c r="F389">
        <v>0.05</v>
      </c>
      <c r="G389" s="3">
        <v>2.5999999999999999E-3</v>
      </c>
      <c r="H389">
        <v>2017</v>
      </c>
      <c r="I389">
        <v>3.04</v>
      </c>
      <c r="J389">
        <v>1</v>
      </c>
      <c r="K389">
        <v>0</v>
      </c>
      <c r="L389">
        <v>1</v>
      </c>
      <c r="M389" s="2">
        <v>5.1799999999999999E-2</v>
      </c>
      <c r="N389" s="2">
        <v>0</v>
      </c>
      <c r="O389" s="2">
        <v>5.1799999999999999E-2</v>
      </c>
      <c r="P389" s="2">
        <v>0.32900000000000001</v>
      </c>
      <c r="Q389" s="2">
        <v>0</v>
      </c>
      <c r="R389" s="2">
        <v>0.32900000000000001</v>
      </c>
    </row>
    <row r="390" spans="1:21" hidden="1" x14ac:dyDescent="0.6">
      <c r="A390">
        <v>389</v>
      </c>
      <c r="B390" t="str">
        <f>"8473"</f>
        <v>8473</v>
      </c>
      <c r="C390" t="s">
        <v>473</v>
      </c>
      <c r="D390" s="1">
        <v>42923</v>
      </c>
      <c r="E390">
        <v>61.8</v>
      </c>
      <c r="F390">
        <v>0.1</v>
      </c>
      <c r="G390" s="3">
        <v>1.6000000000000001E-3</v>
      </c>
      <c r="H390">
        <v>2017</v>
      </c>
      <c r="I390">
        <v>3.95</v>
      </c>
      <c r="J390">
        <v>3.2</v>
      </c>
      <c r="K390">
        <v>0</v>
      </c>
      <c r="L390">
        <v>3.2</v>
      </c>
      <c r="M390" s="3">
        <v>5.1799999999999999E-2</v>
      </c>
      <c r="N390" s="2">
        <v>0</v>
      </c>
      <c r="O390" s="3">
        <v>5.1799999999999999E-2</v>
      </c>
      <c r="P390" s="2">
        <v>0.81</v>
      </c>
      <c r="Q390" s="2">
        <v>0</v>
      </c>
      <c r="R390" s="2">
        <v>0.81</v>
      </c>
      <c r="S390" t="s">
        <v>888</v>
      </c>
      <c r="U390" t="s">
        <v>902</v>
      </c>
    </row>
    <row r="391" spans="1:21" x14ac:dyDescent="0.6">
      <c r="A391">
        <v>390</v>
      </c>
      <c r="B391" t="str">
        <f>"4919"</f>
        <v>4919</v>
      </c>
      <c r="C391" t="s">
        <v>474</v>
      </c>
      <c r="D391" s="1">
        <v>42923</v>
      </c>
      <c r="E391">
        <v>46.35</v>
      </c>
      <c r="F391">
        <v>0.15</v>
      </c>
      <c r="G391" s="3">
        <v>3.2000000000000002E-3</v>
      </c>
      <c r="H391">
        <v>2017</v>
      </c>
      <c r="I391">
        <v>2.95</v>
      </c>
      <c r="J391">
        <v>2.4</v>
      </c>
      <c r="K391">
        <v>0</v>
      </c>
      <c r="L391">
        <v>2.4</v>
      </c>
      <c r="M391" s="3">
        <v>5.1799999999999999E-2</v>
      </c>
      <c r="N391" s="2">
        <v>0</v>
      </c>
      <c r="O391" s="3">
        <v>5.1799999999999999E-2</v>
      </c>
      <c r="P391" s="3">
        <v>0.81399999999999995</v>
      </c>
      <c r="Q391" s="2">
        <v>0</v>
      </c>
      <c r="R391" s="3">
        <v>0.81399999999999995</v>
      </c>
    </row>
    <row r="392" spans="1:21" x14ac:dyDescent="0.6">
      <c r="A392">
        <v>391</v>
      </c>
      <c r="B392" t="str">
        <f>"3010"</f>
        <v>3010</v>
      </c>
      <c r="C392" t="s">
        <v>475</v>
      </c>
      <c r="D392" s="1">
        <v>42923</v>
      </c>
      <c r="E392">
        <v>50.3</v>
      </c>
      <c r="F392">
        <v>0</v>
      </c>
      <c r="G392" s="2">
        <v>0</v>
      </c>
      <c r="H392">
        <v>2017</v>
      </c>
      <c r="I392">
        <v>4.5199999999999996</v>
      </c>
      <c r="J392">
        <v>2.6</v>
      </c>
      <c r="K392">
        <v>0</v>
      </c>
      <c r="L392">
        <v>2.6</v>
      </c>
      <c r="M392" s="3">
        <v>5.1700000000000003E-2</v>
      </c>
      <c r="N392" s="2">
        <v>0</v>
      </c>
      <c r="O392" s="3">
        <v>5.1700000000000003E-2</v>
      </c>
      <c r="P392" s="2">
        <v>0.57499999999999996</v>
      </c>
      <c r="Q392" s="2">
        <v>0</v>
      </c>
      <c r="R392" s="2">
        <v>0.57499999999999996</v>
      </c>
    </row>
    <row r="393" spans="1:21" hidden="1" x14ac:dyDescent="0.6">
      <c r="A393">
        <v>392</v>
      </c>
      <c r="B393" t="str">
        <f>"5512"</f>
        <v>5512</v>
      </c>
      <c r="C393" t="s">
        <v>476</v>
      </c>
      <c r="D393" s="1">
        <v>42923</v>
      </c>
      <c r="E393">
        <v>9.69</v>
      </c>
      <c r="F393">
        <v>-0.11</v>
      </c>
      <c r="G393" s="3">
        <v>-1.12E-2</v>
      </c>
      <c r="H393">
        <v>2017</v>
      </c>
      <c r="I393">
        <v>0.18</v>
      </c>
      <c r="J393">
        <v>0.5</v>
      </c>
      <c r="K393">
        <v>0</v>
      </c>
      <c r="L393">
        <v>0.5</v>
      </c>
      <c r="M393" s="3">
        <v>5.16E-2</v>
      </c>
      <c r="N393" s="3">
        <v>0</v>
      </c>
      <c r="O393" s="3">
        <v>5.16E-2</v>
      </c>
      <c r="P393" s="3">
        <v>2.78</v>
      </c>
      <c r="Q393" s="3">
        <v>0</v>
      </c>
      <c r="R393" s="3">
        <v>2.78</v>
      </c>
      <c r="S393" t="s">
        <v>892</v>
      </c>
      <c r="U393" t="s">
        <v>933</v>
      </c>
    </row>
    <row r="394" spans="1:21" x14ac:dyDescent="0.6">
      <c r="A394">
        <v>393</v>
      </c>
      <c r="B394" t="str">
        <f>"4938"</f>
        <v>4938</v>
      </c>
      <c r="C394" t="s">
        <v>477</v>
      </c>
      <c r="D394" s="1">
        <v>42923</v>
      </c>
      <c r="E394">
        <v>96.9</v>
      </c>
      <c r="F394">
        <v>-1.3</v>
      </c>
      <c r="G394" s="3">
        <v>-1.32E-2</v>
      </c>
      <c r="H394">
        <v>2017</v>
      </c>
      <c r="I394">
        <v>7.5</v>
      </c>
      <c r="J394">
        <v>5</v>
      </c>
      <c r="K394">
        <v>0</v>
      </c>
      <c r="L394">
        <v>5</v>
      </c>
      <c r="M394" s="3">
        <v>5.16E-2</v>
      </c>
      <c r="N394" s="2">
        <v>0</v>
      </c>
      <c r="O394" s="3">
        <v>5.16E-2</v>
      </c>
      <c r="P394" s="3">
        <v>0.66700000000000004</v>
      </c>
      <c r="Q394" s="2">
        <v>0</v>
      </c>
      <c r="R394" s="3">
        <v>0.66700000000000004</v>
      </c>
    </row>
    <row r="395" spans="1:21" hidden="1" x14ac:dyDescent="0.6">
      <c r="A395">
        <v>394</v>
      </c>
      <c r="B395" t="str">
        <f>"3491"</f>
        <v>3491</v>
      </c>
      <c r="C395" t="s">
        <v>479</v>
      </c>
      <c r="D395" s="1">
        <v>42923</v>
      </c>
      <c r="E395">
        <v>77.599999999999994</v>
      </c>
      <c r="F395">
        <v>-1.9</v>
      </c>
      <c r="G395" s="3">
        <v>-2.3900000000000001E-2</v>
      </c>
      <c r="H395">
        <v>2017</v>
      </c>
      <c r="I395">
        <v>4.2699999999999996</v>
      </c>
      <c r="J395">
        <v>4</v>
      </c>
      <c r="K395">
        <v>0</v>
      </c>
      <c r="L395">
        <v>4</v>
      </c>
      <c r="M395" s="3">
        <v>5.1499999999999997E-2</v>
      </c>
      <c r="N395" s="2">
        <v>0</v>
      </c>
      <c r="O395" s="3">
        <v>5.1499999999999997E-2</v>
      </c>
      <c r="P395" s="3">
        <v>0.93700000000000006</v>
      </c>
      <c r="Q395" s="2">
        <v>0</v>
      </c>
      <c r="R395" s="3">
        <v>0.93700000000000006</v>
      </c>
      <c r="S395" t="s">
        <v>895</v>
      </c>
      <c r="U395" t="s">
        <v>904</v>
      </c>
    </row>
    <row r="396" spans="1:21" x14ac:dyDescent="0.6">
      <c r="A396">
        <v>395</v>
      </c>
      <c r="B396" t="str">
        <f>"8921"</f>
        <v>8921</v>
      </c>
      <c r="C396" t="s">
        <v>480</v>
      </c>
      <c r="D396" s="1">
        <v>42923</v>
      </c>
      <c r="E396">
        <v>15.35</v>
      </c>
      <c r="F396">
        <v>0.65</v>
      </c>
      <c r="G396" s="3">
        <v>4.4200000000000003E-2</v>
      </c>
      <c r="H396">
        <v>2017</v>
      </c>
      <c r="I396">
        <v>0.83</v>
      </c>
      <c r="J396">
        <v>0.79</v>
      </c>
      <c r="K396">
        <v>0</v>
      </c>
      <c r="L396">
        <v>0.79</v>
      </c>
      <c r="M396" s="3">
        <v>5.1499999999999997E-2</v>
      </c>
      <c r="N396" s="2">
        <v>0</v>
      </c>
      <c r="O396" s="3">
        <v>5.1499999999999997E-2</v>
      </c>
      <c r="P396" s="2">
        <v>0.95199999999999996</v>
      </c>
      <c r="Q396" s="2">
        <v>0</v>
      </c>
      <c r="R396" s="2">
        <v>0.95199999999999996</v>
      </c>
      <c r="S396" t="s">
        <v>902</v>
      </c>
      <c r="U396" t="s">
        <v>930</v>
      </c>
    </row>
    <row r="397" spans="1:21" x14ac:dyDescent="0.6">
      <c r="A397">
        <v>396</v>
      </c>
      <c r="B397" t="str">
        <f>"3693"</f>
        <v>3693</v>
      </c>
      <c r="C397" t="s">
        <v>482</v>
      </c>
      <c r="D397" s="1">
        <v>42923</v>
      </c>
      <c r="E397">
        <v>58.5</v>
      </c>
      <c r="F397">
        <v>5.3</v>
      </c>
      <c r="G397" s="3">
        <v>9.9599999999999994E-2</v>
      </c>
      <c r="H397">
        <v>2017</v>
      </c>
      <c r="I397">
        <v>3.46</v>
      </c>
      <c r="J397">
        <v>3</v>
      </c>
      <c r="K397">
        <v>0</v>
      </c>
      <c r="L397">
        <v>3</v>
      </c>
      <c r="M397" s="3">
        <v>5.1299999999999998E-2</v>
      </c>
      <c r="N397" s="2">
        <v>0</v>
      </c>
      <c r="O397" s="3">
        <v>5.1299999999999998E-2</v>
      </c>
      <c r="P397" s="3">
        <v>0.86699999999999999</v>
      </c>
      <c r="Q397" s="2">
        <v>0</v>
      </c>
      <c r="R397" s="3">
        <v>0.86699999999999999</v>
      </c>
    </row>
    <row r="398" spans="1:21" x14ac:dyDescent="0.6">
      <c r="A398">
        <v>397</v>
      </c>
      <c r="B398" t="str">
        <f>"6432"</f>
        <v>6432</v>
      </c>
      <c r="C398" t="s">
        <v>483</v>
      </c>
      <c r="D398" s="1">
        <v>42923</v>
      </c>
      <c r="E398">
        <v>19.5</v>
      </c>
      <c r="F398">
        <v>0.05</v>
      </c>
      <c r="G398" s="3">
        <v>2.5999999999999999E-3</v>
      </c>
      <c r="H398">
        <v>2017</v>
      </c>
      <c r="I398">
        <v>2.0099999999999998</v>
      </c>
      <c r="J398">
        <v>1</v>
      </c>
      <c r="K398">
        <v>0.4</v>
      </c>
      <c r="L398">
        <v>1.4</v>
      </c>
      <c r="M398" s="3">
        <v>5.1299999999999998E-2</v>
      </c>
      <c r="N398" s="3">
        <v>2.0500000000000001E-2</v>
      </c>
      <c r="O398" s="3">
        <v>7.1800000000000003E-2</v>
      </c>
      <c r="P398" s="3">
        <v>0.498</v>
      </c>
      <c r="Q398" s="3">
        <v>0.19900000000000001</v>
      </c>
      <c r="R398" s="3">
        <v>0.69599999999999995</v>
      </c>
      <c r="S398" t="s">
        <v>893</v>
      </c>
      <c r="T398" t="s">
        <v>893</v>
      </c>
      <c r="U398" t="s">
        <v>949</v>
      </c>
    </row>
    <row r="399" spans="1:21" x14ac:dyDescent="0.6">
      <c r="A399">
        <v>398</v>
      </c>
      <c r="B399" t="str">
        <f>"8926"</f>
        <v>8926</v>
      </c>
      <c r="C399" t="s">
        <v>484</v>
      </c>
      <c r="D399" s="1">
        <v>42923</v>
      </c>
      <c r="E399">
        <v>23.4</v>
      </c>
      <c r="F399">
        <v>-0.1</v>
      </c>
      <c r="G399" s="2">
        <v>-4.3E-3</v>
      </c>
      <c r="H399">
        <v>2017</v>
      </c>
      <c r="I399">
        <v>1.61</v>
      </c>
      <c r="J399">
        <v>1.2</v>
      </c>
      <c r="K399">
        <v>0</v>
      </c>
      <c r="L399">
        <v>1.2</v>
      </c>
      <c r="M399" s="3">
        <v>5.1299999999999998E-2</v>
      </c>
      <c r="N399" s="2">
        <v>0</v>
      </c>
      <c r="O399" s="3">
        <v>5.1299999999999998E-2</v>
      </c>
      <c r="P399" s="3">
        <v>0.745</v>
      </c>
      <c r="Q399" s="2">
        <v>0</v>
      </c>
      <c r="R399" s="3">
        <v>0.745</v>
      </c>
    </row>
    <row r="400" spans="1:21" hidden="1" x14ac:dyDescent="0.6">
      <c r="A400">
        <v>399</v>
      </c>
      <c r="B400" t="str">
        <f>"2926"</f>
        <v>2926</v>
      </c>
      <c r="C400" t="s">
        <v>485</v>
      </c>
      <c r="D400" s="1">
        <v>42923</v>
      </c>
      <c r="E400">
        <v>150</v>
      </c>
      <c r="F400">
        <v>0</v>
      </c>
      <c r="G400" s="2">
        <v>0</v>
      </c>
      <c r="H400">
        <v>2017</v>
      </c>
      <c r="I400">
        <v>8.8800000000000008</v>
      </c>
      <c r="J400">
        <v>7.68</v>
      </c>
      <c r="K400">
        <v>0</v>
      </c>
      <c r="L400">
        <v>7.68</v>
      </c>
      <c r="M400" s="3">
        <v>5.1200000000000002E-2</v>
      </c>
      <c r="N400" s="2">
        <v>0</v>
      </c>
      <c r="O400" s="3">
        <v>5.1200000000000002E-2</v>
      </c>
      <c r="P400" s="3">
        <v>0.86499999999999999</v>
      </c>
      <c r="Q400" s="2">
        <v>0</v>
      </c>
      <c r="R400" s="3">
        <v>0.86499999999999999</v>
      </c>
      <c r="S400" t="s">
        <v>901</v>
      </c>
      <c r="U400" t="s">
        <v>902</v>
      </c>
    </row>
    <row r="401" spans="1:21" x14ac:dyDescent="0.6">
      <c r="A401">
        <v>400</v>
      </c>
      <c r="B401" t="str">
        <f>"8410"</f>
        <v>8410</v>
      </c>
      <c r="C401" t="s">
        <v>486</v>
      </c>
      <c r="D401" s="1">
        <v>42923</v>
      </c>
      <c r="E401">
        <v>29.3</v>
      </c>
      <c r="F401">
        <v>0.2</v>
      </c>
      <c r="G401" s="2">
        <v>6.8999999999999999E-3</v>
      </c>
      <c r="H401">
        <v>2017</v>
      </c>
      <c r="I401">
        <v>2.37</v>
      </c>
      <c r="J401">
        <v>1.5</v>
      </c>
      <c r="K401">
        <v>0</v>
      </c>
      <c r="L401">
        <v>1.5</v>
      </c>
      <c r="M401" s="3">
        <v>5.1200000000000002E-2</v>
      </c>
      <c r="N401" s="2">
        <v>0</v>
      </c>
      <c r="O401" s="3">
        <v>5.1200000000000002E-2</v>
      </c>
      <c r="P401" s="3">
        <v>0.63300000000000001</v>
      </c>
      <c r="Q401" s="2">
        <v>0</v>
      </c>
      <c r="R401" s="3">
        <v>0.63300000000000001</v>
      </c>
    </row>
    <row r="402" spans="1:21" x14ac:dyDescent="0.6">
      <c r="A402">
        <v>401</v>
      </c>
      <c r="B402" t="str">
        <f>"3131"</f>
        <v>3131</v>
      </c>
      <c r="C402" t="s">
        <v>487</v>
      </c>
      <c r="D402" s="1">
        <v>42923</v>
      </c>
      <c r="E402">
        <v>195.5</v>
      </c>
      <c r="F402">
        <v>2</v>
      </c>
      <c r="G402" s="3">
        <v>1.03E-2</v>
      </c>
      <c r="H402">
        <v>2017</v>
      </c>
      <c r="I402">
        <v>15.9</v>
      </c>
      <c r="J402">
        <v>10</v>
      </c>
      <c r="K402">
        <v>0</v>
      </c>
      <c r="L402">
        <v>10</v>
      </c>
      <c r="M402" s="3">
        <v>5.1200000000000002E-2</v>
      </c>
      <c r="N402" s="2">
        <v>0</v>
      </c>
      <c r="O402" s="3">
        <v>5.1200000000000002E-2</v>
      </c>
      <c r="P402" s="3">
        <v>0.629</v>
      </c>
      <c r="Q402" s="2">
        <v>0</v>
      </c>
      <c r="R402" s="3">
        <v>0.629</v>
      </c>
      <c r="S402" t="s">
        <v>889</v>
      </c>
      <c r="U402" t="s">
        <v>928</v>
      </c>
    </row>
    <row r="403" spans="1:21" x14ac:dyDescent="0.6">
      <c r="A403">
        <v>402</v>
      </c>
      <c r="B403" t="str">
        <f>"6206"</f>
        <v>6206</v>
      </c>
      <c r="C403" t="s">
        <v>488</v>
      </c>
      <c r="D403" s="1">
        <v>42923</v>
      </c>
      <c r="E403">
        <v>97.9</v>
      </c>
      <c r="F403">
        <v>-0.5</v>
      </c>
      <c r="G403" s="3">
        <v>-5.1000000000000004E-3</v>
      </c>
      <c r="H403">
        <v>2017</v>
      </c>
      <c r="I403">
        <v>6.02</v>
      </c>
      <c r="J403">
        <v>5</v>
      </c>
      <c r="K403">
        <v>0</v>
      </c>
      <c r="L403">
        <v>5</v>
      </c>
      <c r="M403" s="3">
        <v>5.11E-2</v>
      </c>
      <c r="N403" s="3">
        <v>0</v>
      </c>
      <c r="O403" s="3">
        <v>5.11E-2</v>
      </c>
      <c r="P403" s="3">
        <v>0.83099999999999996</v>
      </c>
      <c r="Q403" s="3">
        <v>0</v>
      </c>
      <c r="R403" s="2">
        <v>0.83099999999999996</v>
      </c>
    </row>
    <row r="404" spans="1:21" x14ac:dyDescent="0.6">
      <c r="A404">
        <v>403</v>
      </c>
      <c r="B404" t="str">
        <f>"3221"</f>
        <v>3221</v>
      </c>
      <c r="C404" t="s">
        <v>489</v>
      </c>
      <c r="D404" s="1">
        <v>42923</v>
      </c>
      <c r="E404">
        <v>19.600000000000001</v>
      </c>
      <c r="F404">
        <v>-0.35</v>
      </c>
      <c r="G404" s="3">
        <v>-1.7500000000000002E-2</v>
      </c>
      <c r="H404">
        <v>2017</v>
      </c>
      <c r="I404">
        <v>1.21</v>
      </c>
      <c r="J404">
        <v>1</v>
      </c>
      <c r="K404">
        <v>0</v>
      </c>
      <c r="L404">
        <v>1</v>
      </c>
      <c r="M404" s="3">
        <v>5.0999999999999997E-2</v>
      </c>
      <c r="N404" s="2">
        <v>0</v>
      </c>
      <c r="O404" s="3">
        <v>5.0999999999999997E-2</v>
      </c>
      <c r="P404" s="2">
        <v>0.82599999999999996</v>
      </c>
      <c r="Q404" s="2">
        <v>0</v>
      </c>
      <c r="R404" s="2">
        <v>0.82599999999999996</v>
      </c>
    </row>
    <row r="405" spans="1:21" x14ac:dyDescent="0.6">
      <c r="A405">
        <v>404</v>
      </c>
      <c r="B405" t="str">
        <f>"3489"</f>
        <v>3489</v>
      </c>
      <c r="C405" t="s">
        <v>490</v>
      </c>
      <c r="D405" s="1">
        <v>42923</v>
      </c>
      <c r="E405">
        <v>9.8000000000000007</v>
      </c>
      <c r="F405">
        <v>-0.02</v>
      </c>
      <c r="G405" s="3">
        <v>-2E-3</v>
      </c>
      <c r="H405">
        <v>2017</v>
      </c>
      <c r="I405">
        <v>1.78</v>
      </c>
      <c r="J405">
        <v>0.5</v>
      </c>
      <c r="K405">
        <v>0</v>
      </c>
      <c r="L405">
        <v>0.5</v>
      </c>
      <c r="M405" s="2">
        <v>5.0999999999999997E-2</v>
      </c>
      <c r="N405" s="2">
        <v>0</v>
      </c>
      <c r="O405" s="2">
        <v>5.0999999999999997E-2</v>
      </c>
      <c r="P405" s="2">
        <v>0.28100000000000003</v>
      </c>
      <c r="Q405" s="2">
        <v>0</v>
      </c>
      <c r="R405" s="2">
        <v>0.28100000000000003</v>
      </c>
      <c r="S405" t="s">
        <v>913</v>
      </c>
      <c r="U405" t="s">
        <v>900</v>
      </c>
    </row>
    <row r="406" spans="1:21" x14ac:dyDescent="0.6">
      <c r="A406">
        <v>405</v>
      </c>
      <c r="B406" t="str">
        <f>"6449"</f>
        <v>6449</v>
      </c>
      <c r="C406" t="s">
        <v>491</v>
      </c>
      <c r="D406" s="1">
        <v>42923</v>
      </c>
      <c r="E406">
        <v>35.299999999999997</v>
      </c>
      <c r="F406">
        <v>-0.25</v>
      </c>
      <c r="G406" s="3">
        <v>-7.0000000000000001E-3</v>
      </c>
      <c r="H406">
        <v>2017</v>
      </c>
      <c r="I406">
        <v>2.9</v>
      </c>
      <c r="J406">
        <v>1.8</v>
      </c>
      <c r="K406">
        <v>0</v>
      </c>
      <c r="L406">
        <v>1.8</v>
      </c>
      <c r="M406" s="3">
        <v>5.0999999999999997E-2</v>
      </c>
      <c r="N406" s="2">
        <v>0</v>
      </c>
      <c r="O406" s="3">
        <v>5.0999999999999997E-2</v>
      </c>
      <c r="P406" s="3">
        <v>0.621</v>
      </c>
      <c r="Q406" s="2">
        <v>0</v>
      </c>
      <c r="R406" s="3">
        <v>0.621</v>
      </c>
      <c r="S406" t="s">
        <v>899</v>
      </c>
      <c r="U406" t="s">
        <v>930</v>
      </c>
    </row>
    <row r="407" spans="1:21" x14ac:dyDescent="0.6">
      <c r="A407">
        <v>406</v>
      </c>
      <c r="B407" t="str">
        <f>"8488"</f>
        <v>8488</v>
      </c>
      <c r="C407" t="s">
        <v>492</v>
      </c>
      <c r="D407" s="1">
        <v>42923</v>
      </c>
      <c r="E407">
        <v>39.25</v>
      </c>
      <c r="F407">
        <v>0.05</v>
      </c>
      <c r="G407" s="3">
        <v>1.2999999999999999E-3</v>
      </c>
      <c r="H407">
        <v>2017</v>
      </c>
      <c r="I407">
        <v>4.4800000000000004</v>
      </c>
      <c r="J407">
        <v>2</v>
      </c>
      <c r="K407">
        <v>0</v>
      </c>
      <c r="L407">
        <v>2</v>
      </c>
      <c r="M407" s="3">
        <v>5.0999999999999997E-2</v>
      </c>
      <c r="N407" s="2">
        <v>0</v>
      </c>
      <c r="O407" s="3">
        <v>5.0999999999999997E-2</v>
      </c>
      <c r="P407" s="3">
        <v>0.44600000000000001</v>
      </c>
      <c r="Q407" s="2">
        <v>0</v>
      </c>
      <c r="R407" s="3">
        <v>0.44600000000000001</v>
      </c>
    </row>
    <row r="408" spans="1:21" x14ac:dyDescent="0.6">
      <c r="A408">
        <v>407</v>
      </c>
      <c r="B408" t="str">
        <f>"2534"</f>
        <v>2534</v>
      </c>
      <c r="C408" t="s">
        <v>493</v>
      </c>
      <c r="D408" s="1">
        <v>42923</v>
      </c>
      <c r="E408">
        <v>19.649999999999999</v>
      </c>
      <c r="F408">
        <v>-0.05</v>
      </c>
      <c r="G408" s="3">
        <v>-2.5000000000000001E-3</v>
      </c>
      <c r="H408">
        <v>2017</v>
      </c>
      <c r="I408">
        <v>1.46</v>
      </c>
      <c r="J408">
        <v>1</v>
      </c>
      <c r="K408">
        <v>0</v>
      </c>
      <c r="L408">
        <v>1</v>
      </c>
      <c r="M408" s="3">
        <v>5.0900000000000001E-2</v>
      </c>
      <c r="N408" s="2">
        <v>0</v>
      </c>
      <c r="O408" s="3">
        <v>5.0900000000000001E-2</v>
      </c>
      <c r="P408" s="3">
        <v>0.68500000000000005</v>
      </c>
      <c r="Q408" s="2">
        <v>0</v>
      </c>
      <c r="R408" s="3">
        <v>0.68500000000000005</v>
      </c>
      <c r="S408" t="s">
        <v>946</v>
      </c>
      <c r="U408" t="s">
        <v>950</v>
      </c>
    </row>
    <row r="409" spans="1:21" x14ac:dyDescent="0.6">
      <c r="A409">
        <v>409</v>
      </c>
      <c r="B409" t="str">
        <f>"1722"</f>
        <v>1722</v>
      </c>
      <c r="C409" t="s">
        <v>496</v>
      </c>
      <c r="D409" s="1">
        <v>42923</v>
      </c>
      <c r="E409">
        <v>41.3</v>
      </c>
      <c r="F409">
        <v>-0.3</v>
      </c>
      <c r="G409" s="3">
        <v>-7.1999999999999998E-3</v>
      </c>
      <c r="H409">
        <v>2017</v>
      </c>
      <c r="I409">
        <v>-0.13</v>
      </c>
      <c r="J409">
        <v>2.1</v>
      </c>
      <c r="K409">
        <v>0</v>
      </c>
      <c r="L409">
        <v>2.1</v>
      </c>
      <c r="M409" s="3">
        <v>5.0799999999999998E-2</v>
      </c>
      <c r="N409" s="2">
        <v>0</v>
      </c>
      <c r="O409" s="3">
        <v>5.0799999999999998E-2</v>
      </c>
      <c r="P409" s="3">
        <v>-16.149999999999999</v>
      </c>
      <c r="Q409" s="2">
        <v>0</v>
      </c>
      <c r="R409" s="3">
        <v>-16.149999999999999</v>
      </c>
    </row>
    <row r="410" spans="1:21" hidden="1" x14ac:dyDescent="0.6">
      <c r="A410">
        <v>410</v>
      </c>
      <c r="B410" t="str">
        <f>"3021"</f>
        <v>3021</v>
      </c>
      <c r="C410" t="s">
        <v>497</v>
      </c>
      <c r="D410" s="1">
        <v>42923</v>
      </c>
      <c r="E410">
        <v>13.8</v>
      </c>
      <c r="F410">
        <v>0</v>
      </c>
      <c r="G410" s="2">
        <v>0</v>
      </c>
      <c r="H410">
        <v>2017</v>
      </c>
      <c r="I410">
        <v>1.05</v>
      </c>
      <c r="J410">
        <v>0.7</v>
      </c>
      <c r="K410">
        <v>0</v>
      </c>
      <c r="L410">
        <v>0.7</v>
      </c>
      <c r="M410" s="2">
        <v>5.0700000000000002E-2</v>
      </c>
      <c r="N410" s="2">
        <v>0</v>
      </c>
      <c r="O410" s="2">
        <v>5.0700000000000002E-2</v>
      </c>
      <c r="P410" s="2">
        <v>0.66700000000000004</v>
      </c>
      <c r="Q410" s="2">
        <v>0</v>
      </c>
      <c r="R410" s="2">
        <v>0.66700000000000004</v>
      </c>
      <c r="S410" t="s">
        <v>918</v>
      </c>
      <c r="U410" t="s">
        <v>919</v>
      </c>
    </row>
    <row r="411" spans="1:21" x14ac:dyDescent="0.6">
      <c r="A411">
        <v>411</v>
      </c>
      <c r="B411" t="str">
        <f>"5206"</f>
        <v>5206</v>
      </c>
      <c r="C411" t="s">
        <v>498</v>
      </c>
      <c r="D411" s="1">
        <v>42923</v>
      </c>
      <c r="E411">
        <v>9.8699999999999992</v>
      </c>
      <c r="F411">
        <v>-0.03</v>
      </c>
      <c r="G411" s="3">
        <v>-3.0000000000000001E-3</v>
      </c>
      <c r="H411">
        <v>2017</v>
      </c>
      <c r="I411">
        <v>0.95</v>
      </c>
      <c r="J411">
        <v>0.5</v>
      </c>
      <c r="K411">
        <v>0</v>
      </c>
      <c r="L411">
        <v>0.5</v>
      </c>
      <c r="M411" s="2">
        <v>5.0700000000000002E-2</v>
      </c>
      <c r="N411" s="2">
        <v>0</v>
      </c>
      <c r="O411" s="2">
        <v>5.0700000000000002E-2</v>
      </c>
      <c r="P411" s="2">
        <v>0.52600000000000002</v>
      </c>
      <c r="Q411" s="2">
        <v>0</v>
      </c>
      <c r="R411" s="2">
        <v>0.52600000000000002</v>
      </c>
    </row>
    <row r="412" spans="1:21" x14ac:dyDescent="0.6">
      <c r="A412">
        <v>412</v>
      </c>
      <c r="B412" t="str">
        <f>"9925"</f>
        <v>9925</v>
      </c>
      <c r="C412" t="s">
        <v>499</v>
      </c>
      <c r="D412" s="1">
        <v>42923</v>
      </c>
      <c r="E412">
        <v>39.5</v>
      </c>
      <c r="F412">
        <v>-0.05</v>
      </c>
      <c r="G412" s="3">
        <v>-1.2999999999999999E-3</v>
      </c>
      <c r="H412">
        <v>2017</v>
      </c>
      <c r="I412">
        <v>2.5499999999999998</v>
      </c>
      <c r="J412">
        <v>2</v>
      </c>
      <c r="K412">
        <v>0</v>
      </c>
      <c r="L412">
        <v>2</v>
      </c>
      <c r="M412" s="3">
        <v>5.0599999999999999E-2</v>
      </c>
      <c r="N412" s="2">
        <v>0</v>
      </c>
      <c r="O412" s="3">
        <v>5.0599999999999999E-2</v>
      </c>
      <c r="P412" s="3">
        <v>0.78400000000000003</v>
      </c>
      <c r="Q412" s="2">
        <v>0</v>
      </c>
      <c r="R412" s="3">
        <v>0.78400000000000003</v>
      </c>
    </row>
    <row r="413" spans="1:21" hidden="1" x14ac:dyDescent="0.6">
      <c r="A413">
        <v>413</v>
      </c>
      <c r="B413" t="str">
        <f>"9930"</f>
        <v>9930</v>
      </c>
      <c r="C413" t="s">
        <v>500</v>
      </c>
      <c r="D413" s="1">
        <v>42923</v>
      </c>
      <c r="E413">
        <v>55.3</v>
      </c>
      <c r="F413">
        <v>-0.1</v>
      </c>
      <c r="G413" s="3">
        <v>-1.8E-3</v>
      </c>
      <c r="H413">
        <v>2017</v>
      </c>
      <c r="I413">
        <v>2.71</v>
      </c>
      <c r="J413">
        <v>2.8</v>
      </c>
      <c r="K413">
        <v>0</v>
      </c>
      <c r="L413">
        <v>2.8</v>
      </c>
      <c r="M413" s="3">
        <v>5.0599999999999999E-2</v>
      </c>
      <c r="N413" s="2">
        <v>0</v>
      </c>
      <c r="O413" s="3">
        <v>5.0599999999999999E-2</v>
      </c>
      <c r="P413" s="2">
        <v>1.03</v>
      </c>
      <c r="Q413" s="2">
        <v>0</v>
      </c>
      <c r="R413" s="2">
        <v>1.03</v>
      </c>
      <c r="S413" t="s">
        <v>894</v>
      </c>
      <c r="U413" t="s">
        <v>893</v>
      </c>
    </row>
    <row r="414" spans="1:21" x14ac:dyDescent="0.6">
      <c r="A414">
        <v>414</v>
      </c>
      <c r="B414" t="str">
        <f>"5258"</f>
        <v>5258</v>
      </c>
      <c r="C414" t="s">
        <v>501</v>
      </c>
      <c r="D414" s="1">
        <v>42923</v>
      </c>
      <c r="E414">
        <v>39.549999999999997</v>
      </c>
      <c r="F414">
        <v>-0.7</v>
      </c>
      <c r="G414" s="3">
        <v>-1.7399999999999999E-2</v>
      </c>
      <c r="H414">
        <v>2017</v>
      </c>
      <c r="I414">
        <v>4.58</v>
      </c>
      <c r="J414">
        <v>2</v>
      </c>
      <c r="K414">
        <v>0</v>
      </c>
      <c r="L414">
        <v>2</v>
      </c>
      <c r="M414" s="3">
        <v>5.0599999999999999E-2</v>
      </c>
      <c r="N414" s="3">
        <v>0</v>
      </c>
      <c r="O414" s="3">
        <v>5.0599999999999999E-2</v>
      </c>
      <c r="P414" s="3">
        <v>0.437</v>
      </c>
      <c r="Q414" s="2">
        <v>0</v>
      </c>
      <c r="R414" s="3">
        <v>0.437</v>
      </c>
    </row>
    <row r="415" spans="1:21" x14ac:dyDescent="0.6">
      <c r="A415">
        <v>415</v>
      </c>
      <c r="B415" t="str">
        <f>"2423"</f>
        <v>2423</v>
      </c>
      <c r="C415" t="s">
        <v>502</v>
      </c>
      <c r="D415" s="1">
        <v>42923</v>
      </c>
      <c r="E415">
        <v>23.75</v>
      </c>
      <c r="F415">
        <v>0.05</v>
      </c>
      <c r="G415" s="3">
        <v>2.0999999999999999E-3</v>
      </c>
      <c r="H415">
        <v>2017</v>
      </c>
      <c r="I415">
        <v>1.76</v>
      </c>
      <c r="J415">
        <v>1.2</v>
      </c>
      <c r="K415">
        <v>0</v>
      </c>
      <c r="L415">
        <v>1.2</v>
      </c>
      <c r="M415" s="3">
        <v>5.0500000000000003E-2</v>
      </c>
      <c r="N415" s="3">
        <v>0</v>
      </c>
      <c r="O415" s="3">
        <v>5.0500000000000003E-2</v>
      </c>
      <c r="P415" s="2">
        <v>0.68200000000000005</v>
      </c>
      <c r="Q415" s="2">
        <v>0</v>
      </c>
      <c r="R415" s="2">
        <v>0.68200000000000005</v>
      </c>
      <c r="S415" t="s">
        <v>897</v>
      </c>
      <c r="U415" t="s">
        <v>898</v>
      </c>
    </row>
    <row r="416" spans="1:21" hidden="1" x14ac:dyDescent="0.6">
      <c r="A416">
        <v>416</v>
      </c>
      <c r="B416" t="str">
        <f>"2421"</f>
        <v>2421</v>
      </c>
      <c r="C416" t="s">
        <v>503</v>
      </c>
      <c r="D416" s="1">
        <v>42923</v>
      </c>
      <c r="E416">
        <v>39.6</v>
      </c>
      <c r="F416">
        <v>-0.1</v>
      </c>
      <c r="G416" s="3">
        <v>-2.5000000000000001E-3</v>
      </c>
      <c r="H416">
        <v>2017</v>
      </c>
      <c r="I416">
        <v>2.2799999999999998</v>
      </c>
      <c r="J416">
        <v>2</v>
      </c>
      <c r="K416">
        <v>0</v>
      </c>
      <c r="L416">
        <v>2</v>
      </c>
      <c r="M416" s="3">
        <v>5.0500000000000003E-2</v>
      </c>
      <c r="N416" s="2">
        <v>0</v>
      </c>
      <c r="O416" s="3">
        <v>5.0500000000000003E-2</v>
      </c>
      <c r="P416" s="2">
        <v>0.877</v>
      </c>
      <c r="Q416" s="2">
        <v>0</v>
      </c>
      <c r="R416" s="2">
        <v>0.877</v>
      </c>
      <c r="S416" t="s">
        <v>941</v>
      </c>
      <c r="U416" t="s">
        <v>899</v>
      </c>
    </row>
    <row r="417" spans="1:21" hidden="1" x14ac:dyDescent="0.6">
      <c r="A417">
        <v>417</v>
      </c>
      <c r="B417" t="str">
        <f>"8213"</f>
        <v>8213</v>
      </c>
      <c r="C417" t="s">
        <v>504</v>
      </c>
      <c r="D417" s="1">
        <v>42923</v>
      </c>
      <c r="E417">
        <v>29.75</v>
      </c>
      <c r="F417">
        <v>0.05</v>
      </c>
      <c r="G417" s="3">
        <v>1.6999999999999999E-3</v>
      </c>
      <c r="H417">
        <v>2017</v>
      </c>
      <c r="I417">
        <v>3.08</v>
      </c>
      <c r="J417">
        <v>1.5</v>
      </c>
      <c r="K417">
        <v>0</v>
      </c>
      <c r="L417">
        <v>1.5</v>
      </c>
      <c r="M417" s="3">
        <v>5.04E-2</v>
      </c>
      <c r="N417" s="2">
        <v>0</v>
      </c>
      <c r="O417" s="3">
        <v>5.04E-2</v>
      </c>
      <c r="P417" s="3">
        <v>0.48699999999999999</v>
      </c>
      <c r="Q417" s="2">
        <v>0</v>
      </c>
      <c r="R417" s="3">
        <v>0.48699999999999999</v>
      </c>
      <c r="S417" t="s">
        <v>895</v>
      </c>
      <c r="U417" t="s">
        <v>893</v>
      </c>
    </row>
    <row r="418" spans="1:21" x14ac:dyDescent="0.6">
      <c r="A418">
        <v>418</v>
      </c>
      <c r="B418" t="str">
        <f>"3285"</f>
        <v>3285</v>
      </c>
      <c r="C418" t="s">
        <v>505</v>
      </c>
      <c r="D418" s="1">
        <v>42923</v>
      </c>
      <c r="E418">
        <v>19.850000000000001</v>
      </c>
      <c r="F418">
        <v>0.05</v>
      </c>
      <c r="G418" s="2">
        <v>2.5000000000000001E-3</v>
      </c>
      <c r="H418">
        <v>2017</v>
      </c>
      <c r="I418">
        <v>1.1499999999999999</v>
      </c>
      <c r="J418">
        <v>1</v>
      </c>
      <c r="K418">
        <v>0</v>
      </c>
      <c r="L418">
        <v>1</v>
      </c>
      <c r="M418" s="3">
        <v>5.04E-2</v>
      </c>
      <c r="N418" s="2">
        <v>0</v>
      </c>
      <c r="O418" s="3">
        <v>5.04E-2</v>
      </c>
      <c r="P418" s="3">
        <v>0.87</v>
      </c>
      <c r="Q418" s="2">
        <v>0</v>
      </c>
      <c r="R418" s="3">
        <v>0.87</v>
      </c>
    </row>
    <row r="419" spans="1:21" x14ac:dyDescent="0.6">
      <c r="A419">
        <v>419</v>
      </c>
      <c r="B419" t="str">
        <f>"3484"</f>
        <v>3484</v>
      </c>
      <c r="C419" t="s">
        <v>506</v>
      </c>
      <c r="D419" s="1">
        <v>42923</v>
      </c>
      <c r="E419">
        <v>39.700000000000003</v>
      </c>
      <c r="F419">
        <v>-0.2</v>
      </c>
      <c r="G419" s="3">
        <v>-5.0000000000000001E-3</v>
      </c>
      <c r="H419">
        <v>2017</v>
      </c>
      <c r="I419">
        <v>2.71</v>
      </c>
      <c r="J419">
        <v>2</v>
      </c>
      <c r="K419">
        <v>0.1</v>
      </c>
      <c r="L419">
        <v>2.1</v>
      </c>
      <c r="M419" s="3">
        <v>5.04E-2</v>
      </c>
      <c r="N419" s="3">
        <v>2.5000000000000001E-3</v>
      </c>
      <c r="O419" s="3">
        <v>5.2900000000000003E-2</v>
      </c>
      <c r="P419" s="3">
        <v>0.73799999999999999</v>
      </c>
      <c r="Q419" s="2">
        <v>3.6900000000000002E-2</v>
      </c>
      <c r="R419" s="2">
        <v>0.77500000000000002</v>
      </c>
    </row>
    <row r="420" spans="1:21" x14ac:dyDescent="0.6">
      <c r="A420">
        <v>420</v>
      </c>
      <c r="B420" t="str">
        <f>"9937"</f>
        <v>9937</v>
      </c>
      <c r="C420" t="s">
        <v>507</v>
      </c>
      <c r="D420" s="1">
        <v>42923</v>
      </c>
      <c r="E420">
        <v>39.700000000000003</v>
      </c>
      <c r="F420">
        <v>-0.25</v>
      </c>
      <c r="G420" s="3">
        <v>-6.3E-3</v>
      </c>
      <c r="H420">
        <v>2017</v>
      </c>
      <c r="I420">
        <v>2.2799999999999998</v>
      </c>
      <c r="J420">
        <v>2</v>
      </c>
      <c r="K420">
        <v>0</v>
      </c>
      <c r="L420">
        <v>2</v>
      </c>
      <c r="M420" s="3">
        <v>5.04E-2</v>
      </c>
      <c r="N420" s="2">
        <v>0</v>
      </c>
      <c r="O420" s="3">
        <v>5.04E-2</v>
      </c>
      <c r="P420" s="2">
        <v>0.877</v>
      </c>
      <c r="Q420" s="2">
        <v>0</v>
      </c>
      <c r="R420" s="2">
        <v>0.877</v>
      </c>
    </row>
    <row r="421" spans="1:21" x14ac:dyDescent="0.6">
      <c r="A421">
        <v>421</v>
      </c>
      <c r="B421" t="str">
        <f>"4535"</f>
        <v>4535</v>
      </c>
      <c r="C421" t="s">
        <v>508</v>
      </c>
      <c r="D421" s="1">
        <v>42923</v>
      </c>
      <c r="E421">
        <v>44.7</v>
      </c>
      <c r="F421">
        <v>-0.25</v>
      </c>
      <c r="G421" s="3">
        <v>-5.5999999999999999E-3</v>
      </c>
      <c r="H421">
        <v>2017</v>
      </c>
      <c r="I421">
        <v>3.28</v>
      </c>
      <c r="J421">
        <v>2.25</v>
      </c>
      <c r="K421">
        <v>0</v>
      </c>
      <c r="L421">
        <v>2.25</v>
      </c>
      <c r="M421" s="3">
        <v>5.0299999999999997E-2</v>
      </c>
      <c r="N421" s="2">
        <v>0</v>
      </c>
      <c r="O421" s="3">
        <v>5.0299999999999997E-2</v>
      </c>
      <c r="P421" s="3">
        <v>0.68600000000000005</v>
      </c>
      <c r="Q421" s="2">
        <v>0</v>
      </c>
      <c r="R421" s="3">
        <v>0.68600000000000005</v>
      </c>
      <c r="S421" t="s">
        <v>913</v>
      </c>
      <c r="U421" t="s">
        <v>919</v>
      </c>
    </row>
    <row r="422" spans="1:21" x14ac:dyDescent="0.6">
      <c r="A422">
        <v>422</v>
      </c>
      <c r="B422" t="str">
        <f>"8114"</f>
        <v>8114</v>
      </c>
      <c r="C422" t="s">
        <v>509</v>
      </c>
      <c r="D422" s="1">
        <v>42923</v>
      </c>
      <c r="E422">
        <v>159</v>
      </c>
      <c r="F422">
        <v>-6</v>
      </c>
      <c r="G422" s="3">
        <v>-3.6400000000000002E-2</v>
      </c>
      <c r="H422">
        <v>2017</v>
      </c>
      <c r="I422">
        <v>9.34</v>
      </c>
      <c r="J422">
        <v>8</v>
      </c>
      <c r="K422">
        <v>0.2</v>
      </c>
      <c r="L422">
        <v>8.1999999999999993</v>
      </c>
      <c r="M422" s="3">
        <v>5.0299999999999997E-2</v>
      </c>
      <c r="N422" s="3">
        <v>1.2999999999999999E-3</v>
      </c>
      <c r="O422" s="3">
        <v>5.16E-2</v>
      </c>
      <c r="P422" s="3">
        <v>0.85599999999999998</v>
      </c>
      <c r="Q422" s="3">
        <v>2.1399999999999999E-2</v>
      </c>
      <c r="R422" s="3">
        <v>0.878</v>
      </c>
    </row>
    <row r="423" spans="1:21" x14ac:dyDescent="0.6">
      <c r="A423">
        <v>423</v>
      </c>
      <c r="B423" t="str">
        <f>"1465"</f>
        <v>1465</v>
      </c>
      <c r="C423" t="s">
        <v>510</v>
      </c>
      <c r="D423" s="1">
        <v>42923</v>
      </c>
      <c r="E423">
        <v>12.95</v>
      </c>
      <c r="F423">
        <v>0.05</v>
      </c>
      <c r="G423" s="3">
        <v>3.8999999999999998E-3</v>
      </c>
      <c r="H423">
        <v>2017</v>
      </c>
      <c r="I423">
        <v>0.72</v>
      </c>
      <c r="J423">
        <v>0.65</v>
      </c>
      <c r="K423">
        <v>0</v>
      </c>
      <c r="L423">
        <v>0.65</v>
      </c>
      <c r="M423" s="3">
        <v>5.0200000000000002E-2</v>
      </c>
      <c r="N423" s="2">
        <v>0</v>
      </c>
      <c r="O423" s="3">
        <v>5.0200000000000002E-2</v>
      </c>
      <c r="P423" s="2">
        <v>0.90300000000000002</v>
      </c>
      <c r="Q423" s="2">
        <v>0</v>
      </c>
      <c r="R423" s="2">
        <v>0.90300000000000002</v>
      </c>
    </row>
    <row r="424" spans="1:21" hidden="1" x14ac:dyDescent="0.6">
      <c r="A424">
        <v>424</v>
      </c>
      <c r="B424" t="str">
        <f>"8930"</f>
        <v>8930</v>
      </c>
      <c r="C424" t="s">
        <v>511</v>
      </c>
      <c r="D424" s="1">
        <v>42923</v>
      </c>
      <c r="E424">
        <v>13.95</v>
      </c>
      <c r="F424">
        <v>0</v>
      </c>
      <c r="G424" s="2">
        <v>0</v>
      </c>
      <c r="H424">
        <v>2017</v>
      </c>
      <c r="I424">
        <v>0.74</v>
      </c>
      <c r="J424">
        <v>0.7</v>
      </c>
      <c r="K424">
        <v>0</v>
      </c>
      <c r="L424">
        <v>0.7</v>
      </c>
      <c r="M424" s="3">
        <v>5.0200000000000002E-2</v>
      </c>
      <c r="N424" s="3">
        <v>0</v>
      </c>
      <c r="O424" s="3">
        <v>5.0200000000000002E-2</v>
      </c>
      <c r="P424" s="3">
        <v>0.94599999999999995</v>
      </c>
      <c r="Q424" s="3">
        <v>0</v>
      </c>
      <c r="R424" s="3">
        <v>0.94599999999999995</v>
      </c>
      <c r="S424" t="s">
        <v>892</v>
      </c>
      <c r="U424" t="s">
        <v>910</v>
      </c>
    </row>
    <row r="425" spans="1:21" x14ac:dyDescent="0.6">
      <c r="A425">
        <v>425</v>
      </c>
      <c r="B425" t="str">
        <f>"2891"</f>
        <v>2891</v>
      </c>
      <c r="C425" t="s">
        <v>512</v>
      </c>
      <c r="D425" s="1">
        <v>42923</v>
      </c>
      <c r="E425">
        <v>19.95</v>
      </c>
      <c r="F425">
        <v>-0.2</v>
      </c>
      <c r="G425" s="3">
        <v>-9.9000000000000008E-3</v>
      </c>
      <c r="H425">
        <v>2017</v>
      </c>
      <c r="I425">
        <v>1.43</v>
      </c>
      <c r="J425">
        <v>1</v>
      </c>
      <c r="K425">
        <v>0</v>
      </c>
      <c r="L425">
        <v>1</v>
      </c>
      <c r="M425" s="3">
        <v>5.0099999999999999E-2</v>
      </c>
      <c r="N425" s="3">
        <v>0</v>
      </c>
      <c r="O425" s="3">
        <v>5.0099999999999999E-2</v>
      </c>
      <c r="P425" s="2">
        <v>0.69899999999999995</v>
      </c>
      <c r="Q425" s="3">
        <v>0</v>
      </c>
      <c r="R425" s="3">
        <v>0.69899999999999995</v>
      </c>
      <c r="S425" t="s">
        <v>917</v>
      </c>
      <c r="U425" t="s">
        <v>900</v>
      </c>
    </row>
    <row r="426" spans="1:21" x14ac:dyDescent="0.6">
      <c r="A426">
        <v>426</v>
      </c>
      <c r="B426" t="str">
        <f>"2066"</f>
        <v>2066</v>
      </c>
      <c r="C426" t="s">
        <v>514</v>
      </c>
      <c r="D426" s="1">
        <v>42923</v>
      </c>
      <c r="E426">
        <v>100</v>
      </c>
      <c r="F426">
        <v>-3</v>
      </c>
      <c r="G426" s="3">
        <v>-2.9100000000000001E-2</v>
      </c>
      <c r="H426">
        <v>2017</v>
      </c>
      <c r="I426">
        <v>6.02</v>
      </c>
      <c r="J426">
        <v>5</v>
      </c>
      <c r="K426">
        <v>0</v>
      </c>
      <c r="L426">
        <v>5</v>
      </c>
      <c r="M426" s="3">
        <v>0.05</v>
      </c>
      <c r="N426" s="2">
        <v>0</v>
      </c>
      <c r="O426" s="3">
        <v>0.05</v>
      </c>
      <c r="P426" s="3">
        <v>0.83099999999999996</v>
      </c>
      <c r="Q426" s="2">
        <v>0</v>
      </c>
      <c r="R426" s="3">
        <v>0.83099999999999996</v>
      </c>
    </row>
    <row r="427" spans="1:21" hidden="1" x14ac:dyDescent="0.6">
      <c r="A427">
        <v>427</v>
      </c>
      <c r="B427" t="str">
        <f>"5007"</f>
        <v>5007</v>
      </c>
      <c r="C427" t="s">
        <v>515</v>
      </c>
      <c r="D427" s="1">
        <v>42923</v>
      </c>
      <c r="E427">
        <v>50</v>
      </c>
      <c r="F427">
        <v>-0.1</v>
      </c>
      <c r="G427" s="3">
        <v>-2E-3</v>
      </c>
      <c r="H427">
        <v>2017</v>
      </c>
      <c r="I427">
        <v>3.7</v>
      </c>
      <c r="J427">
        <v>2.5</v>
      </c>
      <c r="K427">
        <v>0</v>
      </c>
      <c r="L427">
        <v>2.5</v>
      </c>
      <c r="M427" s="2">
        <v>0.05</v>
      </c>
      <c r="N427" s="3">
        <v>0</v>
      </c>
      <c r="O427" s="3">
        <v>0.05</v>
      </c>
      <c r="P427" s="2">
        <v>0.67600000000000005</v>
      </c>
      <c r="Q427" s="3">
        <v>0</v>
      </c>
      <c r="R427" s="2">
        <v>0.67600000000000005</v>
      </c>
      <c r="S427" t="s">
        <v>948</v>
      </c>
      <c r="U427" t="s">
        <v>897</v>
      </c>
    </row>
    <row r="428" spans="1:21" x14ac:dyDescent="0.6">
      <c r="A428">
        <v>428</v>
      </c>
      <c r="B428" t="str">
        <f>"1474"</f>
        <v>1474</v>
      </c>
      <c r="C428" t="s">
        <v>516</v>
      </c>
      <c r="D428" s="1">
        <v>42923</v>
      </c>
      <c r="E428">
        <v>12</v>
      </c>
      <c r="F428">
        <v>-0.05</v>
      </c>
      <c r="G428" s="3">
        <v>-4.1000000000000003E-3</v>
      </c>
      <c r="H428">
        <v>2017</v>
      </c>
      <c r="I428">
        <v>0.94</v>
      </c>
      <c r="J428">
        <v>0.6</v>
      </c>
      <c r="K428">
        <v>0</v>
      </c>
      <c r="L428">
        <v>0.6</v>
      </c>
      <c r="M428" s="3">
        <v>0.05</v>
      </c>
      <c r="N428" s="2">
        <v>0</v>
      </c>
      <c r="O428" s="3">
        <v>0.05</v>
      </c>
      <c r="P428" s="2">
        <v>0.63800000000000001</v>
      </c>
      <c r="Q428" s="2">
        <v>0</v>
      </c>
      <c r="R428" s="2">
        <v>0.63800000000000001</v>
      </c>
      <c r="S428" t="s">
        <v>899</v>
      </c>
      <c r="U428" t="s">
        <v>928</v>
      </c>
    </row>
    <row r="429" spans="1:21" x14ac:dyDescent="0.6">
      <c r="A429">
        <v>429</v>
      </c>
      <c r="B429" t="str">
        <f>"9933"</f>
        <v>9933</v>
      </c>
      <c r="C429" t="s">
        <v>517</v>
      </c>
      <c r="D429" s="1">
        <v>42923</v>
      </c>
      <c r="E429">
        <v>52.1</v>
      </c>
      <c r="F429">
        <v>-0.4</v>
      </c>
      <c r="G429" s="3">
        <v>-7.6E-3</v>
      </c>
      <c r="H429">
        <v>2017</v>
      </c>
      <c r="I429">
        <v>2.92</v>
      </c>
      <c r="J429">
        <v>2.6</v>
      </c>
      <c r="K429">
        <v>0</v>
      </c>
      <c r="L429">
        <v>2.6</v>
      </c>
      <c r="M429" s="3">
        <v>4.99E-2</v>
      </c>
      <c r="N429" s="2">
        <v>0</v>
      </c>
      <c r="O429" s="3">
        <v>4.99E-2</v>
      </c>
      <c r="P429" s="3">
        <v>0.89</v>
      </c>
      <c r="Q429" s="2">
        <v>0</v>
      </c>
      <c r="R429" s="3">
        <v>0.89</v>
      </c>
    </row>
    <row r="430" spans="1:21" x14ac:dyDescent="0.6">
      <c r="A430">
        <v>430</v>
      </c>
      <c r="B430" t="str">
        <f>"3617"</f>
        <v>3617</v>
      </c>
      <c r="C430" t="s">
        <v>518</v>
      </c>
      <c r="D430" s="1">
        <v>42923</v>
      </c>
      <c r="E430">
        <v>95.2</v>
      </c>
      <c r="F430">
        <v>-0.1</v>
      </c>
      <c r="G430" s="3">
        <v>-1E-3</v>
      </c>
      <c r="H430">
        <v>2017</v>
      </c>
      <c r="I430">
        <v>9.02</v>
      </c>
      <c r="J430">
        <v>4.75</v>
      </c>
      <c r="K430">
        <v>0</v>
      </c>
      <c r="L430">
        <v>4.75</v>
      </c>
      <c r="M430" s="3">
        <v>4.99E-2</v>
      </c>
      <c r="N430" s="2">
        <v>0</v>
      </c>
      <c r="O430" s="3">
        <v>4.99E-2</v>
      </c>
      <c r="P430" s="2">
        <v>0.52700000000000002</v>
      </c>
      <c r="Q430" s="2">
        <v>0</v>
      </c>
      <c r="R430" s="2">
        <v>0.52700000000000002</v>
      </c>
      <c r="S430" t="s">
        <v>926</v>
      </c>
      <c r="U430" t="s">
        <v>929</v>
      </c>
    </row>
    <row r="431" spans="1:21" x14ac:dyDescent="0.6">
      <c r="A431">
        <v>431</v>
      </c>
      <c r="B431" t="str">
        <f>"2456"</f>
        <v>2456</v>
      </c>
      <c r="C431" t="s">
        <v>519</v>
      </c>
      <c r="D431" s="1">
        <v>42923</v>
      </c>
      <c r="E431">
        <v>80.2</v>
      </c>
      <c r="F431">
        <v>1.6</v>
      </c>
      <c r="G431" s="3">
        <v>2.0400000000000001E-2</v>
      </c>
      <c r="H431">
        <v>2017</v>
      </c>
      <c r="I431">
        <v>5.34</v>
      </c>
      <c r="J431">
        <v>4</v>
      </c>
      <c r="K431">
        <v>0</v>
      </c>
      <c r="L431">
        <v>4</v>
      </c>
      <c r="M431" s="3">
        <v>4.99E-2</v>
      </c>
      <c r="N431" s="2">
        <v>0</v>
      </c>
      <c r="O431" s="3">
        <v>4.99E-2</v>
      </c>
      <c r="P431" s="3">
        <v>0.749</v>
      </c>
      <c r="Q431" s="2">
        <v>0</v>
      </c>
      <c r="R431" s="3">
        <v>0.749</v>
      </c>
    </row>
    <row r="432" spans="1:21" hidden="1" x14ac:dyDescent="0.6">
      <c r="A432">
        <v>432</v>
      </c>
      <c r="B432" t="str">
        <f>"9934"</f>
        <v>9934</v>
      </c>
      <c r="C432" t="s">
        <v>520</v>
      </c>
      <c r="D432" s="1">
        <v>42923</v>
      </c>
      <c r="E432">
        <v>19.649999999999999</v>
      </c>
      <c r="F432">
        <v>-0.05</v>
      </c>
      <c r="G432" s="3">
        <v>-2.5000000000000001E-3</v>
      </c>
      <c r="H432">
        <v>2017</v>
      </c>
      <c r="I432">
        <v>-1.31</v>
      </c>
      <c r="J432">
        <v>0.98</v>
      </c>
      <c r="K432">
        <v>0</v>
      </c>
      <c r="L432">
        <v>0.98</v>
      </c>
      <c r="M432" s="2">
        <v>4.9799999999999997E-2</v>
      </c>
      <c r="N432" s="2">
        <v>0</v>
      </c>
      <c r="O432" s="2">
        <v>4.9799999999999997E-2</v>
      </c>
      <c r="P432" s="2">
        <v>-0.748</v>
      </c>
      <c r="Q432" s="2">
        <v>0</v>
      </c>
      <c r="R432" s="2">
        <v>-0.748</v>
      </c>
      <c r="S432" t="s">
        <v>931</v>
      </c>
      <c r="U432" t="s">
        <v>889</v>
      </c>
    </row>
    <row r="433" spans="1:21" x14ac:dyDescent="0.6">
      <c r="A433">
        <v>433</v>
      </c>
      <c r="B433" t="str">
        <f>"2707"</f>
        <v>2707</v>
      </c>
      <c r="C433" t="s">
        <v>521</v>
      </c>
      <c r="D433" s="1">
        <v>42923</v>
      </c>
      <c r="E433">
        <v>164</v>
      </c>
      <c r="F433">
        <v>-1</v>
      </c>
      <c r="G433" s="2">
        <v>-6.1000000000000004E-3</v>
      </c>
      <c r="H433">
        <v>2017</v>
      </c>
      <c r="I433">
        <v>7.53</v>
      </c>
      <c r="J433">
        <v>8.17</v>
      </c>
      <c r="K433">
        <v>0</v>
      </c>
      <c r="L433">
        <v>8.17</v>
      </c>
      <c r="M433" s="3">
        <v>4.9799999999999997E-2</v>
      </c>
      <c r="N433" s="2">
        <v>0</v>
      </c>
      <c r="O433" s="3">
        <v>4.9799999999999997E-2</v>
      </c>
      <c r="P433" s="3">
        <v>1.08</v>
      </c>
      <c r="Q433" s="2">
        <v>0</v>
      </c>
      <c r="R433" s="3">
        <v>1.08</v>
      </c>
    </row>
    <row r="434" spans="1:21" x14ac:dyDescent="0.6">
      <c r="A434">
        <v>434</v>
      </c>
      <c r="B434" t="str">
        <f>"6160"</f>
        <v>6160</v>
      </c>
      <c r="C434" t="s">
        <v>522</v>
      </c>
      <c r="D434" s="1">
        <v>42923</v>
      </c>
      <c r="E434">
        <v>20.100000000000001</v>
      </c>
      <c r="F434">
        <v>0.2</v>
      </c>
      <c r="G434" s="3">
        <v>1.01E-2</v>
      </c>
      <c r="H434">
        <v>2017</v>
      </c>
      <c r="I434">
        <v>1.19</v>
      </c>
      <c r="J434">
        <v>1</v>
      </c>
      <c r="K434">
        <v>0</v>
      </c>
      <c r="L434">
        <v>1</v>
      </c>
      <c r="M434" s="3">
        <v>4.9799999999999997E-2</v>
      </c>
      <c r="N434" s="2">
        <v>0</v>
      </c>
      <c r="O434" s="3">
        <v>4.9799999999999997E-2</v>
      </c>
      <c r="P434" s="3">
        <v>0.84</v>
      </c>
      <c r="Q434" s="2">
        <v>0</v>
      </c>
      <c r="R434" s="3">
        <v>0.84</v>
      </c>
      <c r="S434" t="s">
        <v>926</v>
      </c>
      <c r="U434" t="s">
        <v>904</v>
      </c>
    </row>
    <row r="435" spans="1:21" x14ac:dyDescent="0.6">
      <c r="A435">
        <v>435</v>
      </c>
      <c r="B435" t="str">
        <f>"1737"</f>
        <v>1737</v>
      </c>
      <c r="C435" t="s">
        <v>524</v>
      </c>
      <c r="D435" s="1">
        <v>42923</v>
      </c>
      <c r="E435">
        <v>30.2</v>
      </c>
      <c r="F435">
        <v>-0.1</v>
      </c>
      <c r="G435" s="3">
        <v>-3.3E-3</v>
      </c>
      <c r="H435">
        <v>2017</v>
      </c>
      <c r="I435">
        <v>1.76</v>
      </c>
      <c r="J435">
        <v>1.5</v>
      </c>
      <c r="K435">
        <v>0</v>
      </c>
      <c r="L435">
        <v>1.5</v>
      </c>
      <c r="M435" s="3">
        <v>4.9700000000000001E-2</v>
      </c>
      <c r="N435" s="2">
        <v>0</v>
      </c>
      <c r="O435" s="3">
        <v>4.9700000000000001E-2</v>
      </c>
      <c r="P435" s="3">
        <v>0.85199999999999998</v>
      </c>
      <c r="Q435" s="2">
        <v>0</v>
      </c>
      <c r="R435" s="3">
        <v>0.85199999999999998</v>
      </c>
    </row>
    <row r="436" spans="1:21" x14ac:dyDescent="0.6">
      <c r="A436">
        <v>436</v>
      </c>
      <c r="B436" t="str">
        <f>"5460"</f>
        <v>5460</v>
      </c>
      <c r="C436" t="s">
        <v>526</v>
      </c>
      <c r="D436" s="1">
        <v>42923</v>
      </c>
      <c r="E436">
        <v>13.1</v>
      </c>
      <c r="F436">
        <v>0.05</v>
      </c>
      <c r="G436" s="3">
        <v>3.8E-3</v>
      </c>
      <c r="H436">
        <v>2017</v>
      </c>
      <c r="I436">
        <v>0.72</v>
      </c>
      <c r="J436">
        <v>0.65</v>
      </c>
      <c r="K436">
        <v>0</v>
      </c>
      <c r="L436">
        <v>0.65</v>
      </c>
      <c r="M436" s="3">
        <v>4.9599999999999998E-2</v>
      </c>
      <c r="N436" s="2">
        <v>0</v>
      </c>
      <c r="O436" s="3">
        <v>4.9599999999999998E-2</v>
      </c>
      <c r="P436" s="2">
        <v>0.90300000000000002</v>
      </c>
      <c r="Q436" s="2">
        <v>0</v>
      </c>
      <c r="R436" s="2">
        <v>0.90300000000000002</v>
      </c>
    </row>
    <row r="437" spans="1:21" x14ac:dyDescent="0.6">
      <c r="A437">
        <v>437</v>
      </c>
      <c r="B437" t="str">
        <f>"3058"</f>
        <v>3058</v>
      </c>
      <c r="C437" t="s">
        <v>527</v>
      </c>
      <c r="D437" s="1">
        <v>42923</v>
      </c>
      <c r="E437">
        <v>10.1</v>
      </c>
      <c r="F437">
        <v>-0.15</v>
      </c>
      <c r="G437" s="3">
        <v>-1.46E-2</v>
      </c>
      <c r="H437">
        <v>2017</v>
      </c>
      <c r="I437">
        <v>0.57999999999999996</v>
      </c>
      <c r="J437">
        <v>0.5</v>
      </c>
      <c r="K437">
        <v>0</v>
      </c>
      <c r="L437">
        <v>0.5</v>
      </c>
      <c r="M437" s="3">
        <v>4.9500000000000002E-2</v>
      </c>
      <c r="N437" s="3">
        <v>0</v>
      </c>
      <c r="O437" s="3">
        <v>4.9500000000000002E-2</v>
      </c>
      <c r="P437" s="3">
        <v>0.86199999999999999</v>
      </c>
      <c r="Q437" s="3">
        <v>0</v>
      </c>
      <c r="R437" s="3">
        <v>0.86199999999999999</v>
      </c>
    </row>
    <row r="438" spans="1:21" hidden="1" x14ac:dyDescent="0.6">
      <c r="A438">
        <v>438</v>
      </c>
      <c r="B438" t="str">
        <f>"1592"</f>
        <v>1592</v>
      </c>
      <c r="C438" t="s">
        <v>528</v>
      </c>
      <c r="D438" s="1">
        <v>42923</v>
      </c>
      <c r="E438">
        <v>44.5</v>
      </c>
      <c r="F438">
        <v>0</v>
      </c>
      <c r="G438" s="2">
        <v>0</v>
      </c>
      <c r="H438">
        <v>2017</v>
      </c>
      <c r="I438">
        <v>4.3899999999999997</v>
      </c>
      <c r="J438">
        <v>2.2000000000000002</v>
      </c>
      <c r="K438">
        <v>0</v>
      </c>
      <c r="L438">
        <v>2.2000000000000002</v>
      </c>
      <c r="M438" s="3">
        <v>4.9399999999999999E-2</v>
      </c>
      <c r="N438" s="2">
        <v>0</v>
      </c>
      <c r="O438" s="3">
        <v>4.9399999999999999E-2</v>
      </c>
      <c r="P438" s="3">
        <v>0.501</v>
      </c>
      <c r="Q438" s="2">
        <v>0</v>
      </c>
      <c r="R438" s="3">
        <v>0.501</v>
      </c>
      <c r="S438" t="s">
        <v>927</v>
      </c>
      <c r="U438" t="s">
        <v>889</v>
      </c>
    </row>
    <row r="439" spans="1:21" x14ac:dyDescent="0.6">
      <c r="A439">
        <v>439</v>
      </c>
      <c r="B439" t="str">
        <f>"4906"</f>
        <v>4906</v>
      </c>
      <c r="C439" t="s">
        <v>529</v>
      </c>
      <c r="D439" s="1">
        <v>42923</v>
      </c>
      <c r="E439">
        <v>29.6</v>
      </c>
      <c r="F439">
        <v>-0.1</v>
      </c>
      <c r="G439" s="3">
        <v>-3.3999999999999998E-3</v>
      </c>
      <c r="H439">
        <v>2017</v>
      </c>
      <c r="I439">
        <v>1.89</v>
      </c>
      <c r="J439">
        <v>1.46</v>
      </c>
      <c r="K439">
        <v>0</v>
      </c>
      <c r="L439">
        <v>1.46</v>
      </c>
      <c r="M439" s="3">
        <v>4.9299999999999997E-2</v>
      </c>
      <c r="N439" s="2">
        <v>0</v>
      </c>
      <c r="O439" s="3">
        <v>4.9299999999999997E-2</v>
      </c>
      <c r="P439" s="2">
        <v>0.77200000000000002</v>
      </c>
      <c r="Q439" s="2">
        <v>0</v>
      </c>
      <c r="R439" s="2">
        <v>0.77200000000000002</v>
      </c>
      <c r="S439" t="s">
        <v>899</v>
      </c>
      <c r="U439" t="s">
        <v>929</v>
      </c>
    </row>
    <row r="440" spans="1:21" x14ac:dyDescent="0.6">
      <c r="A440">
        <v>440</v>
      </c>
      <c r="B440" t="str">
        <f>"5312"</f>
        <v>5312</v>
      </c>
      <c r="C440" t="s">
        <v>530</v>
      </c>
      <c r="D440" s="1">
        <v>42923</v>
      </c>
      <c r="E440">
        <v>73</v>
      </c>
      <c r="F440">
        <v>-0.4</v>
      </c>
      <c r="G440" s="3">
        <v>-5.4000000000000003E-3</v>
      </c>
      <c r="H440">
        <v>2017</v>
      </c>
      <c r="I440">
        <v>5.98</v>
      </c>
      <c r="J440">
        <v>3.6</v>
      </c>
      <c r="K440">
        <v>0</v>
      </c>
      <c r="L440">
        <v>3.6</v>
      </c>
      <c r="M440" s="3">
        <v>4.9299999999999997E-2</v>
      </c>
      <c r="N440" s="2">
        <v>0</v>
      </c>
      <c r="O440" s="3">
        <v>4.9299999999999997E-2</v>
      </c>
      <c r="P440" s="3">
        <v>0.60199999999999998</v>
      </c>
      <c r="Q440" s="2">
        <v>0</v>
      </c>
      <c r="R440" s="3">
        <v>0.60199999999999998</v>
      </c>
      <c r="S440" t="s">
        <v>919</v>
      </c>
      <c r="U440" t="s">
        <v>928</v>
      </c>
    </row>
    <row r="441" spans="1:21" hidden="1" x14ac:dyDescent="0.6">
      <c r="A441">
        <v>441</v>
      </c>
      <c r="B441" t="str">
        <f>"1507"</f>
        <v>1507</v>
      </c>
      <c r="C441" t="s">
        <v>531</v>
      </c>
      <c r="D441" s="1">
        <v>42923</v>
      </c>
      <c r="E441">
        <v>48.7</v>
      </c>
      <c r="F441">
        <v>-0.9</v>
      </c>
      <c r="G441" s="3">
        <v>-1.8100000000000002E-2</v>
      </c>
      <c r="H441">
        <v>2017</v>
      </c>
      <c r="I441">
        <v>3.8</v>
      </c>
      <c r="J441">
        <v>2.4</v>
      </c>
      <c r="K441">
        <v>0</v>
      </c>
      <c r="L441">
        <v>2.4</v>
      </c>
      <c r="M441" s="3">
        <v>4.9299999999999997E-2</v>
      </c>
      <c r="N441" s="2">
        <v>0</v>
      </c>
      <c r="O441" s="3">
        <v>4.9299999999999997E-2</v>
      </c>
      <c r="P441" s="3">
        <v>0.63200000000000001</v>
      </c>
      <c r="Q441" s="2">
        <v>0</v>
      </c>
      <c r="R441" s="3">
        <v>0.63200000000000001</v>
      </c>
      <c r="S441" t="s">
        <v>916</v>
      </c>
      <c r="U441" t="s">
        <v>919</v>
      </c>
    </row>
    <row r="442" spans="1:21" hidden="1" x14ac:dyDescent="0.6">
      <c r="A442">
        <v>442</v>
      </c>
      <c r="B442" t="str">
        <f>"6229"</f>
        <v>6229</v>
      </c>
      <c r="C442" t="s">
        <v>532</v>
      </c>
      <c r="D442" s="1">
        <v>42923</v>
      </c>
      <c r="E442">
        <v>13.6</v>
      </c>
      <c r="F442">
        <v>-0.1</v>
      </c>
      <c r="G442" s="3">
        <v>-7.3000000000000001E-3</v>
      </c>
      <c r="H442">
        <v>2017</v>
      </c>
      <c r="I442">
        <v>0.63</v>
      </c>
      <c r="J442">
        <v>0.67</v>
      </c>
      <c r="K442">
        <v>0</v>
      </c>
      <c r="L442">
        <v>0.67</v>
      </c>
      <c r="M442" s="3">
        <v>4.9299999999999997E-2</v>
      </c>
      <c r="N442" s="2">
        <v>0</v>
      </c>
      <c r="O442" s="3">
        <v>4.9299999999999997E-2</v>
      </c>
      <c r="P442" s="3">
        <v>1.06</v>
      </c>
      <c r="Q442" s="2">
        <v>0</v>
      </c>
      <c r="R442" s="3">
        <v>1.06</v>
      </c>
      <c r="S442" t="s">
        <v>894</v>
      </c>
      <c r="U442" t="s">
        <v>910</v>
      </c>
    </row>
    <row r="443" spans="1:21" x14ac:dyDescent="0.6">
      <c r="A443">
        <v>443</v>
      </c>
      <c r="B443" t="str">
        <f>"1301"</f>
        <v>1301</v>
      </c>
      <c r="C443" t="s">
        <v>533</v>
      </c>
      <c r="D443" s="1">
        <v>42923</v>
      </c>
      <c r="E443">
        <v>93.4</v>
      </c>
      <c r="F443">
        <v>-0.5</v>
      </c>
      <c r="G443" s="3">
        <v>-5.3E-3</v>
      </c>
      <c r="H443">
        <v>2017</v>
      </c>
      <c r="I443">
        <v>6.19</v>
      </c>
      <c r="J443">
        <v>4.5999999999999996</v>
      </c>
      <c r="K443">
        <v>0</v>
      </c>
      <c r="L443">
        <v>4.5999999999999996</v>
      </c>
      <c r="M443" s="3">
        <v>4.9299999999999997E-2</v>
      </c>
      <c r="N443" s="3">
        <v>0</v>
      </c>
      <c r="O443" s="3">
        <v>4.9299999999999997E-2</v>
      </c>
      <c r="P443" s="2">
        <v>0.74299999999999999</v>
      </c>
      <c r="Q443" s="3">
        <v>0</v>
      </c>
      <c r="R443" s="3">
        <v>0.74299999999999999</v>
      </c>
      <c r="S443" t="s">
        <v>897</v>
      </c>
      <c r="U443" t="s">
        <v>896</v>
      </c>
    </row>
    <row r="444" spans="1:21" hidden="1" x14ac:dyDescent="0.6">
      <c r="A444">
        <v>444</v>
      </c>
      <c r="B444" t="str">
        <f>"4755"</f>
        <v>4755</v>
      </c>
      <c r="C444" t="s">
        <v>534</v>
      </c>
      <c r="D444" s="1">
        <v>42923</v>
      </c>
      <c r="E444">
        <v>32.549999999999997</v>
      </c>
      <c r="F444">
        <v>-0.2</v>
      </c>
      <c r="G444" s="3">
        <v>-6.1000000000000004E-3</v>
      </c>
      <c r="H444">
        <v>2017</v>
      </c>
      <c r="I444">
        <v>3.18</v>
      </c>
      <c r="J444">
        <v>1.6</v>
      </c>
      <c r="K444">
        <v>0</v>
      </c>
      <c r="L444">
        <v>1.6</v>
      </c>
      <c r="M444" s="3">
        <v>4.9200000000000001E-2</v>
      </c>
      <c r="N444" s="2">
        <v>0</v>
      </c>
      <c r="O444" s="3">
        <v>4.9200000000000001E-2</v>
      </c>
      <c r="P444" s="2">
        <v>0.503</v>
      </c>
      <c r="Q444" s="2">
        <v>0</v>
      </c>
      <c r="R444" s="2">
        <v>0.503</v>
      </c>
      <c r="S444" t="s">
        <v>894</v>
      </c>
      <c r="U444" t="s">
        <v>893</v>
      </c>
    </row>
    <row r="445" spans="1:21" x14ac:dyDescent="0.6">
      <c r="A445">
        <v>445</v>
      </c>
      <c r="B445" t="str">
        <f>"1513"</f>
        <v>1513</v>
      </c>
      <c r="C445" t="s">
        <v>535</v>
      </c>
      <c r="D445" s="1">
        <v>42923</v>
      </c>
      <c r="E445">
        <v>20.350000000000001</v>
      </c>
      <c r="F445">
        <v>-0.6</v>
      </c>
      <c r="G445" s="3">
        <v>-2.86E-2</v>
      </c>
      <c r="H445">
        <v>2017</v>
      </c>
      <c r="I445">
        <v>1.22</v>
      </c>
      <c r="J445">
        <v>1</v>
      </c>
      <c r="K445">
        <v>0</v>
      </c>
      <c r="L445">
        <v>1</v>
      </c>
      <c r="M445" s="3">
        <v>4.9099999999999998E-2</v>
      </c>
      <c r="N445" s="2">
        <v>0</v>
      </c>
      <c r="O445" s="3">
        <v>4.9099999999999998E-2</v>
      </c>
      <c r="P445" s="3">
        <v>0.82</v>
      </c>
      <c r="Q445" s="2">
        <v>0</v>
      </c>
      <c r="R445" s="3">
        <v>0.82</v>
      </c>
    </row>
    <row r="446" spans="1:21" x14ac:dyDescent="0.6">
      <c r="A446">
        <v>446</v>
      </c>
      <c r="B446" t="str">
        <f>"6210"</f>
        <v>6210</v>
      </c>
      <c r="C446" t="s">
        <v>536</v>
      </c>
      <c r="D446" s="1">
        <v>42923</v>
      </c>
      <c r="E446">
        <v>40.700000000000003</v>
      </c>
      <c r="F446">
        <v>-0.25</v>
      </c>
      <c r="G446" s="3">
        <v>-6.1000000000000004E-3</v>
      </c>
      <c r="H446">
        <v>2017</v>
      </c>
      <c r="I446">
        <v>3.27</v>
      </c>
      <c r="J446">
        <v>2</v>
      </c>
      <c r="K446">
        <v>0</v>
      </c>
      <c r="L446">
        <v>2</v>
      </c>
      <c r="M446" s="3">
        <v>4.9099999999999998E-2</v>
      </c>
      <c r="N446" s="2">
        <v>0</v>
      </c>
      <c r="O446" s="3">
        <v>4.9099999999999998E-2</v>
      </c>
      <c r="P446" s="3">
        <v>0.61199999999999999</v>
      </c>
      <c r="Q446" s="2">
        <v>0</v>
      </c>
      <c r="R446" s="3">
        <v>0.61199999999999999</v>
      </c>
    </row>
    <row r="447" spans="1:21" x14ac:dyDescent="0.6">
      <c r="A447">
        <v>447</v>
      </c>
      <c r="B447" t="str">
        <f>"3031"</f>
        <v>3031</v>
      </c>
      <c r="C447" t="s">
        <v>537</v>
      </c>
      <c r="D447" s="1">
        <v>42923</v>
      </c>
      <c r="E447">
        <v>16.3</v>
      </c>
      <c r="F447">
        <v>-0.2</v>
      </c>
      <c r="G447" s="3">
        <v>-1.21E-2</v>
      </c>
      <c r="H447">
        <v>2017</v>
      </c>
      <c r="I447">
        <v>0.9</v>
      </c>
      <c r="J447">
        <v>0.8</v>
      </c>
      <c r="K447">
        <v>0</v>
      </c>
      <c r="L447">
        <v>0.8</v>
      </c>
      <c r="M447" s="2">
        <v>4.9099999999999998E-2</v>
      </c>
      <c r="N447" s="2">
        <v>0</v>
      </c>
      <c r="O447" s="2">
        <v>4.9099999999999998E-2</v>
      </c>
      <c r="P447" s="2">
        <v>0.88900000000000001</v>
      </c>
      <c r="Q447" s="2">
        <v>0</v>
      </c>
      <c r="R447" s="2">
        <v>0.88900000000000001</v>
      </c>
      <c r="S447" t="s">
        <v>917</v>
      </c>
      <c r="U447" t="s">
        <v>900</v>
      </c>
    </row>
    <row r="448" spans="1:21" x14ac:dyDescent="0.6">
      <c r="A448">
        <v>448</v>
      </c>
      <c r="B448" t="str">
        <f>"8349"</f>
        <v>8349</v>
      </c>
      <c r="C448" t="s">
        <v>538</v>
      </c>
      <c r="D448" s="1">
        <v>42923</v>
      </c>
      <c r="E448">
        <v>104</v>
      </c>
      <c r="F448">
        <v>-2.5</v>
      </c>
      <c r="G448" s="3">
        <v>-2.35E-2</v>
      </c>
      <c r="H448">
        <v>2017</v>
      </c>
      <c r="I448">
        <v>5.51</v>
      </c>
      <c r="J448">
        <v>5.0999999999999996</v>
      </c>
      <c r="K448">
        <v>0</v>
      </c>
      <c r="L448">
        <v>5.0999999999999996</v>
      </c>
      <c r="M448" s="3">
        <v>4.9000000000000002E-2</v>
      </c>
      <c r="N448" s="2">
        <v>0</v>
      </c>
      <c r="O448" s="3">
        <v>4.9000000000000002E-2</v>
      </c>
      <c r="P448" s="2">
        <v>0.92600000000000005</v>
      </c>
      <c r="Q448" s="2">
        <v>0</v>
      </c>
      <c r="R448" s="2">
        <v>0.92600000000000005</v>
      </c>
    </row>
    <row r="449" spans="1:21" x14ac:dyDescent="0.6">
      <c r="A449">
        <v>449</v>
      </c>
      <c r="B449" t="str">
        <f>"6271"</f>
        <v>6271</v>
      </c>
      <c r="C449" t="s">
        <v>539</v>
      </c>
      <c r="D449" s="1">
        <v>42923</v>
      </c>
      <c r="E449">
        <v>122.5</v>
      </c>
      <c r="F449">
        <v>-2.5</v>
      </c>
      <c r="G449" s="2">
        <v>-0.02</v>
      </c>
      <c r="H449">
        <v>2017</v>
      </c>
      <c r="I449">
        <v>6.29</v>
      </c>
      <c r="J449">
        <v>6</v>
      </c>
      <c r="K449">
        <v>0</v>
      </c>
      <c r="L449">
        <v>6</v>
      </c>
      <c r="M449" s="3">
        <v>4.9000000000000002E-2</v>
      </c>
      <c r="N449" s="2">
        <v>0</v>
      </c>
      <c r="O449" s="3">
        <v>4.9000000000000002E-2</v>
      </c>
      <c r="P449" s="3">
        <v>0.95399999999999996</v>
      </c>
      <c r="Q449" s="2">
        <v>0</v>
      </c>
      <c r="R449" s="3">
        <v>0.95399999999999996</v>
      </c>
    </row>
    <row r="450" spans="1:21" x14ac:dyDescent="0.6">
      <c r="A450">
        <v>450</v>
      </c>
      <c r="B450" t="str">
        <f>"3045"</f>
        <v>3045</v>
      </c>
      <c r="C450" t="s">
        <v>540</v>
      </c>
      <c r="D450" s="1">
        <v>42923</v>
      </c>
      <c r="E450">
        <v>114.5</v>
      </c>
      <c r="F450">
        <v>-0.5</v>
      </c>
      <c r="G450" s="3">
        <v>-4.3E-3</v>
      </c>
      <c r="H450">
        <v>2017</v>
      </c>
      <c r="I450">
        <v>5.63</v>
      </c>
      <c r="J450">
        <v>5.6</v>
      </c>
      <c r="K450">
        <v>0</v>
      </c>
      <c r="L450">
        <v>5.6</v>
      </c>
      <c r="M450" s="3">
        <v>4.8899999999999999E-2</v>
      </c>
      <c r="N450" s="2">
        <v>0</v>
      </c>
      <c r="O450" s="3">
        <v>4.8899999999999999E-2</v>
      </c>
      <c r="P450" s="2">
        <v>0.995</v>
      </c>
      <c r="Q450" s="2">
        <v>0</v>
      </c>
      <c r="R450" s="2">
        <v>0.995</v>
      </c>
      <c r="S450" t="s">
        <v>913</v>
      </c>
      <c r="U450" t="s">
        <v>932</v>
      </c>
    </row>
    <row r="451" spans="1:21" x14ac:dyDescent="0.6">
      <c r="A451">
        <v>451</v>
      </c>
      <c r="B451" t="str">
        <f>"4506"</f>
        <v>4506</v>
      </c>
      <c r="C451" t="s">
        <v>541</v>
      </c>
      <c r="D451" s="1">
        <v>42923</v>
      </c>
      <c r="E451">
        <v>45</v>
      </c>
      <c r="F451">
        <v>0</v>
      </c>
      <c r="G451" s="2">
        <v>0</v>
      </c>
      <c r="H451">
        <v>2017</v>
      </c>
      <c r="I451">
        <v>3.17</v>
      </c>
      <c r="J451">
        <v>2.2000000000000002</v>
      </c>
      <c r="K451">
        <v>0</v>
      </c>
      <c r="L451">
        <v>2.2000000000000002</v>
      </c>
      <c r="M451" s="3">
        <v>4.8899999999999999E-2</v>
      </c>
      <c r="N451" s="2">
        <v>0</v>
      </c>
      <c r="O451" s="3">
        <v>4.8899999999999999E-2</v>
      </c>
      <c r="P451" s="3">
        <v>0.69399999999999995</v>
      </c>
      <c r="Q451" s="2">
        <v>0</v>
      </c>
      <c r="R451" s="3">
        <v>0.69399999999999995</v>
      </c>
      <c r="S451" t="s">
        <v>926</v>
      </c>
      <c r="U451" t="s">
        <v>896</v>
      </c>
    </row>
    <row r="452" spans="1:21" x14ac:dyDescent="0.6">
      <c r="A452">
        <v>452</v>
      </c>
      <c r="B452" t="str">
        <f>"2897"</f>
        <v>2897</v>
      </c>
      <c r="C452" t="s">
        <v>542</v>
      </c>
      <c r="D452" s="1">
        <v>42923</v>
      </c>
      <c r="E452">
        <v>9.2200000000000006</v>
      </c>
      <c r="F452">
        <v>-0.04</v>
      </c>
      <c r="G452" s="3">
        <v>-4.3E-3</v>
      </c>
      <c r="H452">
        <v>2017</v>
      </c>
      <c r="I452">
        <v>0.69</v>
      </c>
      <c r="J452">
        <v>0.45</v>
      </c>
      <c r="K452">
        <v>0</v>
      </c>
      <c r="L452">
        <v>0.45</v>
      </c>
      <c r="M452" s="3">
        <v>4.8800000000000003E-2</v>
      </c>
      <c r="N452" s="2">
        <v>0</v>
      </c>
      <c r="O452" s="3">
        <v>4.8800000000000003E-2</v>
      </c>
      <c r="P452" s="2">
        <v>0.65200000000000002</v>
      </c>
      <c r="Q452" s="2">
        <v>0</v>
      </c>
      <c r="R452" s="2">
        <v>0.65200000000000002</v>
      </c>
      <c r="S452" t="s">
        <v>917</v>
      </c>
      <c r="U452" t="s">
        <v>900</v>
      </c>
    </row>
    <row r="453" spans="1:21" x14ac:dyDescent="0.6">
      <c r="A453">
        <v>453</v>
      </c>
      <c r="B453" t="str">
        <f>"1721"</f>
        <v>1721</v>
      </c>
      <c r="C453" t="s">
        <v>543</v>
      </c>
      <c r="D453" s="1">
        <v>42923</v>
      </c>
      <c r="E453">
        <v>14.35</v>
      </c>
      <c r="F453">
        <v>-0.1</v>
      </c>
      <c r="G453" s="3">
        <v>-6.8999999999999999E-3</v>
      </c>
      <c r="H453">
        <v>2017</v>
      </c>
      <c r="I453">
        <v>1.17</v>
      </c>
      <c r="J453">
        <v>0.7</v>
      </c>
      <c r="K453">
        <v>0</v>
      </c>
      <c r="L453">
        <v>0.7</v>
      </c>
      <c r="M453" s="2">
        <v>4.8800000000000003E-2</v>
      </c>
      <c r="N453" s="2">
        <v>0</v>
      </c>
      <c r="O453" s="2">
        <v>4.8800000000000003E-2</v>
      </c>
      <c r="P453" s="2">
        <v>0.59799999999999998</v>
      </c>
      <c r="Q453" s="2">
        <v>0</v>
      </c>
      <c r="R453" s="2">
        <v>0.59799999999999998</v>
      </c>
      <c r="S453" t="s">
        <v>917</v>
      </c>
      <c r="U453" t="s">
        <v>940</v>
      </c>
    </row>
    <row r="454" spans="1:21" x14ac:dyDescent="0.6">
      <c r="A454">
        <v>454</v>
      </c>
      <c r="B454" t="str">
        <f>"2382"</f>
        <v>2382</v>
      </c>
      <c r="C454" t="s">
        <v>544</v>
      </c>
      <c r="D454" s="1">
        <v>42923</v>
      </c>
      <c r="E454">
        <v>71.8</v>
      </c>
      <c r="F454">
        <v>0.2</v>
      </c>
      <c r="G454" s="3">
        <v>2.8E-3</v>
      </c>
      <c r="H454">
        <v>2017</v>
      </c>
      <c r="I454">
        <v>3.93</v>
      </c>
      <c r="J454">
        <v>3.5</v>
      </c>
      <c r="K454">
        <v>0</v>
      </c>
      <c r="L454">
        <v>3.5</v>
      </c>
      <c r="M454" s="3">
        <v>4.87E-2</v>
      </c>
      <c r="N454" s="2">
        <v>0</v>
      </c>
      <c r="O454" s="3">
        <v>4.87E-2</v>
      </c>
      <c r="P454" s="2">
        <v>0.89100000000000001</v>
      </c>
      <c r="Q454" s="2">
        <v>0</v>
      </c>
      <c r="R454" s="2">
        <v>0.89100000000000001</v>
      </c>
    </row>
    <row r="455" spans="1:21" x14ac:dyDescent="0.6">
      <c r="A455">
        <v>455</v>
      </c>
      <c r="B455" t="str">
        <f>"1726"</f>
        <v>1726</v>
      </c>
      <c r="C455" t="s">
        <v>545</v>
      </c>
      <c r="D455" s="1">
        <v>42923</v>
      </c>
      <c r="E455">
        <v>82.1</v>
      </c>
      <c r="F455">
        <v>-0.5</v>
      </c>
      <c r="G455" s="3">
        <v>-6.1000000000000004E-3</v>
      </c>
      <c r="H455">
        <v>2017</v>
      </c>
      <c r="I455">
        <v>6.52</v>
      </c>
      <c r="J455">
        <v>4</v>
      </c>
      <c r="K455">
        <v>0</v>
      </c>
      <c r="L455">
        <v>4</v>
      </c>
      <c r="M455" s="3">
        <v>4.87E-2</v>
      </c>
      <c r="N455" s="2">
        <v>0</v>
      </c>
      <c r="O455" s="3">
        <v>4.87E-2</v>
      </c>
      <c r="P455" s="3">
        <v>0.61399999999999999</v>
      </c>
      <c r="Q455" s="2">
        <v>0</v>
      </c>
      <c r="R455" s="3">
        <v>0.61399999999999999</v>
      </c>
    </row>
    <row r="456" spans="1:21" x14ac:dyDescent="0.6">
      <c r="A456">
        <v>456</v>
      </c>
      <c r="B456" t="str">
        <f>"4137"</f>
        <v>4137</v>
      </c>
      <c r="C456" t="s">
        <v>546</v>
      </c>
      <c r="D456" s="1">
        <v>42923</v>
      </c>
      <c r="E456">
        <v>133.5</v>
      </c>
      <c r="F456">
        <v>-0.5</v>
      </c>
      <c r="G456" s="3">
        <v>-3.7000000000000002E-3</v>
      </c>
      <c r="H456">
        <v>2017</v>
      </c>
      <c r="I456">
        <v>9.19</v>
      </c>
      <c r="J456">
        <v>6.5</v>
      </c>
      <c r="K456">
        <v>0</v>
      </c>
      <c r="L456">
        <v>6.5</v>
      </c>
      <c r="M456" s="3">
        <v>4.87E-2</v>
      </c>
      <c r="N456" s="2">
        <v>0</v>
      </c>
      <c r="O456" s="3">
        <v>4.87E-2</v>
      </c>
      <c r="P456" s="3">
        <v>0.70699999999999996</v>
      </c>
      <c r="Q456" s="2">
        <v>0</v>
      </c>
      <c r="R456" s="3">
        <v>0.70699999999999996</v>
      </c>
    </row>
    <row r="457" spans="1:21" x14ac:dyDescent="0.6">
      <c r="A457">
        <v>457</v>
      </c>
      <c r="B457" t="str">
        <f>"6508"</f>
        <v>6508</v>
      </c>
      <c r="C457" t="s">
        <v>547</v>
      </c>
      <c r="D457" s="1">
        <v>42923</v>
      </c>
      <c r="E457">
        <v>26.7</v>
      </c>
      <c r="F457">
        <v>-0.1</v>
      </c>
      <c r="G457" s="3">
        <v>-3.7000000000000002E-3</v>
      </c>
      <c r="H457">
        <v>2017</v>
      </c>
      <c r="I457">
        <v>2.08</v>
      </c>
      <c r="J457">
        <v>1.3</v>
      </c>
      <c r="K457">
        <v>0.2</v>
      </c>
      <c r="L457">
        <v>1.5</v>
      </c>
      <c r="M457" s="3">
        <v>4.87E-2</v>
      </c>
      <c r="N457" s="3">
        <v>7.4999999999999997E-3</v>
      </c>
      <c r="O457" s="3">
        <v>5.62E-2</v>
      </c>
      <c r="P457" s="3">
        <v>0.625</v>
      </c>
      <c r="Q457" s="3">
        <v>9.6199999999999994E-2</v>
      </c>
      <c r="R457" s="3">
        <v>0.72099999999999997</v>
      </c>
    </row>
    <row r="458" spans="1:21" x14ac:dyDescent="0.6">
      <c r="A458">
        <v>458</v>
      </c>
      <c r="B458" t="str">
        <f>"5102"</f>
        <v>5102</v>
      </c>
      <c r="C458" t="s">
        <v>549</v>
      </c>
      <c r="D458" s="1">
        <v>42923</v>
      </c>
      <c r="E458">
        <v>14.4</v>
      </c>
      <c r="F458">
        <v>0</v>
      </c>
      <c r="G458" s="2">
        <v>0</v>
      </c>
      <c r="H458">
        <v>2017</v>
      </c>
      <c r="I458">
        <v>0.76</v>
      </c>
      <c r="J458">
        <v>0.7</v>
      </c>
      <c r="K458">
        <v>0</v>
      </c>
      <c r="L458">
        <v>0.7</v>
      </c>
      <c r="M458" s="3">
        <v>4.8599999999999997E-2</v>
      </c>
      <c r="N458" s="2">
        <v>0</v>
      </c>
      <c r="O458" s="3">
        <v>4.8599999999999997E-2</v>
      </c>
      <c r="P458" s="3">
        <v>0.92100000000000004</v>
      </c>
      <c r="Q458" s="2">
        <v>0</v>
      </c>
      <c r="R458" s="3">
        <v>0.92100000000000004</v>
      </c>
      <c r="S458" t="s">
        <v>925</v>
      </c>
      <c r="U458" t="s">
        <v>893</v>
      </c>
    </row>
    <row r="459" spans="1:21" x14ac:dyDescent="0.6">
      <c r="A459">
        <v>459</v>
      </c>
      <c r="B459" t="str">
        <f>"2838"</f>
        <v>2838</v>
      </c>
      <c r="C459" t="s">
        <v>550</v>
      </c>
      <c r="D459" s="1">
        <v>42923</v>
      </c>
      <c r="E459">
        <v>9.27</v>
      </c>
      <c r="F459">
        <v>-0.01</v>
      </c>
      <c r="G459" s="3">
        <v>-1.1000000000000001E-3</v>
      </c>
      <c r="H459">
        <v>2017</v>
      </c>
      <c r="I459">
        <v>1.01</v>
      </c>
      <c r="J459">
        <v>0.45</v>
      </c>
      <c r="K459">
        <v>0</v>
      </c>
      <c r="L459">
        <v>0.45</v>
      </c>
      <c r="M459" s="2">
        <v>4.8500000000000001E-2</v>
      </c>
      <c r="N459" s="3">
        <v>0</v>
      </c>
      <c r="O459" s="3">
        <v>4.8500000000000001E-2</v>
      </c>
      <c r="P459" s="2">
        <v>0.44600000000000001</v>
      </c>
      <c r="Q459" s="3">
        <v>0</v>
      </c>
      <c r="R459" s="3">
        <v>0.44600000000000001</v>
      </c>
      <c r="S459" t="s">
        <v>889</v>
      </c>
      <c r="U459" t="s">
        <v>920</v>
      </c>
    </row>
    <row r="460" spans="1:21" x14ac:dyDescent="0.6">
      <c r="A460">
        <v>460</v>
      </c>
      <c r="B460" t="str">
        <f>"4190"</f>
        <v>4190</v>
      </c>
      <c r="C460" t="s">
        <v>551</v>
      </c>
      <c r="D460" s="1">
        <v>42923</v>
      </c>
      <c r="E460">
        <v>72.099999999999994</v>
      </c>
      <c r="F460">
        <v>-0.9</v>
      </c>
      <c r="G460" s="3">
        <v>-1.23E-2</v>
      </c>
      <c r="H460">
        <v>2017</v>
      </c>
      <c r="I460">
        <v>4.66</v>
      </c>
      <c r="J460">
        <v>3.5</v>
      </c>
      <c r="K460">
        <v>0</v>
      </c>
      <c r="L460">
        <v>3.5</v>
      </c>
      <c r="M460" s="3">
        <v>4.8500000000000001E-2</v>
      </c>
      <c r="N460" s="2">
        <v>0</v>
      </c>
      <c r="O460" s="3">
        <v>4.8500000000000001E-2</v>
      </c>
      <c r="P460" s="3">
        <v>0.751</v>
      </c>
      <c r="Q460" s="2">
        <v>0</v>
      </c>
      <c r="R460" s="3">
        <v>0.751</v>
      </c>
      <c r="S460" t="s">
        <v>913</v>
      </c>
      <c r="U460" t="s">
        <v>911</v>
      </c>
    </row>
    <row r="461" spans="1:21" x14ac:dyDescent="0.6">
      <c r="A461">
        <v>461</v>
      </c>
      <c r="B461" t="str">
        <f>"6112"</f>
        <v>6112</v>
      </c>
      <c r="C461" t="s">
        <v>552</v>
      </c>
      <c r="D461" s="1">
        <v>42923</v>
      </c>
      <c r="E461">
        <v>30.9</v>
      </c>
      <c r="F461">
        <v>0.05</v>
      </c>
      <c r="G461" s="3">
        <v>1.6000000000000001E-3</v>
      </c>
      <c r="H461">
        <v>2017</v>
      </c>
      <c r="I461">
        <v>2.48</v>
      </c>
      <c r="J461">
        <v>1.5</v>
      </c>
      <c r="K461">
        <v>0.5</v>
      </c>
      <c r="L461">
        <v>2</v>
      </c>
      <c r="M461" s="3">
        <v>4.8500000000000001E-2</v>
      </c>
      <c r="N461" s="2">
        <v>1.6199999999999999E-2</v>
      </c>
      <c r="O461" s="3">
        <v>6.4699999999999994E-2</v>
      </c>
      <c r="P461" s="3">
        <v>0.60499999999999998</v>
      </c>
      <c r="Q461" s="2">
        <v>0.20200000000000001</v>
      </c>
      <c r="R461" s="3">
        <v>0.80600000000000005</v>
      </c>
    </row>
    <row r="462" spans="1:21" hidden="1" x14ac:dyDescent="0.6">
      <c r="A462">
        <v>462</v>
      </c>
      <c r="B462" t="str">
        <f>"3094"</f>
        <v>3094</v>
      </c>
      <c r="C462" t="s">
        <v>553</v>
      </c>
      <c r="D462" s="1">
        <v>42923</v>
      </c>
      <c r="E462">
        <v>22.7</v>
      </c>
      <c r="F462">
        <v>-0.15</v>
      </c>
      <c r="G462" s="3">
        <v>-6.6E-3</v>
      </c>
      <c r="H462">
        <v>2017</v>
      </c>
      <c r="I462">
        <v>0.86</v>
      </c>
      <c r="J462">
        <v>1.1000000000000001</v>
      </c>
      <c r="K462">
        <v>0</v>
      </c>
      <c r="L462">
        <v>1.1000000000000001</v>
      </c>
      <c r="M462" s="3">
        <v>4.8500000000000001E-2</v>
      </c>
      <c r="N462" s="2">
        <v>0</v>
      </c>
      <c r="O462" s="3">
        <v>4.8500000000000001E-2</v>
      </c>
      <c r="P462" s="2">
        <v>1.28</v>
      </c>
      <c r="Q462" s="2">
        <v>0</v>
      </c>
      <c r="R462" s="2">
        <v>1.28</v>
      </c>
      <c r="S462" t="s">
        <v>906</v>
      </c>
      <c r="U462" t="s">
        <v>895</v>
      </c>
    </row>
    <row r="463" spans="1:21" x14ac:dyDescent="0.6">
      <c r="A463">
        <v>463</v>
      </c>
      <c r="B463" t="str">
        <f>"6217"</f>
        <v>6217</v>
      </c>
      <c r="C463" t="s">
        <v>554</v>
      </c>
      <c r="D463" s="1">
        <v>42923</v>
      </c>
      <c r="E463">
        <v>35.1</v>
      </c>
      <c r="F463">
        <v>-0.35</v>
      </c>
      <c r="G463" s="3">
        <v>-9.9000000000000008E-3</v>
      </c>
      <c r="H463">
        <v>2017</v>
      </c>
      <c r="I463">
        <v>2.58</v>
      </c>
      <c r="J463">
        <v>1.7</v>
      </c>
      <c r="K463">
        <v>0.1</v>
      </c>
      <c r="L463">
        <v>1.8</v>
      </c>
      <c r="M463" s="3">
        <v>4.8399999999999999E-2</v>
      </c>
      <c r="N463" s="3">
        <v>2.8E-3</v>
      </c>
      <c r="O463" s="3">
        <v>5.1299999999999998E-2</v>
      </c>
      <c r="P463" s="3">
        <v>0.65900000000000003</v>
      </c>
      <c r="Q463" s="3">
        <v>3.8800000000000001E-2</v>
      </c>
      <c r="R463" s="3">
        <v>0.69799999999999995</v>
      </c>
    </row>
    <row r="464" spans="1:21" x14ac:dyDescent="0.6">
      <c r="A464">
        <v>464</v>
      </c>
      <c r="B464" t="str">
        <f>"1231"</f>
        <v>1231</v>
      </c>
      <c r="C464" t="s">
        <v>555</v>
      </c>
      <c r="D464" s="1">
        <v>42923</v>
      </c>
      <c r="E464">
        <v>36.15</v>
      </c>
      <c r="F464">
        <v>0</v>
      </c>
      <c r="G464" s="2">
        <v>0</v>
      </c>
      <c r="H464">
        <v>2017</v>
      </c>
      <c r="I464">
        <v>3.07</v>
      </c>
      <c r="J464">
        <v>1.75</v>
      </c>
      <c r="K464">
        <v>0.45</v>
      </c>
      <c r="L464">
        <v>2.2000000000000002</v>
      </c>
      <c r="M464" s="3">
        <v>4.8399999999999999E-2</v>
      </c>
      <c r="N464" s="3">
        <v>1.24E-2</v>
      </c>
      <c r="O464" s="3">
        <v>6.0900000000000003E-2</v>
      </c>
      <c r="P464" s="2">
        <v>0.56999999999999995</v>
      </c>
      <c r="Q464" s="3">
        <v>0.14699999999999999</v>
      </c>
      <c r="R464" s="3">
        <v>0.71699999999999997</v>
      </c>
    </row>
    <row r="465" spans="1:21" hidden="1" x14ac:dyDescent="0.6">
      <c r="A465">
        <v>465</v>
      </c>
      <c r="B465" t="str">
        <f>"1727"</f>
        <v>1727</v>
      </c>
      <c r="C465" t="s">
        <v>556</v>
      </c>
      <c r="D465" s="1">
        <v>42923</v>
      </c>
      <c r="E465">
        <v>12.4</v>
      </c>
      <c r="F465">
        <v>-0.2</v>
      </c>
      <c r="G465" s="3">
        <v>-1.5900000000000001E-2</v>
      </c>
      <c r="H465">
        <v>2017</v>
      </c>
      <c r="I465">
        <v>0.88</v>
      </c>
      <c r="J465">
        <v>0.6</v>
      </c>
      <c r="K465">
        <v>0</v>
      </c>
      <c r="L465">
        <v>0.6</v>
      </c>
      <c r="M465" s="3">
        <v>4.8399999999999999E-2</v>
      </c>
      <c r="N465" s="3">
        <v>0</v>
      </c>
      <c r="O465" s="3">
        <v>4.8399999999999999E-2</v>
      </c>
      <c r="P465" s="3">
        <v>0.68200000000000005</v>
      </c>
      <c r="Q465" s="3">
        <v>0</v>
      </c>
      <c r="R465" s="3">
        <v>0.68200000000000005</v>
      </c>
      <c r="S465" t="s">
        <v>903</v>
      </c>
      <c r="U465" t="s">
        <v>930</v>
      </c>
    </row>
    <row r="466" spans="1:21" x14ac:dyDescent="0.6">
      <c r="A466">
        <v>466</v>
      </c>
      <c r="B466" t="str">
        <f>"1104"</f>
        <v>1104</v>
      </c>
      <c r="C466" t="s">
        <v>557</v>
      </c>
      <c r="D466" s="1">
        <v>42923</v>
      </c>
      <c r="E466">
        <v>24.9</v>
      </c>
      <c r="F466">
        <v>-0.1</v>
      </c>
      <c r="G466" s="3">
        <v>-4.0000000000000001E-3</v>
      </c>
      <c r="H466">
        <v>2017</v>
      </c>
      <c r="I466">
        <v>2.68</v>
      </c>
      <c r="J466">
        <v>1.2</v>
      </c>
      <c r="K466">
        <v>0.3</v>
      </c>
      <c r="L466">
        <v>1.5</v>
      </c>
      <c r="M466" s="3">
        <v>4.82E-2</v>
      </c>
      <c r="N466" s="2">
        <v>1.2E-2</v>
      </c>
      <c r="O466" s="3">
        <v>6.0199999999999997E-2</v>
      </c>
      <c r="P466" s="3">
        <v>0.44800000000000001</v>
      </c>
      <c r="Q466" s="2">
        <v>0.112</v>
      </c>
      <c r="R466" s="3">
        <v>0.56000000000000005</v>
      </c>
      <c r="S466" t="s">
        <v>902</v>
      </c>
      <c r="T466" t="s">
        <v>902</v>
      </c>
      <c r="U466" t="s">
        <v>929</v>
      </c>
    </row>
    <row r="467" spans="1:21" x14ac:dyDescent="0.6">
      <c r="A467">
        <v>467</v>
      </c>
      <c r="B467" t="str">
        <f>"6204"</f>
        <v>6204</v>
      </c>
      <c r="C467" t="s">
        <v>558</v>
      </c>
      <c r="D467" s="1">
        <v>42923</v>
      </c>
      <c r="E467">
        <v>20.75</v>
      </c>
      <c r="F467">
        <v>-0.05</v>
      </c>
      <c r="G467" s="3">
        <v>-2.3999999999999998E-3</v>
      </c>
      <c r="H467">
        <v>2017</v>
      </c>
      <c r="I467">
        <v>1.44</v>
      </c>
      <c r="J467">
        <v>1</v>
      </c>
      <c r="K467">
        <v>0</v>
      </c>
      <c r="L467">
        <v>1</v>
      </c>
      <c r="M467" s="3">
        <v>4.82E-2</v>
      </c>
      <c r="N467" s="2">
        <v>0</v>
      </c>
      <c r="O467" s="3">
        <v>4.82E-2</v>
      </c>
      <c r="P467" s="3">
        <v>0.69399999999999995</v>
      </c>
      <c r="Q467" s="2">
        <v>0</v>
      </c>
      <c r="R467" s="3">
        <v>0.69399999999999995</v>
      </c>
    </row>
    <row r="468" spans="1:21" x14ac:dyDescent="0.6">
      <c r="A468">
        <v>468</v>
      </c>
      <c r="B468" t="str">
        <f>"2221"</f>
        <v>2221</v>
      </c>
      <c r="C468" t="s">
        <v>560</v>
      </c>
      <c r="D468" s="1">
        <v>42923</v>
      </c>
      <c r="E468">
        <v>27</v>
      </c>
      <c r="F468">
        <v>-0.7</v>
      </c>
      <c r="G468" s="3">
        <v>-2.53E-2</v>
      </c>
      <c r="H468">
        <v>2017</v>
      </c>
      <c r="I468">
        <v>2.0299999999999998</v>
      </c>
      <c r="J468">
        <v>1.3</v>
      </c>
      <c r="K468">
        <v>0</v>
      </c>
      <c r="L468">
        <v>1.3</v>
      </c>
      <c r="M468" s="3">
        <v>4.8099999999999997E-2</v>
      </c>
      <c r="N468" s="2">
        <v>0</v>
      </c>
      <c r="O468" s="3">
        <v>4.8099999999999997E-2</v>
      </c>
      <c r="P468" s="3">
        <v>0.64</v>
      </c>
      <c r="Q468" s="2">
        <v>0</v>
      </c>
      <c r="R468" s="3">
        <v>0.64</v>
      </c>
    </row>
    <row r="469" spans="1:21" hidden="1" x14ac:dyDescent="0.6">
      <c r="A469">
        <v>469</v>
      </c>
      <c r="B469" t="str">
        <f>"4977"</f>
        <v>4977</v>
      </c>
      <c r="C469" t="s">
        <v>562</v>
      </c>
      <c r="D469" s="1">
        <v>42923</v>
      </c>
      <c r="E469">
        <v>99.8</v>
      </c>
      <c r="F469">
        <v>-0.7</v>
      </c>
      <c r="G469" s="3">
        <v>-7.0000000000000001E-3</v>
      </c>
      <c r="H469">
        <v>2017</v>
      </c>
      <c r="I469">
        <v>6.04</v>
      </c>
      <c r="J469">
        <v>4.8</v>
      </c>
      <c r="K469">
        <v>0.2</v>
      </c>
      <c r="L469">
        <v>5</v>
      </c>
      <c r="M469" s="3">
        <v>4.8099999999999997E-2</v>
      </c>
      <c r="N469" s="3">
        <v>2E-3</v>
      </c>
      <c r="O469" s="2">
        <v>5.0099999999999999E-2</v>
      </c>
      <c r="P469" s="3">
        <v>0.79500000000000004</v>
      </c>
      <c r="Q469" s="3">
        <v>3.3099999999999997E-2</v>
      </c>
      <c r="R469" s="3">
        <v>0.82799999999999996</v>
      </c>
      <c r="S469" t="s">
        <v>941</v>
      </c>
      <c r="T469" t="s">
        <v>941</v>
      </c>
      <c r="U469" t="s">
        <v>891</v>
      </c>
    </row>
    <row r="470" spans="1:21" x14ac:dyDescent="0.6">
      <c r="A470">
        <v>470</v>
      </c>
      <c r="B470" t="str">
        <f>"4736"</f>
        <v>4736</v>
      </c>
      <c r="C470" t="s">
        <v>563</v>
      </c>
      <c r="D470" s="1">
        <v>42923</v>
      </c>
      <c r="E470">
        <v>104</v>
      </c>
      <c r="F470">
        <v>-1.5</v>
      </c>
      <c r="G470" s="3">
        <v>-1.4200000000000001E-2</v>
      </c>
      <c r="H470">
        <v>2017</v>
      </c>
      <c r="I470">
        <v>6.56</v>
      </c>
      <c r="J470">
        <v>5</v>
      </c>
      <c r="K470">
        <v>0.5</v>
      </c>
      <c r="L470">
        <v>5.5</v>
      </c>
      <c r="M470" s="3">
        <v>4.8099999999999997E-2</v>
      </c>
      <c r="N470" s="2">
        <v>4.7999999999999996E-3</v>
      </c>
      <c r="O470" s="3">
        <v>5.2900000000000003E-2</v>
      </c>
      <c r="P470" s="2">
        <v>0.76200000000000001</v>
      </c>
      <c r="Q470" s="2">
        <v>7.6200000000000004E-2</v>
      </c>
      <c r="R470" s="2">
        <v>0.83799999999999997</v>
      </c>
    </row>
    <row r="471" spans="1:21" x14ac:dyDescent="0.6">
      <c r="A471">
        <v>471</v>
      </c>
      <c r="B471" t="str">
        <f>"1528"</f>
        <v>1528</v>
      </c>
      <c r="C471" t="s">
        <v>564</v>
      </c>
      <c r="D471" s="1">
        <v>42923</v>
      </c>
      <c r="E471">
        <v>10.4</v>
      </c>
      <c r="F471">
        <v>0.05</v>
      </c>
      <c r="G471" s="3">
        <v>4.7999999999999996E-3</v>
      </c>
      <c r="H471">
        <v>2017</v>
      </c>
      <c r="I471">
        <v>0.56000000000000005</v>
      </c>
      <c r="J471">
        <v>0.5</v>
      </c>
      <c r="K471">
        <v>0</v>
      </c>
      <c r="L471">
        <v>0.5</v>
      </c>
      <c r="M471" s="3">
        <v>4.8099999999999997E-2</v>
      </c>
      <c r="N471" s="2">
        <v>0</v>
      </c>
      <c r="O471" s="3">
        <v>4.8099999999999997E-2</v>
      </c>
      <c r="P471" s="3">
        <v>0.89300000000000002</v>
      </c>
      <c r="Q471" s="2">
        <v>0</v>
      </c>
      <c r="R471" s="3">
        <v>0.89300000000000002</v>
      </c>
    </row>
    <row r="472" spans="1:21" x14ac:dyDescent="0.6">
      <c r="A472">
        <v>472</v>
      </c>
      <c r="B472" t="str">
        <f>"8289"</f>
        <v>8289</v>
      </c>
      <c r="C472" t="s">
        <v>565</v>
      </c>
      <c r="D472" s="1">
        <v>42923</v>
      </c>
      <c r="E472">
        <v>10.4</v>
      </c>
      <c r="F472">
        <v>-0.05</v>
      </c>
      <c r="G472" s="3">
        <v>-4.7999999999999996E-3</v>
      </c>
      <c r="H472">
        <v>2017</v>
      </c>
      <c r="I472">
        <v>0.48</v>
      </c>
      <c r="J472">
        <v>0.5</v>
      </c>
      <c r="K472">
        <v>0</v>
      </c>
      <c r="L472">
        <v>0.5</v>
      </c>
      <c r="M472" s="2">
        <v>4.8099999999999997E-2</v>
      </c>
      <c r="N472" s="2">
        <v>0</v>
      </c>
      <c r="O472" s="2">
        <v>4.8099999999999997E-2</v>
      </c>
      <c r="P472" s="2">
        <v>1.04</v>
      </c>
      <c r="Q472" s="2">
        <v>0</v>
      </c>
      <c r="R472" s="2">
        <v>1.04</v>
      </c>
      <c r="S472" t="s">
        <v>926</v>
      </c>
      <c r="U472" t="s">
        <v>900</v>
      </c>
    </row>
    <row r="473" spans="1:21" x14ac:dyDescent="0.6">
      <c r="A473">
        <v>473</v>
      </c>
      <c r="B473" t="str">
        <f>"9942"</f>
        <v>9942</v>
      </c>
      <c r="C473" t="s">
        <v>566</v>
      </c>
      <c r="D473" s="1">
        <v>42923</v>
      </c>
      <c r="E473">
        <v>83.2</v>
      </c>
      <c r="F473">
        <v>1</v>
      </c>
      <c r="G473" s="3">
        <v>1.2200000000000001E-2</v>
      </c>
      <c r="H473">
        <v>2017</v>
      </c>
      <c r="I473">
        <v>5.86</v>
      </c>
      <c r="J473">
        <v>4</v>
      </c>
      <c r="K473">
        <v>0</v>
      </c>
      <c r="L473">
        <v>4</v>
      </c>
      <c r="M473" s="3">
        <v>4.8099999999999997E-2</v>
      </c>
      <c r="N473" s="2">
        <v>0</v>
      </c>
      <c r="O473" s="3">
        <v>4.8099999999999997E-2</v>
      </c>
      <c r="P473" s="3">
        <v>0.68300000000000005</v>
      </c>
      <c r="Q473" s="2">
        <v>0</v>
      </c>
      <c r="R473" s="3">
        <v>0.68300000000000005</v>
      </c>
      <c r="S473" t="s">
        <v>922</v>
      </c>
      <c r="U473" t="s">
        <v>930</v>
      </c>
    </row>
    <row r="474" spans="1:21" x14ac:dyDescent="0.6">
      <c r="A474">
        <v>474</v>
      </c>
      <c r="B474" t="str">
        <f>"3032"</f>
        <v>3032</v>
      </c>
      <c r="C474" t="s">
        <v>567</v>
      </c>
      <c r="D474" s="1">
        <v>42923</v>
      </c>
      <c r="E474">
        <v>45.8</v>
      </c>
      <c r="F474">
        <v>-0.9</v>
      </c>
      <c r="G474" s="3">
        <v>-1.9300000000000001E-2</v>
      </c>
      <c r="H474">
        <v>2017</v>
      </c>
      <c r="I474">
        <v>3.81</v>
      </c>
      <c r="J474">
        <v>2.2000000000000002</v>
      </c>
      <c r="K474">
        <v>0</v>
      </c>
      <c r="L474">
        <v>2.2000000000000002</v>
      </c>
      <c r="M474" s="3">
        <v>4.8000000000000001E-2</v>
      </c>
      <c r="N474" s="2">
        <v>0</v>
      </c>
      <c r="O474" s="3">
        <v>4.8000000000000001E-2</v>
      </c>
      <c r="P474" s="2">
        <v>0.57699999999999996</v>
      </c>
      <c r="Q474" s="2">
        <v>0</v>
      </c>
      <c r="R474" s="2">
        <v>0.57699999999999996</v>
      </c>
      <c r="S474" t="s">
        <v>922</v>
      </c>
      <c r="U474" t="s">
        <v>923</v>
      </c>
    </row>
    <row r="475" spans="1:21" hidden="1" x14ac:dyDescent="0.6">
      <c r="A475">
        <v>475</v>
      </c>
      <c r="B475" t="str">
        <f>"1580"</f>
        <v>1580</v>
      </c>
      <c r="C475" t="s">
        <v>568</v>
      </c>
      <c r="D475" s="1">
        <v>42923</v>
      </c>
      <c r="E475">
        <v>177</v>
      </c>
      <c r="F475">
        <v>-0.5</v>
      </c>
      <c r="G475" s="3">
        <v>-2.8E-3</v>
      </c>
      <c r="H475">
        <v>2017</v>
      </c>
      <c r="I475">
        <v>11.27</v>
      </c>
      <c r="J475">
        <v>8.5</v>
      </c>
      <c r="K475">
        <v>0</v>
      </c>
      <c r="L475">
        <v>8.5</v>
      </c>
      <c r="M475" s="3">
        <v>4.8000000000000001E-2</v>
      </c>
      <c r="N475" s="3">
        <v>0</v>
      </c>
      <c r="O475" s="3">
        <v>4.8000000000000001E-2</v>
      </c>
      <c r="P475" s="3">
        <v>0.754</v>
      </c>
      <c r="Q475" s="3">
        <v>0</v>
      </c>
      <c r="R475" s="3">
        <v>0.754</v>
      </c>
      <c r="S475" t="s">
        <v>912</v>
      </c>
      <c r="U475" t="s">
        <v>939</v>
      </c>
    </row>
    <row r="476" spans="1:21" x14ac:dyDescent="0.6">
      <c r="A476">
        <v>476</v>
      </c>
      <c r="B476" t="str">
        <f>"1434"</f>
        <v>1434</v>
      </c>
      <c r="C476" t="s">
        <v>569</v>
      </c>
      <c r="D476" s="1">
        <v>42923</v>
      </c>
      <c r="E476">
        <v>31.25</v>
      </c>
      <c r="F476">
        <v>0.05</v>
      </c>
      <c r="G476" s="3">
        <v>1.6000000000000001E-3</v>
      </c>
      <c r="H476">
        <v>2017</v>
      </c>
      <c r="I476">
        <v>2.0699999999999998</v>
      </c>
      <c r="J476">
        <v>1.5</v>
      </c>
      <c r="K476">
        <v>0</v>
      </c>
      <c r="L476">
        <v>1.5</v>
      </c>
      <c r="M476" s="3">
        <v>4.8000000000000001E-2</v>
      </c>
      <c r="N476" s="2">
        <v>0</v>
      </c>
      <c r="O476" s="3">
        <v>4.8000000000000001E-2</v>
      </c>
      <c r="P476" s="3">
        <v>0.72499999999999998</v>
      </c>
      <c r="Q476" s="2">
        <v>0</v>
      </c>
      <c r="R476" s="3">
        <v>0.72499999999999998</v>
      </c>
      <c r="S476" t="s">
        <v>891</v>
      </c>
      <c r="U476" t="s">
        <v>920</v>
      </c>
    </row>
    <row r="477" spans="1:21" x14ac:dyDescent="0.6">
      <c r="A477">
        <v>477</v>
      </c>
      <c r="B477" t="str">
        <f>"8287"</f>
        <v>8287</v>
      </c>
      <c r="C477" t="s">
        <v>570</v>
      </c>
      <c r="D477" s="1">
        <v>42923</v>
      </c>
      <c r="E477">
        <v>16.7</v>
      </c>
      <c r="F477">
        <v>-0.15</v>
      </c>
      <c r="G477" s="3">
        <v>-8.8999999999999999E-3</v>
      </c>
      <c r="H477">
        <v>2017</v>
      </c>
      <c r="I477">
        <v>2.0499999999999998</v>
      </c>
      <c r="J477">
        <v>0.8</v>
      </c>
      <c r="K477">
        <v>0.4</v>
      </c>
      <c r="L477">
        <v>1.2</v>
      </c>
      <c r="M477" s="3">
        <v>4.7899999999999998E-2</v>
      </c>
      <c r="N477" s="2">
        <v>2.4E-2</v>
      </c>
      <c r="O477" s="3">
        <v>7.1900000000000006E-2</v>
      </c>
      <c r="P477" s="3">
        <v>0.39</v>
      </c>
      <c r="Q477" s="2">
        <v>0.19500000000000001</v>
      </c>
      <c r="R477" s="3">
        <v>0.58499999999999996</v>
      </c>
    </row>
    <row r="478" spans="1:21" x14ac:dyDescent="0.6">
      <c r="A478">
        <v>478</v>
      </c>
      <c r="B478" t="str">
        <f>"4904"</f>
        <v>4904</v>
      </c>
      <c r="C478" t="s">
        <v>571</v>
      </c>
      <c r="D478" s="1">
        <v>42923</v>
      </c>
      <c r="E478">
        <v>78.3</v>
      </c>
      <c r="F478">
        <v>-0.3</v>
      </c>
      <c r="G478" s="3">
        <v>-3.8E-3</v>
      </c>
      <c r="H478">
        <v>2017</v>
      </c>
      <c r="I478">
        <v>3.5</v>
      </c>
      <c r="J478">
        <v>3.75</v>
      </c>
      <c r="K478">
        <v>0</v>
      </c>
      <c r="L478">
        <v>3.75</v>
      </c>
      <c r="M478" s="3">
        <v>4.7899999999999998E-2</v>
      </c>
      <c r="N478" s="2">
        <v>0</v>
      </c>
      <c r="O478" s="3">
        <v>4.7899999999999998E-2</v>
      </c>
      <c r="P478" s="2">
        <v>1.07</v>
      </c>
      <c r="Q478" s="2">
        <v>0</v>
      </c>
      <c r="R478" s="2">
        <v>1.07</v>
      </c>
      <c r="S478" t="s">
        <v>897</v>
      </c>
      <c r="U478" t="s">
        <v>904</v>
      </c>
    </row>
    <row r="479" spans="1:21" hidden="1" x14ac:dyDescent="0.6">
      <c r="A479">
        <v>479</v>
      </c>
      <c r="B479" t="str">
        <f>"6155"</f>
        <v>6155</v>
      </c>
      <c r="C479" t="s">
        <v>572</v>
      </c>
      <c r="D479" s="1">
        <v>42923</v>
      </c>
      <c r="E479">
        <v>17.75</v>
      </c>
      <c r="F479">
        <v>-0.25</v>
      </c>
      <c r="G479" s="3">
        <v>-1.3899999999999999E-2</v>
      </c>
      <c r="H479">
        <v>2017</v>
      </c>
      <c r="I479">
        <v>0.96</v>
      </c>
      <c r="J479">
        <v>0.85</v>
      </c>
      <c r="K479">
        <v>0</v>
      </c>
      <c r="L479">
        <v>0.85</v>
      </c>
      <c r="M479" s="3">
        <v>4.7899999999999998E-2</v>
      </c>
      <c r="N479" s="2">
        <v>0</v>
      </c>
      <c r="O479" s="3">
        <v>4.7899999999999998E-2</v>
      </c>
      <c r="P479" s="3">
        <v>0.88500000000000001</v>
      </c>
      <c r="Q479" s="2">
        <v>0</v>
      </c>
      <c r="R479" s="3">
        <v>0.88500000000000001</v>
      </c>
      <c r="S479" t="s">
        <v>901</v>
      </c>
      <c r="U479" t="s">
        <v>926</v>
      </c>
    </row>
    <row r="480" spans="1:21" x14ac:dyDescent="0.6">
      <c r="A480">
        <v>480</v>
      </c>
      <c r="B480" t="str">
        <f>"3163"</f>
        <v>3163</v>
      </c>
      <c r="C480" t="s">
        <v>573</v>
      </c>
      <c r="D480" s="1">
        <v>42923</v>
      </c>
      <c r="E480">
        <v>45.95</v>
      </c>
      <c r="F480">
        <v>-0.45</v>
      </c>
      <c r="G480" s="3">
        <v>-9.7000000000000003E-3</v>
      </c>
      <c r="H480">
        <v>2017</v>
      </c>
      <c r="I480">
        <v>4.1100000000000003</v>
      </c>
      <c r="J480">
        <v>2.2000000000000002</v>
      </c>
      <c r="K480">
        <v>0</v>
      </c>
      <c r="L480">
        <v>2.2000000000000002</v>
      </c>
      <c r="M480" s="3">
        <v>4.7899999999999998E-2</v>
      </c>
      <c r="N480" s="2">
        <v>0</v>
      </c>
      <c r="O480" s="3">
        <v>4.7899999999999998E-2</v>
      </c>
      <c r="P480" s="3">
        <v>0.53500000000000003</v>
      </c>
      <c r="Q480" s="2">
        <v>0</v>
      </c>
      <c r="R480" s="3">
        <v>0.53500000000000003</v>
      </c>
    </row>
    <row r="481" spans="1:21" x14ac:dyDescent="0.6">
      <c r="A481">
        <v>481</v>
      </c>
      <c r="B481" t="str">
        <f>"1514"</f>
        <v>1514</v>
      </c>
      <c r="C481" t="s">
        <v>574</v>
      </c>
      <c r="D481" s="1">
        <v>42923</v>
      </c>
      <c r="E481">
        <v>10.45</v>
      </c>
      <c r="F481">
        <v>0.05</v>
      </c>
      <c r="G481" s="3">
        <v>4.7999999999999996E-3</v>
      </c>
      <c r="H481">
        <v>2017</v>
      </c>
      <c r="I481">
        <v>0.51</v>
      </c>
      <c r="J481">
        <v>0.5</v>
      </c>
      <c r="K481">
        <v>0</v>
      </c>
      <c r="L481">
        <v>0.5</v>
      </c>
      <c r="M481" s="3">
        <v>4.7800000000000002E-2</v>
      </c>
      <c r="N481" s="2">
        <v>0</v>
      </c>
      <c r="O481" s="3">
        <v>4.7800000000000002E-2</v>
      </c>
      <c r="P481" s="3">
        <v>0.98</v>
      </c>
      <c r="Q481" s="2">
        <v>0</v>
      </c>
      <c r="R481" s="3">
        <v>0.98</v>
      </c>
    </row>
    <row r="482" spans="1:21" hidden="1" x14ac:dyDescent="0.6">
      <c r="A482">
        <v>482</v>
      </c>
      <c r="B482" t="str">
        <f>"2809"</f>
        <v>2809</v>
      </c>
      <c r="C482" t="s">
        <v>575</v>
      </c>
      <c r="D482" s="1">
        <v>42923</v>
      </c>
      <c r="E482">
        <v>31.35</v>
      </c>
      <c r="F482">
        <v>-0.9</v>
      </c>
      <c r="G482" s="3">
        <v>-2.7900000000000001E-2</v>
      </c>
      <c r="H482">
        <v>2017</v>
      </c>
      <c r="I482">
        <v>4.17</v>
      </c>
      <c r="J482">
        <v>1.5</v>
      </c>
      <c r="K482">
        <v>0</v>
      </c>
      <c r="L482">
        <v>1.5</v>
      </c>
      <c r="M482" s="3">
        <v>4.7800000000000002E-2</v>
      </c>
      <c r="N482" s="2">
        <v>0</v>
      </c>
      <c r="O482" s="3">
        <v>4.7800000000000002E-2</v>
      </c>
      <c r="P482" s="3">
        <v>0.36</v>
      </c>
      <c r="Q482" s="2">
        <v>0</v>
      </c>
      <c r="R482" s="3">
        <v>0.36</v>
      </c>
      <c r="S482" t="s">
        <v>951</v>
      </c>
      <c r="U482" t="s">
        <v>907</v>
      </c>
    </row>
    <row r="483" spans="1:21" hidden="1" x14ac:dyDescent="0.6">
      <c r="A483">
        <v>483</v>
      </c>
      <c r="B483" t="str">
        <f>"6187"</f>
        <v>6187</v>
      </c>
      <c r="C483" t="s">
        <v>576</v>
      </c>
      <c r="D483" s="1">
        <v>42923</v>
      </c>
      <c r="E483">
        <v>62.7</v>
      </c>
      <c r="F483">
        <v>0.9</v>
      </c>
      <c r="G483" s="3">
        <v>1.46E-2</v>
      </c>
      <c r="H483">
        <v>2017</v>
      </c>
      <c r="I483">
        <v>4.21</v>
      </c>
      <c r="J483">
        <v>3</v>
      </c>
      <c r="K483">
        <v>0</v>
      </c>
      <c r="L483">
        <v>3</v>
      </c>
      <c r="M483" s="2">
        <v>4.7800000000000002E-2</v>
      </c>
      <c r="N483" s="2">
        <v>0</v>
      </c>
      <c r="O483" s="2">
        <v>4.7800000000000002E-2</v>
      </c>
      <c r="P483" s="2">
        <v>0.71299999999999997</v>
      </c>
      <c r="Q483" s="2">
        <v>0</v>
      </c>
      <c r="R483" s="2">
        <v>0.71299999999999997</v>
      </c>
      <c r="S483" t="s">
        <v>894</v>
      </c>
      <c r="U483" t="s">
        <v>914</v>
      </c>
    </row>
    <row r="484" spans="1:21" x14ac:dyDescent="0.6">
      <c r="A484">
        <v>484</v>
      </c>
      <c r="B484" t="str">
        <f>"2374"</f>
        <v>2374</v>
      </c>
      <c r="C484" t="s">
        <v>577</v>
      </c>
      <c r="D484" s="1">
        <v>42923</v>
      </c>
      <c r="E484">
        <v>18.850000000000001</v>
      </c>
      <c r="F484">
        <v>-0.15</v>
      </c>
      <c r="G484" s="3">
        <v>-7.9000000000000008E-3</v>
      </c>
      <c r="H484">
        <v>2017</v>
      </c>
      <c r="I484">
        <v>1.39</v>
      </c>
      <c r="J484">
        <v>0.9</v>
      </c>
      <c r="K484">
        <v>0</v>
      </c>
      <c r="L484">
        <v>0.9</v>
      </c>
      <c r="M484" s="3">
        <v>4.7699999999999999E-2</v>
      </c>
      <c r="N484" s="2">
        <v>0</v>
      </c>
      <c r="O484" s="3">
        <v>4.7699999999999999E-2</v>
      </c>
      <c r="P484" s="2">
        <v>0.64800000000000002</v>
      </c>
      <c r="Q484" s="2">
        <v>0</v>
      </c>
      <c r="R484" s="2">
        <v>0.64800000000000002</v>
      </c>
    </row>
    <row r="485" spans="1:21" x14ac:dyDescent="0.6">
      <c r="A485">
        <v>485</v>
      </c>
      <c r="B485" t="str">
        <f>"2439"</f>
        <v>2439</v>
      </c>
      <c r="C485" t="s">
        <v>578</v>
      </c>
      <c r="D485" s="1">
        <v>42923</v>
      </c>
      <c r="E485">
        <v>186.5</v>
      </c>
      <c r="F485">
        <v>-1</v>
      </c>
      <c r="G485" s="3">
        <v>-5.3E-3</v>
      </c>
      <c r="H485">
        <v>2017</v>
      </c>
      <c r="I485">
        <v>11</v>
      </c>
      <c r="J485">
        <v>8.8800000000000008</v>
      </c>
      <c r="K485">
        <v>0</v>
      </c>
      <c r="L485">
        <v>8.8800000000000008</v>
      </c>
      <c r="M485" s="3">
        <v>4.7600000000000003E-2</v>
      </c>
      <c r="N485" s="3">
        <v>0</v>
      </c>
      <c r="O485" s="3">
        <v>4.7600000000000003E-2</v>
      </c>
      <c r="P485" s="2">
        <v>0.80700000000000005</v>
      </c>
      <c r="Q485" s="3">
        <v>0</v>
      </c>
      <c r="R485" s="3">
        <v>0.80700000000000005</v>
      </c>
      <c r="S485" t="s">
        <v>913</v>
      </c>
      <c r="U485" t="s">
        <v>896</v>
      </c>
    </row>
    <row r="486" spans="1:21" hidden="1" x14ac:dyDescent="0.6">
      <c r="A486">
        <v>486</v>
      </c>
      <c r="B486" t="str">
        <f>"2832"</f>
        <v>2832</v>
      </c>
      <c r="C486" t="s">
        <v>579</v>
      </c>
      <c r="D486" s="1">
        <v>42923</v>
      </c>
      <c r="E486">
        <v>19</v>
      </c>
      <c r="F486">
        <v>0.05</v>
      </c>
      <c r="G486" s="2">
        <v>2.5999999999999999E-3</v>
      </c>
      <c r="H486">
        <v>2017</v>
      </c>
      <c r="I486">
        <v>1.35</v>
      </c>
      <c r="J486">
        <v>0.9</v>
      </c>
      <c r="K486">
        <v>0</v>
      </c>
      <c r="L486">
        <v>0.9</v>
      </c>
      <c r="M486" s="3">
        <v>4.7399999999999998E-2</v>
      </c>
      <c r="N486" s="2">
        <v>0</v>
      </c>
      <c r="O486" s="3">
        <v>4.7399999999999998E-2</v>
      </c>
      <c r="P486" s="2">
        <v>0.66700000000000004</v>
      </c>
      <c r="Q486" s="2">
        <v>0</v>
      </c>
      <c r="R486" s="2">
        <v>0.66700000000000004</v>
      </c>
      <c r="S486" t="s">
        <v>916</v>
      </c>
      <c r="U486" t="s">
        <v>910</v>
      </c>
    </row>
    <row r="487" spans="1:21" x14ac:dyDescent="0.6">
      <c r="A487">
        <v>487</v>
      </c>
      <c r="B487" t="str">
        <f>"3527"</f>
        <v>3527</v>
      </c>
      <c r="C487" t="s">
        <v>580</v>
      </c>
      <c r="D487" s="1">
        <v>42923</v>
      </c>
      <c r="E487">
        <v>73.900000000000006</v>
      </c>
      <c r="F487">
        <v>0.1</v>
      </c>
      <c r="G487" s="3">
        <v>1.4E-3</v>
      </c>
      <c r="H487">
        <v>2017</v>
      </c>
      <c r="I487">
        <v>6.05</v>
      </c>
      <c r="J487">
        <v>3.5</v>
      </c>
      <c r="K487">
        <v>0.5</v>
      </c>
      <c r="L487">
        <v>4</v>
      </c>
      <c r="M487" s="3">
        <v>4.7399999999999998E-2</v>
      </c>
      <c r="N487" s="2">
        <v>6.7999999999999996E-3</v>
      </c>
      <c r="O487" s="3">
        <v>5.4100000000000002E-2</v>
      </c>
      <c r="P487" s="2">
        <v>0.57799999999999996</v>
      </c>
      <c r="Q487" s="2">
        <v>8.2600000000000007E-2</v>
      </c>
      <c r="R487" s="2">
        <v>0.66100000000000003</v>
      </c>
    </row>
    <row r="488" spans="1:21" x14ac:dyDescent="0.6">
      <c r="A488">
        <v>488</v>
      </c>
      <c r="B488" t="str">
        <f>"3450"</f>
        <v>3450</v>
      </c>
      <c r="C488" t="s">
        <v>581</v>
      </c>
      <c r="D488" s="1">
        <v>42923</v>
      </c>
      <c r="E488">
        <v>137.5</v>
      </c>
      <c r="F488">
        <v>0</v>
      </c>
      <c r="G488" s="2">
        <v>0</v>
      </c>
      <c r="H488">
        <v>2017</v>
      </c>
      <c r="I488">
        <v>10.77</v>
      </c>
      <c r="J488">
        <v>6.5</v>
      </c>
      <c r="K488">
        <v>2</v>
      </c>
      <c r="L488">
        <v>8.5</v>
      </c>
      <c r="M488" s="3">
        <v>4.7300000000000002E-2</v>
      </c>
      <c r="N488" s="2">
        <v>1.4500000000000001E-2</v>
      </c>
      <c r="O488" s="3">
        <v>6.1800000000000001E-2</v>
      </c>
      <c r="P488" s="3">
        <v>0.60399999999999998</v>
      </c>
      <c r="Q488" s="2">
        <v>0.186</v>
      </c>
      <c r="R488" s="3">
        <v>0.78900000000000003</v>
      </c>
      <c r="S488" t="s">
        <v>926</v>
      </c>
      <c r="T488" t="s">
        <v>926</v>
      </c>
      <c r="U488" t="s">
        <v>929</v>
      </c>
    </row>
    <row r="489" spans="1:21" x14ac:dyDescent="0.6">
      <c r="A489">
        <v>489</v>
      </c>
      <c r="B489" t="str">
        <f>"1527"</f>
        <v>1527</v>
      </c>
      <c r="C489" t="s">
        <v>582</v>
      </c>
      <c r="D489" s="1">
        <v>42923</v>
      </c>
      <c r="E489">
        <v>86.8</v>
      </c>
      <c r="F489">
        <v>-0.8</v>
      </c>
      <c r="G489" s="3">
        <v>-9.1000000000000004E-3</v>
      </c>
      <c r="H489">
        <v>2017</v>
      </c>
      <c r="I489">
        <v>6.88</v>
      </c>
      <c r="J489">
        <v>4.0999999999999996</v>
      </c>
      <c r="K489">
        <v>0</v>
      </c>
      <c r="L489">
        <v>4.0999999999999996</v>
      </c>
      <c r="M489" s="3">
        <v>4.7199999999999999E-2</v>
      </c>
      <c r="N489" s="2">
        <v>0</v>
      </c>
      <c r="O489" s="3">
        <v>4.7199999999999999E-2</v>
      </c>
      <c r="P489" s="2">
        <v>0.59599999999999997</v>
      </c>
      <c r="Q489" s="2">
        <v>0</v>
      </c>
      <c r="R489" s="2">
        <v>0.59599999999999997</v>
      </c>
    </row>
    <row r="490" spans="1:21" x14ac:dyDescent="0.6">
      <c r="A490">
        <v>490</v>
      </c>
      <c r="B490" t="str">
        <f>"1312"</f>
        <v>1312</v>
      </c>
      <c r="C490" t="s">
        <v>583</v>
      </c>
      <c r="D490" s="1">
        <v>42923</v>
      </c>
      <c r="E490">
        <v>21.2</v>
      </c>
      <c r="F490">
        <v>-0.3</v>
      </c>
      <c r="G490" s="3">
        <v>-1.4E-2</v>
      </c>
      <c r="H490">
        <v>2017</v>
      </c>
      <c r="I490">
        <v>2.65</v>
      </c>
      <c r="J490">
        <v>1</v>
      </c>
      <c r="K490">
        <v>0</v>
      </c>
      <c r="L490">
        <v>1</v>
      </c>
      <c r="M490" s="3">
        <v>4.7199999999999999E-2</v>
      </c>
      <c r="N490" s="2">
        <v>0</v>
      </c>
      <c r="O490" s="3">
        <v>4.7199999999999999E-2</v>
      </c>
      <c r="P490" s="3">
        <v>0.377</v>
      </c>
      <c r="Q490" s="2">
        <v>0</v>
      </c>
      <c r="R490" s="3">
        <v>0.377</v>
      </c>
      <c r="S490" t="s">
        <v>902</v>
      </c>
      <c r="U490" t="s">
        <v>915</v>
      </c>
    </row>
    <row r="491" spans="1:21" x14ac:dyDescent="0.6">
      <c r="A491">
        <v>491</v>
      </c>
      <c r="B491" t="str">
        <f>"3060"</f>
        <v>3060</v>
      </c>
      <c r="C491" t="s">
        <v>584</v>
      </c>
      <c r="D491" s="1">
        <v>42923</v>
      </c>
      <c r="E491">
        <v>31.8</v>
      </c>
      <c r="F491">
        <v>-0.8</v>
      </c>
      <c r="G491" s="3">
        <v>-2.4500000000000001E-2</v>
      </c>
      <c r="H491">
        <v>2017</v>
      </c>
      <c r="I491">
        <v>1.23</v>
      </c>
      <c r="J491">
        <v>1.5</v>
      </c>
      <c r="K491">
        <v>0</v>
      </c>
      <c r="L491">
        <v>1.5</v>
      </c>
      <c r="M491" s="3">
        <v>4.7199999999999999E-2</v>
      </c>
      <c r="N491" s="2">
        <v>0</v>
      </c>
      <c r="O491" s="3">
        <v>4.7199999999999999E-2</v>
      </c>
      <c r="P491" s="2">
        <v>1.22</v>
      </c>
      <c r="Q491" s="2">
        <v>0</v>
      </c>
      <c r="R491" s="2">
        <v>1.22</v>
      </c>
      <c r="S491" t="s">
        <v>897</v>
      </c>
      <c r="U491" t="s">
        <v>910</v>
      </c>
    </row>
    <row r="492" spans="1:21" x14ac:dyDescent="0.6">
      <c r="A492">
        <v>492</v>
      </c>
      <c r="B492" t="str">
        <f>"2908"</f>
        <v>2908</v>
      </c>
      <c r="C492" t="s">
        <v>586</v>
      </c>
      <c r="D492" s="1">
        <v>42923</v>
      </c>
      <c r="E492">
        <v>22.95</v>
      </c>
      <c r="F492">
        <v>0.25</v>
      </c>
      <c r="G492" s="3">
        <v>1.0999999999999999E-2</v>
      </c>
      <c r="H492">
        <v>2017</v>
      </c>
      <c r="I492">
        <v>1.33</v>
      </c>
      <c r="J492">
        <v>1.08</v>
      </c>
      <c r="K492">
        <v>0</v>
      </c>
      <c r="L492">
        <v>1.08</v>
      </c>
      <c r="M492" s="3">
        <v>4.7100000000000003E-2</v>
      </c>
      <c r="N492" s="2">
        <v>0</v>
      </c>
      <c r="O492" s="3">
        <v>4.7100000000000003E-2</v>
      </c>
      <c r="P492" s="3">
        <v>0.81200000000000006</v>
      </c>
      <c r="Q492" s="2">
        <v>0</v>
      </c>
      <c r="R492" s="3">
        <v>0.81200000000000006</v>
      </c>
      <c r="S492" t="s">
        <v>917</v>
      </c>
      <c r="U492" t="s">
        <v>904</v>
      </c>
    </row>
    <row r="493" spans="1:21" hidden="1" x14ac:dyDescent="0.6">
      <c r="A493">
        <v>493</v>
      </c>
      <c r="B493" t="str">
        <f>"3047"</f>
        <v>3047</v>
      </c>
      <c r="C493" t="s">
        <v>587</v>
      </c>
      <c r="D493" s="1">
        <v>42923</v>
      </c>
      <c r="E493">
        <v>10.65</v>
      </c>
      <c r="F493">
        <v>-0.15</v>
      </c>
      <c r="G493" s="3">
        <v>-1.3899999999999999E-2</v>
      </c>
      <c r="H493">
        <v>2017</v>
      </c>
      <c r="I493">
        <v>0.45</v>
      </c>
      <c r="J493">
        <v>0.5</v>
      </c>
      <c r="K493">
        <v>0</v>
      </c>
      <c r="L493">
        <v>0.5</v>
      </c>
      <c r="M493" s="3">
        <v>4.6899999999999997E-2</v>
      </c>
      <c r="N493" s="3">
        <v>0</v>
      </c>
      <c r="O493" s="3">
        <v>4.6899999999999997E-2</v>
      </c>
      <c r="P493" s="3">
        <v>1.1100000000000001</v>
      </c>
      <c r="Q493" s="3">
        <v>0</v>
      </c>
      <c r="R493" s="2">
        <v>1.1100000000000001</v>
      </c>
      <c r="S493" t="s">
        <v>894</v>
      </c>
      <c r="U493" t="s">
        <v>900</v>
      </c>
    </row>
    <row r="494" spans="1:21" x14ac:dyDescent="0.6">
      <c r="A494">
        <v>494</v>
      </c>
      <c r="B494" t="str">
        <f>"1477"</f>
        <v>1477</v>
      </c>
      <c r="C494" t="s">
        <v>588</v>
      </c>
      <c r="D494" s="1">
        <v>42923</v>
      </c>
      <c r="E494">
        <v>143</v>
      </c>
      <c r="F494">
        <v>-2.5</v>
      </c>
      <c r="G494" s="3">
        <v>-1.72E-2</v>
      </c>
      <c r="H494">
        <v>2017</v>
      </c>
      <c r="I494">
        <v>7.39</v>
      </c>
      <c r="J494">
        <v>6.71</v>
      </c>
      <c r="K494">
        <v>0</v>
      </c>
      <c r="L494">
        <v>6.71</v>
      </c>
      <c r="M494" s="3">
        <v>4.6899999999999997E-2</v>
      </c>
      <c r="N494" s="2">
        <v>0</v>
      </c>
      <c r="O494" s="3">
        <v>4.6899999999999997E-2</v>
      </c>
      <c r="P494" s="3">
        <v>0.90800000000000003</v>
      </c>
      <c r="Q494" s="2">
        <v>0</v>
      </c>
      <c r="R494" s="3">
        <v>0.90800000000000003</v>
      </c>
      <c r="S494" t="s">
        <v>917</v>
      </c>
      <c r="U494" t="s">
        <v>915</v>
      </c>
    </row>
    <row r="495" spans="1:21" x14ac:dyDescent="0.6">
      <c r="A495">
        <v>495</v>
      </c>
      <c r="B495" t="str">
        <f>"4953"</f>
        <v>4953</v>
      </c>
      <c r="C495" t="s">
        <v>589</v>
      </c>
      <c r="D495" s="1">
        <v>42923</v>
      </c>
      <c r="E495">
        <v>23.5</v>
      </c>
      <c r="F495">
        <v>-0.15</v>
      </c>
      <c r="G495" s="3">
        <v>-6.3E-3</v>
      </c>
      <c r="H495">
        <v>2017</v>
      </c>
      <c r="I495">
        <v>1.52</v>
      </c>
      <c r="J495">
        <v>1.1000000000000001</v>
      </c>
      <c r="K495">
        <v>0</v>
      </c>
      <c r="L495">
        <v>1.1000000000000001</v>
      </c>
      <c r="M495" s="2">
        <v>4.6800000000000001E-2</v>
      </c>
      <c r="N495" s="3">
        <v>0</v>
      </c>
      <c r="O495" s="3">
        <v>4.6800000000000001E-2</v>
      </c>
      <c r="P495" s="2">
        <v>0.72399999999999998</v>
      </c>
      <c r="Q495" s="2">
        <v>0</v>
      </c>
      <c r="R495" s="2">
        <v>0.72399999999999998</v>
      </c>
    </row>
    <row r="496" spans="1:21" x14ac:dyDescent="0.6">
      <c r="A496">
        <v>496</v>
      </c>
      <c r="B496" t="str">
        <f>"2852"</f>
        <v>2852</v>
      </c>
      <c r="C496" t="s">
        <v>590</v>
      </c>
      <c r="D496" s="1">
        <v>42923</v>
      </c>
      <c r="E496">
        <v>13.9</v>
      </c>
      <c r="F496">
        <v>0</v>
      </c>
      <c r="G496" s="2">
        <v>0</v>
      </c>
      <c r="H496">
        <v>2017</v>
      </c>
      <c r="I496">
        <v>1.59</v>
      </c>
      <c r="J496">
        <v>0.65</v>
      </c>
      <c r="K496">
        <v>0</v>
      </c>
      <c r="L496">
        <v>0.65</v>
      </c>
      <c r="M496" s="3">
        <v>4.6800000000000001E-2</v>
      </c>
      <c r="N496" s="2">
        <v>0</v>
      </c>
      <c r="O496" s="3">
        <v>4.6800000000000001E-2</v>
      </c>
      <c r="P496" s="3">
        <v>0.40899999999999997</v>
      </c>
      <c r="Q496" s="2">
        <v>0</v>
      </c>
      <c r="R496" s="3">
        <v>0.40899999999999997</v>
      </c>
    </row>
    <row r="497" spans="1:21" hidden="1" x14ac:dyDescent="0.6">
      <c r="A497">
        <v>497</v>
      </c>
      <c r="B497" t="str">
        <f>"3611"</f>
        <v>3611</v>
      </c>
      <c r="C497" t="s">
        <v>591</v>
      </c>
      <c r="D497" s="1">
        <v>42923</v>
      </c>
      <c r="E497">
        <v>214</v>
      </c>
      <c r="F497">
        <v>1.5</v>
      </c>
      <c r="G497" s="3">
        <v>7.1000000000000004E-3</v>
      </c>
      <c r="H497">
        <v>2017</v>
      </c>
      <c r="I497">
        <v>14.15</v>
      </c>
      <c r="J497">
        <v>10</v>
      </c>
      <c r="K497">
        <v>0</v>
      </c>
      <c r="L497">
        <v>10</v>
      </c>
      <c r="M497" s="3">
        <v>4.6699999999999998E-2</v>
      </c>
      <c r="N497" s="2">
        <v>0</v>
      </c>
      <c r="O497" s="3">
        <v>4.6699999999999998E-2</v>
      </c>
      <c r="P497" s="3">
        <v>0.70699999999999996</v>
      </c>
      <c r="Q497" s="2">
        <v>0</v>
      </c>
      <c r="R497" s="3">
        <v>0.70699999999999996</v>
      </c>
      <c r="S497" t="s">
        <v>895</v>
      </c>
      <c r="U497" t="s">
        <v>904</v>
      </c>
    </row>
    <row r="498" spans="1:21" x14ac:dyDescent="0.6">
      <c r="A498">
        <v>498</v>
      </c>
      <c r="B498" t="str">
        <f>"6143"</f>
        <v>6143</v>
      </c>
      <c r="C498" t="s">
        <v>592</v>
      </c>
      <c r="D498" s="1">
        <v>42923</v>
      </c>
      <c r="E498">
        <v>64.3</v>
      </c>
      <c r="F498">
        <v>-0.2</v>
      </c>
      <c r="G498" s="2">
        <v>-3.0999999999999999E-3</v>
      </c>
      <c r="H498">
        <v>2017</v>
      </c>
      <c r="I498">
        <v>4.04</v>
      </c>
      <c r="J498">
        <v>3</v>
      </c>
      <c r="K498">
        <v>0</v>
      </c>
      <c r="L498">
        <v>3</v>
      </c>
      <c r="M498" s="3">
        <v>4.6699999999999998E-2</v>
      </c>
      <c r="N498" s="2">
        <v>0</v>
      </c>
      <c r="O498" s="3">
        <v>4.6699999999999998E-2</v>
      </c>
      <c r="P498" s="3">
        <v>0.74299999999999999</v>
      </c>
      <c r="Q498" s="2">
        <v>0</v>
      </c>
      <c r="R498" s="3">
        <v>0.74299999999999999</v>
      </c>
    </row>
    <row r="499" spans="1:21" hidden="1" x14ac:dyDescent="0.6">
      <c r="A499">
        <v>499</v>
      </c>
      <c r="B499" t="str">
        <f>"5536"</f>
        <v>5536</v>
      </c>
      <c r="C499" t="s">
        <v>593</v>
      </c>
      <c r="D499" s="1">
        <v>42923</v>
      </c>
      <c r="E499">
        <v>172</v>
      </c>
      <c r="F499">
        <v>4</v>
      </c>
      <c r="G499" s="2">
        <v>2.3800000000000002E-2</v>
      </c>
      <c r="H499">
        <v>2017</v>
      </c>
      <c r="I499">
        <v>9.4499999999999993</v>
      </c>
      <c r="J499">
        <v>8.01</v>
      </c>
      <c r="K499">
        <v>0</v>
      </c>
      <c r="L499">
        <v>8.01</v>
      </c>
      <c r="M499" s="2">
        <v>4.6600000000000003E-2</v>
      </c>
      <c r="N499" s="2">
        <v>0</v>
      </c>
      <c r="O499" s="2">
        <v>4.6600000000000003E-2</v>
      </c>
      <c r="P499" s="2">
        <v>0.84799999999999998</v>
      </c>
      <c r="Q499" s="2">
        <v>0</v>
      </c>
      <c r="R499" s="2">
        <v>0.84799999999999998</v>
      </c>
      <c r="S499" t="s">
        <v>943</v>
      </c>
      <c r="U499" t="s">
        <v>903</v>
      </c>
    </row>
    <row r="500" spans="1:21" hidden="1" x14ac:dyDescent="0.6">
      <c r="A500">
        <v>500</v>
      </c>
      <c r="B500" t="str">
        <f>"8467"</f>
        <v>8467</v>
      </c>
      <c r="C500" t="s">
        <v>594</v>
      </c>
      <c r="D500" s="1">
        <v>42923</v>
      </c>
      <c r="E500">
        <v>33.1</v>
      </c>
      <c r="F500">
        <v>-0.05</v>
      </c>
      <c r="G500" s="3">
        <v>-1.5E-3</v>
      </c>
      <c r="H500">
        <v>2017</v>
      </c>
      <c r="I500">
        <v>1.84</v>
      </c>
      <c r="J500">
        <v>1.54</v>
      </c>
      <c r="K500">
        <v>0</v>
      </c>
      <c r="L500">
        <v>1.54</v>
      </c>
      <c r="M500" s="3">
        <v>4.65E-2</v>
      </c>
      <c r="N500" s="2">
        <v>0</v>
      </c>
      <c r="O500" s="3">
        <v>4.65E-2</v>
      </c>
      <c r="P500" s="3">
        <v>0.83699999999999997</v>
      </c>
      <c r="Q500" s="2">
        <v>0</v>
      </c>
      <c r="R500" s="3">
        <v>0.83699999999999997</v>
      </c>
      <c r="S500" t="s">
        <v>906</v>
      </c>
      <c r="U500" t="s">
        <v>902</v>
      </c>
    </row>
    <row r="501" spans="1:21" x14ac:dyDescent="0.6">
      <c r="A501">
        <v>408</v>
      </c>
      <c r="B501" t="str">
        <f>"0056"</f>
        <v>0056</v>
      </c>
      <c r="C501" t="s">
        <v>494</v>
      </c>
      <c r="D501" s="1">
        <v>42923</v>
      </c>
      <c r="E501">
        <v>25.56</v>
      </c>
      <c r="F501">
        <v>-0.08</v>
      </c>
      <c r="G501" s="3">
        <v>-3.0999999999999999E-3</v>
      </c>
      <c r="H501" t="s">
        <v>52</v>
      </c>
      <c r="M501" s="3"/>
      <c r="N501" s="2"/>
      <c r="O501" s="3"/>
    </row>
  </sheetData>
  <autoFilter ref="A1:U501">
    <filterColumn colId="18">
      <filters blank="1">
        <filter val="17'07/11"/>
        <filter val="17'07/12"/>
        <filter val="17'07/13"/>
        <filter val="17'07/14"/>
        <filter val="17'07/17"/>
        <filter val="17'07/18"/>
        <filter val="17'07/19"/>
        <filter val="17'07/20"/>
        <filter val="17'07/21"/>
        <filter val="17'07/24"/>
        <filter val="17'07/25"/>
        <filter val="17'07/26"/>
        <filter val="17'07/27"/>
        <filter val="17'07/28"/>
        <filter val="17'07/31"/>
        <filter val="17'08/03"/>
        <filter val="17'08/08"/>
        <filter val="17'08/10"/>
        <filter val="17'08/22"/>
      </filters>
    </filterColumn>
    <sortState ref="A7:U428">
      <sortCondition descending="1" ref="M7"/>
    </sortState>
  </autoFilter>
  <sortState ref="A2:U501">
    <sortCondition descending="1" ref="M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pane xSplit="3" ySplit="1" topLeftCell="D141" activePane="bottomRight" state="frozen"/>
      <selection pane="topRight" activeCell="D1" sqref="D1"/>
      <selection pane="bottomLeft" activeCell="A2" sqref="A2"/>
      <selection pane="bottomRight" activeCell="C329" sqref="C329"/>
    </sheetView>
  </sheetViews>
  <sheetFormatPr defaultRowHeight="16.5" x14ac:dyDescent="0.6"/>
  <cols>
    <col min="1" max="1" width="5.15625" bestFit="1" customWidth="1"/>
    <col min="2" max="2" width="6.3671875" bestFit="1" customWidth="1"/>
    <col min="3" max="3" width="11.578125" bestFit="1" customWidth="1"/>
    <col min="4" max="4" width="9.3671875" bestFit="1" customWidth="1"/>
    <col min="5" max="5" width="5.9453125" bestFit="1" customWidth="1"/>
    <col min="6" max="7" width="7.26171875" bestFit="1" customWidth="1"/>
    <col min="8" max="8" width="13.7890625" bestFit="1" customWidth="1"/>
    <col min="9" max="9" width="8.578125" bestFit="1" customWidth="1"/>
    <col min="10" max="12" width="9.3671875" bestFit="1" customWidth="1"/>
    <col min="13" max="17" width="11.578125" bestFit="1" customWidth="1"/>
    <col min="18" max="18" width="13.7890625" bestFit="1" customWidth="1"/>
    <col min="19" max="20" width="11.578125" bestFit="1" customWidth="1"/>
    <col min="21" max="21" width="15.9453125" bestFit="1" customWidth="1"/>
  </cols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6">
      <c r="A2">
        <v>1</v>
      </c>
      <c r="B2" t="str">
        <f>"8913"</f>
        <v>8913</v>
      </c>
      <c r="C2" t="s">
        <v>21</v>
      </c>
      <c r="D2" s="1">
        <v>42923</v>
      </c>
      <c r="E2">
        <v>31.2</v>
      </c>
      <c r="F2">
        <v>0</v>
      </c>
      <c r="G2" s="2">
        <v>0</v>
      </c>
      <c r="H2">
        <v>2016</v>
      </c>
      <c r="I2">
        <v>0.45</v>
      </c>
      <c r="J2">
        <v>0.45</v>
      </c>
      <c r="K2">
        <v>0</v>
      </c>
      <c r="L2">
        <v>0.45</v>
      </c>
      <c r="M2" s="3">
        <v>1.44E-2</v>
      </c>
      <c r="N2" s="2">
        <v>0</v>
      </c>
      <c r="O2" s="3">
        <v>1.44E-2</v>
      </c>
      <c r="P2" s="2">
        <v>1</v>
      </c>
      <c r="Q2" s="2">
        <v>0</v>
      </c>
      <c r="R2" s="2">
        <v>1</v>
      </c>
      <c r="S2" t="s">
        <v>595</v>
      </c>
      <c r="U2" t="s">
        <v>596</v>
      </c>
    </row>
    <row r="3" spans="1:21" x14ac:dyDescent="0.6">
      <c r="A3">
        <v>356</v>
      </c>
      <c r="B3" t="str">
        <f>"3607"</f>
        <v>3607</v>
      </c>
      <c r="C3" t="s">
        <v>439</v>
      </c>
      <c r="D3" s="1">
        <v>42923</v>
      </c>
      <c r="E3">
        <v>27.9</v>
      </c>
      <c r="F3">
        <v>-0.25</v>
      </c>
      <c r="G3" s="3">
        <v>-8.8999999999999999E-3</v>
      </c>
      <c r="H3">
        <v>2016</v>
      </c>
      <c r="I3">
        <v>5.42</v>
      </c>
      <c r="J3">
        <v>4.2</v>
      </c>
      <c r="K3">
        <v>0</v>
      </c>
      <c r="L3">
        <v>4.2</v>
      </c>
      <c r="M3" s="2">
        <v>0.15</v>
      </c>
      <c r="N3" s="2">
        <v>0</v>
      </c>
      <c r="O3" s="2">
        <v>0.15</v>
      </c>
      <c r="P3" s="3">
        <v>0.77500000000000002</v>
      </c>
      <c r="Q3" s="2">
        <v>0</v>
      </c>
      <c r="R3" s="3">
        <v>0.77500000000000002</v>
      </c>
      <c r="S3" t="s">
        <v>602</v>
      </c>
      <c r="U3" t="s">
        <v>616</v>
      </c>
    </row>
    <row r="4" spans="1:21" x14ac:dyDescent="0.6">
      <c r="A4">
        <v>288</v>
      </c>
      <c r="B4" t="str">
        <f>"9188"</f>
        <v>9188</v>
      </c>
      <c r="C4" t="s">
        <v>370</v>
      </c>
      <c r="D4" s="1">
        <v>42923</v>
      </c>
      <c r="E4">
        <v>4.8499999999999996</v>
      </c>
      <c r="F4">
        <v>0</v>
      </c>
      <c r="G4" s="2">
        <v>0</v>
      </c>
      <c r="H4">
        <v>2016</v>
      </c>
      <c r="J4">
        <v>0.7</v>
      </c>
      <c r="K4">
        <v>0</v>
      </c>
      <c r="L4">
        <v>0.7</v>
      </c>
      <c r="M4" s="3">
        <v>0.14399999999999999</v>
      </c>
      <c r="N4" s="2">
        <v>0</v>
      </c>
      <c r="O4" s="3">
        <v>0.14399999999999999</v>
      </c>
      <c r="S4" t="s">
        <v>615</v>
      </c>
    </row>
    <row r="5" spans="1:21" x14ac:dyDescent="0.6">
      <c r="A5">
        <v>303</v>
      </c>
      <c r="B5" t="str">
        <f>"4545"</f>
        <v>4545</v>
      </c>
      <c r="C5" t="s">
        <v>385</v>
      </c>
      <c r="D5" s="1">
        <v>42923</v>
      </c>
      <c r="E5">
        <v>39.85</v>
      </c>
      <c r="F5">
        <v>-0.3</v>
      </c>
      <c r="G5" s="3">
        <v>-7.4999999999999997E-3</v>
      </c>
      <c r="H5">
        <v>2016</v>
      </c>
      <c r="I5">
        <v>7.53</v>
      </c>
      <c r="J5">
        <v>5.5</v>
      </c>
      <c r="K5">
        <v>0</v>
      </c>
      <c r="L5">
        <v>5.5</v>
      </c>
      <c r="M5" s="3">
        <v>0.13800000000000001</v>
      </c>
      <c r="N5" s="2">
        <v>0</v>
      </c>
      <c r="O5" s="3">
        <v>0.13800000000000001</v>
      </c>
      <c r="P5" s="2">
        <v>0.73</v>
      </c>
      <c r="Q5" s="2">
        <v>0</v>
      </c>
      <c r="R5" s="2">
        <v>0.73</v>
      </c>
      <c r="S5" t="s">
        <v>653</v>
      </c>
      <c r="U5" t="s">
        <v>596</v>
      </c>
    </row>
    <row r="6" spans="1:21" x14ac:dyDescent="0.6">
      <c r="A6">
        <v>5</v>
      </c>
      <c r="B6" t="str">
        <f>"5315"</f>
        <v>5315</v>
      </c>
      <c r="C6" t="s">
        <v>28</v>
      </c>
      <c r="D6" s="1">
        <v>42923</v>
      </c>
      <c r="E6">
        <v>21</v>
      </c>
      <c r="F6">
        <v>-0.35</v>
      </c>
      <c r="G6" s="3">
        <v>-1.6400000000000001E-2</v>
      </c>
      <c r="H6">
        <v>2016</v>
      </c>
      <c r="I6">
        <v>3.4</v>
      </c>
      <c r="J6">
        <v>0</v>
      </c>
      <c r="K6">
        <v>0</v>
      </c>
      <c r="L6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21" x14ac:dyDescent="0.6">
      <c r="A7">
        <v>6</v>
      </c>
      <c r="B7" t="str">
        <f>"1463"</f>
        <v>1463</v>
      </c>
      <c r="C7" t="s">
        <v>29</v>
      </c>
      <c r="D7" s="1">
        <v>42923</v>
      </c>
      <c r="E7">
        <v>29.4</v>
      </c>
      <c r="F7">
        <v>-0.05</v>
      </c>
      <c r="G7" s="3">
        <v>-1.6999999999999999E-3</v>
      </c>
      <c r="H7">
        <v>2016</v>
      </c>
      <c r="I7">
        <v>0.51</v>
      </c>
      <c r="J7">
        <v>0.7</v>
      </c>
      <c r="K7">
        <v>0</v>
      </c>
      <c r="L7">
        <v>0.7</v>
      </c>
      <c r="M7" s="3">
        <v>2.3800000000000002E-2</v>
      </c>
      <c r="N7" s="2">
        <v>0</v>
      </c>
      <c r="O7" s="3">
        <v>2.3800000000000002E-2</v>
      </c>
      <c r="P7" s="2">
        <v>1.37</v>
      </c>
      <c r="Q7" s="2">
        <v>0</v>
      </c>
      <c r="R7" s="2">
        <v>1.37</v>
      </c>
      <c r="S7" t="s">
        <v>602</v>
      </c>
      <c r="U7" t="s">
        <v>603</v>
      </c>
    </row>
    <row r="8" spans="1:21" x14ac:dyDescent="0.6">
      <c r="A8">
        <v>7</v>
      </c>
      <c r="B8" t="str">
        <f>"1416"</f>
        <v>1416</v>
      </c>
      <c r="C8" t="s">
        <v>30</v>
      </c>
      <c r="D8" s="1">
        <v>42923</v>
      </c>
      <c r="E8">
        <v>27.5</v>
      </c>
      <c r="F8">
        <v>0</v>
      </c>
      <c r="G8" s="2">
        <v>0</v>
      </c>
      <c r="H8">
        <v>2016</v>
      </c>
      <c r="I8">
        <v>-0.13</v>
      </c>
      <c r="J8">
        <v>1.3</v>
      </c>
      <c r="K8">
        <v>0</v>
      </c>
      <c r="L8">
        <v>1.3</v>
      </c>
      <c r="M8" s="3">
        <v>4.7300000000000002E-2</v>
      </c>
      <c r="N8" s="2">
        <v>0</v>
      </c>
      <c r="O8" s="3">
        <v>4.7300000000000002E-2</v>
      </c>
      <c r="P8" s="2">
        <v>-10</v>
      </c>
      <c r="Q8" s="2">
        <v>0</v>
      </c>
      <c r="R8" s="2">
        <v>-10</v>
      </c>
      <c r="S8" t="s">
        <v>604</v>
      </c>
      <c r="U8" t="s">
        <v>599</v>
      </c>
    </row>
    <row r="9" spans="1:21" x14ac:dyDescent="0.6">
      <c r="A9">
        <v>8</v>
      </c>
      <c r="B9" t="str">
        <f>"1310"</f>
        <v>1310</v>
      </c>
      <c r="C9" t="s">
        <v>32</v>
      </c>
      <c r="D9" s="1">
        <v>42923</v>
      </c>
      <c r="E9">
        <v>20.7</v>
      </c>
      <c r="F9">
        <v>-0.05</v>
      </c>
      <c r="G9" s="3">
        <v>-2.3999999999999998E-3</v>
      </c>
      <c r="H9">
        <v>2016</v>
      </c>
      <c r="I9">
        <v>1.31</v>
      </c>
      <c r="J9">
        <v>1</v>
      </c>
      <c r="K9">
        <v>0</v>
      </c>
      <c r="L9">
        <v>1</v>
      </c>
      <c r="M9" s="3">
        <v>4.8300000000000003E-2</v>
      </c>
      <c r="N9" s="2">
        <v>0</v>
      </c>
      <c r="O9" s="3">
        <v>4.8300000000000003E-2</v>
      </c>
      <c r="P9" s="3">
        <v>0.76300000000000001</v>
      </c>
      <c r="Q9" s="2">
        <v>0</v>
      </c>
      <c r="R9" s="3">
        <v>0.76300000000000001</v>
      </c>
      <c r="S9" t="s">
        <v>605</v>
      </c>
      <c r="U9" t="s">
        <v>606</v>
      </c>
    </row>
    <row r="10" spans="1:21" x14ac:dyDescent="0.6">
      <c r="A10">
        <v>9</v>
      </c>
      <c r="B10" t="str">
        <f>"2545"</f>
        <v>2545</v>
      </c>
      <c r="C10" t="s">
        <v>33</v>
      </c>
      <c r="D10" s="1">
        <v>42923</v>
      </c>
      <c r="E10">
        <v>42.4</v>
      </c>
      <c r="F10">
        <v>0.15</v>
      </c>
      <c r="G10" s="3">
        <v>3.5999999999999999E-3</v>
      </c>
      <c r="H10">
        <v>2016</v>
      </c>
      <c r="I10">
        <v>0.28000000000000003</v>
      </c>
      <c r="J10">
        <v>1.2</v>
      </c>
      <c r="K10">
        <v>0</v>
      </c>
      <c r="L10">
        <v>1.2</v>
      </c>
      <c r="M10" s="3">
        <v>2.8299999999999999E-2</v>
      </c>
      <c r="N10" s="2">
        <v>0</v>
      </c>
      <c r="O10" s="3">
        <v>2.8299999999999999E-2</v>
      </c>
      <c r="P10" s="2">
        <v>4.29</v>
      </c>
      <c r="Q10" s="2">
        <v>0</v>
      </c>
      <c r="R10" s="2">
        <v>4.29</v>
      </c>
      <c r="S10" t="s">
        <v>596</v>
      </c>
      <c r="U10" t="s">
        <v>607</v>
      </c>
    </row>
    <row r="11" spans="1:21" x14ac:dyDescent="0.6">
      <c r="A11">
        <v>2</v>
      </c>
      <c r="B11" t="str">
        <f>"3056"</f>
        <v>3056</v>
      </c>
      <c r="C11" t="s">
        <v>23</v>
      </c>
      <c r="D11" s="1">
        <v>42923</v>
      </c>
      <c r="E11">
        <v>18.5</v>
      </c>
      <c r="F11">
        <v>-0.1</v>
      </c>
      <c r="G11" s="3">
        <v>-5.4000000000000003E-3</v>
      </c>
      <c r="H11">
        <v>2016</v>
      </c>
      <c r="I11">
        <v>3.63</v>
      </c>
      <c r="J11">
        <v>2.5</v>
      </c>
      <c r="K11">
        <v>0</v>
      </c>
      <c r="L11">
        <v>2.5</v>
      </c>
      <c r="M11" s="3">
        <v>0.13500000000000001</v>
      </c>
      <c r="N11" s="2">
        <v>0</v>
      </c>
      <c r="O11" s="3">
        <v>0.13500000000000001</v>
      </c>
      <c r="P11" s="3">
        <v>0.68899999999999995</v>
      </c>
      <c r="Q11" s="2">
        <v>0</v>
      </c>
      <c r="R11" s="3">
        <v>0.68899999999999995</v>
      </c>
      <c r="S11" t="s">
        <v>597</v>
      </c>
      <c r="U11" t="s">
        <v>596</v>
      </c>
    </row>
    <row r="12" spans="1:21" x14ac:dyDescent="0.6">
      <c r="A12">
        <v>24</v>
      </c>
      <c r="B12" t="str">
        <f>"6186"</f>
        <v>6186</v>
      </c>
      <c r="C12" t="s">
        <v>57</v>
      </c>
      <c r="D12" s="1">
        <v>42923</v>
      </c>
      <c r="E12">
        <v>22.4</v>
      </c>
      <c r="F12">
        <v>0</v>
      </c>
      <c r="G12" s="2">
        <v>0</v>
      </c>
      <c r="H12">
        <v>2016</v>
      </c>
      <c r="I12">
        <v>6.44</v>
      </c>
      <c r="J12">
        <v>3</v>
      </c>
      <c r="K12">
        <v>0.5</v>
      </c>
      <c r="L12">
        <v>3.5</v>
      </c>
      <c r="M12" s="3">
        <v>0.13400000000000001</v>
      </c>
      <c r="N12" s="3">
        <v>2.23E-2</v>
      </c>
      <c r="O12" s="3">
        <v>0.156</v>
      </c>
      <c r="P12" s="3">
        <v>0.46600000000000003</v>
      </c>
      <c r="Q12" s="3">
        <v>7.7600000000000002E-2</v>
      </c>
      <c r="R12" s="3">
        <v>0.54400000000000004</v>
      </c>
      <c r="S12" t="s">
        <v>620</v>
      </c>
      <c r="T12" t="s">
        <v>620</v>
      </c>
      <c r="U12" t="s">
        <v>621</v>
      </c>
    </row>
    <row r="13" spans="1:21" x14ac:dyDescent="0.6">
      <c r="A13">
        <v>397</v>
      </c>
      <c r="B13" t="str">
        <f>"6432"</f>
        <v>6432</v>
      </c>
      <c r="C13" t="s">
        <v>483</v>
      </c>
      <c r="D13" s="1">
        <v>42923</v>
      </c>
      <c r="E13">
        <v>19.5</v>
      </c>
      <c r="F13">
        <v>0.05</v>
      </c>
      <c r="G13" s="3">
        <v>2.5999999999999999E-3</v>
      </c>
      <c r="H13">
        <v>2016</v>
      </c>
      <c r="I13">
        <v>3.49</v>
      </c>
      <c r="J13">
        <v>2.5</v>
      </c>
      <c r="K13">
        <v>0</v>
      </c>
      <c r="L13">
        <v>2.5</v>
      </c>
      <c r="M13" s="3">
        <v>0.128</v>
      </c>
      <c r="N13" s="2">
        <v>0</v>
      </c>
      <c r="O13" s="3">
        <v>0.128</v>
      </c>
      <c r="P13" s="3">
        <v>0.71599999999999997</v>
      </c>
      <c r="Q13" s="2">
        <v>0</v>
      </c>
      <c r="R13" s="3">
        <v>0.71599999999999997</v>
      </c>
      <c r="S13" t="s">
        <v>607</v>
      </c>
      <c r="U13" t="s">
        <v>609</v>
      </c>
    </row>
    <row r="14" spans="1:21" x14ac:dyDescent="0.6">
      <c r="A14">
        <v>491</v>
      </c>
      <c r="B14" t="str">
        <f>"3060"</f>
        <v>3060</v>
      </c>
      <c r="C14" t="s">
        <v>584</v>
      </c>
      <c r="D14" s="1">
        <v>42923</v>
      </c>
      <c r="E14">
        <v>31.8</v>
      </c>
      <c r="F14">
        <v>-0.8</v>
      </c>
      <c r="G14" s="3">
        <v>-2.4500000000000001E-2</v>
      </c>
      <c r="H14">
        <v>2016</v>
      </c>
      <c r="I14">
        <v>4.33</v>
      </c>
      <c r="J14">
        <v>3.8</v>
      </c>
      <c r="K14">
        <v>0</v>
      </c>
      <c r="L14">
        <v>3.8</v>
      </c>
      <c r="M14" s="2">
        <v>0.12</v>
      </c>
      <c r="N14" s="2">
        <v>0</v>
      </c>
      <c r="O14" s="2">
        <v>0.12</v>
      </c>
      <c r="P14" s="3">
        <v>0.878</v>
      </c>
      <c r="Q14" s="2">
        <v>0</v>
      </c>
      <c r="R14" s="3">
        <v>0.878</v>
      </c>
      <c r="S14" t="s">
        <v>602</v>
      </c>
      <c r="U14" t="s">
        <v>675</v>
      </c>
    </row>
    <row r="15" spans="1:21" x14ac:dyDescent="0.6">
      <c r="A15">
        <v>14</v>
      </c>
      <c r="B15" t="str">
        <f>"2542"</f>
        <v>2542</v>
      </c>
      <c r="C15" t="s">
        <v>42</v>
      </c>
      <c r="D15" s="1">
        <v>42923</v>
      </c>
      <c r="E15">
        <v>50.4</v>
      </c>
      <c r="F15">
        <v>-0.3</v>
      </c>
      <c r="G15" s="3">
        <v>-5.8999999999999999E-3</v>
      </c>
      <c r="H15">
        <v>2016</v>
      </c>
      <c r="I15">
        <v>7.06</v>
      </c>
      <c r="J15">
        <v>6</v>
      </c>
      <c r="K15">
        <v>0</v>
      </c>
      <c r="L15">
        <v>6</v>
      </c>
      <c r="M15" s="3">
        <v>0.11899999999999999</v>
      </c>
      <c r="N15" s="2">
        <v>0</v>
      </c>
      <c r="O15" s="3">
        <v>0.11899999999999999</v>
      </c>
      <c r="P15" s="2">
        <v>0.85</v>
      </c>
      <c r="Q15" s="2">
        <v>0</v>
      </c>
      <c r="R15" s="2">
        <v>0.85</v>
      </c>
      <c r="S15" t="s">
        <v>602</v>
      </c>
      <c r="U15" t="s">
        <v>605</v>
      </c>
    </row>
    <row r="16" spans="1:21" x14ac:dyDescent="0.6">
      <c r="A16">
        <v>11</v>
      </c>
      <c r="B16" t="str">
        <f>"2597"</f>
        <v>2597</v>
      </c>
      <c r="C16" t="s">
        <v>37</v>
      </c>
      <c r="D16" s="1">
        <v>42923</v>
      </c>
      <c r="E16">
        <v>39.799999999999997</v>
      </c>
      <c r="F16">
        <v>-0.3</v>
      </c>
      <c r="G16" s="3">
        <v>-7.4999999999999997E-3</v>
      </c>
      <c r="H16">
        <v>2016</v>
      </c>
      <c r="I16">
        <v>5.14</v>
      </c>
      <c r="J16">
        <v>4.5999999999999996</v>
      </c>
      <c r="K16">
        <v>0</v>
      </c>
      <c r="L16">
        <v>4.5999999999999996</v>
      </c>
      <c r="M16" s="3">
        <v>0.11600000000000001</v>
      </c>
      <c r="N16" s="2">
        <v>0</v>
      </c>
      <c r="O16" s="3">
        <v>0.11600000000000001</v>
      </c>
      <c r="P16" s="3">
        <v>0.89500000000000002</v>
      </c>
      <c r="Q16" s="2">
        <v>0</v>
      </c>
      <c r="R16" s="3">
        <v>0.89500000000000002</v>
      </c>
      <c r="S16" t="s">
        <v>600</v>
      </c>
      <c r="U16" t="s">
        <v>610</v>
      </c>
    </row>
    <row r="17" spans="1:21" x14ac:dyDescent="0.6">
      <c r="A17">
        <v>28</v>
      </c>
      <c r="B17" t="str">
        <f>"2538"</f>
        <v>2538</v>
      </c>
      <c r="C17" t="s">
        <v>62</v>
      </c>
      <c r="D17" s="1">
        <v>42923</v>
      </c>
      <c r="E17">
        <v>11.3</v>
      </c>
      <c r="F17">
        <v>0</v>
      </c>
      <c r="G17" s="2">
        <v>0</v>
      </c>
      <c r="H17">
        <v>2016</v>
      </c>
      <c r="I17">
        <v>4.0199999999999996</v>
      </c>
      <c r="J17">
        <v>1.3</v>
      </c>
      <c r="K17">
        <v>0</v>
      </c>
      <c r="L17">
        <v>1.3</v>
      </c>
      <c r="M17" s="3">
        <v>0.115</v>
      </c>
      <c r="N17" s="2">
        <v>0</v>
      </c>
      <c r="O17" s="3">
        <v>0.115</v>
      </c>
      <c r="P17" s="3">
        <v>0.32300000000000001</v>
      </c>
      <c r="Q17" s="2">
        <v>0</v>
      </c>
      <c r="R17" s="3">
        <v>0.32300000000000001</v>
      </c>
      <c r="S17" t="s">
        <v>627</v>
      </c>
      <c r="U17" t="s">
        <v>603</v>
      </c>
    </row>
    <row r="18" spans="1:21" x14ac:dyDescent="0.6">
      <c r="A18">
        <v>283</v>
      </c>
      <c r="B18" t="str">
        <f>"2530"</f>
        <v>2530</v>
      </c>
      <c r="C18" t="s">
        <v>364</v>
      </c>
      <c r="D18" s="1">
        <v>42923</v>
      </c>
      <c r="E18">
        <v>13.9</v>
      </c>
      <c r="F18">
        <v>-0.05</v>
      </c>
      <c r="G18" s="3">
        <v>-3.5999999999999999E-3</v>
      </c>
      <c r="H18">
        <v>2016</v>
      </c>
      <c r="I18">
        <v>2.59</v>
      </c>
      <c r="J18">
        <v>1.6</v>
      </c>
      <c r="K18">
        <v>0</v>
      </c>
      <c r="L18">
        <v>1.6</v>
      </c>
      <c r="M18" s="3">
        <v>0.115</v>
      </c>
      <c r="N18" s="2">
        <v>0</v>
      </c>
      <c r="O18" s="3">
        <v>0.115</v>
      </c>
      <c r="P18" s="3">
        <v>0.61799999999999999</v>
      </c>
      <c r="Q18" s="2">
        <v>0</v>
      </c>
      <c r="R18" s="3">
        <v>0.61799999999999999</v>
      </c>
      <c r="S18" t="s">
        <v>635</v>
      </c>
      <c r="U18" t="s">
        <v>598</v>
      </c>
    </row>
    <row r="19" spans="1:21" x14ac:dyDescent="0.6">
      <c r="A19">
        <v>18</v>
      </c>
      <c r="B19" t="str">
        <f>"6235"</f>
        <v>6235</v>
      </c>
      <c r="C19" t="s">
        <v>49</v>
      </c>
      <c r="D19" s="1">
        <v>42923</v>
      </c>
      <c r="E19">
        <v>20.95</v>
      </c>
      <c r="F19">
        <v>0.05</v>
      </c>
      <c r="G19" s="3">
        <v>2.3999999999999998E-3</v>
      </c>
      <c r="H19">
        <v>2016</v>
      </c>
      <c r="I19">
        <v>0.28999999999999998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21" x14ac:dyDescent="0.6">
      <c r="A20">
        <v>19</v>
      </c>
      <c r="B20" t="str">
        <f>"5371"</f>
        <v>5371</v>
      </c>
      <c r="C20" t="s">
        <v>50</v>
      </c>
      <c r="D20" s="1">
        <v>42923</v>
      </c>
      <c r="E20">
        <v>37.65</v>
      </c>
      <c r="F20">
        <v>-0.8</v>
      </c>
      <c r="G20" s="3">
        <v>-2.0799999999999999E-2</v>
      </c>
      <c r="H20">
        <v>2016</v>
      </c>
      <c r="I20">
        <v>3.51</v>
      </c>
      <c r="J20">
        <v>1.5</v>
      </c>
      <c r="K20">
        <v>0</v>
      </c>
      <c r="L20">
        <v>1.5</v>
      </c>
      <c r="M20" s="3">
        <v>3.9800000000000002E-2</v>
      </c>
      <c r="N20" s="2">
        <v>0</v>
      </c>
      <c r="O20" s="3">
        <v>3.9800000000000002E-2</v>
      </c>
      <c r="P20" s="3">
        <v>0.42699999999999999</v>
      </c>
      <c r="Q20" s="2">
        <v>0</v>
      </c>
      <c r="R20" s="3">
        <v>0.42699999999999999</v>
      </c>
      <c r="S20" t="s">
        <v>600</v>
      </c>
      <c r="U20" t="s">
        <v>616</v>
      </c>
    </row>
    <row r="21" spans="1:21" x14ac:dyDescent="0.6">
      <c r="A21">
        <v>20</v>
      </c>
      <c r="B21" t="str">
        <f>"2936"</f>
        <v>2936</v>
      </c>
      <c r="C21" t="s">
        <v>51</v>
      </c>
      <c r="D21" s="1">
        <v>42923</v>
      </c>
      <c r="E21">
        <v>43.5</v>
      </c>
      <c r="F21">
        <v>-0.4</v>
      </c>
      <c r="G21" s="3">
        <v>-9.1000000000000004E-3</v>
      </c>
      <c r="H21">
        <v>2016</v>
      </c>
      <c r="I21">
        <v>2.67</v>
      </c>
      <c r="J21">
        <v>0.7</v>
      </c>
      <c r="K21">
        <v>0</v>
      </c>
      <c r="L21">
        <v>0.7</v>
      </c>
      <c r="M21" s="3">
        <v>1.61E-2</v>
      </c>
      <c r="N21" s="2">
        <v>0</v>
      </c>
      <c r="O21" s="3">
        <v>1.61E-2</v>
      </c>
      <c r="P21" s="3">
        <v>0.26200000000000001</v>
      </c>
      <c r="Q21" s="2">
        <v>0</v>
      </c>
      <c r="R21" s="3">
        <v>0.26200000000000001</v>
      </c>
    </row>
    <row r="22" spans="1:21" x14ac:dyDescent="0.6">
      <c r="A22">
        <v>23</v>
      </c>
      <c r="B22" t="str">
        <f>"2536"</f>
        <v>2536</v>
      </c>
      <c r="C22" t="s">
        <v>56</v>
      </c>
      <c r="D22" s="1">
        <v>42923</v>
      </c>
      <c r="E22">
        <v>23.3</v>
      </c>
      <c r="F22">
        <v>-0.15</v>
      </c>
      <c r="G22" s="3">
        <v>-6.4000000000000003E-3</v>
      </c>
      <c r="H22">
        <v>2016</v>
      </c>
      <c r="I22">
        <v>4.41</v>
      </c>
      <c r="J22">
        <v>2.6</v>
      </c>
      <c r="K22">
        <v>0</v>
      </c>
      <c r="L22">
        <v>2.6</v>
      </c>
      <c r="M22" s="3">
        <v>0.112</v>
      </c>
      <c r="N22" s="2">
        <v>0</v>
      </c>
      <c r="O22" s="3">
        <v>0.112</v>
      </c>
      <c r="P22" s="2">
        <v>0.59</v>
      </c>
      <c r="Q22" s="2">
        <v>0</v>
      </c>
      <c r="R22" s="2">
        <v>0.59</v>
      </c>
      <c r="S22" t="s">
        <v>611</v>
      </c>
      <c r="U22" t="s">
        <v>619</v>
      </c>
    </row>
    <row r="23" spans="1:21" x14ac:dyDescent="0.6">
      <c r="A23">
        <v>99</v>
      </c>
      <c r="B23" t="str">
        <f>"6177"</f>
        <v>6177</v>
      </c>
      <c r="C23" t="s">
        <v>162</v>
      </c>
      <c r="D23" s="1">
        <v>42923</v>
      </c>
      <c r="E23">
        <v>26.85</v>
      </c>
      <c r="F23">
        <v>0.25</v>
      </c>
      <c r="G23" s="3">
        <v>9.4000000000000004E-3</v>
      </c>
      <c r="H23">
        <v>2016</v>
      </c>
      <c r="I23">
        <v>3.66</v>
      </c>
      <c r="J23">
        <v>2.98</v>
      </c>
      <c r="K23">
        <v>0.1</v>
      </c>
      <c r="L23">
        <v>3.08</v>
      </c>
      <c r="M23" s="3">
        <v>0.111</v>
      </c>
      <c r="N23" s="3">
        <v>3.7000000000000002E-3</v>
      </c>
      <c r="O23" s="3">
        <v>0.115</v>
      </c>
      <c r="P23" s="3">
        <v>0.81399999999999995</v>
      </c>
      <c r="Q23" s="3">
        <v>2.7300000000000001E-2</v>
      </c>
      <c r="R23" s="3">
        <v>0.84199999999999997</v>
      </c>
      <c r="S23" t="s">
        <v>611</v>
      </c>
      <c r="T23" t="s">
        <v>611</v>
      </c>
      <c r="U23" t="s">
        <v>621</v>
      </c>
    </row>
    <row r="24" spans="1:21" x14ac:dyDescent="0.6">
      <c r="A24">
        <v>53</v>
      </c>
      <c r="B24" t="str">
        <f>"3030"</f>
        <v>3030</v>
      </c>
      <c r="C24" t="s">
        <v>102</v>
      </c>
      <c r="D24" s="1">
        <v>42923</v>
      </c>
      <c r="E24">
        <v>36.9</v>
      </c>
      <c r="F24">
        <v>-0.25</v>
      </c>
      <c r="G24" s="3">
        <v>-6.7000000000000002E-3</v>
      </c>
      <c r="H24">
        <v>2016</v>
      </c>
      <c r="I24">
        <v>4.2300000000000004</v>
      </c>
      <c r="J24">
        <v>4</v>
      </c>
      <c r="K24">
        <v>0</v>
      </c>
      <c r="L24">
        <v>4</v>
      </c>
      <c r="M24" s="3">
        <v>0.108</v>
      </c>
      <c r="N24" s="2">
        <v>0</v>
      </c>
      <c r="O24" s="3">
        <v>0.108</v>
      </c>
      <c r="P24" s="3">
        <v>0.94599999999999995</v>
      </c>
      <c r="Q24" s="2">
        <v>0</v>
      </c>
      <c r="R24" s="3">
        <v>0.94599999999999995</v>
      </c>
      <c r="S24" t="s">
        <v>646</v>
      </c>
      <c r="U24" t="s">
        <v>640</v>
      </c>
    </row>
    <row r="25" spans="1:21" x14ac:dyDescent="0.6">
      <c r="A25">
        <v>59</v>
      </c>
      <c r="B25" t="str">
        <f>"3623"</f>
        <v>3623</v>
      </c>
      <c r="C25" t="s">
        <v>112</v>
      </c>
      <c r="D25" s="1">
        <v>42923</v>
      </c>
      <c r="E25">
        <v>50.1</v>
      </c>
      <c r="F25">
        <v>-0.2</v>
      </c>
      <c r="G25" s="3">
        <v>-4.0000000000000001E-3</v>
      </c>
      <c r="H25">
        <v>2016</v>
      </c>
      <c r="I25">
        <v>3.41</v>
      </c>
      <c r="J25">
        <v>5.42</v>
      </c>
      <c r="K25">
        <v>0</v>
      </c>
      <c r="L25">
        <v>5.42</v>
      </c>
      <c r="M25" s="3">
        <v>0.108</v>
      </c>
      <c r="N25" s="2">
        <v>0</v>
      </c>
      <c r="O25" s="3">
        <v>0.108</v>
      </c>
      <c r="P25" s="2">
        <v>1.59</v>
      </c>
      <c r="Q25" s="2">
        <v>0</v>
      </c>
      <c r="R25" s="2">
        <v>1.59</v>
      </c>
      <c r="S25" t="s">
        <v>650</v>
      </c>
      <c r="U25" t="s">
        <v>621</v>
      </c>
    </row>
    <row r="26" spans="1:21" x14ac:dyDescent="0.6">
      <c r="A26">
        <v>238</v>
      </c>
      <c r="B26" t="str">
        <f>"5604"</f>
        <v>5604</v>
      </c>
      <c r="C26" t="s">
        <v>317</v>
      </c>
      <c r="D26" s="1">
        <v>42923</v>
      </c>
      <c r="E26">
        <v>29.9</v>
      </c>
      <c r="F26">
        <v>0.1</v>
      </c>
      <c r="G26" s="3">
        <v>3.3999999999999998E-3</v>
      </c>
      <c r="H26">
        <v>2016</v>
      </c>
      <c r="I26">
        <v>3.81</v>
      </c>
      <c r="J26">
        <v>3.2</v>
      </c>
      <c r="K26">
        <v>0</v>
      </c>
      <c r="L26">
        <v>3.2</v>
      </c>
      <c r="M26" s="3">
        <v>0.107</v>
      </c>
      <c r="N26" s="2">
        <v>0</v>
      </c>
      <c r="O26" s="3">
        <v>0.107</v>
      </c>
      <c r="P26" s="2">
        <v>0.84</v>
      </c>
      <c r="Q26" s="2">
        <v>0</v>
      </c>
      <c r="R26" s="2">
        <v>0.84</v>
      </c>
      <c r="S26" t="s">
        <v>624</v>
      </c>
      <c r="U26" t="s">
        <v>641</v>
      </c>
    </row>
    <row r="27" spans="1:21" x14ac:dyDescent="0.6">
      <c r="A27">
        <v>192</v>
      </c>
      <c r="B27" t="str">
        <f>"8928"</f>
        <v>8928</v>
      </c>
      <c r="C27" t="s">
        <v>269</v>
      </c>
      <c r="D27" s="1">
        <v>42923</v>
      </c>
      <c r="E27">
        <v>23.75</v>
      </c>
      <c r="F27">
        <v>2.15</v>
      </c>
      <c r="G27" s="3">
        <v>9.9500000000000005E-2</v>
      </c>
      <c r="H27">
        <v>2016</v>
      </c>
      <c r="I27">
        <v>4.01</v>
      </c>
      <c r="J27">
        <v>2.5</v>
      </c>
      <c r="K27">
        <v>0</v>
      </c>
      <c r="L27">
        <v>2.5</v>
      </c>
      <c r="M27" s="3">
        <v>0.105</v>
      </c>
      <c r="N27" s="2">
        <v>0</v>
      </c>
      <c r="O27" s="3">
        <v>0.105</v>
      </c>
      <c r="P27" s="3">
        <v>0.623</v>
      </c>
      <c r="Q27" s="2">
        <v>0</v>
      </c>
      <c r="R27" s="3">
        <v>0.623</v>
      </c>
      <c r="S27" t="s">
        <v>666</v>
      </c>
      <c r="U27" t="s">
        <v>649</v>
      </c>
    </row>
    <row r="28" spans="1:21" x14ac:dyDescent="0.6">
      <c r="A28">
        <v>10</v>
      </c>
      <c r="B28" t="str">
        <f>"1808"</f>
        <v>1808</v>
      </c>
      <c r="C28" t="s">
        <v>35</v>
      </c>
      <c r="D28" s="1">
        <v>42923</v>
      </c>
      <c r="E28">
        <v>48.75</v>
      </c>
      <c r="F28">
        <v>-0.3</v>
      </c>
      <c r="G28" s="3">
        <v>-6.1000000000000004E-3</v>
      </c>
      <c r="H28">
        <v>2016</v>
      </c>
      <c r="I28">
        <v>4.3</v>
      </c>
      <c r="J28">
        <v>5.01</v>
      </c>
      <c r="K28">
        <v>0</v>
      </c>
      <c r="L28">
        <v>5.01</v>
      </c>
      <c r="M28" s="3">
        <v>0.10299999999999999</v>
      </c>
      <c r="N28" s="2">
        <v>0</v>
      </c>
      <c r="O28" s="3">
        <v>0.10299999999999999</v>
      </c>
      <c r="P28" s="2">
        <v>1.17</v>
      </c>
      <c r="Q28" s="2">
        <v>0</v>
      </c>
      <c r="R28" s="2">
        <v>1.17</v>
      </c>
      <c r="S28" t="s">
        <v>608</v>
      </c>
      <c r="U28" t="s">
        <v>609</v>
      </c>
    </row>
    <row r="29" spans="1:21" x14ac:dyDescent="0.6">
      <c r="A29">
        <v>52</v>
      </c>
      <c r="B29" t="str">
        <f>"6512"</f>
        <v>6512</v>
      </c>
      <c r="C29" t="s">
        <v>101</v>
      </c>
      <c r="D29" s="1">
        <v>42923</v>
      </c>
      <c r="E29">
        <v>28</v>
      </c>
      <c r="F29">
        <v>0</v>
      </c>
      <c r="G29" s="2">
        <v>0</v>
      </c>
      <c r="H29">
        <v>2016</v>
      </c>
      <c r="I29">
        <v>3.51</v>
      </c>
      <c r="J29">
        <v>2.83</v>
      </c>
      <c r="K29">
        <v>0</v>
      </c>
      <c r="L29">
        <v>2.83</v>
      </c>
      <c r="M29" s="3">
        <v>0.10100000000000001</v>
      </c>
      <c r="N29" s="2">
        <v>0</v>
      </c>
      <c r="O29" s="3">
        <v>0.10100000000000001</v>
      </c>
      <c r="P29" s="3">
        <v>0.80600000000000005</v>
      </c>
      <c r="Q29" s="2">
        <v>0</v>
      </c>
      <c r="R29" s="3">
        <v>0.80600000000000005</v>
      </c>
      <c r="S29" t="s">
        <v>639</v>
      </c>
      <c r="U29" t="s">
        <v>645</v>
      </c>
    </row>
    <row r="30" spans="1:21" x14ac:dyDescent="0.6">
      <c r="A30">
        <v>383</v>
      </c>
      <c r="B30" t="str">
        <f>"5489"</f>
        <v>5489</v>
      </c>
      <c r="C30" t="s">
        <v>467</v>
      </c>
      <c r="D30" s="1">
        <v>42923</v>
      </c>
      <c r="E30">
        <v>34.6</v>
      </c>
      <c r="F30">
        <v>0.05</v>
      </c>
      <c r="G30" s="3">
        <v>1.4E-3</v>
      </c>
      <c r="H30">
        <v>2016</v>
      </c>
      <c r="I30">
        <v>4.1500000000000004</v>
      </c>
      <c r="J30">
        <v>3.5</v>
      </c>
      <c r="K30">
        <v>0</v>
      </c>
      <c r="L30">
        <v>3.5</v>
      </c>
      <c r="M30" s="3">
        <v>0.10100000000000001</v>
      </c>
      <c r="N30" s="2">
        <v>0</v>
      </c>
      <c r="O30" s="3">
        <v>0.10100000000000001</v>
      </c>
      <c r="P30" s="3">
        <v>0.84299999999999997</v>
      </c>
      <c r="Q30" s="2">
        <v>0</v>
      </c>
      <c r="R30" s="3">
        <v>0.84299999999999997</v>
      </c>
      <c r="S30" t="s">
        <v>630</v>
      </c>
      <c r="U30" t="s">
        <v>671</v>
      </c>
    </row>
    <row r="31" spans="1:21" x14ac:dyDescent="0.6">
      <c r="A31">
        <v>446</v>
      </c>
      <c r="B31" t="str">
        <f>"6210"</f>
        <v>6210</v>
      </c>
      <c r="C31" t="s">
        <v>536</v>
      </c>
      <c r="D31" s="1">
        <v>42923</v>
      </c>
      <c r="E31">
        <v>40.700000000000003</v>
      </c>
      <c r="F31">
        <v>-0.25</v>
      </c>
      <c r="G31" s="3">
        <v>-6.1000000000000004E-3</v>
      </c>
      <c r="H31">
        <v>2016</v>
      </c>
      <c r="I31">
        <v>5.4</v>
      </c>
      <c r="J31">
        <v>4</v>
      </c>
      <c r="K31">
        <v>0</v>
      </c>
      <c r="L31">
        <v>4</v>
      </c>
      <c r="M31" s="3">
        <v>9.8299999999999998E-2</v>
      </c>
      <c r="N31" s="2">
        <v>0</v>
      </c>
      <c r="O31" s="3">
        <v>9.8299999999999998E-2</v>
      </c>
      <c r="P31" s="3">
        <v>0.74099999999999999</v>
      </c>
      <c r="Q31" s="2">
        <v>0</v>
      </c>
      <c r="R31" s="3">
        <v>0.74099999999999999</v>
      </c>
      <c r="S31" t="s">
        <v>622</v>
      </c>
      <c r="U31" t="s">
        <v>650</v>
      </c>
    </row>
    <row r="32" spans="1:21" x14ac:dyDescent="0.6">
      <c r="A32">
        <v>92</v>
      </c>
      <c r="B32" t="str">
        <f>"6189"</f>
        <v>6189</v>
      </c>
      <c r="C32" t="s">
        <v>155</v>
      </c>
      <c r="D32" s="1">
        <v>42923</v>
      </c>
      <c r="E32">
        <v>30.75</v>
      </c>
      <c r="F32">
        <v>-0.15</v>
      </c>
      <c r="G32" s="3">
        <v>-4.8999999999999998E-3</v>
      </c>
      <c r="H32">
        <v>2016</v>
      </c>
      <c r="I32">
        <v>3.22</v>
      </c>
      <c r="J32">
        <v>3</v>
      </c>
      <c r="K32">
        <v>0</v>
      </c>
      <c r="L32">
        <v>3</v>
      </c>
      <c r="M32" s="3">
        <v>9.7600000000000006E-2</v>
      </c>
      <c r="N32" s="2">
        <v>0</v>
      </c>
      <c r="O32" s="3">
        <v>9.7600000000000006E-2</v>
      </c>
      <c r="P32" s="3">
        <v>0.93200000000000005</v>
      </c>
      <c r="Q32" s="2">
        <v>0</v>
      </c>
      <c r="R32" s="3">
        <v>0.93200000000000005</v>
      </c>
      <c r="S32" t="s">
        <v>598</v>
      </c>
      <c r="U32" t="s">
        <v>620</v>
      </c>
    </row>
    <row r="33" spans="1:21" x14ac:dyDescent="0.6">
      <c r="A33">
        <v>145</v>
      </c>
      <c r="B33" t="str">
        <f>"8472"</f>
        <v>8472</v>
      </c>
      <c r="C33" t="s">
        <v>213</v>
      </c>
      <c r="D33" s="1">
        <v>42923</v>
      </c>
      <c r="E33">
        <v>40.9</v>
      </c>
      <c r="F33">
        <v>0.05</v>
      </c>
      <c r="G33" s="3">
        <v>1.1999999999999999E-3</v>
      </c>
      <c r="H33">
        <v>2016</v>
      </c>
      <c r="I33">
        <v>5.01</v>
      </c>
      <c r="J33">
        <v>3.95</v>
      </c>
      <c r="K33">
        <v>0</v>
      </c>
      <c r="L33">
        <v>3.95</v>
      </c>
      <c r="M33" s="3">
        <v>9.6600000000000005E-2</v>
      </c>
      <c r="N33" s="2">
        <v>0</v>
      </c>
      <c r="O33" s="3">
        <v>9.6600000000000005E-2</v>
      </c>
      <c r="P33" s="3">
        <v>0.78800000000000003</v>
      </c>
      <c r="Q33" s="2">
        <v>0</v>
      </c>
      <c r="R33" s="3">
        <v>0.78800000000000003</v>
      </c>
      <c r="S33" t="s">
        <v>628</v>
      </c>
      <c r="U33" t="s">
        <v>655</v>
      </c>
    </row>
    <row r="34" spans="1:21" x14ac:dyDescent="0.6">
      <c r="A34">
        <v>33</v>
      </c>
      <c r="B34" t="str">
        <f>"3679"</f>
        <v>3679</v>
      </c>
      <c r="C34" t="s">
        <v>70</v>
      </c>
      <c r="D34" s="1">
        <v>42923</v>
      </c>
      <c r="E34">
        <v>91.9</v>
      </c>
      <c r="F34">
        <v>0.1</v>
      </c>
      <c r="G34" s="3">
        <v>1.1000000000000001E-3</v>
      </c>
      <c r="H34">
        <v>2016</v>
      </c>
      <c r="I34">
        <v>4.28</v>
      </c>
      <c r="J34">
        <v>4</v>
      </c>
      <c r="K34">
        <v>0</v>
      </c>
      <c r="L34">
        <v>4</v>
      </c>
      <c r="M34" s="3">
        <v>4.3499999999999997E-2</v>
      </c>
      <c r="N34" s="2">
        <v>0</v>
      </c>
      <c r="O34" s="3">
        <v>4.3499999999999997E-2</v>
      </c>
      <c r="P34" s="3">
        <v>0.93500000000000005</v>
      </c>
      <c r="Q34" s="2">
        <v>0</v>
      </c>
      <c r="R34" s="3">
        <v>0.93500000000000005</v>
      </c>
      <c r="S34" t="s">
        <v>596</v>
      </c>
      <c r="U34" t="s">
        <v>630</v>
      </c>
    </row>
    <row r="35" spans="1:21" x14ac:dyDescent="0.6">
      <c r="A35">
        <v>34</v>
      </c>
      <c r="B35" t="str">
        <f>"5534"</f>
        <v>5534</v>
      </c>
      <c r="C35" t="s">
        <v>72</v>
      </c>
      <c r="D35" s="1">
        <v>42923</v>
      </c>
      <c r="E35">
        <v>69.5</v>
      </c>
      <c r="F35">
        <v>-0.3</v>
      </c>
      <c r="G35" s="3">
        <v>-4.3E-3</v>
      </c>
      <c r="H35">
        <v>2016</v>
      </c>
      <c r="I35">
        <v>2.44</v>
      </c>
      <c r="J35">
        <v>2.83</v>
      </c>
      <c r="K35">
        <v>0</v>
      </c>
      <c r="L35">
        <v>2.83</v>
      </c>
      <c r="M35" s="3">
        <v>4.0800000000000003E-2</v>
      </c>
      <c r="N35" s="2">
        <v>0</v>
      </c>
      <c r="O35" s="3">
        <v>4.0800000000000003E-2</v>
      </c>
      <c r="P35" s="2">
        <v>1.1599999999999999</v>
      </c>
      <c r="Q35" s="2">
        <v>0</v>
      </c>
      <c r="R35" s="2">
        <v>1.1599999999999999</v>
      </c>
      <c r="S35" t="s">
        <v>631</v>
      </c>
      <c r="U35" t="s">
        <v>632</v>
      </c>
    </row>
    <row r="36" spans="1:21" x14ac:dyDescent="0.6">
      <c r="A36">
        <v>147</v>
      </c>
      <c r="B36" t="str">
        <f>"4987"</f>
        <v>4987</v>
      </c>
      <c r="C36" t="s">
        <v>215</v>
      </c>
      <c r="D36" s="1">
        <v>42923</v>
      </c>
      <c r="E36">
        <v>51.8</v>
      </c>
      <c r="F36">
        <v>0.3</v>
      </c>
      <c r="G36" s="3">
        <v>5.7999999999999996E-3</v>
      </c>
      <c r="H36">
        <v>2016</v>
      </c>
      <c r="I36">
        <v>6.81</v>
      </c>
      <c r="J36">
        <v>5</v>
      </c>
      <c r="K36">
        <v>0</v>
      </c>
      <c r="L36">
        <v>5</v>
      </c>
      <c r="M36" s="3">
        <v>9.6500000000000002E-2</v>
      </c>
      <c r="N36" s="2">
        <v>0</v>
      </c>
      <c r="O36" s="3">
        <v>9.6500000000000002E-2</v>
      </c>
      <c r="P36" s="3">
        <v>0.73399999999999999</v>
      </c>
      <c r="Q36" s="2">
        <v>0</v>
      </c>
      <c r="R36" s="3">
        <v>0.73399999999999999</v>
      </c>
      <c r="S36" t="s">
        <v>608</v>
      </c>
      <c r="U36" t="s">
        <v>609</v>
      </c>
    </row>
    <row r="37" spans="1:21" x14ac:dyDescent="0.6">
      <c r="A37">
        <v>279</v>
      </c>
      <c r="B37" t="str">
        <f>"4432"</f>
        <v>4432</v>
      </c>
      <c r="C37" t="s">
        <v>359</v>
      </c>
      <c r="D37" s="1">
        <v>42923</v>
      </c>
      <c r="E37">
        <v>41.5</v>
      </c>
      <c r="F37">
        <v>-0.2</v>
      </c>
      <c r="G37" s="3">
        <v>-4.7999999999999996E-3</v>
      </c>
      <c r="H37">
        <v>2016</v>
      </c>
      <c r="I37">
        <v>5.14</v>
      </c>
      <c r="J37">
        <v>4</v>
      </c>
      <c r="K37">
        <v>0</v>
      </c>
      <c r="L37">
        <v>4</v>
      </c>
      <c r="M37" s="3">
        <v>9.64E-2</v>
      </c>
      <c r="N37" s="2">
        <v>0</v>
      </c>
      <c r="O37" s="3">
        <v>9.64E-2</v>
      </c>
      <c r="P37" s="3">
        <v>0.77800000000000002</v>
      </c>
      <c r="Q37" s="2">
        <v>0</v>
      </c>
      <c r="R37" s="3">
        <v>0.77800000000000002</v>
      </c>
      <c r="S37" t="s">
        <v>641</v>
      </c>
      <c r="U37" t="s">
        <v>607</v>
      </c>
    </row>
    <row r="38" spans="1:21" x14ac:dyDescent="0.6">
      <c r="A38">
        <v>70</v>
      </c>
      <c r="B38" t="str">
        <f>"6109"</f>
        <v>6109</v>
      </c>
      <c r="C38" t="s">
        <v>129</v>
      </c>
      <c r="D38" s="1">
        <v>42923</v>
      </c>
      <c r="E38">
        <v>12.7</v>
      </c>
      <c r="F38">
        <v>-0.05</v>
      </c>
      <c r="G38" s="3">
        <v>-3.8999999999999998E-3</v>
      </c>
      <c r="H38">
        <v>2016</v>
      </c>
      <c r="I38">
        <v>1.58</v>
      </c>
      <c r="J38">
        <v>1.2</v>
      </c>
      <c r="K38">
        <v>0</v>
      </c>
      <c r="L38">
        <v>1.2</v>
      </c>
      <c r="M38" s="3">
        <v>9.4500000000000001E-2</v>
      </c>
      <c r="N38" s="2">
        <v>0</v>
      </c>
      <c r="O38" s="3">
        <v>9.4500000000000001E-2</v>
      </c>
      <c r="P38" s="2">
        <v>0.76</v>
      </c>
      <c r="Q38" s="2">
        <v>0</v>
      </c>
      <c r="R38" s="2">
        <v>0.76</v>
      </c>
      <c r="S38" t="s">
        <v>615</v>
      </c>
      <c r="U38" t="s">
        <v>603</v>
      </c>
    </row>
    <row r="39" spans="1:21" x14ac:dyDescent="0.6">
      <c r="A39">
        <v>290</v>
      </c>
      <c r="B39" t="str">
        <f>"3558"</f>
        <v>3558</v>
      </c>
      <c r="C39" t="s">
        <v>372</v>
      </c>
      <c r="D39" s="1">
        <v>42923</v>
      </c>
      <c r="E39">
        <v>140</v>
      </c>
      <c r="F39">
        <v>0</v>
      </c>
      <c r="G39" s="2">
        <v>0</v>
      </c>
      <c r="H39">
        <v>2016</v>
      </c>
      <c r="I39">
        <v>16.600000000000001</v>
      </c>
      <c r="J39">
        <v>13</v>
      </c>
      <c r="K39">
        <v>0</v>
      </c>
      <c r="L39">
        <v>13</v>
      </c>
      <c r="M39" s="3">
        <v>9.2899999999999996E-2</v>
      </c>
      <c r="N39" s="2">
        <v>0</v>
      </c>
      <c r="O39" s="3">
        <v>9.2899999999999996E-2</v>
      </c>
      <c r="P39" s="3">
        <v>0.78300000000000003</v>
      </c>
      <c r="Q39" s="2">
        <v>0</v>
      </c>
      <c r="R39" s="3">
        <v>0.78300000000000003</v>
      </c>
      <c r="S39" t="s">
        <v>637</v>
      </c>
      <c r="U39" t="s">
        <v>659</v>
      </c>
    </row>
    <row r="40" spans="1:21" x14ac:dyDescent="0.6">
      <c r="A40">
        <v>107</v>
      </c>
      <c r="B40" t="str">
        <f>"8048"</f>
        <v>8048</v>
      </c>
      <c r="C40" t="s">
        <v>170</v>
      </c>
      <c r="D40" s="1">
        <v>42923</v>
      </c>
      <c r="E40">
        <v>27.4</v>
      </c>
      <c r="F40">
        <v>-0.2</v>
      </c>
      <c r="G40" s="3">
        <v>-7.1999999999999998E-3</v>
      </c>
      <c r="H40">
        <v>2016</v>
      </c>
      <c r="I40">
        <v>3.51</v>
      </c>
      <c r="J40">
        <v>2.5</v>
      </c>
      <c r="K40">
        <v>0.3</v>
      </c>
      <c r="L40">
        <v>2.8</v>
      </c>
      <c r="M40" s="3">
        <v>9.1200000000000003E-2</v>
      </c>
      <c r="N40" s="3">
        <v>1.09E-2</v>
      </c>
      <c r="O40" s="3">
        <v>0.10199999999999999</v>
      </c>
      <c r="P40" s="3">
        <v>0.71199999999999997</v>
      </c>
      <c r="Q40" s="3">
        <v>8.5500000000000007E-2</v>
      </c>
      <c r="R40" s="3">
        <v>0.79800000000000004</v>
      </c>
      <c r="S40" t="s">
        <v>598</v>
      </c>
      <c r="T40" t="s">
        <v>598</v>
      </c>
      <c r="U40" t="s">
        <v>607</v>
      </c>
    </row>
    <row r="41" spans="1:21" x14ac:dyDescent="0.6">
      <c r="A41">
        <v>21</v>
      </c>
      <c r="B41" t="str">
        <f>"5215"</f>
        <v>5215</v>
      </c>
      <c r="C41" t="s">
        <v>53</v>
      </c>
      <c r="D41" s="1">
        <v>42923</v>
      </c>
      <c r="E41">
        <v>32.950000000000003</v>
      </c>
      <c r="F41">
        <v>0.05</v>
      </c>
      <c r="G41" s="3">
        <v>1.5E-3</v>
      </c>
      <c r="H41">
        <v>2016</v>
      </c>
      <c r="I41">
        <v>4.3</v>
      </c>
      <c r="J41">
        <v>3</v>
      </c>
      <c r="K41">
        <v>0</v>
      </c>
      <c r="L41">
        <v>3</v>
      </c>
      <c r="M41" s="3">
        <v>9.0999999999999998E-2</v>
      </c>
      <c r="N41" s="2">
        <v>0</v>
      </c>
      <c r="O41" s="3">
        <v>9.0999999999999998E-2</v>
      </c>
      <c r="P41" s="3">
        <v>0.69799999999999995</v>
      </c>
      <c r="Q41" s="2">
        <v>0</v>
      </c>
      <c r="R41" s="3">
        <v>0.69799999999999995</v>
      </c>
      <c r="S41" t="s">
        <v>613</v>
      </c>
      <c r="U41" t="s">
        <v>617</v>
      </c>
    </row>
    <row r="42" spans="1:21" x14ac:dyDescent="0.6">
      <c r="A42">
        <v>77</v>
      </c>
      <c r="B42" t="str">
        <f>"3211"</f>
        <v>3211</v>
      </c>
      <c r="C42" t="s">
        <v>137</v>
      </c>
      <c r="D42" s="1">
        <v>42923</v>
      </c>
      <c r="E42">
        <v>38.549999999999997</v>
      </c>
      <c r="F42">
        <v>-0.55000000000000004</v>
      </c>
      <c r="G42" s="3">
        <v>-1.41E-2</v>
      </c>
      <c r="H42">
        <v>2016</v>
      </c>
      <c r="I42">
        <v>4.6399999999999997</v>
      </c>
      <c r="J42">
        <v>3.5</v>
      </c>
      <c r="K42">
        <v>0</v>
      </c>
      <c r="L42">
        <v>3.5</v>
      </c>
      <c r="M42" s="3">
        <v>9.0800000000000006E-2</v>
      </c>
      <c r="N42" s="2">
        <v>0</v>
      </c>
      <c r="O42" s="3">
        <v>9.0800000000000006E-2</v>
      </c>
      <c r="P42" s="3">
        <v>0.754</v>
      </c>
      <c r="Q42" s="2">
        <v>0</v>
      </c>
      <c r="R42" s="3">
        <v>0.754</v>
      </c>
      <c r="S42" t="s">
        <v>633</v>
      </c>
      <c r="U42" t="s">
        <v>634</v>
      </c>
    </row>
    <row r="43" spans="1:21" x14ac:dyDescent="0.6">
      <c r="A43">
        <v>396</v>
      </c>
      <c r="B43" t="str">
        <f>"3693"</f>
        <v>3693</v>
      </c>
      <c r="C43" t="s">
        <v>482</v>
      </c>
      <c r="D43" s="1">
        <v>42923</v>
      </c>
      <c r="E43">
        <v>58.5</v>
      </c>
      <c r="F43">
        <v>5.3</v>
      </c>
      <c r="G43" s="3">
        <v>9.9599999999999994E-2</v>
      </c>
      <c r="H43">
        <v>2016</v>
      </c>
      <c r="I43">
        <v>8.8699999999999992</v>
      </c>
      <c r="J43">
        <v>5.3</v>
      </c>
      <c r="K43">
        <v>0</v>
      </c>
      <c r="L43">
        <v>5.3</v>
      </c>
      <c r="M43" s="3">
        <v>9.06E-2</v>
      </c>
      <c r="N43" s="2">
        <v>0</v>
      </c>
      <c r="O43" s="3">
        <v>9.06E-2</v>
      </c>
      <c r="P43" s="3">
        <v>0.59799999999999998</v>
      </c>
      <c r="Q43" s="2">
        <v>0</v>
      </c>
      <c r="R43" s="3">
        <v>0.59799999999999998</v>
      </c>
      <c r="S43" t="s">
        <v>649</v>
      </c>
      <c r="U43" t="s">
        <v>667</v>
      </c>
    </row>
    <row r="44" spans="1:21" x14ac:dyDescent="0.6">
      <c r="A44">
        <v>46</v>
      </c>
      <c r="B44" t="str">
        <f>"2511"</f>
        <v>2511</v>
      </c>
      <c r="C44" t="s">
        <v>92</v>
      </c>
      <c r="D44" s="1">
        <v>42923</v>
      </c>
      <c r="E44">
        <v>12.15</v>
      </c>
      <c r="F44">
        <v>-0.05</v>
      </c>
      <c r="G44" s="3">
        <v>-4.1000000000000003E-3</v>
      </c>
      <c r="H44">
        <v>2016</v>
      </c>
      <c r="I44">
        <v>1.38</v>
      </c>
      <c r="J44">
        <v>1.1000000000000001</v>
      </c>
      <c r="K44">
        <v>0</v>
      </c>
      <c r="L44">
        <v>1.1000000000000001</v>
      </c>
      <c r="M44" s="3">
        <v>9.0499999999999997E-2</v>
      </c>
      <c r="N44" s="2">
        <v>0</v>
      </c>
      <c r="O44" s="3">
        <v>9.0499999999999997E-2</v>
      </c>
      <c r="P44" s="3">
        <v>0.79700000000000004</v>
      </c>
      <c r="Q44" s="2">
        <v>0</v>
      </c>
      <c r="R44" s="3">
        <v>0.79700000000000004</v>
      </c>
      <c r="S44" t="s">
        <v>643</v>
      </c>
      <c r="U44" t="s">
        <v>644</v>
      </c>
    </row>
    <row r="45" spans="1:21" x14ac:dyDescent="0.6">
      <c r="A45">
        <v>227</v>
      </c>
      <c r="B45" t="str">
        <f>"2904"</f>
        <v>2904</v>
      </c>
      <c r="C45" t="s">
        <v>306</v>
      </c>
      <c r="D45" s="1">
        <v>42923</v>
      </c>
      <c r="E45">
        <v>22.2</v>
      </c>
      <c r="F45">
        <v>0.2</v>
      </c>
      <c r="G45" s="3">
        <v>9.1000000000000004E-3</v>
      </c>
      <c r="H45">
        <v>2016</v>
      </c>
      <c r="I45">
        <v>2.2400000000000002</v>
      </c>
      <c r="J45">
        <v>2</v>
      </c>
      <c r="K45">
        <v>0</v>
      </c>
      <c r="L45">
        <v>2</v>
      </c>
      <c r="M45" s="3">
        <v>9.01E-2</v>
      </c>
      <c r="N45" s="2">
        <v>0</v>
      </c>
      <c r="O45" s="3">
        <v>9.01E-2</v>
      </c>
      <c r="P45" s="3">
        <v>0.89300000000000002</v>
      </c>
      <c r="Q45" s="2">
        <v>0</v>
      </c>
      <c r="R45" s="3">
        <v>0.89300000000000002</v>
      </c>
      <c r="S45" t="s">
        <v>634</v>
      </c>
      <c r="U45" t="s">
        <v>611</v>
      </c>
    </row>
    <row r="46" spans="1:21" x14ac:dyDescent="0.6">
      <c r="A46">
        <v>62</v>
      </c>
      <c r="B46" t="str">
        <f>"3028"</f>
        <v>3028</v>
      </c>
      <c r="C46" t="s">
        <v>116</v>
      </c>
      <c r="D46" s="1">
        <v>42923</v>
      </c>
      <c r="E46">
        <v>18.899999999999999</v>
      </c>
      <c r="F46">
        <v>-0.05</v>
      </c>
      <c r="G46" s="3">
        <v>-2.5999999999999999E-3</v>
      </c>
      <c r="H46">
        <v>2016</v>
      </c>
      <c r="I46">
        <v>1.58</v>
      </c>
      <c r="J46">
        <v>1.7</v>
      </c>
      <c r="K46">
        <v>0</v>
      </c>
      <c r="L46">
        <v>1.7</v>
      </c>
      <c r="M46" s="3">
        <v>8.9899999999999994E-2</v>
      </c>
      <c r="N46" s="2">
        <v>0</v>
      </c>
      <c r="O46" s="3">
        <v>8.9899999999999994E-2</v>
      </c>
      <c r="P46" s="2">
        <v>1.08</v>
      </c>
      <c r="Q46" s="2">
        <v>0</v>
      </c>
      <c r="R46" s="2">
        <v>1.08</v>
      </c>
      <c r="S46" t="s">
        <v>600</v>
      </c>
      <c r="U46" t="s">
        <v>603</v>
      </c>
    </row>
    <row r="47" spans="1:21" x14ac:dyDescent="0.6">
      <c r="A47">
        <v>190</v>
      </c>
      <c r="B47" t="str">
        <f>"1108"</f>
        <v>1108</v>
      </c>
      <c r="C47" t="s">
        <v>267</v>
      </c>
      <c r="D47" s="1">
        <v>42923</v>
      </c>
      <c r="E47">
        <v>9.4499999999999993</v>
      </c>
      <c r="F47">
        <v>0</v>
      </c>
      <c r="G47" s="2">
        <v>0</v>
      </c>
      <c r="H47">
        <v>2016</v>
      </c>
      <c r="I47">
        <v>1.1599999999999999</v>
      </c>
      <c r="J47">
        <v>0.85</v>
      </c>
      <c r="K47">
        <v>0</v>
      </c>
      <c r="L47">
        <v>0.85</v>
      </c>
      <c r="M47" s="3">
        <v>8.9899999999999994E-2</v>
      </c>
      <c r="N47" s="2">
        <v>0</v>
      </c>
      <c r="O47" s="3">
        <v>8.9899999999999994E-2</v>
      </c>
      <c r="P47" s="3">
        <v>0.73299999999999998</v>
      </c>
      <c r="Q47" s="2">
        <v>0</v>
      </c>
      <c r="R47" s="3">
        <v>0.73299999999999998</v>
      </c>
      <c r="S47" t="s">
        <v>596</v>
      </c>
      <c r="U47" t="s">
        <v>614</v>
      </c>
    </row>
    <row r="48" spans="1:21" x14ac:dyDescent="0.6">
      <c r="A48">
        <v>47</v>
      </c>
      <c r="B48" t="str">
        <f>"3596"</f>
        <v>3596</v>
      </c>
      <c r="C48" t="s">
        <v>94</v>
      </c>
      <c r="D48" s="1">
        <v>42923</v>
      </c>
      <c r="E48">
        <v>47.45</v>
      </c>
      <c r="F48">
        <v>0.3</v>
      </c>
      <c r="G48" s="3">
        <v>6.4000000000000003E-3</v>
      </c>
      <c r="H48">
        <v>2016</v>
      </c>
      <c r="I48">
        <v>3.06</v>
      </c>
      <c r="J48">
        <v>1.6</v>
      </c>
      <c r="K48">
        <v>0</v>
      </c>
      <c r="L48">
        <v>1.6</v>
      </c>
      <c r="M48" s="3">
        <v>3.3700000000000001E-2</v>
      </c>
      <c r="N48" s="2">
        <v>0</v>
      </c>
      <c r="O48" s="3">
        <v>3.3700000000000001E-2</v>
      </c>
      <c r="P48" s="3">
        <v>0.52300000000000002</v>
      </c>
      <c r="Q48" s="2">
        <v>0</v>
      </c>
      <c r="R48" s="3">
        <v>0.52300000000000002</v>
      </c>
      <c r="S48" t="s">
        <v>610</v>
      </c>
      <c r="U48" t="s">
        <v>614</v>
      </c>
    </row>
    <row r="49" spans="1:21" x14ac:dyDescent="0.6">
      <c r="A49">
        <v>16</v>
      </c>
      <c r="B49" t="str">
        <f>"5522"</f>
        <v>5522</v>
      </c>
      <c r="C49" t="s">
        <v>46</v>
      </c>
      <c r="D49" s="1">
        <v>42923</v>
      </c>
      <c r="E49">
        <v>39</v>
      </c>
      <c r="F49">
        <v>0</v>
      </c>
      <c r="G49" s="2">
        <v>0</v>
      </c>
      <c r="H49">
        <v>2016</v>
      </c>
      <c r="I49">
        <v>7.74</v>
      </c>
      <c r="J49">
        <v>3.5</v>
      </c>
      <c r="K49">
        <v>0</v>
      </c>
      <c r="L49">
        <v>3.5</v>
      </c>
      <c r="M49" s="3">
        <v>8.9700000000000002E-2</v>
      </c>
      <c r="N49" s="2">
        <v>0</v>
      </c>
      <c r="O49" s="3">
        <v>8.9700000000000002E-2</v>
      </c>
      <c r="P49" s="3">
        <v>0.45200000000000001</v>
      </c>
      <c r="Q49" s="2">
        <v>0</v>
      </c>
      <c r="R49" s="3">
        <v>0.45200000000000001</v>
      </c>
      <c r="S49" t="s">
        <v>603</v>
      </c>
      <c r="U49" t="s">
        <v>614</v>
      </c>
    </row>
    <row r="50" spans="1:21" x14ac:dyDescent="0.6">
      <c r="A50">
        <v>74</v>
      </c>
      <c r="B50" t="str">
        <f>"8942"</f>
        <v>8942</v>
      </c>
      <c r="C50" t="s">
        <v>133</v>
      </c>
      <c r="D50" s="1">
        <v>42923</v>
      </c>
      <c r="E50">
        <v>67</v>
      </c>
      <c r="F50">
        <v>-0.3</v>
      </c>
      <c r="G50" s="3">
        <v>-4.4999999999999997E-3</v>
      </c>
      <c r="H50">
        <v>2016</v>
      </c>
      <c r="I50">
        <v>7.79</v>
      </c>
      <c r="J50">
        <v>5.99</v>
      </c>
      <c r="K50">
        <v>0</v>
      </c>
      <c r="L50">
        <v>5.99</v>
      </c>
      <c r="M50" s="3">
        <v>8.9499999999999996E-2</v>
      </c>
      <c r="N50" s="2">
        <v>0</v>
      </c>
      <c r="O50" s="3">
        <v>8.9499999999999996E-2</v>
      </c>
      <c r="P50" s="3">
        <v>0.76900000000000002</v>
      </c>
      <c r="Q50" s="2">
        <v>0</v>
      </c>
      <c r="R50" s="3">
        <v>0.76900000000000002</v>
      </c>
      <c r="S50" t="s">
        <v>654</v>
      </c>
      <c r="U50" t="s">
        <v>629</v>
      </c>
    </row>
    <row r="51" spans="1:21" x14ac:dyDescent="0.6">
      <c r="A51">
        <v>50</v>
      </c>
      <c r="B51" t="str">
        <f>"5609"</f>
        <v>5609</v>
      </c>
      <c r="C51" t="s">
        <v>98</v>
      </c>
      <c r="D51" s="1">
        <v>42923</v>
      </c>
      <c r="E51">
        <v>24.45</v>
      </c>
      <c r="F51">
        <v>-0.05</v>
      </c>
      <c r="G51" s="3">
        <v>-2E-3</v>
      </c>
      <c r="H51">
        <v>2016</v>
      </c>
      <c r="I51">
        <v>1.08</v>
      </c>
      <c r="J51">
        <v>1.02</v>
      </c>
      <c r="K51">
        <v>0</v>
      </c>
      <c r="L51">
        <v>1.02</v>
      </c>
      <c r="M51" s="3">
        <v>4.1700000000000001E-2</v>
      </c>
      <c r="N51" s="2">
        <v>0</v>
      </c>
      <c r="O51" s="3">
        <v>4.1700000000000001E-2</v>
      </c>
      <c r="P51" s="3">
        <v>0.94399999999999995</v>
      </c>
      <c r="Q51" s="2">
        <v>0</v>
      </c>
      <c r="R51" s="3">
        <v>0.94399999999999995</v>
      </c>
      <c r="S51" t="s">
        <v>610</v>
      </c>
      <c r="U51" t="s">
        <v>630</v>
      </c>
    </row>
    <row r="52" spans="1:21" x14ac:dyDescent="0.6">
      <c r="A52">
        <v>338</v>
      </c>
      <c r="B52" t="str">
        <f>"8481"</f>
        <v>8481</v>
      </c>
      <c r="C52" t="s">
        <v>420</v>
      </c>
      <c r="D52" s="1">
        <v>42923</v>
      </c>
      <c r="E52">
        <v>40.299999999999997</v>
      </c>
      <c r="F52">
        <v>-0.2</v>
      </c>
      <c r="G52" s="3">
        <v>-4.8999999999999998E-3</v>
      </c>
      <c r="H52">
        <v>2016</v>
      </c>
      <c r="I52">
        <v>4.0999999999999996</v>
      </c>
      <c r="J52">
        <v>3.6</v>
      </c>
      <c r="K52">
        <v>0</v>
      </c>
      <c r="L52">
        <v>3.6</v>
      </c>
      <c r="M52" s="3">
        <v>8.9300000000000004E-2</v>
      </c>
      <c r="N52" s="2">
        <v>0</v>
      </c>
      <c r="O52" s="3">
        <v>8.9300000000000004E-2</v>
      </c>
      <c r="P52" s="3">
        <v>0.878</v>
      </c>
      <c r="Q52" s="2">
        <v>0</v>
      </c>
      <c r="R52" s="3">
        <v>0.878</v>
      </c>
      <c r="S52" t="s">
        <v>627</v>
      </c>
      <c r="U52" t="s">
        <v>610</v>
      </c>
    </row>
    <row r="53" spans="1:21" x14ac:dyDescent="0.6">
      <c r="A53">
        <v>35</v>
      </c>
      <c r="B53" t="str">
        <f>"6136"</f>
        <v>6136</v>
      </c>
      <c r="C53" t="s">
        <v>74</v>
      </c>
      <c r="D53" s="1">
        <v>42923</v>
      </c>
      <c r="E53">
        <v>23.6</v>
      </c>
      <c r="F53">
        <v>-0.1</v>
      </c>
      <c r="G53" s="3">
        <v>-4.1999999999999997E-3</v>
      </c>
      <c r="H53">
        <v>2016</v>
      </c>
      <c r="I53">
        <v>1.98</v>
      </c>
      <c r="J53">
        <v>2.1</v>
      </c>
      <c r="K53">
        <v>0</v>
      </c>
      <c r="L53">
        <v>2.1</v>
      </c>
      <c r="M53" s="3">
        <v>8.8999999999999996E-2</v>
      </c>
      <c r="N53" s="2">
        <v>0</v>
      </c>
      <c r="O53" s="3">
        <v>8.8999999999999996E-2</v>
      </c>
      <c r="P53" s="2">
        <v>1.06</v>
      </c>
      <c r="Q53" s="2">
        <v>0</v>
      </c>
      <c r="R53" s="2">
        <v>1.06</v>
      </c>
      <c r="S53" t="s">
        <v>633</v>
      </c>
      <c r="U53" t="s">
        <v>634</v>
      </c>
    </row>
    <row r="54" spans="1:21" x14ac:dyDescent="0.6">
      <c r="A54">
        <v>26</v>
      </c>
      <c r="B54" t="str">
        <f>"6151"</f>
        <v>6151</v>
      </c>
      <c r="C54" t="s">
        <v>60</v>
      </c>
      <c r="D54" s="1">
        <v>42923</v>
      </c>
      <c r="E54">
        <v>24.8</v>
      </c>
      <c r="F54">
        <v>-0.3</v>
      </c>
      <c r="G54" s="3">
        <v>-1.2E-2</v>
      </c>
      <c r="H54">
        <v>2016</v>
      </c>
      <c r="I54">
        <v>2.62</v>
      </c>
      <c r="J54">
        <v>2.2000000000000002</v>
      </c>
      <c r="K54">
        <v>0</v>
      </c>
      <c r="L54">
        <v>2.2000000000000002</v>
      </c>
      <c r="M54" s="3">
        <v>8.8700000000000001E-2</v>
      </c>
      <c r="N54" s="2">
        <v>0</v>
      </c>
      <c r="O54" s="3">
        <v>8.8700000000000001E-2</v>
      </c>
      <c r="P54" s="2">
        <v>0.84</v>
      </c>
      <c r="Q54" s="2">
        <v>0</v>
      </c>
      <c r="R54" s="2">
        <v>0.84</v>
      </c>
      <c r="S54" t="s">
        <v>624</v>
      </c>
    </row>
    <row r="55" spans="1:21" x14ac:dyDescent="0.6">
      <c r="A55">
        <v>31</v>
      </c>
      <c r="B55" t="str">
        <f>"5356"</f>
        <v>5356</v>
      </c>
      <c r="C55" t="s">
        <v>66</v>
      </c>
      <c r="D55" s="1">
        <v>42923</v>
      </c>
      <c r="E55">
        <v>45.5</v>
      </c>
      <c r="F55">
        <v>-0.5</v>
      </c>
      <c r="G55" s="3">
        <v>-1.09E-2</v>
      </c>
      <c r="H55">
        <v>2016</v>
      </c>
      <c r="I55">
        <v>4.3600000000000003</v>
      </c>
      <c r="J55">
        <v>4</v>
      </c>
      <c r="K55">
        <v>0</v>
      </c>
      <c r="L55">
        <v>4</v>
      </c>
      <c r="M55" s="3">
        <v>8.7900000000000006E-2</v>
      </c>
      <c r="N55" s="2">
        <v>0</v>
      </c>
      <c r="O55" s="3">
        <v>8.7900000000000006E-2</v>
      </c>
      <c r="P55" s="3">
        <v>0.91700000000000004</v>
      </c>
      <c r="Q55" s="2">
        <v>0</v>
      </c>
      <c r="R55" s="3">
        <v>0.91700000000000004</v>
      </c>
      <c r="S55" t="s">
        <v>628</v>
      </c>
      <c r="U55" t="s">
        <v>629</v>
      </c>
    </row>
    <row r="56" spans="1:21" x14ac:dyDescent="0.6">
      <c r="A56">
        <v>17</v>
      </c>
      <c r="B56" t="str">
        <f>"4952"</f>
        <v>4952</v>
      </c>
      <c r="C56" t="s">
        <v>48</v>
      </c>
      <c r="D56" s="1">
        <v>42923</v>
      </c>
      <c r="E56">
        <v>36.5</v>
      </c>
      <c r="F56">
        <v>-0.15</v>
      </c>
      <c r="G56" s="3">
        <v>-4.1000000000000003E-3</v>
      </c>
      <c r="H56">
        <v>2016</v>
      </c>
      <c r="I56">
        <v>3.57</v>
      </c>
      <c r="J56">
        <v>3.2</v>
      </c>
      <c r="K56">
        <v>0</v>
      </c>
      <c r="L56">
        <v>3.2</v>
      </c>
      <c r="M56" s="3">
        <v>8.77E-2</v>
      </c>
      <c r="N56" s="2">
        <v>0</v>
      </c>
      <c r="O56" s="3">
        <v>8.77E-2</v>
      </c>
      <c r="P56" s="3">
        <v>0.89600000000000002</v>
      </c>
      <c r="Q56" s="2">
        <v>0</v>
      </c>
      <c r="R56" s="3">
        <v>0.89600000000000002</v>
      </c>
      <c r="S56" t="s">
        <v>615</v>
      </c>
      <c r="U56" t="s">
        <v>603</v>
      </c>
    </row>
    <row r="57" spans="1:21" x14ac:dyDescent="0.6">
      <c r="A57">
        <v>56</v>
      </c>
      <c r="B57" t="str">
        <f>"3305"</f>
        <v>3305</v>
      </c>
      <c r="C57" t="s">
        <v>107</v>
      </c>
      <c r="D57" s="1">
        <v>42923</v>
      </c>
      <c r="E57">
        <v>29.4</v>
      </c>
      <c r="F57">
        <v>0</v>
      </c>
      <c r="G57" s="2">
        <v>0</v>
      </c>
      <c r="H57">
        <v>2016</v>
      </c>
      <c r="I57">
        <v>0.94</v>
      </c>
      <c r="J57">
        <v>1.04</v>
      </c>
      <c r="K57">
        <v>0</v>
      </c>
      <c r="L57">
        <v>1.04</v>
      </c>
      <c r="M57" s="3">
        <v>3.5400000000000001E-2</v>
      </c>
      <c r="N57" s="2">
        <v>0</v>
      </c>
      <c r="O57" s="3">
        <v>3.5400000000000001E-2</v>
      </c>
      <c r="P57" s="2">
        <v>1.1100000000000001</v>
      </c>
      <c r="Q57" s="2">
        <v>0</v>
      </c>
      <c r="R57" s="2">
        <v>1.1100000000000001</v>
      </c>
      <c r="S57" t="s">
        <v>633</v>
      </c>
      <c r="U57" t="s">
        <v>601</v>
      </c>
    </row>
    <row r="58" spans="1:21" x14ac:dyDescent="0.6">
      <c r="A58">
        <v>373</v>
      </c>
      <c r="B58" t="str">
        <f>"6207"</f>
        <v>6207</v>
      </c>
      <c r="C58" t="s">
        <v>456</v>
      </c>
      <c r="D58" s="1">
        <v>42923</v>
      </c>
      <c r="E58">
        <v>28.55</v>
      </c>
      <c r="F58">
        <v>0.25</v>
      </c>
      <c r="G58" s="3">
        <v>8.8000000000000005E-3</v>
      </c>
      <c r="H58">
        <v>2016</v>
      </c>
      <c r="I58">
        <v>2.65</v>
      </c>
      <c r="J58">
        <v>2.5</v>
      </c>
      <c r="K58">
        <v>0</v>
      </c>
      <c r="L58">
        <v>2.5</v>
      </c>
      <c r="M58" s="3">
        <v>8.7599999999999997E-2</v>
      </c>
      <c r="N58" s="2">
        <v>0</v>
      </c>
      <c r="O58" s="3">
        <v>8.7599999999999997E-2</v>
      </c>
      <c r="P58" s="3">
        <v>0.94299999999999995</v>
      </c>
      <c r="Q58" s="2">
        <v>0</v>
      </c>
      <c r="R58" s="3">
        <v>0.94299999999999995</v>
      </c>
      <c r="S58" t="s">
        <v>635</v>
      </c>
      <c r="U58" t="s">
        <v>617</v>
      </c>
    </row>
    <row r="59" spans="1:21" x14ac:dyDescent="0.6">
      <c r="A59">
        <v>79</v>
      </c>
      <c r="B59" t="str">
        <f>"4722"</f>
        <v>4722</v>
      </c>
      <c r="C59" t="s">
        <v>139</v>
      </c>
      <c r="D59" s="1">
        <v>42923</v>
      </c>
      <c r="E59">
        <v>32.35</v>
      </c>
      <c r="F59">
        <v>-0.2</v>
      </c>
      <c r="G59" s="3">
        <v>-6.1000000000000004E-3</v>
      </c>
      <c r="H59">
        <v>2016</v>
      </c>
      <c r="I59">
        <v>3.94</v>
      </c>
      <c r="J59">
        <v>2.8</v>
      </c>
      <c r="K59">
        <v>0</v>
      </c>
      <c r="L59">
        <v>2.8</v>
      </c>
      <c r="M59" s="3">
        <v>8.6599999999999996E-2</v>
      </c>
      <c r="N59" s="2">
        <v>0</v>
      </c>
      <c r="O59" s="3">
        <v>8.6599999999999996E-2</v>
      </c>
      <c r="P59" s="3">
        <v>0.71099999999999997</v>
      </c>
      <c r="Q59" s="2">
        <v>0</v>
      </c>
      <c r="R59" s="3">
        <v>0.71099999999999997</v>
      </c>
      <c r="S59" t="s">
        <v>595</v>
      </c>
      <c r="U59" t="s">
        <v>601</v>
      </c>
    </row>
    <row r="60" spans="1:21" x14ac:dyDescent="0.6">
      <c r="A60">
        <v>51</v>
      </c>
      <c r="B60" t="str">
        <f>"2489"</f>
        <v>2489</v>
      </c>
      <c r="C60" t="s">
        <v>100</v>
      </c>
      <c r="D60" s="1">
        <v>42923</v>
      </c>
      <c r="E60">
        <v>20.8</v>
      </c>
      <c r="F60">
        <v>-0.05</v>
      </c>
      <c r="G60" s="3">
        <v>-2.3999999999999998E-3</v>
      </c>
      <c r="H60">
        <v>2016</v>
      </c>
      <c r="I60">
        <v>2.12</v>
      </c>
      <c r="J60">
        <v>1.8</v>
      </c>
      <c r="K60">
        <v>0</v>
      </c>
      <c r="L60">
        <v>1.8</v>
      </c>
      <c r="M60" s="3">
        <v>8.6499999999999994E-2</v>
      </c>
      <c r="N60" s="2">
        <v>0</v>
      </c>
      <c r="O60" s="3">
        <v>8.6499999999999994E-2</v>
      </c>
      <c r="P60" s="3">
        <v>0.84899999999999998</v>
      </c>
      <c r="Q60" s="2">
        <v>0</v>
      </c>
      <c r="R60" s="3">
        <v>0.84899999999999998</v>
      </c>
      <c r="S60" t="s">
        <v>602</v>
      </c>
      <c r="U60" t="s">
        <v>637</v>
      </c>
    </row>
    <row r="61" spans="1:21" x14ac:dyDescent="0.6">
      <c r="A61">
        <v>122</v>
      </c>
      <c r="B61" t="str">
        <f>"5410"</f>
        <v>5410</v>
      </c>
      <c r="C61" t="s">
        <v>187</v>
      </c>
      <c r="D61" s="1">
        <v>42923</v>
      </c>
      <c r="E61">
        <v>14.1</v>
      </c>
      <c r="F61">
        <v>0</v>
      </c>
      <c r="G61" s="2">
        <v>0</v>
      </c>
      <c r="H61">
        <v>2016</v>
      </c>
      <c r="I61">
        <v>1.39</v>
      </c>
      <c r="J61">
        <v>1.22</v>
      </c>
      <c r="K61">
        <v>0</v>
      </c>
      <c r="L61">
        <v>1.22</v>
      </c>
      <c r="M61" s="3">
        <v>8.6499999999999994E-2</v>
      </c>
      <c r="N61" s="2">
        <v>0</v>
      </c>
      <c r="O61" s="3">
        <v>8.6499999999999994E-2</v>
      </c>
      <c r="P61" s="3">
        <v>0.878</v>
      </c>
      <c r="Q61" s="2">
        <v>0</v>
      </c>
      <c r="R61" s="3">
        <v>0.878</v>
      </c>
      <c r="S61" t="s">
        <v>664</v>
      </c>
      <c r="U61" t="s">
        <v>652</v>
      </c>
    </row>
    <row r="62" spans="1:21" x14ac:dyDescent="0.6">
      <c r="A62">
        <v>223</v>
      </c>
      <c r="B62" t="str">
        <f>"3033"</f>
        <v>3033</v>
      </c>
      <c r="C62" t="s">
        <v>302</v>
      </c>
      <c r="D62" s="1">
        <v>42923</v>
      </c>
      <c r="E62">
        <v>17.350000000000001</v>
      </c>
      <c r="F62">
        <v>-0.1</v>
      </c>
      <c r="G62" s="3">
        <v>-5.7000000000000002E-3</v>
      </c>
      <c r="H62">
        <v>2016</v>
      </c>
      <c r="I62">
        <v>1.7</v>
      </c>
      <c r="J62">
        <v>1.5</v>
      </c>
      <c r="K62">
        <v>0</v>
      </c>
      <c r="L62">
        <v>1.5</v>
      </c>
      <c r="M62" s="3">
        <v>8.6199999999999999E-2</v>
      </c>
      <c r="N62" s="2">
        <v>0</v>
      </c>
      <c r="O62" s="3">
        <v>8.6199999999999999E-2</v>
      </c>
      <c r="P62" s="3">
        <v>0.88200000000000001</v>
      </c>
      <c r="Q62" s="2">
        <v>0</v>
      </c>
      <c r="R62" s="3">
        <v>0.88200000000000001</v>
      </c>
      <c r="S62" t="s">
        <v>598</v>
      </c>
      <c r="U62" t="s">
        <v>630</v>
      </c>
    </row>
    <row r="63" spans="1:21" x14ac:dyDescent="0.6">
      <c r="A63">
        <v>63</v>
      </c>
      <c r="B63" t="str">
        <f>"4972"</f>
        <v>4972</v>
      </c>
      <c r="C63" t="s">
        <v>117</v>
      </c>
      <c r="D63" s="1">
        <v>42923</v>
      </c>
      <c r="E63">
        <v>32.799999999999997</v>
      </c>
      <c r="F63">
        <v>-0.2</v>
      </c>
      <c r="G63" s="3">
        <v>-6.1000000000000004E-3</v>
      </c>
      <c r="H63">
        <v>2016</v>
      </c>
      <c r="I63">
        <v>3.8</v>
      </c>
      <c r="J63">
        <v>2.8</v>
      </c>
      <c r="K63">
        <v>0.2</v>
      </c>
      <c r="L63">
        <v>3</v>
      </c>
      <c r="M63" s="3">
        <v>8.5400000000000004E-2</v>
      </c>
      <c r="N63" s="3">
        <v>6.1000000000000004E-3</v>
      </c>
      <c r="O63" s="3">
        <v>9.1499999999999998E-2</v>
      </c>
      <c r="P63" s="3">
        <v>0.73699999999999999</v>
      </c>
      <c r="Q63" s="3">
        <v>5.2600000000000001E-2</v>
      </c>
      <c r="R63" s="2">
        <v>0.79</v>
      </c>
      <c r="S63" t="s">
        <v>634</v>
      </c>
      <c r="T63" t="s">
        <v>634</v>
      </c>
      <c r="U63" t="s">
        <v>651</v>
      </c>
    </row>
    <row r="64" spans="1:21" x14ac:dyDescent="0.6">
      <c r="A64">
        <v>187</v>
      </c>
      <c r="B64" t="str">
        <f>"2509"</f>
        <v>2509</v>
      </c>
      <c r="C64" t="s">
        <v>263</v>
      </c>
      <c r="D64" s="1">
        <v>42923</v>
      </c>
      <c r="E64">
        <v>18.850000000000001</v>
      </c>
      <c r="F64">
        <v>0.1</v>
      </c>
      <c r="G64" s="3">
        <v>5.3E-3</v>
      </c>
      <c r="H64">
        <v>2016</v>
      </c>
      <c r="I64">
        <v>4</v>
      </c>
      <c r="J64">
        <v>1.6</v>
      </c>
      <c r="K64">
        <v>0</v>
      </c>
      <c r="L64">
        <v>1.6</v>
      </c>
      <c r="M64" s="3">
        <v>8.4900000000000003E-2</v>
      </c>
      <c r="N64" s="2">
        <v>0</v>
      </c>
      <c r="O64" s="3">
        <v>8.4900000000000003E-2</v>
      </c>
      <c r="P64" s="2">
        <v>0.4</v>
      </c>
      <c r="Q64" s="2">
        <v>0</v>
      </c>
      <c r="R64" s="2">
        <v>0.4</v>
      </c>
      <c r="S64" t="s">
        <v>622</v>
      </c>
      <c r="U64" t="s">
        <v>618</v>
      </c>
    </row>
    <row r="65" spans="1:21" x14ac:dyDescent="0.6">
      <c r="A65">
        <v>64</v>
      </c>
      <c r="B65" t="str">
        <f>"3402"</f>
        <v>3402</v>
      </c>
      <c r="C65" t="s">
        <v>118</v>
      </c>
      <c r="D65" s="1">
        <v>42923</v>
      </c>
      <c r="E65">
        <v>25.25</v>
      </c>
      <c r="F65">
        <v>0.05</v>
      </c>
      <c r="G65" s="3">
        <v>2E-3</v>
      </c>
      <c r="H65">
        <v>2016</v>
      </c>
      <c r="I65">
        <v>1</v>
      </c>
      <c r="J65">
        <v>0.85</v>
      </c>
      <c r="K65">
        <v>0</v>
      </c>
      <c r="L65">
        <v>0.85</v>
      </c>
      <c r="M65" s="3">
        <v>3.3700000000000001E-2</v>
      </c>
      <c r="N65" s="2">
        <v>0</v>
      </c>
      <c r="O65" s="3">
        <v>3.3700000000000001E-2</v>
      </c>
      <c r="P65" s="2">
        <v>0.85</v>
      </c>
      <c r="Q65" s="2">
        <v>0</v>
      </c>
      <c r="R65" s="2">
        <v>0.85</v>
      </c>
      <c r="S65" t="s">
        <v>614</v>
      </c>
      <c r="U65" t="s">
        <v>652</v>
      </c>
    </row>
    <row r="66" spans="1:21" x14ac:dyDescent="0.6">
      <c r="A66">
        <v>353</v>
      </c>
      <c r="B66" t="str">
        <f>"5603"</f>
        <v>5603</v>
      </c>
      <c r="C66" t="s">
        <v>436</v>
      </c>
      <c r="D66" s="1">
        <v>42923</v>
      </c>
      <c r="E66">
        <v>13</v>
      </c>
      <c r="F66">
        <v>-0.05</v>
      </c>
      <c r="G66" s="3">
        <v>-3.8E-3</v>
      </c>
      <c r="H66">
        <v>2016</v>
      </c>
      <c r="I66">
        <v>1.63</v>
      </c>
      <c r="J66">
        <v>1.1000000000000001</v>
      </c>
      <c r="K66">
        <v>0</v>
      </c>
      <c r="L66">
        <v>1.1000000000000001</v>
      </c>
      <c r="M66" s="3">
        <v>8.4599999999999995E-2</v>
      </c>
      <c r="N66" s="2">
        <v>0</v>
      </c>
      <c r="O66" s="3">
        <v>8.4599999999999995E-2</v>
      </c>
      <c r="P66" s="3">
        <v>0.67500000000000004</v>
      </c>
      <c r="Q66" s="2">
        <v>0</v>
      </c>
      <c r="R66" s="3">
        <v>0.67500000000000004</v>
      </c>
      <c r="S66" t="s">
        <v>629</v>
      </c>
      <c r="U66" t="s">
        <v>620</v>
      </c>
    </row>
    <row r="67" spans="1:21" x14ac:dyDescent="0.6">
      <c r="A67">
        <v>38</v>
      </c>
      <c r="B67" t="str">
        <f>"2493"</f>
        <v>2493</v>
      </c>
      <c r="C67" t="s">
        <v>79</v>
      </c>
      <c r="D67" s="1">
        <v>42923</v>
      </c>
      <c r="E67">
        <v>27.35</v>
      </c>
      <c r="F67">
        <v>0</v>
      </c>
      <c r="G67" s="2">
        <v>0</v>
      </c>
      <c r="H67">
        <v>2016</v>
      </c>
      <c r="I67">
        <v>2.5099999999999998</v>
      </c>
      <c r="J67">
        <v>2.2999999999999998</v>
      </c>
      <c r="K67">
        <v>0</v>
      </c>
      <c r="L67">
        <v>2.2999999999999998</v>
      </c>
      <c r="M67" s="3">
        <v>8.4099999999999994E-2</v>
      </c>
      <c r="N67" s="2">
        <v>0</v>
      </c>
      <c r="O67" s="3">
        <v>8.4099999999999994E-2</v>
      </c>
      <c r="P67" s="3">
        <v>0.91600000000000004</v>
      </c>
      <c r="Q67" s="2">
        <v>0</v>
      </c>
      <c r="R67" s="3">
        <v>0.91600000000000004</v>
      </c>
      <c r="S67" t="s">
        <v>602</v>
      </c>
      <c r="U67" t="s">
        <v>637</v>
      </c>
    </row>
    <row r="68" spans="1:21" x14ac:dyDescent="0.6">
      <c r="A68">
        <v>45</v>
      </c>
      <c r="B68" t="str">
        <f>"6538"</f>
        <v>6538</v>
      </c>
      <c r="C68" t="s">
        <v>91</v>
      </c>
      <c r="D68" s="1">
        <v>42923</v>
      </c>
      <c r="E68">
        <v>52.2</v>
      </c>
      <c r="F68">
        <v>-0.2</v>
      </c>
      <c r="G68" s="3">
        <v>-3.8E-3</v>
      </c>
      <c r="H68">
        <v>2016</v>
      </c>
      <c r="I68">
        <v>8.36</v>
      </c>
      <c r="J68">
        <v>4.25</v>
      </c>
      <c r="K68">
        <v>0</v>
      </c>
      <c r="L68">
        <v>4.25</v>
      </c>
      <c r="M68" s="3">
        <v>8.14E-2</v>
      </c>
      <c r="N68" s="2">
        <v>0</v>
      </c>
      <c r="O68" s="3">
        <v>8.14E-2</v>
      </c>
      <c r="P68" s="3">
        <v>0.50800000000000001</v>
      </c>
      <c r="Q68" s="2">
        <v>0</v>
      </c>
      <c r="R68" s="3">
        <v>0.50800000000000001</v>
      </c>
      <c r="S68" t="s">
        <v>596</v>
      </c>
      <c r="U68" t="s">
        <v>642</v>
      </c>
    </row>
    <row r="69" spans="1:21" x14ac:dyDescent="0.6">
      <c r="A69">
        <v>68</v>
      </c>
      <c r="B69" t="str">
        <f>"2227"</f>
        <v>2227</v>
      </c>
      <c r="C69" t="s">
        <v>125</v>
      </c>
      <c r="D69" s="1">
        <v>42923</v>
      </c>
      <c r="E69">
        <v>279</v>
      </c>
      <c r="F69">
        <v>-1.5</v>
      </c>
      <c r="G69" s="3">
        <v>-5.3E-3</v>
      </c>
      <c r="H69">
        <v>2016</v>
      </c>
      <c r="I69">
        <v>13.89</v>
      </c>
      <c r="J69">
        <v>12.5</v>
      </c>
      <c r="K69">
        <v>0</v>
      </c>
      <c r="L69">
        <v>12.5</v>
      </c>
      <c r="M69" s="3">
        <v>4.48E-2</v>
      </c>
      <c r="N69" s="2">
        <v>0</v>
      </c>
      <c r="O69" s="3">
        <v>4.48E-2</v>
      </c>
      <c r="P69" s="2">
        <v>0.9</v>
      </c>
      <c r="Q69" s="2">
        <v>0</v>
      </c>
      <c r="R69" s="2">
        <v>0.9</v>
      </c>
      <c r="S69" t="s">
        <v>620</v>
      </c>
      <c r="U69" t="s">
        <v>632</v>
      </c>
    </row>
    <row r="70" spans="1:21" x14ac:dyDescent="0.6">
      <c r="A70">
        <v>69</v>
      </c>
      <c r="B70" t="str">
        <f>"5016"</f>
        <v>5016</v>
      </c>
      <c r="C70" t="s">
        <v>127</v>
      </c>
      <c r="D70" s="1">
        <v>42923</v>
      </c>
      <c r="E70">
        <v>31.75</v>
      </c>
      <c r="F70">
        <v>-0.15</v>
      </c>
      <c r="G70" s="3">
        <v>-4.7000000000000002E-3</v>
      </c>
      <c r="H70">
        <v>2016</v>
      </c>
      <c r="I70">
        <v>1.7</v>
      </c>
      <c r="J70">
        <v>1.2</v>
      </c>
      <c r="K70">
        <v>0</v>
      </c>
      <c r="L70">
        <v>1.2</v>
      </c>
      <c r="M70" s="3">
        <v>3.78E-2</v>
      </c>
      <c r="N70" s="2">
        <v>0</v>
      </c>
      <c r="O70" s="3">
        <v>3.78E-2</v>
      </c>
      <c r="P70" s="3">
        <v>0.70599999999999996</v>
      </c>
      <c r="Q70" s="2">
        <v>0</v>
      </c>
      <c r="R70" s="3">
        <v>0.70599999999999996</v>
      </c>
      <c r="S70" t="s">
        <v>653</v>
      </c>
      <c r="U70" t="s">
        <v>596</v>
      </c>
    </row>
    <row r="71" spans="1:21" x14ac:dyDescent="0.6">
      <c r="A71">
        <v>111</v>
      </c>
      <c r="B71" t="str">
        <f>"8249"</f>
        <v>8249</v>
      </c>
      <c r="C71" t="s">
        <v>175</v>
      </c>
      <c r="D71" s="1">
        <v>42923</v>
      </c>
      <c r="E71">
        <v>22.15</v>
      </c>
      <c r="F71">
        <v>-0.05</v>
      </c>
      <c r="G71" s="3">
        <v>-2.3E-3</v>
      </c>
      <c r="H71">
        <v>2016</v>
      </c>
      <c r="I71">
        <v>2.31</v>
      </c>
      <c r="J71">
        <v>1.8</v>
      </c>
      <c r="K71">
        <v>0</v>
      </c>
      <c r="L71">
        <v>1.8</v>
      </c>
      <c r="M71" s="3">
        <v>8.1299999999999997E-2</v>
      </c>
      <c r="N71" s="2">
        <v>0</v>
      </c>
      <c r="O71" s="3">
        <v>8.1299999999999997E-2</v>
      </c>
      <c r="P71" s="3">
        <v>0.77900000000000003</v>
      </c>
      <c r="Q71" s="2">
        <v>0</v>
      </c>
      <c r="R71" s="3">
        <v>0.77900000000000003</v>
      </c>
      <c r="S71" t="s">
        <v>597</v>
      </c>
      <c r="U71" t="s">
        <v>604</v>
      </c>
    </row>
    <row r="72" spans="1:21" x14ac:dyDescent="0.6">
      <c r="A72">
        <v>216</v>
      </c>
      <c r="B72" t="str">
        <f>"5508"</f>
        <v>5508</v>
      </c>
      <c r="C72" t="s">
        <v>295</v>
      </c>
      <c r="D72" s="1">
        <v>42923</v>
      </c>
      <c r="E72">
        <v>29.2</v>
      </c>
      <c r="F72">
        <v>-0.35</v>
      </c>
      <c r="G72" s="3">
        <v>-1.18E-2</v>
      </c>
      <c r="H72">
        <v>2016</v>
      </c>
      <c r="I72">
        <v>2.63</v>
      </c>
      <c r="J72">
        <v>2.37</v>
      </c>
      <c r="K72">
        <v>0</v>
      </c>
      <c r="L72">
        <v>2.37</v>
      </c>
      <c r="M72" s="3">
        <v>8.1199999999999994E-2</v>
      </c>
      <c r="N72" s="2">
        <v>0</v>
      </c>
      <c r="O72" s="3">
        <v>8.1199999999999994E-2</v>
      </c>
      <c r="P72" s="3">
        <v>0.90100000000000002</v>
      </c>
      <c r="Q72" s="2">
        <v>0</v>
      </c>
      <c r="R72" s="3">
        <v>0.90100000000000002</v>
      </c>
      <c r="S72" t="s">
        <v>604</v>
      </c>
      <c r="U72" t="s">
        <v>638</v>
      </c>
    </row>
    <row r="73" spans="1:21" x14ac:dyDescent="0.6">
      <c r="A73">
        <v>171</v>
      </c>
      <c r="B73" t="str">
        <f>"6577"</f>
        <v>6577</v>
      </c>
      <c r="C73" t="s">
        <v>244</v>
      </c>
      <c r="D73" s="1">
        <v>42923</v>
      </c>
      <c r="E73">
        <v>62</v>
      </c>
      <c r="F73">
        <v>-0.7</v>
      </c>
      <c r="G73" s="3">
        <v>-1.12E-2</v>
      </c>
      <c r="H73">
        <v>2016</v>
      </c>
      <c r="I73">
        <v>5.13</v>
      </c>
      <c r="J73">
        <v>5</v>
      </c>
      <c r="K73">
        <v>0</v>
      </c>
      <c r="L73">
        <v>5</v>
      </c>
      <c r="M73" s="3">
        <v>8.0600000000000005E-2</v>
      </c>
      <c r="N73" s="2">
        <v>0</v>
      </c>
      <c r="O73" s="3">
        <v>8.0600000000000005E-2</v>
      </c>
      <c r="P73" s="3">
        <v>0.97499999999999998</v>
      </c>
      <c r="Q73" s="2">
        <v>0</v>
      </c>
      <c r="R73" s="3">
        <v>0.97499999999999998</v>
      </c>
      <c r="S73" t="s">
        <v>658</v>
      </c>
      <c r="U73" t="s">
        <v>670</v>
      </c>
    </row>
    <row r="74" spans="1:21" x14ac:dyDescent="0.6">
      <c r="A74">
        <v>13</v>
      </c>
      <c r="B74" t="str">
        <f>"5015"</f>
        <v>5015</v>
      </c>
      <c r="C74" t="s">
        <v>41</v>
      </c>
      <c r="D74" s="1">
        <v>42923</v>
      </c>
      <c r="E74">
        <v>25</v>
      </c>
      <c r="F74">
        <v>-0.25</v>
      </c>
      <c r="G74" s="3">
        <v>-9.9000000000000008E-3</v>
      </c>
      <c r="H74">
        <v>2016</v>
      </c>
      <c r="I74">
        <v>2.4300000000000002</v>
      </c>
      <c r="J74">
        <v>2</v>
      </c>
      <c r="K74">
        <v>0</v>
      </c>
      <c r="L74">
        <v>2</v>
      </c>
      <c r="M74" s="2">
        <v>0.08</v>
      </c>
      <c r="N74" s="2">
        <v>0</v>
      </c>
      <c r="O74" s="2">
        <v>0.08</v>
      </c>
      <c r="P74" s="3">
        <v>0.82299999999999995</v>
      </c>
      <c r="Q74" s="2">
        <v>0</v>
      </c>
      <c r="R74" s="3">
        <v>0.82299999999999995</v>
      </c>
      <c r="S74" t="s">
        <v>597</v>
      </c>
      <c r="U74" t="s">
        <v>601</v>
      </c>
    </row>
    <row r="75" spans="1:21" x14ac:dyDescent="0.6">
      <c r="A75">
        <v>40</v>
      </c>
      <c r="B75" t="str">
        <f>"6216"</f>
        <v>6216</v>
      </c>
      <c r="C75" t="s">
        <v>83</v>
      </c>
      <c r="D75" s="1">
        <v>42923</v>
      </c>
      <c r="E75">
        <v>32.200000000000003</v>
      </c>
      <c r="F75">
        <v>-0.25</v>
      </c>
      <c r="G75" s="3">
        <v>-7.7000000000000002E-3</v>
      </c>
      <c r="H75">
        <v>2016</v>
      </c>
      <c r="I75">
        <v>2.99</v>
      </c>
      <c r="J75">
        <v>2.58</v>
      </c>
      <c r="K75">
        <v>0</v>
      </c>
      <c r="L75">
        <v>2.58</v>
      </c>
      <c r="M75" s="2">
        <v>0.08</v>
      </c>
      <c r="N75" s="2">
        <v>0</v>
      </c>
      <c r="O75" s="2">
        <v>0.08</v>
      </c>
      <c r="P75" s="3">
        <v>0.86299999999999999</v>
      </c>
      <c r="Q75" s="2">
        <v>0</v>
      </c>
      <c r="R75" s="3">
        <v>0.86299999999999999</v>
      </c>
      <c r="S75" t="s">
        <v>622</v>
      </c>
      <c r="U75" t="s">
        <v>638</v>
      </c>
    </row>
    <row r="76" spans="1:21" x14ac:dyDescent="0.6">
      <c r="A76">
        <v>228</v>
      </c>
      <c r="B76" t="str">
        <f>"3093"</f>
        <v>3093</v>
      </c>
      <c r="C76" t="s">
        <v>307</v>
      </c>
      <c r="D76" s="1">
        <v>42923</v>
      </c>
      <c r="E76">
        <v>30</v>
      </c>
      <c r="F76">
        <v>-0.25</v>
      </c>
      <c r="G76" s="3">
        <v>-8.3000000000000001E-3</v>
      </c>
      <c r="H76">
        <v>2016</v>
      </c>
      <c r="I76">
        <v>2.67</v>
      </c>
      <c r="J76">
        <v>2.4</v>
      </c>
      <c r="K76">
        <v>0</v>
      </c>
      <c r="L76">
        <v>2.4</v>
      </c>
      <c r="M76" s="2">
        <v>0.08</v>
      </c>
      <c r="N76" s="2">
        <v>0</v>
      </c>
      <c r="O76" s="2">
        <v>0.08</v>
      </c>
      <c r="P76" s="3">
        <v>0.89900000000000002</v>
      </c>
      <c r="Q76" s="2">
        <v>0</v>
      </c>
      <c r="R76" s="3">
        <v>0.89900000000000002</v>
      </c>
      <c r="S76" t="s">
        <v>600</v>
      </c>
      <c r="U76" t="s">
        <v>644</v>
      </c>
    </row>
    <row r="77" spans="1:21" x14ac:dyDescent="0.6">
      <c r="A77">
        <v>484</v>
      </c>
      <c r="B77" t="str">
        <f>"2374"</f>
        <v>2374</v>
      </c>
      <c r="C77" t="s">
        <v>577</v>
      </c>
      <c r="D77" s="1">
        <v>42923</v>
      </c>
      <c r="E77">
        <v>18.850000000000001</v>
      </c>
      <c r="F77">
        <v>-0.15</v>
      </c>
      <c r="G77" s="3">
        <v>-7.9000000000000008E-3</v>
      </c>
      <c r="H77">
        <v>2016</v>
      </c>
      <c r="I77">
        <v>1.71</v>
      </c>
      <c r="J77">
        <v>1.5</v>
      </c>
      <c r="K77">
        <v>0</v>
      </c>
      <c r="L77">
        <v>1.5</v>
      </c>
      <c r="M77" s="3">
        <v>7.9600000000000004E-2</v>
      </c>
      <c r="N77" s="2">
        <v>0</v>
      </c>
      <c r="O77" s="3">
        <v>7.9600000000000004E-2</v>
      </c>
      <c r="P77" s="3">
        <v>0.877</v>
      </c>
      <c r="Q77" s="2">
        <v>0</v>
      </c>
      <c r="R77" s="3">
        <v>0.877</v>
      </c>
      <c r="S77" t="s">
        <v>647</v>
      </c>
      <c r="U77" t="s">
        <v>687</v>
      </c>
    </row>
    <row r="78" spans="1:21" x14ac:dyDescent="0.6">
      <c r="A78">
        <v>246</v>
      </c>
      <c r="B78" t="str">
        <f>"3691"</f>
        <v>3691</v>
      </c>
      <c r="C78" t="s">
        <v>325</v>
      </c>
      <c r="D78" s="1">
        <v>42923</v>
      </c>
      <c r="E78">
        <v>251.5</v>
      </c>
      <c r="F78">
        <v>-20</v>
      </c>
      <c r="G78" s="3">
        <v>-7.3700000000000002E-2</v>
      </c>
      <c r="H78">
        <v>2016</v>
      </c>
      <c r="I78">
        <v>39.65</v>
      </c>
      <c r="J78">
        <v>20</v>
      </c>
      <c r="K78">
        <v>0</v>
      </c>
      <c r="L78">
        <v>20</v>
      </c>
      <c r="M78" s="3">
        <v>7.9500000000000001E-2</v>
      </c>
      <c r="N78" s="2">
        <v>0</v>
      </c>
      <c r="O78" s="3">
        <v>7.9500000000000001E-2</v>
      </c>
      <c r="P78" s="3">
        <v>0.504</v>
      </c>
      <c r="Q78" s="2">
        <v>0</v>
      </c>
      <c r="R78" s="3">
        <v>0.504</v>
      </c>
      <c r="S78" t="s">
        <v>640</v>
      </c>
      <c r="U78" t="s">
        <v>664</v>
      </c>
    </row>
    <row r="79" spans="1:21" x14ac:dyDescent="0.6">
      <c r="A79">
        <v>369</v>
      </c>
      <c r="B79" t="str">
        <f>"1452"</f>
        <v>1452</v>
      </c>
      <c r="C79" t="s">
        <v>452</v>
      </c>
      <c r="D79" s="1">
        <v>42923</v>
      </c>
      <c r="E79">
        <v>22.7</v>
      </c>
      <c r="F79">
        <v>-0.1</v>
      </c>
      <c r="G79" s="3">
        <v>-4.4000000000000003E-3</v>
      </c>
      <c r="H79">
        <v>2016</v>
      </c>
      <c r="I79">
        <v>2.8</v>
      </c>
      <c r="J79">
        <v>1.8</v>
      </c>
      <c r="K79">
        <v>0</v>
      </c>
      <c r="L79">
        <v>1.8</v>
      </c>
      <c r="M79" s="3">
        <v>7.9299999999999995E-2</v>
      </c>
      <c r="N79" s="2">
        <v>0</v>
      </c>
      <c r="O79" s="3">
        <v>7.9299999999999995E-2</v>
      </c>
      <c r="P79" s="3">
        <v>0.64300000000000002</v>
      </c>
      <c r="Q79" s="2">
        <v>0</v>
      </c>
      <c r="R79" s="3">
        <v>0.64300000000000002</v>
      </c>
      <c r="S79" t="s">
        <v>641</v>
      </c>
      <c r="U79" t="s">
        <v>637</v>
      </c>
    </row>
    <row r="80" spans="1:21" x14ac:dyDescent="0.6">
      <c r="A80">
        <v>65</v>
      </c>
      <c r="B80" t="str">
        <f>"8163"</f>
        <v>8163</v>
      </c>
      <c r="C80" t="s">
        <v>120</v>
      </c>
      <c r="D80" s="1">
        <v>42923</v>
      </c>
      <c r="E80">
        <v>25.25</v>
      </c>
      <c r="F80">
        <v>-0.65</v>
      </c>
      <c r="G80" s="3">
        <v>-2.5100000000000001E-2</v>
      </c>
      <c r="H80">
        <v>2016</v>
      </c>
      <c r="I80">
        <v>2</v>
      </c>
      <c r="J80">
        <v>2</v>
      </c>
      <c r="K80">
        <v>0</v>
      </c>
      <c r="L80">
        <v>2</v>
      </c>
      <c r="M80" s="3">
        <v>7.9200000000000007E-2</v>
      </c>
      <c r="N80" s="2">
        <v>0</v>
      </c>
      <c r="O80" s="3">
        <v>7.9200000000000007E-2</v>
      </c>
      <c r="P80" s="2">
        <v>1</v>
      </c>
      <c r="Q80" s="2">
        <v>0</v>
      </c>
      <c r="R80" s="2">
        <v>1</v>
      </c>
      <c r="S80" t="s">
        <v>600</v>
      </c>
      <c r="U80" t="s">
        <v>599</v>
      </c>
    </row>
    <row r="81" spans="1:21" x14ac:dyDescent="0.6">
      <c r="A81">
        <v>71</v>
      </c>
      <c r="B81" t="str">
        <f>"5438"</f>
        <v>5438</v>
      </c>
      <c r="C81" t="s">
        <v>130</v>
      </c>
      <c r="D81" s="1">
        <v>42923</v>
      </c>
      <c r="E81">
        <v>15.25</v>
      </c>
      <c r="F81">
        <v>0.1</v>
      </c>
      <c r="G81" s="3">
        <v>6.6E-3</v>
      </c>
      <c r="H81">
        <v>2016</v>
      </c>
      <c r="I81">
        <v>1.62</v>
      </c>
      <c r="J81">
        <v>1.2</v>
      </c>
      <c r="K81">
        <v>0</v>
      </c>
      <c r="L81">
        <v>1.2</v>
      </c>
      <c r="M81" s="3">
        <v>7.8700000000000006E-2</v>
      </c>
      <c r="N81" s="2">
        <v>0</v>
      </c>
      <c r="O81" s="3">
        <v>7.8700000000000006E-2</v>
      </c>
      <c r="P81" s="3">
        <v>0.74099999999999999</v>
      </c>
      <c r="Q81" s="2">
        <v>0</v>
      </c>
      <c r="R81" s="3">
        <v>0.74099999999999999</v>
      </c>
      <c r="S81" t="s">
        <v>648</v>
      </c>
      <c r="U81" t="s">
        <v>622</v>
      </c>
    </row>
    <row r="82" spans="1:21" x14ac:dyDescent="0.6">
      <c r="A82">
        <v>81</v>
      </c>
      <c r="B82" t="str">
        <f>"2419"</f>
        <v>2419</v>
      </c>
      <c r="C82" t="s">
        <v>142</v>
      </c>
      <c r="D82" s="1">
        <v>42923</v>
      </c>
      <c r="E82">
        <v>23</v>
      </c>
      <c r="F82">
        <v>0.05</v>
      </c>
      <c r="G82" s="3">
        <v>2.2000000000000001E-3</v>
      </c>
      <c r="H82">
        <v>2016</v>
      </c>
      <c r="I82">
        <v>1.01</v>
      </c>
      <c r="J82">
        <v>0.75</v>
      </c>
      <c r="K82">
        <v>0</v>
      </c>
      <c r="L82">
        <v>0.75</v>
      </c>
      <c r="M82" s="3">
        <v>3.2599999999999997E-2</v>
      </c>
      <c r="N82" s="2">
        <v>0</v>
      </c>
      <c r="O82" s="3">
        <v>3.2599999999999997E-2</v>
      </c>
      <c r="P82" s="3">
        <v>0.74299999999999999</v>
      </c>
      <c r="Q82" s="2">
        <v>0</v>
      </c>
      <c r="R82" s="3">
        <v>0.74299999999999999</v>
      </c>
      <c r="S82" t="s">
        <v>602</v>
      </c>
      <c r="U82" t="s">
        <v>630</v>
      </c>
    </row>
    <row r="83" spans="1:21" x14ac:dyDescent="0.6">
      <c r="A83">
        <v>82</v>
      </c>
      <c r="B83" t="str">
        <f>"5426"</f>
        <v>5426</v>
      </c>
      <c r="C83" t="s">
        <v>144</v>
      </c>
      <c r="D83" s="1">
        <v>42923</v>
      </c>
      <c r="E83">
        <v>13</v>
      </c>
      <c r="F83">
        <v>-0.05</v>
      </c>
      <c r="G83" s="3">
        <v>-3.8E-3</v>
      </c>
      <c r="H83">
        <v>2016</v>
      </c>
      <c r="I83">
        <v>0.76</v>
      </c>
      <c r="J83">
        <v>0.6</v>
      </c>
      <c r="K83">
        <v>0</v>
      </c>
      <c r="L83">
        <v>0.6</v>
      </c>
      <c r="M83" s="3">
        <v>4.6199999999999998E-2</v>
      </c>
      <c r="N83" s="2">
        <v>0</v>
      </c>
      <c r="O83" s="3">
        <v>4.6199999999999998E-2</v>
      </c>
      <c r="P83" s="2">
        <v>0.79</v>
      </c>
      <c r="Q83" s="2">
        <v>0</v>
      </c>
      <c r="R83" s="2">
        <v>0.79</v>
      </c>
      <c r="S83" t="s">
        <v>655</v>
      </c>
      <c r="U83" t="s">
        <v>650</v>
      </c>
    </row>
    <row r="84" spans="1:21" x14ac:dyDescent="0.6">
      <c r="A84">
        <v>83</v>
      </c>
      <c r="B84" t="str">
        <f>"3217"</f>
        <v>3217</v>
      </c>
      <c r="C84" t="s">
        <v>145</v>
      </c>
      <c r="D84" s="1">
        <v>42923</v>
      </c>
      <c r="E84">
        <v>26.15</v>
      </c>
      <c r="F84">
        <v>-0.2</v>
      </c>
      <c r="G84" s="3">
        <v>-7.6E-3</v>
      </c>
      <c r="H84">
        <v>2016</v>
      </c>
      <c r="I84">
        <v>1.1100000000000001</v>
      </c>
      <c r="J84">
        <v>1</v>
      </c>
      <c r="K84">
        <v>0</v>
      </c>
      <c r="L84">
        <v>1</v>
      </c>
      <c r="M84" s="3">
        <v>3.8199999999999998E-2</v>
      </c>
      <c r="N84" s="2">
        <v>0</v>
      </c>
      <c r="O84" s="3">
        <v>3.8199999999999998E-2</v>
      </c>
      <c r="P84" s="3">
        <v>0.90100000000000002</v>
      </c>
      <c r="Q84" s="2">
        <v>0</v>
      </c>
      <c r="R84" s="3">
        <v>0.90100000000000002</v>
      </c>
      <c r="S84" t="s">
        <v>635</v>
      </c>
      <c r="U84" t="s">
        <v>604</v>
      </c>
    </row>
    <row r="85" spans="1:21" x14ac:dyDescent="0.6">
      <c r="A85">
        <v>72</v>
      </c>
      <c r="B85" t="str">
        <f>"9943"</f>
        <v>9943</v>
      </c>
      <c r="C85" t="s">
        <v>131</v>
      </c>
      <c r="D85" s="1">
        <v>42923</v>
      </c>
      <c r="E85">
        <v>50.9</v>
      </c>
      <c r="F85">
        <v>0</v>
      </c>
      <c r="G85" s="2">
        <v>0</v>
      </c>
      <c r="H85">
        <v>2016</v>
      </c>
      <c r="I85">
        <v>6.79</v>
      </c>
      <c r="J85">
        <v>4</v>
      </c>
      <c r="K85">
        <v>0</v>
      </c>
      <c r="L85">
        <v>4</v>
      </c>
      <c r="M85" s="3">
        <v>7.8600000000000003E-2</v>
      </c>
      <c r="N85" s="2">
        <v>0</v>
      </c>
      <c r="O85" s="3">
        <v>7.8600000000000003E-2</v>
      </c>
      <c r="P85" s="3">
        <v>0.58899999999999997</v>
      </c>
      <c r="Q85" s="2">
        <v>0</v>
      </c>
      <c r="R85" s="3">
        <v>0.58899999999999997</v>
      </c>
      <c r="S85" t="s">
        <v>615</v>
      </c>
      <c r="U85" t="s">
        <v>596</v>
      </c>
    </row>
    <row r="86" spans="1:21" x14ac:dyDescent="0.6">
      <c r="A86">
        <v>85</v>
      </c>
      <c r="B86" t="str">
        <f>"2430"</f>
        <v>2430</v>
      </c>
      <c r="C86" t="s">
        <v>147</v>
      </c>
      <c r="D86" s="1">
        <v>42923</v>
      </c>
      <c r="E86">
        <v>26.25</v>
      </c>
      <c r="F86">
        <v>-0.15</v>
      </c>
      <c r="G86" s="3">
        <v>-5.7000000000000002E-3</v>
      </c>
      <c r="H86">
        <v>2016</v>
      </c>
      <c r="I86">
        <v>1.79</v>
      </c>
      <c r="J86">
        <v>1.21</v>
      </c>
      <c r="K86">
        <v>0</v>
      </c>
      <c r="L86">
        <v>1.21</v>
      </c>
      <c r="M86" s="3">
        <v>4.6300000000000001E-2</v>
      </c>
      <c r="N86" s="2">
        <v>0</v>
      </c>
      <c r="O86" s="3">
        <v>4.6300000000000001E-2</v>
      </c>
      <c r="P86" s="3">
        <v>0.67600000000000005</v>
      </c>
      <c r="Q86" s="2">
        <v>0</v>
      </c>
      <c r="R86" s="3">
        <v>0.67600000000000005</v>
      </c>
      <c r="S86" t="s">
        <v>657</v>
      </c>
      <c r="U86" t="s">
        <v>658</v>
      </c>
    </row>
    <row r="87" spans="1:21" x14ac:dyDescent="0.6">
      <c r="A87">
        <v>86</v>
      </c>
      <c r="B87" t="str">
        <f>"8112"</f>
        <v>8112</v>
      </c>
      <c r="C87" t="s">
        <v>149</v>
      </c>
      <c r="D87" s="1">
        <v>42923</v>
      </c>
      <c r="E87">
        <v>32.700000000000003</v>
      </c>
      <c r="F87">
        <v>-0.6</v>
      </c>
      <c r="G87" s="3">
        <v>-1.7999999999999999E-2</v>
      </c>
      <c r="H87">
        <v>2016</v>
      </c>
      <c r="I87">
        <v>1.2</v>
      </c>
      <c r="J87">
        <v>0.94</v>
      </c>
      <c r="K87">
        <v>0</v>
      </c>
      <c r="L87">
        <v>0.94</v>
      </c>
      <c r="M87" s="3">
        <v>2.86E-2</v>
      </c>
      <c r="N87" s="2">
        <v>0</v>
      </c>
      <c r="O87" s="3">
        <v>2.86E-2</v>
      </c>
      <c r="P87" s="3">
        <v>0.78300000000000003</v>
      </c>
      <c r="Q87" s="2">
        <v>0</v>
      </c>
      <c r="R87" s="3">
        <v>0.78300000000000003</v>
      </c>
      <c r="S87" t="s">
        <v>659</v>
      </c>
      <c r="U87" t="s">
        <v>632</v>
      </c>
    </row>
    <row r="88" spans="1:21" x14ac:dyDescent="0.6">
      <c r="A88">
        <v>73</v>
      </c>
      <c r="B88" t="str">
        <f>"5276"</f>
        <v>5276</v>
      </c>
      <c r="C88" t="s">
        <v>132</v>
      </c>
      <c r="D88" s="1">
        <v>42923</v>
      </c>
      <c r="E88">
        <v>25.5</v>
      </c>
      <c r="F88">
        <v>0</v>
      </c>
      <c r="G88" s="2">
        <v>0</v>
      </c>
      <c r="H88">
        <v>2016</v>
      </c>
      <c r="I88">
        <v>2.09</v>
      </c>
      <c r="J88">
        <v>2</v>
      </c>
      <c r="K88">
        <v>0</v>
      </c>
      <c r="L88">
        <v>2</v>
      </c>
      <c r="M88" s="3">
        <v>7.8399999999999997E-2</v>
      </c>
      <c r="N88" s="2">
        <v>0</v>
      </c>
      <c r="O88" s="3">
        <v>7.8399999999999997E-2</v>
      </c>
      <c r="P88" s="3">
        <v>0.95699999999999996</v>
      </c>
      <c r="Q88" s="2">
        <v>0</v>
      </c>
      <c r="R88" s="3">
        <v>0.95699999999999996</v>
      </c>
      <c r="S88" t="s">
        <v>613</v>
      </c>
      <c r="U88" t="s">
        <v>605</v>
      </c>
    </row>
    <row r="89" spans="1:21" x14ac:dyDescent="0.6">
      <c r="A89">
        <v>75</v>
      </c>
      <c r="B89" t="str">
        <f>"6214"</f>
        <v>6214</v>
      </c>
      <c r="C89" t="s">
        <v>134</v>
      </c>
      <c r="D89" s="1">
        <v>42923</v>
      </c>
      <c r="E89">
        <v>63.9</v>
      </c>
      <c r="F89">
        <v>-0.3</v>
      </c>
      <c r="G89" s="3">
        <v>-4.7000000000000002E-3</v>
      </c>
      <c r="H89">
        <v>2016</v>
      </c>
      <c r="I89">
        <v>2.29</v>
      </c>
      <c r="J89">
        <v>5</v>
      </c>
      <c r="K89">
        <v>0</v>
      </c>
      <c r="L89">
        <v>5</v>
      </c>
      <c r="M89" s="3">
        <v>7.8200000000000006E-2</v>
      </c>
      <c r="N89" s="2">
        <v>0</v>
      </c>
      <c r="O89" s="3">
        <v>7.8200000000000006E-2</v>
      </c>
      <c r="P89" s="2">
        <v>2.1800000000000002</v>
      </c>
      <c r="Q89" s="2">
        <v>0</v>
      </c>
      <c r="R89" s="2">
        <v>2.1800000000000002</v>
      </c>
      <c r="S89" t="s">
        <v>641</v>
      </c>
      <c r="U89" t="s">
        <v>604</v>
      </c>
    </row>
    <row r="90" spans="1:21" x14ac:dyDescent="0.6">
      <c r="A90">
        <v>89</v>
      </c>
      <c r="B90" t="str">
        <f>"2501"</f>
        <v>2501</v>
      </c>
      <c r="C90" t="s">
        <v>152</v>
      </c>
      <c r="D90" s="1">
        <v>42923</v>
      </c>
      <c r="E90">
        <v>19.899999999999999</v>
      </c>
      <c r="F90">
        <v>0</v>
      </c>
      <c r="G90" s="2">
        <v>0</v>
      </c>
      <c r="H90">
        <v>2016</v>
      </c>
      <c r="I90">
        <v>1.4</v>
      </c>
      <c r="J90">
        <v>0</v>
      </c>
      <c r="K90">
        <v>0</v>
      </c>
      <c r="L90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</row>
    <row r="91" spans="1:21" x14ac:dyDescent="0.6">
      <c r="A91">
        <v>191</v>
      </c>
      <c r="B91" t="str">
        <f>"2433"</f>
        <v>2433</v>
      </c>
      <c r="C91" t="s">
        <v>268</v>
      </c>
      <c r="D91" s="1">
        <v>42923</v>
      </c>
      <c r="E91">
        <v>42.65</v>
      </c>
      <c r="F91">
        <v>0</v>
      </c>
      <c r="G91" s="2">
        <v>0</v>
      </c>
      <c r="H91">
        <v>2016</v>
      </c>
      <c r="I91">
        <v>3.67</v>
      </c>
      <c r="J91">
        <v>3.3</v>
      </c>
      <c r="K91">
        <v>0</v>
      </c>
      <c r="L91">
        <v>3.3</v>
      </c>
      <c r="M91" s="3">
        <v>7.7399999999999997E-2</v>
      </c>
      <c r="N91" s="2">
        <v>0</v>
      </c>
      <c r="O91" s="3">
        <v>7.7399999999999997E-2</v>
      </c>
      <c r="P91" s="3">
        <v>0.89900000000000002</v>
      </c>
      <c r="Q91" s="2">
        <v>0</v>
      </c>
      <c r="R91" s="3">
        <v>0.89900000000000002</v>
      </c>
      <c r="S91" t="s">
        <v>654</v>
      </c>
      <c r="U91" t="s">
        <v>602</v>
      </c>
    </row>
    <row r="92" spans="1:21" x14ac:dyDescent="0.6">
      <c r="A92">
        <v>113</v>
      </c>
      <c r="B92" t="str">
        <f>"6128"</f>
        <v>6128</v>
      </c>
      <c r="C92" t="s">
        <v>177</v>
      </c>
      <c r="D92" s="1">
        <v>42923</v>
      </c>
      <c r="E92">
        <v>38.799999999999997</v>
      </c>
      <c r="F92">
        <v>0.05</v>
      </c>
      <c r="G92" s="3">
        <v>1.2999999999999999E-3</v>
      </c>
      <c r="H92">
        <v>2016</v>
      </c>
      <c r="I92">
        <v>3.7</v>
      </c>
      <c r="J92">
        <v>3</v>
      </c>
      <c r="K92">
        <v>0</v>
      </c>
      <c r="L92">
        <v>3</v>
      </c>
      <c r="M92" s="3">
        <v>7.7299999999999994E-2</v>
      </c>
      <c r="N92" s="2">
        <v>0</v>
      </c>
      <c r="O92" s="3">
        <v>7.7299999999999994E-2</v>
      </c>
      <c r="P92" s="3">
        <v>0.81100000000000005</v>
      </c>
      <c r="Q92" s="2">
        <v>0</v>
      </c>
      <c r="R92" s="3">
        <v>0.81100000000000005</v>
      </c>
      <c r="S92" t="s">
        <v>628</v>
      </c>
      <c r="U92" t="s">
        <v>617</v>
      </c>
    </row>
    <row r="93" spans="1:21" x14ac:dyDescent="0.6">
      <c r="A93">
        <v>29</v>
      </c>
      <c r="B93" t="str">
        <f>"6115"</f>
        <v>6115</v>
      </c>
      <c r="C93" t="s">
        <v>63</v>
      </c>
      <c r="D93" s="1">
        <v>42923</v>
      </c>
      <c r="E93">
        <v>45.3</v>
      </c>
      <c r="F93">
        <v>-0.5</v>
      </c>
      <c r="G93" s="3">
        <v>-1.09E-2</v>
      </c>
      <c r="H93">
        <v>2016</v>
      </c>
      <c r="I93">
        <v>3.39</v>
      </c>
      <c r="J93">
        <v>3.49</v>
      </c>
      <c r="K93">
        <v>0</v>
      </c>
      <c r="L93">
        <v>3.49</v>
      </c>
      <c r="M93" s="3">
        <v>7.7100000000000002E-2</v>
      </c>
      <c r="N93" s="2">
        <v>0</v>
      </c>
      <c r="O93" s="3">
        <v>7.7100000000000002E-2</v>
      </c>
      <c r="P93" s="2">
        <v>1.03</v>
      </c>
      <c r="Q93" s="2">
        <v>0</v>
      </c>
      <c r="R93" s="2">
        <v>1.03</v>
      </c>
      <c r="S93" t="s">
        <v>598</v>
      </c>
      <c r="U93" t="s">
        <v>599</v>
      </c>
    </row>
    <row r="94" spans="1:21" x14ac:dyDescent="0.6">
      <c r="A94">
        <v>121</v>
      </c>
      <c r="B94" t="str">
        <f>"3628"</f>
        <v>3628</v>
      </c>
      <c r="C94" t="s">
        <v>186</v>
      </c>
      <c r="D94" s="1">
        <v>42923</v>
      </c>
      <c r="E94">
        <v>42.3</v>
      </c>
      <c r="F94">
        <v>-0.5</v>
      </c>
      <c r="G94" s="3">
        <v>-1.17E-2</v>
      </c>
      <c r="H94">
        <v>2016</v>
      </c>
      <c r="I94">
        <v>3.92</v>
      </c>
      <c r="J94">
        <v>3.25</v>
      </c>
      <c r="K94">
        <v>0</v>
      </c>
      <c r="L94">
        <v>3.25</v>
      </c>
      <c r="M94" s="3">
        <v>7.6799999999999993E-2</v>
      </c>
      <c r="N94" s="2">
        <v>0</v>
      </c>
      <c r="O94" s="3">
        <v>7.6799999999999993E-2</v>
      </c>
      <c r="P94" s="3">
        <v>0.82899999999999996</v>
      </c>
      <c r="Q94" s="2">
        <v>0</v>
      </c>
      <c r="R94" s="3">
        <v>0.82899999999999996</v>
      </c>
      <c r="S94" t="s">
        <v>620</v>
      </c>
      <c r="U94" t="s">
        <v>663</v>
      </c>
    </row>
    <row r="95" spans="1:21" x14ac:dyDescent="0.6">
      <c r="A95">
        <v>12</v>
      </c>
      <c r="B95" t="str">
        <f>"4984"</f>
        <v>4984</v>
      </c>
      <c r="C95" t="s">
        <v>39</v>
      </c>
      <c r="D95" s="1">
        <v>42923</v>
      </c>
      <c r="E95">
        <v>44.8</v>
      </c>
      <c r="F95">
        <v>-0.1</v>
      </c>
      <c r="G95" s="3">
        <v>-2.2000000000000001E-3</v>
      </c>
      <c r="H95">
        <v>2016</v>
      </c>
      <c r="I95">
        <v>3.57</v>
      </c>
      <c r="J95">
        <v>3.44</v>
      </c>
      <c r="K95">
        <v>0</v>
      </c>
      <c r="L95">
        <v>3.44</v>
      </c>
      <c r="M95" s="3">
        <v>7.6700000000000004E-2</v>
      </c>
      <c r="N95" s="2">
        <v>0</v>
      </c>
      <c r="O95" s="3">
        <v>7.6700000000000004E-2</v>
      </c>
      <c r="P95" s="3">
        <v>0.96399999999999997</v>
      </c>
      <c r="Q95" s="2">
        <v>0</v>
      </c>
      <c r="R95" s="3">
        <v>0.96399999999999997</v>
      </c>
      <c r="S95" t="s">
        <v>611</v>
      </c>
      <c r="U95" t="s">
        <v>612</v>
      </c>
    </row>
    <row r="96" spans="1:21" x14ac:dyDescent="0.6">
      <c r="A96">
        <v>78</v>
      </c>
      <c r="B96" t="str">
        <f>"2548"</f>
        <v>2548</v>
      </c>
      <c r="C96" t="s">
        <v>138</v>
      </c>
      <c r="D96" s="1">
        <v>42923</v>
      </c>
      <c r="E96">
        <v>72</v>
      </c>
      <c r="F96">
        <v>-0.3</v>
      </c>
      <c r="G96" s="3">
        <v>-4.1000000000000003E-3</v>
      </c>
      <c r="H96">
        <v>2016</v>
      </c>
      <c r="I96">
        <v>9.59</v>
      </c>
      <c r="J96">
        <v>5.5</v>
      </c>
      <c r="K96">
        <v>0</v>
      </c>
      <c r="L96">
        <v>5.5</v>
      </c>
      <c r="M96" s="3">
        <v>7.6399999999999996E-2</v>
      </c>
      <c r="N96" s="2">
        <v>0</v>
      </c>
      <c r="O96" s="3">
        <v>7.6399999999999996E-2</v>
      </c>
      <c r="P96" s="3">
        <v>0.57399999999999995</v>
      </c>
      <c r="Q96" s="2">
        <v>0</v>
      </c>
      <c r="R96" s="3">
        <v>0.57399999999999995</v>
      </c>
      <c r="S96" t="s">
        <v>595</v>
      </c>
      <c r="U96" t="s">
        <v>622</v>
      </c>
    </row>
    <row r="97" spans="1:21" x14ac:dyDescent="0.6">
      <c r="A97">
        <v>345</v>
      </c>
      <c r="B97" t="str">
        <f>"5706"</f>
        <v>5706</v>
      </c>
      <c r="C97" t="s">
        <v>427</v>
      </c>
      <c r="D97" s="1">
        <v>42923</v>
      </c>
      <c r="E97">
        <v>36.950000000000003</v>
      </c>
      <c r="F97">
        <v>0.35</v>
      </c>
      <c r="G97" s="3">
        <v>9.5999999999999992E-3</v>
      </c>
      <c r="H97">
        <v>2016</v>
      </c>
      <c r="I97">
        <v>3.2</v>
      </c>
      <c r="J97">
        <v>2.82</v>
      </c>
      <c r="K97">
        <v>0</v>
      </c>
      <c r="L97">
        <v>2.82</v>
      </c>
      <c r="M97" s="3">
        <v>7.6399999999999996E-2</v>
      </c>
      <c r="N97" s="2">
        <v>0</v>
      </c>
      <c r="O97" s="3">
        <v>7.6399999999999996E-2</v>
      </c>
      <c r="P97" s="3">
        <v>0.88100000000000001</v>
      </c>
      <c r="Q97" s="2">
        <v>0</v>
      </c>
      <c r="R97" s="3">
        <v>0.88100000000000001</v>
      </c>
      <c r="S97" t="s">
        <v>616</v>
      </c>
      <c r="U97" t="s">
        <v>671</v>
      </c>
    </row>
    <row r="98" spans="1:21" x14ac:dyDescent="0.6">
      <c r="A98">
        <v>97</v>
      </c>
      <c r="B98" t="str">
        <f>"3005"</f>
        <v>3005</v>
      </c>
      <c r="C98" t="s">
        <v>160</v>
      </c>
      <c r="D98" s="1">
        <v>42923</v>
      </c>
      <c r="E98">
        <v>40.4</v>
      </c>
      <c r="F98">
        <v>-0.3</v>
      </c>
      <c r="G98" s="3">
        <v>-7.4000000000000003E-3</v>
      </c>
      <c r="H98">
        <v>2016</v>
      </c>
      <c r="I98">
        <v>2.19</v>
      </c>
      <c r="J98">
        <v>2</v>
      </c>
      <c r="K98">
        <v>0</v>
      </c>
      <c r="L98">
        <v>2</v>
      </c>
      <c r="M98" s="3">
        <v>4.9500000000000002E-2</v>
      </c>
      <c r="N98" s="2">
        <v>0</v>
      </c>
      <c r="O98" s="3">
        <v>4.9500000000000002E-2</v>
      </c>
      <c r="P98" s="3">
        <v>0.91300000000000003</v>
      </c>
      <c r="Q98" s="2">
        <v>0</v>
      </c>
      <c r="R98" s="3">
        <v>0.91300000000000003</v>
      </c>
      <c r="S98" t="s">
        <v>634</v>
      </c>
      <c r="U98" t="s">
        <v>614</v>
      </c>
    </row>
    <row r="99" spans="1:21" x14ac:dyDescent="0.6">
      <c r="A99">
        <v>84</v>
      </c>
      <c r="B99" t="str">
        <f>"6470"</f>
        <v>6470</v>
      </c>
      <c r="C99" t="s">
        <v>146</v>
      </c>
      <c r="D99" s="1">
        <v>42923</v>
      </c>
      <c r="E99">
        <v>52.4</v>
      </c>
      <c r="F99">
        <v>-0.6</v>
      </c>
      <c r="G99" s="3">
        <v>-1.1299999999999999E-2</v>
      </c>
      <c r="H99">
        <v>2016</v>
      </c>
      <c r="I99">
        <v>5.59</v>
      </c>
      <c r="J99">
        <v>4</v>
      </c>
      <c r="K99">
        <v>0</v>
      </c>
      <c r="L99">
        <v>4</v>
      </c>
      <c r="M99" s="3">
        <v>7.6300000000000007E-2</v>
      </c>
      <c r="N99" s="2">
        <v>0</v>
      </c>
      <c r="O99" s="3">
        <v>7.6300000000000007E-2</v>
      </c>
      <c r="P99" s="3">
        <v>0.71599999999999997</v>
      </c>
      <c r="Q99" s="2">
        <v>0</v>
      </c>
      <c r="R99" s="3">
        <v>0.71599999999999997</v>
      </c>
      <c r="S99" t="s">
        <v>656</v>
      </c>
      <c r="U99" t="s">
        <v>601</v>
      </c>
    </row>
    <row r="100" spans="1:21" x14ac:dyDescent="0.6">
      <c r="A100">
        <v>57</v>
      </c>
      <c r="B100" t="str">
        <f>"3299"</f>
        <v>3299</v>
      </c>
      <c r="C100" t="s">
        <v>109</v>
      </c>
      <c r="D100" s="1">
        <v>42923</v>
      </c>
      <c r="E100">
        <v>63.7</v>
      </c>
      <c r="F100">
        <v>-1.7</v>
      </c>
      <c r="G100" s="3">
        <v>-2.5999999999999999E-2</v>
      </c>
      <c r="H100">
        <v>2016</v>
      </c>
      <c r="I100">
        <v>5.75</v>
      </c>
      <c r="J100">
        <v>4.84</v>
      </c>
      <c r="K100">
        <v>0</v>
      </c>
      <c r="L100">
        <v>4.84</v>
      </c>
      <c r="M100" s="3">
        <v>7.5999999999999998E-2</v>
      </c>
      <c r="N100" s="2">
        <v>0</v>
      </c>
      <c r="O100" s="3">
        <v>7.5999999999999998E-2</v>
      </c>
      <c r="P100" s="3">
        <v>0.84199999999999997</v>
      </c>
      <c r="Q100" s="2">
        <v>0</v>
      </c>
      <c r="R100" s="3">
        <v>0.84199999999999997</v>
      </c>
      <c r="S100" t="s">
        <v>633</v>
      </c>
      <c r="U100" t="s">
        <v>603</v>
      </c>
    </row>
    <row r="101" spans="1:21" x14ac:dyDescent="0.6">
      <c r="A101">
        <v>88</v>
      </c>
      <c r="B101" t="str">
        <f>"6104"</f>
        <v>6104</v>
      </c>
      <c r="C101" t="s">
        <v>151</v>
      </c>
      <c r="D101" s="1">
        <v>42923</v>
      </c>
      <c r="E101">
        <v>39.65</v>
      </c>
      <c r="F101">
        <v>0</v>
      </c>
      <c r="G101" s="2">
        <v>0</v>
      </c>
      <c r="H101">
        <v>2016</v>
      </c>
      <c r="I101">
        <v>3.01</v>
      </c>
      <c r="J101">
        <v>3</v>
      </c>
      <c r="K101">
        <v>0</v>
      </c>
      <c r="L101">
        <v>3</v>
      </c>
      <c r="M101" s="3">
        <v>7.5700000000000003E-2</v>
      </c>
      <c r="N101" s="2">
        <v>0</v>
      </c>
      <c r="O101" s="3">
        <v>7.5700000000000003E-2</v>
      </c>
      <c r="P101" s="3">
        <v>0.997</v>
      </c>
      <c r="Q101" s="2">
        <v>0</v>
      </c>
      <c r="R101" s="3">
        <v>0.997</v>
      </c>
      <c r="S101" t="s">
        <v>607</v>
      </c>
      <c r="U101" t="s">
        <v>606</v>
      </c>
    </row>
    <row r="102" spans="1:21" x14ac:dyDescent="0.6">
      <c r="A102">
        <v>101</v>
      </c>
      <c r="B102" t="str">
        <f>"2034"</f>
        <v>2034</v>
      </c>
      <c r="C102" t="s">
        <v>164</v>
      </c>
      <c r="D102" s="1">
        <v>42923</v>
      </c>
      <c r="E102">
        <v>24.35</v>
      </c>
      <c r="F102">
        <v>-0.2</v>
      </c>
      <c r="G102" s="3">
        <v>-8.0999999999999996E-3</v>
      </c>
      <c r="H102">
        <v>2016</v>
      </c>
      <c r="I102">
        <v>1.44</v>
      </c>
      <c r="J102">
        <v>1</v>
      </c>
      <c r="K102">
        <v>1</v>
      </c>
      <c r="L102">
        <v>2</v>
      </c>
      <c r="M102" s="3">
        <v>4.1099999999999998E-2</v>
      </c>
      <c r="N102" s="3">
        <v>4.1099999999999998E-2</v>
      </c>
      <c r="O102" s="3">
        <v>8.2100000000000006E-2</v>
      </c>
      <c r="P102" s="3">
        <v>0.69399999999999995</v>
      </c>
      <c r="Q102" s="3">
        <v>0.69399999999999995</v>
      </c>
      <c r="R102" s="2">
        <v>1.39</v>
      </c>
      <c r="S102" t="s">
        <v>643</v>
      </c>
      <c r="T102" t="s">
        <v>643</v>
      </c>
      <c r="U102" t="s">
        <v>623</v>
      </c>
    </row>
    <row r="103" spans="1:21" x14ac:dyDescent="0.6">
      <c r="A103">
        <v>102</v>
      </c>
      <c r="B103" t="str">
        <f>"9911"</f>
        <v>9911</v>
      </c>
      <c r="C103" t="s">
        <v>165</v>
      </c>
      <c r="D103" s="1">
        <v>42923</v>
      </c>
      <c r="E103">
        <v>33.85</v>
      </c>
      <c r="F103">
        <v>-0.25</v>
      </c>
      <c r="G103" s="3">
        <v>-7.3000000000000001E-3</v>
      </c>
      <c r="H103">
        <v>2016</v>
      </c>
      <c r="I103">
        <v>1.89</v>
      </c>
      <c r="J103">
        <v>1.3</v>
      </c>
      <c r="K103">
        <v>0</v>
      </c>
      <c r="L103">
        <v>1.3</v>
      </c>
      <c r="M103" s="3">
        <v>3.8399999999999997E-2</v>
      </c>
      <c r="N103" s="2">
        <v>0</v>
      </c>
      <c r="O103" s="3">
        <v>3.8399999999999997E-2</v>
      </c>
      <c r="P103" s="3">
        <v>0.68799999999999994</v>
      </c>
      <c r="Q103" s="2">
        <v>0</v>
      </c>
      <c r="R103" s="3">
        <v>0.68799999999999994</v>
      </c>
      <c r="S103" t="s">
        <v>614</v>
      </c>
      <c r="U103" t="s">
        <v>609</v>
      </c>
    </row>
    <row r="104" spans="1:21" x14ac:dyDescent="0.6">
      <c r="A104">
        <v>179</v>
      </c>
      <c r="B104" t="str">
        <f>"3088"</f>
        <v>3088</v>
      </c>
      <c r="C104" t="s">
        <v>255</v>
      </c>
      <c r="D104" s="1">
        <v>42923</v>
      </c>
      <c r="E104">
        <v>56.8</v>
      </c>
      <c r="F104">
        <v>-0.4</v>
      </c>
      <c r="G104" s="3">
        <v>-7.0000000000000001E-3</v>
      </c>
      <c r="H104">
        <v>2016</v>
      </c>
      <c r="I104">
        <v>5.38</v>
      </c>
      <c r="J104">
        <v>4.3</v>
      </c>
      <c r="K104">
        <v>0</v>
      </c>
      <c r="L104">
        <v>4.3</v>
      </c>
      <c r="M104" s="3">
        <v>7.5700000000000003E-2</v>
      </c>
      <c r="N104" s="2">
        <v>0</v>
      </c>
      <c r="O104" s="3">
        <v>7.5700000000000003E-2</v>
      </c>
      <c r="P104" s="3">
        <v>0.79900000000000004</v>
      </c>
      <c r="Q104" s="2">
        <v>0</v>
      </c>
      <c r="R104" s="3">
        <v>0.79900000000000004</v>
      </c>
      <c r="S104" t="s">
        <v>637</v>
      </c>
      <c r="U104" t="s">
        <v>618</v>
      </c>
    </row>
    <row r="105" spans="1:21" x14ac:dyDescent="0.6">
      <c r="A105">
        <v>90</v>
      </c>
      <c r="B105" t="str">
        <f>"3501"</f>
        <v>3501</v>
      </c>
      <c r="C105" t="s">
        <v>153</v>
      </c>
      <c r="D105" s="1">
        <v>42923</v>
      </c>
      <c r="E105">
        <v>53.1</v>
      </c>
      <c r="F105">
        <v>-0.1</v>
      </c>
      <c r="G105" s="3">
        <v>-1.9E-3</v>
      </c>
      <c r="H105">
        <v>2016</v>
      </c>
      <c r="I105">
        <v>6.32</v>
      </c>
      <c r="J105">
        <v>4</v>
      </c>
      <c r="K105">
        <v>0</v>
      </c>
      <c r="L105">
        <v>4</v>
      </c>
      <c r="M105" s="3">
        <v>7.5300000000000006E-2</v>
      </c>
      <c r="N105" s="2">
        <v>0</v>
      </c>
      <c r="O105" s="3">
        <v>7.5300000000000006E-2</v>
      </c>
      <c r="P105" s="3">
        <v>0.63300000000000001</v>
      </c>
      <c r="Q105" s="2">
        <v>0</v>
      </c>
      <c r="R105" s="3">
        <v>0.63300000000000001</v>
      </c>
      <c r="S105" t="s">
        <v>655</v>
      </c>
      <c r="U105" t="s">
        <v>650</v>
      </c>
    </row>
    <row r="106" spans="1:21" x14ac:dyDescent="0.6">
      <c r="A106">
        <v>456</v>
      </c>
      <c r="B106" t="str">
        <f>"4137"</f>
        <v>4137</v>
      </c>
      <c r="C106" t="s">
        <v>546</v>
      </c>
      <c r="D106" s="1">
        <v>42923</v>
      </c>
      <c r="E106">
        <v>133.5</v>
      </c>
      <c r="F106">
        <v>-0.5</v>
      </c>
      <c r="G106" s="3">
        <v>-3.7000000000000002E-3</v>
      </c>
      <c r="H106">
        <v>2016</v>
      </c>
      <c r="I106">
        <v>14.68</v>
      </c>
      <c r="J106">
        <v>10</v>
      </c>
      <c r="K106">
        <v>0</v>
      </c>
      <c r="L106">
        <v>10</v>
      </c>
      <c r="M106" s="3">
        <v>7.4899999999999994E-2</v>
      </c>
      <c r="N106" s="2">
        <v>0</v>
      </c>
      <c r="O106" s="3">
        <v>7.4899999999999994E-2</v>
      </c>
      <c r="P106" s="3">
        <v>0.68100000000000005</v>
      </c>
      <c r="Q106" s="2">
        <v>0</v>
      </c>
      <c r="R106" s="3">
        <v>0.68100000000000005</v>
      </c>
      <c r="S106" t="s">
        <v>622</v>
      </c>
      <c r="U106" t="s">
        <v>649</v>
      </c>
    </row>
    <row r="107" spans="1:21" x14ac:dyDescent="0.6">
      <c r="A107">
        <v>106</v>
      </c>
      <c r="B107" t="str">
        <f>"5443"</f>
        <v>5443</v>
      </c>
      <c r="C107" t="s">
        <v>169</v>
      </c>
      <c r="D107" s="1">
        <v>42923</v>
      </c>
      <c r="E107">
        <v>24.65</v>
      </c>
      <c r="F107">
        <v>-0.3</v>
      </c>
      <c r="G107" s="3">
        <v>-1.2E-2</v>
      </c>
      <c r="H107">
        <v>2016</v>
      </c>
      <c r="I107">
        <v>1.2</v>
      </c>
      <c r="J107">
        <v>1</v>
      </c>
      <c r="K107">
        <v>0</v>
      </c>
      <c r="L107">
        <v>1</v>
      </c>
      <c r="M107" s="3">
        <v>4.0599999999999997E-2</v>
      </c>
      <c r="N107" s="2">
        <v>0</v>
      </c>
      <c r="O107" s="3">
        <v>4.0599999999999997E-2</v>
      </c>
      <c r="P107" s="3">
        <v>0.83299999999999996</v>
      </c>
      <c r="Q107" s="2">
        <v>0</v>
      </c>
      <c r="R107" s="3">
        <v>0.83299999999999996</v>
      </c>
      <c r="S107" t="s">
        <v>662</v>
      </c>
      <c r="U107" t="s">
        <v>605</v>
      </c>
    </row>
    <row r="108" spans="1:21" x14ac:dyDescent="0.6">
      <c r="A108">
        <v>96</v>
      </c>
      <c r="B108" t="str">
        <f>"8081"</f>
        <v>8081</v>
      </c>
      <c r="C108" t="s">
        <v>159</v>
      </c>
      <c r="D108" s="1">
        <v>42923</v>
      </c>
      <c r="E108">
        <v>67.3</v>
      </c>
      <c r="F108">
        <v>-0.4</v>
      </c>
      <c r="G108" s="3">
        <v>-5.8999999999999999E-3</v>
      </c>
      <c r="H108">
        <v>2016</v>
      </c>
      <c r="I108">
        <v>5.0599999999999996</v>
      </c>
      <c r="J108">
        <v>5</v>
      </c>
      <c r="K108">
        <v>0</v>
      </c>
      <c r="L108">
        <v>5</v>
      </c>
      <c r="M108" s="3">
        <v>7.4300000000000005E-2</v>
      </c>
      <c r="N108" s="2">
        <v>0</v>
      </c>
      <c r="O108" s="3">
        <v>7.4300000000000005E-2</v>
      </c>
      <c r="P108" s="3">
        <v>0.98799999999999999</v>
      </c>
      <c r="Q108" s="2">
        <v>0</v>
      </c>
      <c r="R108" s="3">
        <v>0.98799999999999999</v>
      </c>
      <c r="S108" t="s">
        <v>615</v>
      </c>
      <c r="U108" t="s">
        <v>603</v>
      </c>
    </row>
    <row r="109" spans="1:21" x14ac:dyDescent="0.6">
      <c r="A109">
        <v>150</v>
      </c>
      <c r="B109" t="str">
        <f>"5493"</f>
        <v>5493</v>
      </c>
      <c r="C109" t="s">
        <v>218</v>
      </c>
      <c r="D109" s="1">
        <v>42923</v>
      </c>
      <c r="E109">
        <v>29.7</v>
      </c>
      <c r="F109">
        <v>0.05</v>
      </c>
      <c r="G109" s="3">
        <v>1.6999999999999999E-3</v>
      </c>
      <c r="H109">
        <v>2016</v>
      </c>
      <c r="I109">
        <v>3.11</v>
      </c>
      <c r="J109">
        <v>2.2000000000000002</v>
      </c>
      <c r="K109">
        <v>0</v>
      </c>
      <c r="L109">
        <v>2.2000000000000002</v>
      </c>
      <c r="M109" s="3">
        <v>7.4099999999999999E-2</v>
      </c>
      <c r="N109" s="2">
        <v>0</v>
      </c>
      <c r="O109" s="3">
        <v>7.4099999999999999E-2</v>
      </c>
      <c r="P109" s="3">
        <v>0.70699999999999996</v>
      </c>
      <c r="Q109" s="2">
        <v>0</v>
      </c>
      <c r="R109" s="3">
        <v>0.70699999999999996</v>
      </c>
      <c r="S109" t="s">
        <v>641</v>
      </c>
      <c r="U109" t="s">
        <v>599</v>
      </c>
    </row>
    <row r="110" spans="1:21" x14ac:dyDescent="0.6">
      <c r="A110">
        <v>4</v>
      </c>
      <c r="B110" t="str">
        <f>"3040"</f>
        <v>3040</v>
      </c>
      <c r="C110" t="s">
        <v>27</v>
      </c>
      <c r="D110" s="1">
        <v>42923</v>
      </c>
      <c r="E110">
        <v>40.6</v>
      </c>
      <c r="F110">
        <v>-0.5</v>
      </c>
      <c r="G110" s="3">
        <v>-1.2200000000000001E-2</v>
      </c>
      <c r="H110">
        <v>2016</v>
      </c>
      <c r="I110">
        <v>2.2000000000000002</v>
      </c>
      <c r="J110">
        <v>3</v>
      </c>
      <c r="K110">
        <v>0</v>
      </c>
      <c r="L110">
        <v>3</v>
      </c>
      <c r="M110" s="3">
        <v>7.3899999999999993E-2</v>
      </c>
      <c r="N110" s="2">
        <v>0</v>
      </c>
      <c r="O110" s="3">
        <v>7.3899999999999993E-2</v>
      </c>
      <c r="P110" s="2">
        <v>1.36</v>
      </c>
      <c r="Q110" s="2">
        <v>0</v>
      </c>
      <c r="R110" s="2">
        <v>1.36</v>
      </c>
      <c r="S110" t="s">
        <v>600</v>
      </c>
      <c r="U110" t="s">
        <v>601</v>
      </c>
    </row>
    <row r="111" spans="1:21" x14ac:dyDescent="0.6">
      <c r="A111">
        <v>164</v>
      </c>
      <c r="B111" t="str">
        <f>"4557"</f>
        <v>4557</v>
      </c>
      <c r="C111" t="s">
        <v>236</v>
      </c>
      <c r="D111" s="1">
        <v>42923</v>
      </c>
      <c r="E111">
        <v>75.7</v>
      </c>
      <c r="F111">
        <v>-0.9</v>
      </c>
      <c r="G111" s="3">
        <v>-1.17E-2</v>
      </c>
      <c r="H111">
        <v>2016</v>
      </c>
      <c r="I111">
        <v>5.86</v>
      </c>
      <c r="J111">
        <v>5.58</v>
      </c>
      <c r="K111">
        <v>0</v>
      </c>
      <c r="L111">
        <v>5.58</v>
      </c>
      <c r="M111" s="3">
        <v>7.3800000000000004E-2</v>
      </c>
      <c r="N111" s="2">
        <v>0</v>
      </c>
      <c r="O111" s="3">
        <v>7.3800000000000004E-2</v>
      </c>
      <c r="P111" s="3">
        <v>0.95199999999999996</v>
      </c>
      <c r="Q111" s="2">
        <v>0</v>
      </c>
      <c r="R111" s="3">
        <v>0.95199999999999996</v>
      </c>
      <c r="S111" t="s">
        <v>668</v>
      </c>
      <c r="U111" t="s">
        <v>627</v>
      </c>
    </row>
    <row r="112" spans="1:21" x14ac:dyDescent="0.6">
      <c r="A112">
        <v>98</v>
      </c>
      <c r="B112" t="str">
        <f>"1776"</f>
        <v>1776</v>
      </c>
      <c r="C112" t="s">
        <v>161</v>
      </c>
      <c r="D112" s="1">
        <v>42923</v>
      </c>
      <c r="E112">
        <v>21.6</v>
      </c>
      <c r="F112">
        <v>0.5</v>
      </c>
      <c r="G112" s="3">
        <v>2.3699999999999999E-2</v>
      </c>
      <c r="H112">
        <v>2016</v>
      </c>
      <c r="I112">
        <v>2.1</v>
      </c>
      <c r="J112">
        <v>1.59</v>
      </c>
      <c r="K112">
        <v>0</v>
      </c>
      <c r="L112">
        <v>1.59</v>
      </c>
      <c r="M112" s="3">
        <v>7.3499999999999996E-2</v>
      </c>
      <c r="N112" s="2">
        <v>0</v>
      </c>
      <c r="O112" s="3">
        <v>7.3499999999999996E-2</v>
      </c>
      <c r="P112" s="3">
        <v>0.75700000000000001</v>
      </c>
      <c r="Q112" s="2">
        <v>0</v>
      </c>
      <c r="R112" s="3">
        <v>0.75700000000000001</v>
      </c>
      <c r="S112" t="s">
        <v>661</v>
      </c>
      <c r="U112" t="s">
        <v>600</v>
      </c>
    </row>
    <row r="113" spans="1:21" x14ac:dyDescent="0.6">
      <c r="A113">
        <v>112</v>
      </c>
      <c r="B113" t="str">
        <f>"3567"</f>
        <v>3567</v>
      </c>
      <c r="C113" t="s">
        <v>176</v>
      </c>
      <c r="D113" s="1">
        <v>42923</v>
      </c>
      <c r="E113">
        <v>27.7</v>
      </c>
      <c r="F113">
        <v>-0.3</v>
      </c>
      <c r="G113" s="3">
        <v>-1.0699999999999999E-2</v>
      </c>
      <c r="H113">
        <v>2016</v>
      </c>
      <c r="I113">
        <v>1.23</v>
      </c>
      <c r="J113">
        <v>1.1000000000000001</v>
      </c>
      <c r="K113">
        <v>0</v>
      </c>
      <c r="L113">
        <v>1.1000000000000001</v>
      </c>
      <c r="M113" s="3">
        <v>3.9699999999999999E-2</v>
      </c>
      <c r="N113" s="2">
        <v>0</v>
      </c>
      <c r="O113" s="3">
        <v>3.9699999999999999E-2</v>
      </c>
      <c r="P113" s="3">
        <v>0.89400000000000002</v>
      </c>
      <c r="Q113" s="2">
        <v>0</v>
      </c>
      <c r="R113" s="3">
        <v>0.89400000000000002</v>
      </c>
      <c r="S113" t="s">
        <v>617</v>
      </c>
      <c r="U113" t="s">
        <v>631</v>
      </c>
    </row>
    <row r="114" spans="1:21" x14ac:dyDescent="0.6">
      <c r="A114">
        <v>289</v>
      </c>
      <c r="B114" t="str">
        <f>"3034"</f>
        <v>3034</v>
      </c>
      <c r="C114" t="s">
        <v>371</v>
      </c>
      <c r="D114" s="1">
        <v>42923</v>
      </c>
      <c r="E114">
        <v>122.5</v>
      </c>
      <c r="F114">
        <v>-2</v>
      </c>
      <c r="G114" s="3">
        <v>-1.61E-2</v>
      </c>
      <c r="H114">
        <v>2016</v>
      </c>
      <c r="I114">
        <v>10.52</v>
      </c>
      <c r="J114">
        <v>9</v>
      </c>
      <c r="K114">
        <v>0</v>
      </c>
      <c r="L114">
        <v>9</v>
      </c>
      <c r="M114" s="3">
        <v>7.3499999999999996E-2</v>
      </c>
      <c r="N114" s="2">
        <v>0</v>
      </c>
      <c r="O114" s="3">
        <v>7.3499999999999996E-2</v>
      </c>
      <c r="P114" s="3">
        <v>0.85599999999999998</v>
      </c>
      <c r="Q114" s="2">
        <v>0</v>
      </c>
      <c r="R114" s="3">
        <v>0.85599999999999998</v>
      </c>
      <c r="S114" t="s">
        <v>662</v>
      </c>
      <c r="U114" t="s">
        <v>599</v>
      </c>
    </row>
    <row r="115" spans="1:21" x14ac:dyDescent="0.6">
      <c r="A115">
        <v>104</v>
      </c>
      <c r="B115" t="str">
        <f>"2483"</f>
        <v>2483</v>
      </c>
      <c r="C115" t="s">
        <v>167</v>
      </c>
      <c r="D115" s="1">
        <v>42923</v>
      </c>
      <c r="E115">
        <v>17.7</v>
      </c>
      <c r="F115">
        <v>0.1</v>
      </c>
      <c r="G115" s="3">
        <v>5.7000000000000002E-3</v>
      </c>
      <c r="H115">
        <v>2016</v>
      </c>
      <c r="I115">
        <v>1.74</v>
      </c>
      <c r="J115">
        <v>1.3</v>
      </c>
      <c r="K115">
        <v>0</v>
      </c>
      <c r="L115">
        <v>1.3</v>
      </c>
      <c r="M115" s="3">
        <v>7.3400000000000007E-2</v>
      </c>
      <c r="N115" s="2">
        <v>0</v>
      </c>
      <c r="O115" s="3">
        <v>7.3400000000000007E-2</v>
      </c>
      <c r="P115" s="3">
        <v>0.747</v>
      </c>
      <c r="Q115" s="2">
        <v>0</v>
      </c>
      <c r="R115" s="3">
        <v>0.747</v>
      </c>
      <c r="S115" t="s">
        <v>602</v>
      </c>
      <c r="U115" t="s">
        <v>630</v>
      </c>
    </row>
    <row r="116" spans="1:21" x14ac:dyDescent="0.6">
      <c r="A116">
        <v>115</v>
      </c>
      <c r="B116" t="str">
        <f>"6457"</f>
        <v>6457</v>
      </c>
      <c r="C116" t="s">
        <v>179</v>
      </c>
      <c r="D116" s="1">
        <v>42923</v>
      </c>
      <c r="E116">
        <v>28.55</v>
      </c>
      <c r="F116">
        <v>-0.25</v>
      </c>
      <c r="G116" s="3">
        <v>-8.6999999999999994E-3</v>
      </c>
      <c r="H116">
        <v>2016</v>
      </c>
      <c r="I116">
        <v>2.5</v>
      </c>
      <c r="J116">
        <v>2.1</v>
      </c>
      <c r="K116">
        <v>0</v>
      </c>
      <c r="L116">
        <v>2.1</v>
      </c>
      <c r="M116" s="3">
        <v>7.3400000000000007E-2</v>
      </c>
      <c r="N116" s="2">
        <v>0</v>
      </c>
      <c r="O116" s="3">
        <v>7.3400000000000007E-2</v>
      </c>
      <c r="P116" s="2">
        <v>0.84</v>
      </c>
      <c r="Q116" s="2">
        <v>0</v>
      </c>
      <c r="R116" s="2">
        <v>0.84</v>
      </c>
      <c r="S116" t="s">
        <v>628</v>
      </c>
      <c r="U116" t="s">
        <v>603</v>
      </c>
    </row>
    <row r="117" spans="1:21" x14ac:dyDescent="0.6">
      <c r="A117">
        <v>116</v>
      </c>
      <c r="B117" t="str">
        <f>"4711"</f>
        <v>4711</v>
      </c>
      <c r="C117" t="s">
        <v>180</v>
      </c>
      <c r="D117" s="1">
        <v>42923</v>
      </c>
      <c r="E117">
        <v>19.5</v>
      </c>
      <c r="F117">
        <v>0.1</v>
      </c>
      <c r="G117" s="3">
        <v>5.1999999999999998E-3</v>
      </c>
      <c r="H117">
        <v>2016</v>
      </c>
      <c r="I117">
        <v>0.72</v>
      </c>
      <c r="J117">
        <v>0.7</v>
      </c>
      <c r="K117">
        <v>0</v>
      </c>
      <c r="L117">
        <v>0.7</v>
      </c>
      <c r="M117" s="3">
        <v>3.5900000000000001E-2</v>
      </c>
      <c r="N117" s="2">
        <v>0</v>
      </c>
      <c r="O117" s="3">
        <v>3.5900000000000001E-2</v>
      </c>
      <c r="P117" s="3">
        <v>0.97199999999999998</v>
      </c>
      <c r="Q117" s="2">
        <v>0</v>
      </c>
      <c r="R117" s="3">
        <v>0.97199999999999998</v>
      </c>
      <c r="S117" t="s">
        <v>636</v>
      </c>
      <c r="U117" t="s">
        <v>599</v>
      </c>
    </row>
    <row r="118" spans="1:21" x14ac:dyDescent="0.6">
      <c r="A118">
        <v>117</v>
      </c>
      <c r="B118" t="str">
        <f>"2031"</f>
        <v>2031</v>
      </c>
      <c r="C118" t="s">
        <v>181</v>
      </c>
      <c r="D118" s="1">
        <v>42923</v>
      </c>
      <c r="E118">
        <v>25.1</v>
      </c>
      <c r="F118">
        <v>-0.05</v>
      </c>
      <c r="G118" s="3">
        <v>-2E-3</v>
      </c>
      <c r="H118">
        <v>2016</v>
      </c>
      <c r="I118">
        <v>-1.45</v>
      </c>
      <c r="J118">
        <v>0.6</v>
      </c>
      <c r="K118">
        <v>0</v>
      </c>
      <c r="L118">
        <v>0.6</v>
      </c>
      <c r="M118" s="3">
        <v>2.3900000000000001E-2</v>
      </c>
      <c r="N118" s="2">
        <v>0</v>
      </c>
      <c r="O118" s="3">
        <v>2.3900000000000001E-2</v>
      </c>
      <c r="P118" s="3">
        <v>-0.41399999999999998</v>
      </c>
      <c r="Q118" s="2">
        <v>0</v>
      </c>
      <c r="R118" s="3">
        <v>-0.41399999999999998</v>
      </c>
      <c r="S118" t="s">
        <v>662</v>
      </c>
      <c r="U118" t="s">
        <v>637</v>
      </c>
    </row>
    <row r="119" spans="1:21" x14ac:dyDescent="0.6">
      <c r="A119">
        <v>108</v>
      </c>
      <c r="B119" t="str">
        <f>"1593"</f>
        <v>1593</v>
      </c>
      <c r="C119" t="s">
        <v>171</v>
      </c>
      <c r="D119" s="1">
        <v>42923</v>
      </c>
      <c r="E119">
        <v>41.1</v>
      </c>
      <c r="F119">
        <v>-0.2</v>
      </c>
      <c r="G119" s="3">
        <v>-4.7999999999999996E-3</v>
      </c>
      <c r="H119">
        <v>2016</v>
      </c>
      <c r="I119">
        <v>3.21</v>
      </c>
      <c r="J119">
        <v>3</v>
      </c>
      <c r="K119">
        <v>0</v>
      </c>
      <c r="L119">
        <v>3</v>
      </c>
      <c r="M119" s="3">
        <v>7.2999999999999995E-2</v>
      </c>
      <c r="N119" s="2">
        <v>0</v>
      </c>
      <c r="O119" s="3">
        <v>7.2999999999999995E-2</v>
      </c>
      <c r="P119" s="3">
        <v>0.93500000000000005</v>
      </c>
      <c r="Q119" s="2">
        <v>0</v>
      </c>
      <c r="R119" s="3">
        <v>0.93500000000000005</v>
      </c>
      <c r="S119" t="s">
        <v>598</v>
      </c>
      <c r="U119" t="s">
        <v>637</v>
      </c>
    </row>
    <row r="120" spans="1:21" x14ac:dyDescent="0.6">
      <c r="A120">
        <v>119</v>
      </c>
      <c r="B120" t="str">
        <f>"4552"</f>
        <v>4552</v>
      </c>
      <c r="C120" t="s">
        <v>184</v>
      </c>
      <c r="D120" s="1">
        <v>42923</v>
      </c>
      <c r="E120">
        <v>112.5</v>
      </c>
      <c r="F120">
        <v>-0.5</v>
      </c>
      <c r="G120" s="3">
        <v>-4.4000000000000003E-3</v>
      </c>
      <c r="H120">
        <v>2016</v>
      </c>
      <c r="I120">
        <v>10.38</v>
      </c>
      <c r="J120">
        <v>2</v>
      </c>
      <c r="K120">
        <v>0</v>
      </c>
      <c r="L120">
        <v>2</v>
      </c>
      <c r="M120" s="3">
        <v>1.78E-2</v>
      </c>
      <c r="N120" s="2">
        <v>0</v>
      </c>
      <c r="O120" s="3">
        <v>1.78E-2</v>
      </c>
      <c r="P120" s="3">
        <v>0.193</v>
      </c>
      <c r="Q120" s="2">
        <v>0</v>
      </c>
      <c r="R120" s="3">
        <v>0.193</v>
      </c>
    </row>
    <row r="121" spans="1:21" x14ac:dyDescent="0.6">
      <c r="A121">
        <v>156</v>
      </c>
      <c r="B121" t="str">
        <f>"1464"</f>
        <v>1464</v>
      </c>
      <c r="C121" t="s">
        <v>225</v>
      </c>
      <c r="D121" s="1">
        <v>42923</v>
      </c>
      <c r="E121">
        <v>29.9</v>
      </c>
      <c r="F121">
        <v>-0.55000000000000004</v>
      </c>
      <c r="G121" s="3">
        <v>-1.8100000000000002E-2</v>
      </c>
      <c r="H121">
        <v>2016</v>
      </c>
      <c r="I121">
        <v>1.4</v>
      </c>
      <c r="J121">
        <v>2.1800000000000002</v>
      </c>
      <c r="K121">
        <v>0</v>
      </c>
      <c r="L121">
        <v>2.1800000000000002</v>
      </c>
      <c r="M121" s="3">
        <v>7.2900000000000006E-2</v>
      </c>
      <c r="N121" s="2">
        <v>0</v>
      </c>
      <c r="O121" s="3">
        <v>7.2900000000000006E-2</v>
      </c>
      <c r="P121" s="2">
        <v>1.56</v>
      </c>
      <c r="Q121" s="2">
        <v>0</v>
      </c>
      <c r="R121" s="2">
        <v>1.56</v>
      </c>
      <c r="S121" t="s">
        <v>643</v>
      </c>
      <c r="U121" t="s">
        <v>664</v>
      </c>
    </row>
    <row r="122" spans="1:21" x14ac:dyDescent="0.6">
      <c r="A122">
        <v>258</v>
      </c>
      <c r="B122" t="str">
        <f>"6185"</f>
        <v>6185</v>
      </c>
      <c r="C122" t="s">
        <v>337</v>
      </c>
      <c r="D122" s="1">
        <v>42923</v>
      </c>
      <c r="E122">
        <v>22</v>
      </c>
      <c r="F122">
        <v>-0.1</v>
      </c>
      <c r="G122" s="3">
        <v>-4.4999999999999997E-3</v>
      </c>
      <c r="H122">
        <v>2016</v>
      </c>
      <c r="I122">
        <v>2.68</v>
      </c>
      <c r="J122">
        <v>1.6</v>
      </c>
      <c r="K122">
        <v>0.4</v>
      </c>
      <c r="L122">
        <v>2</v>
      </c>
      <c r="M122" s="3">
        <v>7.2700000000000001E-2</v>
      </c>
      <c r="N122" s="3">
        <v>1.8200000000000001E-2</v>
      </c>
      <c r="O122" s="3">
        <v>9.0899999999999995E-2</v>
      </c>
      <c r="P122" s="3">
        <v>0.59699999999999998</v>
      </c>
      <c r="Q122" s="3">
        <v>0.14899999999999999</v>
      </c>
      <c r="R122" s="3">
        <v>0.746</v>
      </c>
      <c r="S122" t="s">
        <v>678</v>
      </c>
      <c r="T122" t="s">
        <v>678</v>
      </c>
      <c r="U122" t="s">
        <v>628</v>
      </c>
    </row>
    <row r="123" spans="1:21" x14ac:dyDescent="0.6">
      <c r="A123">
        <v>177</v>
      </c>
      <c r="B123" t="str">
        <f>"5490"</f>
        <v>5490</v>
      </c>
      <c r="C123" t="s">
        <v>252</v>
      </c>
      <c r="D123" s="1">
        <v>42923</v>
      </c>
      <c r="E123">
        <v>62</v>
      </c>
      <c r="F123">
        <v>-0.2</v>
      </c>
      <c r="G123" s="3">
        <v>-3.2000000000000002E-3</v>
      </c>
      <c r="H123">
        <v>2016</v>
      </c>
      <c r="I123">
        <v>5.41</v>
      </c>
      <c r="J123">
        <v>4.5</v>
      </c>
      <c r="K123">
        <v>0</v>
      </c>
      <c r="L123">
        <v>4.5</v>
      </c>
      <c r="M123" s="3">
        <v>7.2599999999999998E-2</v>
      </c>
      <c r="N123" s="2">
        <v>0</v>
      </c>
      <c r="O123" s="3">
        <v>7.2599999999999998E-2</v>
      </c>
      <c r="P123" s="3">
        <v>0.83199999999999996</v>
      </c>
      <c r="Q123" s="2">
        <v>0</v>
      </c>
      <c r="R123" s="3">
        <v>0.83199999999999996</v>
      </c>
      <c r="S123" t="s">
        <v>600</v>
      </c>
      <c r="U123" t="s">
        <v>605</v>
      </c>
    </row>
    <row r="124" spans="1:21" x14ac:dyDescent="0.6">
      <c r="A124">
        <v>183</v>
      </c>
      <c r="B124" t="str">
        <f>"2451"</f>
        <v>2451</v>
      </c>
      <c r="C124" t="s">
        <v>259</v>
      </c>
      <c r="D124" s="1">
        <v>42923</v>
      </c>
      <c r="E124">
        <v>93.7</v>
      </c>
      <c r="F124">
        <v>0.2</v>
      </c>
      <c r="G124" s="3">
        <v>2.0999999999999999E-3</v>
      </c>
      <c r="H124">
        <v>2016</v>
      </c>
      <c r="I124">
        <v>7.48</v>
      </c>
      <c r="J124">
        <v>6.8</v>
      </c>
      <c r="K124">
        <v>0</v>
      </c>
      <c r="L124">
        <v>6.8</v>
      </c>
      <c r="M124" s="3">
        <v>7.2599999999999998E-2</v>
      </c>
      <c r="N124" s="2">
        <v>0</v>
      </c>
      <c r="O124" s="3">
        <v>7.2599999999999998E-2</v>
      </c>
      <c r="P124" s="3">
        <v>0.90900000000000003</v>
      </c>
      <c r="Q124" s="2">
        <v>0</v>
      </c>
      <c r="R124" s="3">
        <v>0.90900000000000003</v>
      </c>
      <c r="S124" t="s">
        <v>600</v>
      </c>
      <c r="U124" t="s">
        <v>605</v>
      </c>
    </row>
    <row r="125" spans="1:21" x14ac:dyDescent="0.6">
      <c r="A125">
        <v>124</v>
      </c>
      <c r="B125" t="str">
        <f>"1704"</f>
        <v>1704</v>
      </c>
      <c r="C125" t="s">
        <v>189</v>
      </c>
      <c r="D125" s="1">
        <v>42923</v>
      </c>
      <c r="E125">
        <v>42.4</v>
      </c>
      <c r="F125">
        <v>-0.3</v>
      </c>
      <c r="G125" s="3">
        <v>-7.0000000000000001E-3</v>
      </c>
      <c r="H125">
        <v>2016</v>
      </c>
      <c r="I125">
        <v>11.69</v>
      </c>
      <c r="J125">
        <v>1.5</v>
      </c>
      <c r="K125">
        <v>0</v>
      </c>
      <c r="L125">
        <v>1.5</v>
      </c>
      <c r="M125" s="3">
        <v>3.5400000000000001E-2</v>
      </c>
      <c r="N125" s="2">
        <v>0</v>
      </c>
      <c r="O125" s="3">
        <v>3.5400000000000001E-2</v>
      </c>
      <c r="P125" s="3">
        <v>0.128</v>
      </c>
      <c r="Q125" s="2">
        <v>0</v>
      </c>
      <c r="R125" s="3">
        <v>0.128</v>
      </c>
      <c r="S125" t="s">
        <v>629</v>
      </c>
      <c r="U125" t="s">
        <v>650</v>
      </c>
    </row>
    <row r="126" spans="1:21" x14ac:dyDescent="0.6">
      <c r="A126">
        <v>125</v>
      </c>
      <c r="B126" t="str">
        <f>"2024"</f>
        <v>2024</v>
      </c>
      <c r="C126" t="s">
        <v>191</v>
      </c>
      <c r="D126" s="1">
        <v>42923</v>
      </c>
      <c r="E126">
        <v>8.5</v>
      </c>
      <c r="F126">
        <v>-0.06</v>
      </c>
      <c r="G126" s="3">
        <v>-7.0000000000000001E-3</v>
      </c>
      <c r="H126">
        <v>2016</v>
      </c>
      <c r="I126">
        <v>0.34</v>
      </c>
      <c r="J126">
        <v>0.3</v>
      </c>
      <c r="K126">
        <v>0</v>
      </c>
      <c r="L126">
        <v>0.3</v>
      </c>
      <c r="M126" s="3">
        <v>3.5299999999999998E-2</v>
      </c>
      <c r="N126" s="2">
        <v>0</v>
      </c>
      <c r="O126" s="3">
        <v>3.5299999999999998E-2</v>
      </c>
      <c r="P126" s="3">
        <v>0.88200000000000001</v>
      </c>
      <c r="Q126" s="2">
        <v>0</v>
      </c>
      <c r="R126" s="3">
        <v>0.88200000000000001</v>
      </c>
      <c r="S126" t="s">
        <v>653</v>
      </c>
      <c r="U126" t="s">
        <v>603</v>
      </c>
    </row>
    <row r="127" spans="1:21" x14ac:dyDescent="0.6">
      <c r="A127">
        <v>296</v>
      </c>
      <c r="B127" t="str">
        <f>"5474"</f>
        <v>5474</v>
      </c>
      <c r="C127" t="s">
        <v>378</v>
      </c>
      <c r="D127" s="1">
        <v>42923</v>
      </c>
      <c r="E127">
        <v>58</v>
      </c>
      <c r="F127">
        <v>0.4</v>
      </c>
      <c r="G127" s="3">
        <v>6.8999999999999999E-3</v>
      </c>
      <c r="H127">
        <v>2016</v>
      </c>
      <c r="I127">
        <v>6.34</v>
      </c>
      <c r="J127">
        <v>4.2</v>
      </c>
      <c r="K127">
        <v>0</v>
      </c>
      <c r="L127">
        <v>4.2</v>
      </c>
      <c r="M127" s="3">
        <v>7.2400000000000006E-2</v>
      </c>
      <c r="N127" s="2">
        <v>0</v>
      </c>
      <c r="O127" s="3">
        <v>7.2400000000000006E-2</v>
      </c>
      <c r="P127" s="3">
        <v>0.66200000000000003</v>
      </c>
      <c r="Q127" s="2">
        <v>0</v>
      </c>
      <c r="R127" s="3">
        <v>0.66200000000000003</v>
      </c>
      <c r="S127" t="s">
        <v>600</v>
      </c>
      <c r="U127" t="s">
        <v>603</v>
      </c>
    </row>
    <row r="128" spans="1:21" x14ac:dyDescent="0.6">
      <c r="A128">
        <v>91</v>
      </c>
      <c r="B128" t="str">
        <f>"3528"</f>
        <v>3528</v>
      </c>
      <c r="C128" t="s">
        <v>154</v>
      </c>
      <c r="D128" s="1">
        <v>42923</v>
      </c>
      <c r="E128">
        <v>31.9</v>
      </c>
      <c r="F128">
        <v>-0.1</v>
      </c>
      <c r="G128" s="3">
        <v>-3.0999999999999999E-3</v>
      </c>
      <c r="H128">
        <v>2016</v>
      </c>
      <c r="I128">
        <v>3.41</v>
      </c>
      <c r="J128">
        <v>2.2999999999999998</v>
      </c>
      <c r="K128">
        <v>0.2</v>
      </c>
      <c r="L128">
        <v>2.5</v>
      </c>
      <c r="M128" s="3">
        <v>7.2099999999999997E-2</v>
      </c>
      <c r="N128" s="3">
        <v>6.3E-3</v>
      </c>
      <c r="O128" s="3">
        <v>7.8399999999999997E-2</v>
      </c>
      <c r="P128" s="3">
        <v>0.67400000000000004</v>
      </c>
      <c r="Q128" s="3">
        <v>5.8700000000000002E-2</v>
      </c>
      <c r="R128" s="3">
        <v>0.73299999999999998</v>
      </c>
      <c r="S128" t="s">
        <v>636</v>
      </c>
      <c r="T128" t="s">
        <v>636</v>
      </c>
      <c r="U128" t="s">
        <v>639</v>
      </c>
    </row>
    <row r="129" spans="1:21" x14ac:dyDescent="0.6">
      <c r="A129">
        <v>128</v>
      </c>
      <c r="B129" t="str">
        <f>"3706"</f>
        <v>3706</v>
      </c>
      <c r="C129" t="s">
        <v>194</v>
      </c>
      <c r="D129" s="1">
        <v>42923</v>
      </c>
      <c r="E129">
        <v>35.6</v>
      </c>
      <c r="F129">
        <v>-0.3</v>
      </c>
      <c r="G129" s="3">
        <v>-8.3999999999999995E-3</v>
      </c>
      <c r="H129">
        <v>2016</v>
      </c>
      <c r="I129">
        <v>2.3199999999999998</v>
      </c>
      <c r="J129">
        <v>1.59</v>
      </c>
      <c r="K129">
        <v>0.4</v>
      </c>
      <c r="L129">
        <v>1.99</v>
      </c>
      <c r="M129" s="3">
        <v>4.4699999999999997E-2</v>
      </c>
      <c r="N129" s="3">
        <v>1.12E-2</v>
      </c>
      <c r="O129" s="3">
        <v>5.5899999999999998E-2</v>
      </c>
      <c r="P129" s="3">
        <v>0.68500000000000005</v>
      </c>
      <c r="Q129" s="3">
        <v>0.17199999999999999</v>
      </c>
      <c r="R129" s="3">
        <v>0.85799999999999998</v>
      </c>
      <c r="S129" t="s">
        <v>618</v>
      </c>
      <c r="T129" t="s">
        <v>618</v>
      </c>
      <c r="U129" t="s">
        <v>626</v>
      </c>
    </row>
    <row r="130" spans="1:21" x14ac:dyDescent="0.6">
      <c r="A130">
        <v>210</v>
      </c>
      <c r="B130" t="str">
        <f>"2426"</f>
        <v>2426</v>
      </c>
      <c r="C130" t="s">
        <v>289</v>
      </c>
      <c r="D130" s="1">
        <v>42923</v>
      </c>
      <c r="E130">
        <v>14.3</v>
      </c>
      <c r="F130">
        <v>-0.1</v>
      </c>
      <c r="G130" s="3">
        <v>-6.8999999999999999E-3</v>
      </c>
      <c r="H130">
        <v>2016</v>
      </c>
      <c r="I130">
        <v>1.22</v>
      </c>
      <c r="J130">
        <v>1.02</v>
      </c>
      <c r="K130">
        <v>0</v>
      </c>
      <c r="L130">
        <v>1.02</v>
      </c>
      <c r="M130" s="3">
        <v>7.1599999999999997E-2</v>
      </c>
      <c r="N130" s="2">
        <v>0</v>
      </c>
      <c r="O130" s="3">
        <v>7.1599999999999997E-2</v>
      </c>
      <c r="P130" s="3">
        <v>0.83599999999999997</v>
      </c>
      <c r="Q130" s="2">
        <v>0</v>
      </c>
      <c r="R130" s="3">
        <v>0.83599999999999997</v>
      </c>
      <c r="S130" t="s">
        <v>675</v>
      </c>
      <c r="U130" t="s">
        <v>639</v>
      </c>
    </row>
    <row r="131" spans="1:21" x14ac:dyDescent="0.6">
      <c r="A131">
        <v>48</v>
      </c>
      <c r="B131" t="str">
        <f>"5403"</f>
        <v>5403</v>
      </c>
      <c r="C131" t="s">
        <v>96</v>
      </c>
      <c r="D131" s="1">
        <v>42923</v>
      </c>
      <c r="E131">
        <v>36.5</v>
      </c>
      <c r="F131">
        <v>-0.05</v>
      </c>
      <c r="G131" s="3">
        <v>-1.4E-3</v>
      </c>
      <c r="H131">
        <v>2016</v>
      </c>
      <c r="I131">
        <v>2.3199999999999998</v>
      </c>
      <c r="J131">
        <v>2.6</v>
      </c>
      <c r="K131">
        <v>0</v>
      </c>
      <c r="L131">
        <v>2.6</v>
      </c>
      <c r="M131" s="3">
        <v>7.1199999999999999E-2</v>
      </c>
      <c r="N131" s="2">
        <v>0</v>
      </c>
      <c r="O131" s="3">
        <v>7.1199999999999999E-2</v>
      </c>
      <c r="P131" s="2">
        <v>1.1200000000000001</v>
      </c>
      <c r="Q131" s="2">
        <v>0</v>
      </c>
      <c r="R131" s="2">
        <v>1.1200000000000001</v>
      </c>
      <c r="S131" t="s">
        <v>616</v>
      </c>
      <c r="U131" t="s">
        <v>618</v>
      </c>
    </row>
    <row r="132" spans="1:21" x14ac:dyDescent="0.6">
      <c r="A132">
        <v>330</v>
      </c>
      <c r="B132" t="str">
        <f>"8109"</f>
        <v>8109</v>
      </c>
      <c r="C132" t="s">
        <v>412</v>
      </c>
      <c r="D132" s="1">
        <v>42923</v>
      </c>
      <c r="E132">
        <v>63.4</v>
      </c>
      <c r="F132">
        <v>-0.2</v>
      </c>
      <c r="G132" s="3">
        <v>-3.0999999999999999E-3</v>
      </c>
      <c r="H132">
        <v>2016</v>
      </c>
      <c r="I132">
        <v>5.54</v>
      </c>
      <c r="J132">
        <v>4.5</v>
      </c>
      <c r="K132">
        <v>0</v>
      </c>
      <c r="L132">
        <v>4.5</v>
      </c>
      <c r="M132" s="3">
        <v>7.0999999999999994E-2</v>
      </c>
      <c r="N132" s="2">
        <v>0</v>
      </c>
      <c r="O132" s="3">
        <v>7.0999999999999994E-2</v>
      </c>
      <c r="P132" s="3">
        <v>0.81200000000000006</v>
      </c>
      <c r="Q132" s="2">
        <v>0</v>
      </c>
      <c r="R132" s="3">
        <v>0.81200000000000006</v>
      </c>
      <c r="S132" t="s">
        <v>634</v>
      </c>
      <c r="U132" t="s">
        <v>611</v>
      </c>
    </row>
    <row r="133" spans="1:21" x14ac:dyDescent="0.6">
      <c r="A133">
        <v>120</v>
      </c>
      <c r="B133" t="str">
        <f>"3090"</f>
        <v>3090</v>
      </c>
      <c r="C133" t="s">
        <v>185</v>
      </c>
      <c r="D133" s="1">
        <v>42923</v>
      </c>
      <c r="E133">
        <v>28.2</v>
      </c>
      <c r="F133">
        <v>-0.25</v>
      </c>
      <c r="G133" s="3">
        <v>-8.8000000000000005E-3</v>
      </c>
      <c r="H133">
        <v>2016</v>
      </c>
      <c r="I133">
        <v>2.23</v>
      </c>
      <c r="J133">
        <v>2</v>
      </c>
      <c r="K133">
        <v>0</v>
      </c>
      <c r="L133">
        <v>2</v>
      </c>
      <c r="M133" s="3">
        <v>7.0900000000000005E-2</v>
      </c>
      <c r="N133" s="2">
        <v>0</v>
      </c>
      <c r="O133" s="3">
        <v>7.0900000000000005E-2</v>
      </c>
      <c r="P133" s="3">
        <v>0.89700000000000002</v>
      </c>
      <c r="Q133" s="2">
        <v>0</v>
      </c>
      <c r="R133" s="3">
        <v>0.89700000000000002</v>
      </c>
      <c r="S133" t="s">
        <v>627</v>
      </c>
      <c r="U133" t="s">
        <v>603</v>
      </c>
    </row>
    <row r="134" spans="1:21" x14ac:dyDescent="0.6">
      <c r="A134">
        <v>160</v>
      </c>
      <c r="B134" t="str">
        <f>"6261"</f>
        <v>6261</v>
      </c>
      <c r="C134" t="s">
        <v>230</v>
      </c>
      <c r="D134" s="1">
        <v>42923</v>
      </c>
      <c r="E134">
        <v>46.6</v>
      </c>
      <c r="F134">
        <v>0.3</v>
      </c>
      <c r="G134" s="3">
        <v>6.4999999999999997E-3</v>
      </c>
      <c r="H134">
        <v>2016</v>
      </c>
      <c r="I134">
        <v>3.71</v>
      </c>
      <c r="J134">
        <v>3.3</v>
      </c>
      <c r="K134">
        <v>0</v>
      </c>
      <c r="L134">
        <v>3.3</v>
      </c>
      <c r="M134" s="3">
        <v>7.0800000000000002E-2</v>
      </c>
      <c r="N134" s="2">
        <v>0</v>
      </c>
      <c r="O134" s="3">
        <v>7.0800000000000002E-2</v>
      </c>
      <c r="P134" s="2">
        <v>0.89</v>
      </c>
      <c r="Q134" s="2">
        <v>0</v>
      </c>
      <c r="R134" s="2">
        <v>0.89</v>
      </c>
      <c r="S134" t="s">
        <v>631</v>
      </c>
      <c r="U134" t="s">
        <v>663</v>
      </c>
    </row>
    <row r="135" spans="1:21" x14ac:dyDescent="0.6">
      <c r="A135">
        <v>103</v>
      </c>
      <c r="B135" t="str">
        <f>"4305"</f>
        <v>4305</v>
      </c>
      <c r="C135" t="s">
        <v>166</v>
      </c>
      <c r="D135" s="1">
        <v>42923</v>
      </c>
      <c r="E135">
        <v>32.549999999999997</v>
      </c>
      <c r="F135">
        <v>0</v>
      </c>
      <c r="G135" s="2">
        <v>0</v>
      </c>
      <c r="H135">
        <v>2016</v>
      </c>
      <c r="I135">
        <v>2.96</v>
      </c>
      <c r="J135">
        <v>2.2999999999999998</v>
      </c>
      <c r="K135">
        <v>0</v>
      </c>
      <c r="L135">
        <v>2.2999999999999998</v>
      </c>
      <c r="M135" s="3">
        <v>7.0699999999999999E-2</v>
      </c>
      <c r="N135" s="2">
        <v>0</v>
      </c>
      <c r="O135" s="3">
        <v>7.0699999999999999E-2</v>
      </c>
      <c r="P135" s="3">
        <v>0.77700000000000002</v>
      </c>
      <c r="Q135" s="2">
        <v>0</v>
      </c>
      <c r="R135" s="3">
        <v>0.77700000000000002</v>
      </c>
      <c r="S135" t="s">
        <v>655</v>
      </c>
      <c r="U135" t="s">
        <v>618</v>
      </c>
    </row>
    <row r="136" spans="1:21" x14ac:dyDescent="0.6">
      <c r="A136">
        <v>135</v>
      </c>
      <c r="B136" t="str">
        <f>"5234"</f>
        <v>5234</v>
      </c>
      <c r="C136" t="s">
        <v>201</v>
      </c>
      <c r="D136" s="1">
        <v>42923</v>
      </c>
      <c r="E136">
        <v>43.25</v>
      </c>
      <c r="F136">
        <v>-0.5</v>
      </c>
      <c r="G136" s="3">
        <v>-1.14E-2</v>
      </c>
      <c r="H136">
        <v>2016</v>
      </c>
      <c r="I136">
        <v>2.86</v>
      </c>
      <c r="J136">
        <v>2</v>
      </c>
      <c r="K136">
        <v>0</v>
      </c>
      <c r="L136">
        <v>2</v>
      </c>
      <c r="M136" s="3">
        <v>4.6199999999999998E-2</v>
      </c>
      <c r="N136" s="2">
        <v>0</v>
      </c>
      <c r="O136" s="3">
        <v>4.6199999999999998E-2</v>
      </c>
      <c r="P136" s="3">
        <v>0.69899999999999995</v>
      </c>
      <c r="Q136" s="2">
        <v>0</v>
      </c>
      <c r="R136" s="3">
        <v>0.69899999999999995</v>
      </c>
      <c r="S136" t="s">
        <v>624</v>
      </c>
      <c r="U136" t="s">
        <v>603</v>
      </c>
    </row>
    <row r="137" spans="1:21" x14ac:dyDescent="0.6">
      <c r="A137">
        <v>127</v>
      </c>
      <c r="B137" t="str">
        <f>"8131"</f>
        <v>8131</v>
      </c>
      <c r="C137" t="s">
        <v>193</v>
      </c>
      <c r="D137" s="1">
        <v>42923</v>
      </c>
      <c r="E137">
        <v>28.45</v>
      </c>
      <c r="F137">
        <v>-0.1</v>
      </c>
      <c r="G137" s="3">
        <v>-3.5000000000000001E-3</v>
      </c>
      <c r="H137">
        <v>2016</v>
      </c>
      <c r="I137">
        <v>2.5499999999999998</v>
      </c>
      <c r="J137">
        <v>2</v>
      </c>
      <c r="K137">
        <v>0</v>
      </c>
      <c r="L137">
        <v>2</v>
      </c>
      <c r="M137" s="3">
        <v>7.0300000000000001E-2</v>
      </c>
      <c r="N137" s="2">
        <v>0</v>
      </c>
      <c r="O137" s="3">
        <v>7.0300000000000001E-2</v>
      </c>
      <c r="P137" s="3">
        <v>0.78400000000000003</v>
      </c>
      <c r="Q137" s="2">
        <v>0</v>
      </c>
      <c r="R137" s="3">
        <v>0.78400000000000003</v>
      </c>
      <c r="S137" t="s">
        <v>598</v>
      </c>
      <c r="U137" t="s">
        <v>599</v>
      </c>
    </row>
    <row r="138" spans="1:21" x14ac:dyDescent="0.6">
      <c r="A138">
        <v>44</v>
      </c>
      <c r="B138" t="str">
        <f>"5487"</f>
        <v>5487</v>
      </c>
      <c r="C138" t="s">
        <v>90</v>
      </c>
      <c r="D138" s="1">
        <v>42923</v>
      </c>
      <c r="E138">
        <v>24.2</v>
      </c>
      <c r="F138">
        <v>0.35</v>
      </c>
      <c r="G138" s="3">
        <v>1.47E-2</v>
      </c>
      <c r="H138">
        <v>2016</v>
      </c>
      <c r="I138">
        <v>1.55</v>
      </c>
      <c r="J138">
        <v>1.7</v>
      </c>
      <c r="K138">
        <v>0</v>
      </c>
      <c r="L138">
        <v>1.7</v>
      </c>
      <c r="M138" s="3">
        <v>7.0199999999999999E-2</v>
      </c>
      <c r="N138" s="2">
        <v>0</v>
      </c>
      <c r="O138" s="3">
        <v>7.0199999999999999E-2</v>
      </c>
      <c r="P138" s="2">
        <v>1.1000000000000001</v>
      </c>
      <c r="Q138" s="2">
        <v>0</v>
      </c>
      <c r="R138" s="2">
        <v>1.1000000000000001</v>
      </c>
      <c r="S138" t="s">
        <v>641</v>
      </c>
      <c r="U138" t="s">
        <v>605</v>
      </c>
    </row>
    <row r="139" spans="1:21" x14ac:dyDescent="0.6">
      <c r="A139">
        <v>131</v>
      </c>
      <c r="B139" t="str">
        <f>"1558"</f>
        <v>1558</v>
      </c>
      <c r="C139" t="s">
        <v>197</v>
      </c>
      <c r="D139" s="1">
        <v>42923</v>
      </c>
      <c r="E139">
        <v>136</v>
      </c>
      <c r="F139">
        <v>-0.5</v>
      </c>
      <c r="G139" s="3">
        <v>-3.7000000000000002E-3</v>
      </c>
      <c r="H139">
        <v>2016</v>
      </c>
      <c r="I139">
        <v>14.19</v>
      </c>
      <c r="J139">
        <v>9.5</v>
      </c>
      <c r="K139">
        <v>0</v>
      </c>
      <c r="L139">
        <v>9.5</v>
      </c>
      <c r="M139" s="3">
        <v>6.9900000000000004E-2</v>
      </c>
      <c r="N139" s="2">
        <v>0</v>
      </c>
      <c r="O139" s="3">
        <v>6.9900000000000004E-2</v>
      </c>
      <c r="P139" s="2">
        <v>0.67</v>
      </c>
      <c r="Q139" s="2">
        <v>0</v>
      </c>
      <c r="R139" s="2">
        <v>0.67</v>
      </c>
      <c r="S139" t="s">
        <v>633</v>
      </c>
      <c r="U139" t="s">
        <v>616</v>
      </c>
    </row>
    <row r="140" spans="1:21" x14ac:dyDescent="0.6">
      <c r="A140">
        <v>237</v>
      </c>
      <c r="B140" t="str">
        <f>"3118"</f>
        <v>3118</v>
      </c>
      <c r="C140" t="s">
        <v>316</v>
      </c>
      <c r="D140" s="1">
        <v>42923</v>
      </c>
      <c r="E140">
        <v>31.55</v>
      </c>
      <c r="F140">
        <v>0.05</v>
      </c>
      <c r="G140" s="3">
        <v>1.6000000000000001E-3</v>
      </c>
      <c r="H140">
        <v>2016</v>
      </c>
      <c r="I140">
        <v>2.42</v>
      </c>
      <c r="J140">
        <v>2.2000000000000002</v>
      </c>
      <c r="K140">
        <v>0</v>
      </c>
      <c r="L140">
        <v>2.2000000000000002</v>
      </c>
      <c r="M140" s="3">
        <v>6.9699999999999998E-2</v>
      </c>
      <c r="N140" s="2">
        <v>0</v>
      </c>
      <c r="O140" s="3">
        <v>6.9699999999999998E-2</v>
      </c>
      <c r="P140" s="3">
        <v>0.90900000000000003</v>
      </c>
      <c r="Q140" s="2">
        <v>0</v>
      </c>
      <c r="R140" s="3">
        <v>0.90900000000000003</v>
      </c>
      <c r="S140" t="s">
        <v>595</v>
      </c>
      <c r="U140" t="s">
        <v>596</v>
      </c>
    </row>
    <row r="141" spans="1:21" x14ac:dyDescent="0.6">
      <c r="A141">
        <v>39</v>
      </c>
      <c r="B141" t="str">
        <f>"2420"</f>
        <v>2420</v>
      </c>
      <c r="C141" t="s">
        <v>81</v>
      </c>
      <c r="D141" s="1">
        <v>42923</v>
      </c>
      <c r="E141">
        <v>35.9</v>
      </c>
      <c r="F141">
        <v>-0.1</v>
      </c>
      <c r="G141" s="3">
        <v>-2.8E-3</v>
      </c>
      <c r="H141">
        <v>2016</v>
      </c>
      <c r="I141">
        <v>4.26</v>
      </c>
      <c r="J141">
        <v>2.5</v>
      </c>
      <c r="K141">
        <v>0</v>
      </c>
      <c r="L141">
        <v>2.5</v>
      </c>
      <c r="M141" s="3">
        <v>6.9599999999999995E-2</v>
      </c>
      <c r="N141" s="2">
        <v>0</v>
      </c>
      <c r="O141" s="3">
        <v>6.9599999999999995E-2</v>
      </c>
      <c r="P141" s="3">
        <v>0.58699999999999997</v>
      </c>
      <c r="Q141" s="2">
        <v>0</v>
      </c>
      <c r="R141" s="3">
        <v>0.58699999999999997</v>
      </c>
      <c r="S141" t="s">
        <v>633</v>
      </c>
      <c r="U141" t="s">
        <v>629</v>
      </c>
    </row>
    <row r="142" spans="1:21" x14ac:dyDescent="0.6">
      <c r="A142">
        <v>423</v>
      </c>
      <c r="B142" t="str">
        <f>"1465"</f>
        <v>1465</v>
      </c>
      <c r="C142" t="s">
        <v>510</v>
      </c>
      <c r="D142" s="1">
        <v>42923</v>
      </c>
      <c r="E142">
        <v>12.95</v>
      </c>
      <c r="F142">
        <v>0.05</v>
      </c>
      <c r="G142" s="3">
        <v>3.8999999999999998E-3</v>
      </c>
      <c r="H142">
        <v>2016</v>
      </c>
      <c r="I142">
        <v>1</v>
      </c>
      <c r="J142">
        <v>0.9</v>
      </c>
      <c r="K142">
        <v>0</v>
      </c>
      <c r="L142">
        <v>0.9</v>
      </c>
      <c r="M142" s="3">
        <v>6.9500000000000006E-2</v>
      </c>
      <c r="N142" s="2">
        <v>0</v>
      </c>
      <c r="O142" s="3">
        <v>6.9500000000000006E-2</v>
      </c>
      <c r="P142" s="2">
        <v>0.9</v>
      </c>
      <c r="Q142" s="2">
        <v>0</v>
      </c>
      <c r="R142" s="2">
        <v>0.9</v>
      </c>
      <c r="S142" t="s">
        <v>649</v>
      </c>
      <c r="U142" t="s">
        <v>626</v>
      </c>
    </row>
    <row r="143" spans="1:21" x14ac:dyDescent="0.6">
      <c r="A143">
        <v>386</v>
      </c>
      <c r="B143" t="str">
        <f>"8066"</f>
        <v>8066</v>
      </c>
      <c r="C143" t="s">
        <v>470</v>
      </c>
      <c r="D143" s="1">
        <v>42923</v>
      </c>
      <c r="E143">
        <v>115.5</v>
      </c>
      <c r="F143">
        <v>-0.5</v>
      </c>
      <c r="G143" s="3">
        <v>-4.3E-3</v>
      </c>
      <c r="H143">
        <v>2016</v>
      </c>
      <c r="I143">
        <v>10.16</v>
      </c>
      <c r="J143">
        <v>8</v>
      </c>
      <c r="K143">
        <v>0</v>
      </c>
      <c r="L143">
        <v>8</v>
      </c>
      <c r="M143" s="3">
        <v>6.93E-2</v>
      </c>
      <c r="N143" s="2">
        <v>0</v>
      </c>
      <c r="O143" s="3">
        <v>6.93E-2</v>
      </c>
      <c r="P143" s="3">
        <v>0.78700000000000003</v>
      </c>
      <c r="Q143" s="2">
        <v>0</v>
      </c>
      <c r="R143" s="3">
        <v>0.78700000000000003</v>
      </c>
      <c r="S143" t="s">
        <v>668</v>
      </c>
      <c r="U143" t="s">
        <v>643</v>
      </c>
    </row>
    <row r="144" spans="1:21" x14ac:dyDescent="0.6">
      <c r="A144">
        <v>460</v>
      </c>
      <c r="B144" t="str">
        <f>"4190"</f>
        <v>4190</v>
      </c>
      <c r="C144" t="s">
        <v>551</v>
      </c>
      <c r="D144" s="1">
        <v>42923</v>
      </c>
      <c r="E144">
        <v>72.099999999999994</v>
      </c>
      <c r="F144">
        <v>-0.9</v>
      </c>
      <c r="G144" s="3">
        <v>-1.23E-2</v>
      </c>
      <c r="H144">
        <v>2016</v>
      </c>
      <c r="I144">
        <v>6.45</v>
      </c>
      <c r="J144">
        <v>5</v>
      </c>
      <c r="K144">
        <v>0</v>
      </c>
      <c r="L144">
        <v>5</v>
      </c>
      <c r="M144" s="3">
        <v>6.93E-2</v>
      </c>
      <c r="N144" s="2">
        <v>0</v>
      </c>
      <c r="O144" s="3">
        <v>6.93E-2</v>
      </c>
      <c r="P144" s="3">
        <v>0.77500000000000002</v>
      </c>
      <c r="Q144" s="2">
        <v>0</v>
      </c>
      <c r="R144" s="3">
        <v>0.77500000000000002</v>
      </c>
      <c r="S144" t="s">
        <v>648</v>
      </c>
      <c r="U144" t="s">
        <v>675</v>
      </c>
    </row>
    <row r="145" spans="1:21" x14ac:dyDescent="0.6">
      <c r="A145">
        <v>144</v>
      </c>
      <c r="B145" t="str">
        <f>"1615"</f>
        <v>1615</v>
      </c>
      <c r="C145" t="s">
        <v>212</v>
      </c>
      <c r="D145" s="1">
        <v>42923</v>
      </c>
      <c r="E145">
        <v>11.05</v>
      </c>
      <c r="F145">
        <v>-0.05</v>
      </c>
      <c r="G145" s="3">
        <v>-4.4999999999999997E-3</v>
      </c>
      <c r="H145">
        <v>2016</v>
      </c>
      <c r="I145">
        <v>0.14000000000000001</v>
      </c>
      <c r="J145">
        <v>0.3</v>
      </c>
      <c r="K145">
        <v>0</v>
      </c>
      <c r="L145">
        <v>0.3</v>
      </c>
      <c r="M145" s="3">
        <v>2.7099999999999999E-2</v>
      </c>
      <c r="N145" s="2">
        <v>0</v>
      </c>
      <c r="O145" s="3">
        <v>2.7099999999999999E-2</v>
      </c>
      <c r="P145" s="2">
        <v>2.14</v>
      </c>
      <c r="Q145" s="2">
        <v>0</v>
      </c>
      <c r="R145" s="2">
        <v>2.14</v>
      </c>
      <c r="S145" t="s">
        <v>595</v>
      </c>
      <c r="U145" t="s">
        <v>640</v>
      </c>
    </row>
    <row r="146" spans="1:21" x14ac:dyDescent="0.6">
      <c r="A146">
        <v>105</v>
      </c>
      <c r="B146" t="str">
        <f>"6224"</f>
        <v>6224</v>
      </c>
      <c r="C146" t="s">
        <v>168</v>
      </c>
      <c r="D146" s="1">
        <v>42923</v>
      </c>
      <c r="E146">
        <v>62.1</v>
      </c>
      <c r="F146">
        <v>-0.3</v>
      </c>
      <c r="G146" s="3">
        <v>-4.7999999999999996E-3</v>
      </c>
      <c r="H146">
        <v>2016</v>
      </c>
      <c r="I146">
        <v>5.83</v>
      </c>
      <c r="J146">
        <v>4.3</v>
      </c>
      <c r="K146">
        <v>0</v>
      </c>
      <c r="L146">
        <v>4.3</v>
      </c>
      <c r="M146" s="3">
        <v>6.9199999999999998E-2</v>
      </c>
      <c r="N146" s="2">
        <v>0</v>
      </c>
      <c r="O146" s="3">
        <v>6.9199999999999998E-2</v>
      </c>
      <c r="P146" s="3">
        <v>0.73799999999999999</v>
      </c>
      <c r="Q146" s="2">
        <v>0</v>
      </c>
      <c r="R146" s="3">
        <v>0.73799999999999999</v>
      </c>
      <c r="S146" t="s">
        <v>613</v>
      </c>
      <c r="U146" t="s">
        <v>603</v>
      </c>
    </row>
    <row r="147" spans="1:21" x14ac:dyDescent="0.6">
      <c r="A147">
        <v>123</v>
      </c>
      <c r="B147" t="str">
        <f>"6263"</f>
        <v>6263</v>
      </c>
      <c r="C147" t="s">
        <v>188</v>
      </c>
      <c r="D147" s="1">
        <v>42923</v>
      </c>
      <c r="E147">
        <v>55</v>
      </c>
      <c r="F147">
        <v>0.1</v>
      </c>
      <c r="G147" s="3">
        <v>1.8E-3</v>
      </c>
      <c r="H147">
        <v>2016</v>
      </c>
      <c r="I147">
        <v>4.26</v>
      </c>
      <c r="J147">
        <v>3.8</v>
      </c>
      <c r="K147">
        <v>0</v>
      </c>
      <c r="L147">
        <v>3.8</v>
      </c>
      <c r="M147" s="3">
        <v>6.9099999999999995E-2</v>
      </c>
      <c r="N147" s="2">
        <v>0</v>
      </c>
      <c r="O147" s="3">
        <v>6.9099999999999995E-2</v>
      </c>
      <c r="P147" s="3">
        <v>0.89200000000000002</v>
      </c>
      <c r="Q147" s="2">
        <v>0</v>
      </c>
      <c r="R147" s="3">
        <v>0.89200000000000002</v>
      </c>
      <c r="S147" t="s">
        <v>607</v>
      </c>
      <c r="U147" t="s">
        <v>665</v>
      </c>
    </row>
    <row r="148" spans="1:21" x14ac:dyDescent="0.6">
      <c r="A148">
        <v>137</v>
      </c>
      <c r="B148" t="str">
        <f>"3556"</f>
        <v>3556</v>
      </c>
      <c r="C148" t="s">
        <v>203</v>
      </c>
      <c r="D148" s="1">
        <v>42923</v>
      </c>
      <c r="E148">
        <v>53.7</v>
      </c>
      <c r="F148">
        <v>-0.4</v>
      </c>
      <c r="G148" s="3">
        <v>-7.4000000000000003E-3</v>
      </c>
      <c r="H148">
        <v>2016</v>
      </c>
      <c r="I148">
        <v>4.0999999999999996</v>
      </c>
      <c r="J148">
        <v>3.7</v>
      </c>
      <c r="K148">
        <v>0.4</v>
      </c>
      <c r="L148">
        <v>4.0999999999999996</v>
      </c>
      <c r="M148" s="3">
        <v>6.8900000000000003E-2</v>
      </c>
      <c r="N148" s="3">
        <v>7.4000000000000003E-3</v>
      </c>
      <c r="O148" s="3">
        <v>7.6399999999999996E-2</v>
      </c>
      <c r="P148" s="3">
        <v>0.90200000000000002</v>
      </c>
      <c r="Q148" s="3">
        <v>9.7600000000000006E-2</v>
      </c>
      <c r="R148" s="2">
        <v>1</v>
      </c>
      <c r="S148" t="s">
        <v>610</v>
      </c>
      <c r="T148" t="s">
        <v>610</v>
      </c>
      <c r="U148" t="s">
        <v>631</v>
      </c>
    </row>
    <row r="149" spans="1:21" x14ac:dyDescent="0.6">
      <c r="A149">
        <v>139</v>
      </c>
      <c r="B149" t="str">
        <f>"3684"</f>
        <v>3684</v>
      </c>
      <c r="C149" t="s">
        <v>206</v>
      </c>
      <c r="D149" s="1">
        <v>42923</v>
      </c>
      <c r="E149">
        <v>36.35</v>
      </c>
      <c r="F149">
        <v>-0.7</v>
      </c>
      <c r="G149" s="3">
        <v>-1.89E-2</v>
      </c>
      <c r="H149">
        <v>2016</v>
      </c>
      <c r="I149">
        <v>5.1100000000000003</v>
      </c>
      <c r="J149">
        <v>2.5</v>
      </c>
      <c r="K149">
        <v>1.5</v>
      </c>
      <c r="L149">
        <v>4</v>
      </c>
      <c r="M149" s="3">
        <v>6.88E-2</v>
      </c>
      <c r="N149" s="3">
        <v>4.1300000000000003E-2</v>
      </c>
      <c r="O149" s="2">
        <v>0.11</v>
      </c>
      <c r="P149" s="3">
        <v>0.48899999999999999</v>
      </c>
      <c r="Q149" s="3">
        <v>0.29399999999999998</v>
      </c>
      <c r="R149" s="3">
        <v>0.78300000000000003</v>
      </c>
      <c r="S149" t="s">
        <v>662</v>
      </c>
      <c r="T149" t="s">
        <v>662</v>
      </c>
      <c r="U149" t="s">
        <v>622</v>
      </c>
    </row>
    <row r="150" spans="1:21" x14ac:dyDescent="0.6">
      <c r="A150">
        <v>149</v>
      </c>
      <c r="B150" t="str">
        <f>"2029"</f>
        <v>2029</v>
      </c>
      <c r="C150" t="s">
        <v>217</v>
      </c>
      <c r="D150" s="1">
        <v>42923</v>
      </c>
      <c r="E150">
        <v>36.35</v>
      </c>
      <c r="F150">
        <v>-0.75</v>
      </c>
      <c r="G150" s="3">
        <v>-2.0199999999999999E-2</v>
      </c>
      <c r="H150">
        <v>2016</v>
      </c>
      <c r="I150">
        <v>-0.28999999999999998</v>
      </c>
      <c r="J150">
        <v>1</v>
      </c>
      <c r="K150">
        <v>0</v>
      </c>
      <c r="L150">
        <v>1</v>
      </c>
      <c r="M150" s="3">
        <v>2.75E-2</v>
      </c>
      <c r="N150" s="2">
        <v>0</v>
      </c>
      <c r="O150" s="3">
        <v>2.75E-2</v>
      </c>
      <c r="P150" s="2">
        <v>-3.45</v>
      </c>
      <c r="Q150" s="2">
        <v>0</v>
      </c>
      <c r="R150" s="2">
        <v>-3.45</v>
      </c>
      <c r="S150" t="s">
        <v>643</v>
      </c>
      <c r="U150" t="s">
        <v>630</v>
      </c>
    </row>
    <row r="151" spans="1:21" x14ac:dyDescent="0.6">
      <c r="A151">
        <v>266</v>
      </c>
      <c r="B151" t="str">
        <f>"4935"</f>
        <v>4935</v>
      </c>
      <c r="C151" t="s">
        <v>346</v>
      </c>
      <c r="D151" s="1">
        <v>42923</v>
      </c>
      <c r="E151">
        <v>51.1</v>
      </c>
      <c r="F151">
        <v>0</v>
      </c>
      <c r="G151" s="2">
        <v>0</v>
      </c>
      <c r="H151">
        <v>2016</v>
      </c>
      <c r="I151">
        <v>6.67</v>
      </c>
      <c r="J151">
        <v>3.5</v>
      </c>
      <c r="K151">
        <v>0</v>
      </c>
      <c r="L151">
        <v>3.5</v>
      </c>
      <c r="M151" s="3">
        <v>6.8500000000000005E-2</v>
      </c>
      <c r="N151" s="2">
        <v>0</v>
      </c>
      <c r="O151" s="3">
        <v>6.8500000000000005E-2</v>
      </c>
      <c r="P151" s="3">
        <v>0.52500000000000002</v>
      </c>
      <c r="Q151" s="2">
        <v>0</v>
      </c>
      <c r="R151" s="3">
        <v>0.52500000000000002</v>
      </c>
      <c r="S151" t="s">
        <v>598</v>
      </c>
      <c r="U151" t="s">
        <v>614</v>
      </c>
    </row>
    <row r="152" spans="1:21" x14ac:dyDescent="0.6">
      <c r="A152">
        <v>323</v>
      </c>
      <c r="B152" t="str">
        <f>"1532"</f>
        <v>1532</v>
      </c>
      <c r="C152" t="s">
        <v>405</v>
      </c>
      <c r="D152" s="1">
        <v>42923</v>
      </c>
      <c r="E152">
        <v>30.65</v>
      </c>
      <c r="F152">
        <v>0.15</v>
      </c>
      <c r="G152" s="3">
        <v>4.8999999999999998E-3</v>
      </c>
      <c r="H152">
        <v>2016</v>
      </c>
      <c r="I152">
        <v>2.8</v>
      </c>
      <c r="J152">
        <v>2.1</v>
      </c>
      <c r="K152">
        <v>0</v>
      </c>
      <c r="L152">
        <v>2.1</v>
      </c>
      <c r="M152" s="3">
        <v>6.8500000000000005E-2</v>
      </c>
      <c r="N152" s="2">
        <v>0</v>
      </c>
      <c r="O152" s="3">
        <v>6.8500000000000005E-2</v>
      </c>
      <c r="P152" s="2">
        <v>0.75</v>
      </c>
      <c r="Q152" s="2">
        <v>0</v>
      </c>
      <c r="R152" s="2">
        <v>0.75</v>
      </c>
      <c r="S152" t="s">
        <v>602</v>
      </c>
      <c r="U152" t="s">
        <v>629</v>
      </c>
    </row>
    <row r="153" spans="1:21" x14ac:dyDescent="0.6">
      <c r="A153">
        <v>463</v>
      </c>
      <c r="B153" t="str">
        <f>"6217"</f>
        <v>6217</v>
      </c>
      <c r="C153" t="s">
        <v>554</v>
      </c>
      <c r="D153" s="1">
        <v>42923</v>
      </c>
      <c r="E153">
        <v>35.1</v>
      </c>
      <c r="F153">
        <v>-0.35</v>
      </c>
      <c r="G153" s="3">
        <v>-9.9000000000000008E-3</v>
      </c>
      <c r="H153">
        <v>2016</v>
      </c>
      <c r="I153">
        <v>3.9</v>
      </c>
      <c r="J153">
        <v>2.4</v>
      </c>
      <c r="K153">
        <v>0.4</v>
      </c>
      <c r="L153">
        <v>2.8</v>
      </c>
      <c r="M153" s="3">
        <v>6.8400000000000002E-2</v>
      </c>
      <c r="N153" s="3">
        <v>1.14E-2</v>
      </c>
      <c r="O153" s="3">
        <v>7.9799999999999996E-2</v>
      </c>
      <c r="P153" s="3">
        <v>0.61499999999999999</v>
      </c>
      <c r="Q153" s="3">
        <v>0.10299999999999999</v>
      </c>
      <c r="R153" s="3">
        <v>0.71799999999999997</v>
      </c>
      <c r="S153" t="s">
        <v>622</v>
      </c>
      <c r="T153" t="s">
        <v>622</v>
      </c>
      <c r="U153" t="s">
        <v>649</v>
      </c>
    </row>
    <row r="154" spans="1:21" x14ac:dyDescent="0.6">
      <c r="A154">
        <v>269</v>
      </c>
      <c r="B154" t="str">
        <f>"6121"</f>
        <v>6121</v>
      </c>
      <c r="C154" t="s">
        <v>349</v>
      </c>
      <c r="D154" s="1">
        <v>42923</v>
      </c>
      <c r="E154">
        <v>102.5</v>
      </c>
      <c r="F154">
        <v>-1.5</v>
      </c>
      <c r="G154" s="3">
        <v>-1.44E-2</v>
      </c>
      <c r="H154">
        <v>2016</v>
      </c>
      <c r="I154">
        <v>10.1</v>
      </c>
      <c r="J154">
        <v>7</v>
      </c>
      <c r="K154">
        <v>0</v>
      </c>
      <c r="L154">
        <v>7</v>
      </c>
      <c r="M154" s="3">
        <v>6.83E-2</v>
      </c>
      <c r="N154" s="2">
        <v>0</v>
      </c>
      <c r="O154" s="3">
        <v>6.83E-2</v>
      </c>
      <c r="P154" s="3">
        <v>0.69299999999999995</v>
      </c>
      <c r="Q154" s="2">
        <v>0</v>
      </c>
      <c r="R154" s="3">
        <v>0.69299999999999995</v>
      </c>
      <c r="S154" t="s">
        <v>641</v>
      </c>
      <c r="U154" t="s">
        <v>631</v>
      </c>
    </row>
    <row r="155" spans="1:21" x14ac:dyDescent="0.6">
      <c r="A155">
        <v>154</v>
      </c>
      <c r="B155" t="str">
        <f>"4532"</f>
        <v>4532</v>
      </c>
      <c r="C155" t="s">
        <v>223</v>
      </c>
      <c r="D155" s="1">
        <v>42923</v>
      </c>
      <c r="E155">
        <v>34.299999999999997</v>
      </c>
      <c r="F155">
        <v>-0.35</v>
      </c>
      <c r="G155" s="3">
        <v>-1.01E-2</v>
      </c>
      <c r="H155">
        <v>2016</v>
      </c>
      <c r="I155">
        <v>1.86</v>
      </c>
      <c r="J155">
        <v>1.6</v>
      </c>
      <c r="K155">
        <v>0</v>
      </c>
      <c r="L155">
        <v>1.6</v>
      </c>
      <c r="M155" s="3">
        <v>4.6600000000000003E-2</v>
      </c>
      <c r="N155" s="2">
        <v>0</v>
      </c>
      <c r="O155" s="3">
        <v>4.6600000000000003E-2</v>
      </c>
      <c r="P155" s="2">
        <v>0.86</v>
      </c>
      <c r="Q155" s="2">
        <v>0</v>
      </c>
      <c r="R155" s="2">
        <v>0.86</v>
      </c>
      <c r="S155" t="s">
        <v>627</v>
      </c>
      <c r="U155" t="s">
        <v>601</v>
      </c>
    </row>
    <row r="156" spans="1:21" x14ac:dyDescent="0.6">
      <c r="A156">
        <v>155</v>
      </c>
      <c r="B156" t="str">
        <f>"6142"</f>
        <v>6142</v>
      </c>
      <c r="C156" t="s">
        <v>224</v>
      </c>
      <c r="D156" s="1">
        <v>42923</v>
      </c>
      <c r="E156">
        <v>8.3699999999999992</v>
      </c>
      <c r="F156">
        <v>-0.11</v>
      </c>
      <c r="G156" s="3">
        <v>-1.2999999999999999E-2</v>
      </c>
      <c r="H156">
        <v>2016</v>
      </c>
      <c r="I156">
        <v>-0.56000000000000005</v>
      </c>
      <c r="J156">
        <v>0</v>
      </c>
      <c r="K156">
        <v>0</v>
      </c>
      <c r="L156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</row>
    <row r="157" spans="1:21" x14ac:dyDescent="0.6">
      <c r="A157">
        <v>36</v>
      </c>
      <c r="B157" t="str">
        <f>"2064"</f>
        <v>2064</v>
      </c>
      <c r="C157" t="s">
        <v>76</v>
      </c>
      <c r="D157" s="1">
        <v>42923</v>
      </c>
      <c r="E157">
        <v>17.75</v>
      </c>
      <c r="F157">
        <v>0</v>
      </c>
      <c r="G157" s="2">
        <v>0</v>
      </c>
      <c r="H157">
        <v>2016</v>
      </c>
      <c r="I157">
        <v>1.36</v>
      </c>
      <c r="J157">
        <v>1.2</v>
      </c>
      <c r="K157">
        <v>0</v>
      </c>
      <c r="L157">
        <v>1.2</v>
      </c>
      <c r="M157" s="3">
        <v>6.7599999999999993E-2</v>
      </c>
      <c r="N157" s="2">
        <v>0</v>
      </c>
      <c r="O157" s="3">
        <v>6.7599999999999993E-2</v>
      </c>
      <c r="P157" s="3">
        <v>0.88200000000000001</v>
      </c>
      <c r="Q157" s="2">
        <v>0</v>
      </c>
      <c r="R157" s="3">
        <v>0.88200000000000001</v>
      </c>
      <c r="S157" t="s">
        <v>635</v>
      </c>
      <c r="U157" t="s">
        <v>636</v>
      </c>
    </row>
    <row r="158" spans="1:21" x14ac:dyDescent="0.6">
      <c r="A158">
        <v>151</v>
      </c>
      <c r="B158" t="str">
        <f>"6174"</f>
        <v>6174</v>
      </c>
      <c r="C158" t="s">
        <v>219</v>
      </c>
      <c r="D158" s="1">
        <v>42923</v>
      </c>
      <c r="E158">
        <v>14.85</v>
      </c>
      <c r="F158">
        <v>-0.05</v>
      </c>
      <c r="G158" s="3">
        <v>-3.3999999999999998E-3</v>
      </c>
      <c r="H158">
        <v>2016</v>
      </c>
      <c r="I158">
        <v>1.03</v>
      </c>
      <c r="J158">
        <v>1</v>
      </c>
      <c r="K158">
        <v>0</v>
      </c>
      <c r="L158">
        <v>1</v>
      </c>
      <c r="M158" s="3">
        <v>6.7299999999999999E-2</v>
      </c>
      <c r="N158" s="2">
        <v>0</v>
      </c>
      <c r="O158" s="3">
        <v>6.7299999999999999E-2</v>
      </c>
      <c r="P158" s="3">
        <v>0.97099999999999997</v>
      </c>
      <c r="Q158" s="2">
        <v>0</v>
      </c>
      <c r="R158" s="3">
        <v>0.97099999999999997</v>
      </c>
      <c r="S158" t="s">
        <v>620</v>
      </c>
      <c r="U158" t="s">
        <v>609</v>
      </c>
    </row>
    <row r="159" spans="1:21" x14ac:dyDescent="0.6">
      <c r="A159">
        <v>158</v>
      </c>
      <c r="B159" t="str">
        <f>"6164"</f>
        <v>6164</v>
      </c>
      <c r="C159" t="s">
        <v>228</v>
      </c>
      <c r="D159" s="1">
        <v>42923</v>
      </c>
      <c r="E159">
        <v>12.75</v>
      </c>
      <c r="F159">
        <v>-0.05</v>
      </c>
      <c r="G159" s="3">
        <v>-3.8999999999999998E-3</v>
      </c>
      <c r="H159">
        <v>2016</v>
      </c>
      <c r="I159">
        <v>0.45</v>
      </c>
      <c r="J159">
        <v>0.54</v>
      </c>
      <c r="K159">
        <v>0</v>
      </c>
      <c r="L159">
        <v>0.54</v>
      </c>
      <c r="M159" s="3">
        <v>4.2200000000000001E-2</v>
      </c>
      <c r="N159" s="2">
        <v>0</v>
      </c>
      <c r="O159" s="3">
        <v>4.2200000000000001E-2</v>
      </c>
      <c r="P159" s="2">
        <v>1.2</v>
      </c>
      <c r="Q159" s="2">
        <v>0</v>
      </c>
      <c r="R159" s="2">
        <v>1.2</v>
      </c>
      <c r="S159" t="s">
        <v>604</v>
      </c>
      <c r="U159" t="s">
        <v>620</v>
      </c>
    </row>
    <row r="160" spans="1:21" x14ac:dyDescent="0.6">
      <c r="A160">
        <v>159</v>
      </c>
      <c r="B160" t="str">
        <f>"6294"</f>
        <v>6294</v>
      </c>
      <c r="C160" t="s">
        <v>229</v>
      </c>
      <c r="D160" s="1">
        <v>42923</v>
      </c>
      <c r="E160">
        <v>120</v>
      </c>
      <c r="F160">
        <v>0</v>
      </c>
      <c r="G160" s="2">
        <v>0</v>
      </c>
      <c r="H160">
        <v>2016</v>
      </c>
      <c r="I160">
        <v>7.37</v>
      </c>
      <c r="J160">
        <v>3.8</v>
      </c>
      <c r="K160">
        <v>2</v>
      </c>
      <c r="L160">
        <v>5.8</v>
      </c>
      <c r="M160" s="3">
        <v>3.1699999999999999E-2</v>
      </c>
      <c r="N160" s="3">
        <v>1.67E-2</v>
      </c>
      <c r="O160" s="3">
        <v>4.8300000000000003E-2</v>
      </c>
      <c r="P160" s="3">
        <v>0.51600000000000001</v>
      </c>
      <c r="Q160" s="3">
        <v>0.27100000000000002</v>
      </c>
      <c r="R160" s="3">
        <v>0.78700000000000003</v>
      </c>
      <c r="S160" t="s">
        <v>631</v>
      </c>
      <c r="T160" t="s">
        <v>631</v>
      </c>
      <c r="U160" t="s">
        <v>609</v>
      </c>
    </row>
    <row r="161" spans="1:21" x14ac:dyDescent="0.6">
      <c r="A161">
        <v>152</v>
      </c>
      <c r="B161" t="str">
        <f>"6176"</f>
        <v>6176</v>
      </c>
      <c r="C161" t="s">
        <v>221</v>
      </c>
      <c r="D161" s="1">
        <v>42923</v>
      </c>
      <c r="E161">
        <v>66.900000000000006</v>
      </c>
      <c r="F161">
        <v>-0.6</v>
      </c>
      <c r="G161" s="3">
        <v>-8.8999999999999999E-3</v>
      </c>
      <c r="H161">
        <v>2016</v>
      </c>
      <c r="I161">
        <v>6.61</v>
      </c>
      <c r="J161">
        <v>4.5</v>
      </c>
      <c r="K161">
        <v>0</v>
      </c>
      <c r="L161">
        <v>4.5</v>
      </c>
      <c r="M161" s="3">
        <v>6.7299999999999999E-2</v>
      </c>
      <c r="N161" s="2">
        <v>0</v>
      </c>
      <c r="O161" s="3">
        <v>6.7299999999999999E-2</v>
      </c>
      <c r="P161" s="3">
        <v>0.68100000000000005</v>
      </c>
      <c r="Q161" s="2">
        <v>0</v>
      </c>
      <c r="R161" s="3">
        <v>0.68100000000000005</v>
      </c>
      <c r="S161" t="s">
        <v>596</v>
      </c>
      <c r="U161" t="s">
        <v>664</v>
      </c>
    </row>
    <row r="162" spans="1:21" x14ac:dyDescent="0.6">
      <c r="A162">
        <v>161</v>
      </c>
      <c r="B162" t="str">
        <f>"6245"</f>
        <v>6245</v>
      </c>
      <c r="C162" t="s">
        <v>231</v>
      </c>
      <c r="D162" s="1">
        <v>42923</v>
      </c>
      <c r="E162">
        <v>45.1</v>
      </c>
      <c r="F162">
        <v>-0.15</v>
      </c>
      <c r="G162" s="3">
        <v>-3.3E-3</v>
      </c>
      <c r="H162">
        <v>2016</v>
      </c>
      <c r="I162">
        <v>3.29</v>
      </c>
      <c r="J162">
        <v>1.97</v>
      </c>
      <c r="K162">
        <v>0</v>
      </c>
      <c r="L162">
        <v>1.97</v>
      </c>
      <c r="M162" s="3">
        <v>4.3700000000000003E-2</v>
      </c>
      <c r="N162" s="2">
        <v>0</v>
      </c>
      <c r="O162" s="3">
        <v>4.3700000000000003E-2</v>
      </c>
      <c r="P162" s="3">
        <v>0.59899999999999998</v>
      </c>
      <c r="Q162" s="2">
        <v>0</v>
      </c>
      <c r="R162" s="3">
        <v>0.59899999999999998</v>
      </c>
      <c r="S162" t="s">
        <v>664</v>
      </c>
      <c r="U162" t="s">
        <v>667</v>
      </c>
    </row>
    <row r="163" spans="1:21" x14ac:dyDescent="0.6">
      <c r="A163">
        <v>126</v>
      </c>
      <c r="B163" t="str">
        <f>"2480"</f>
        <v>2480</v>
      </c>
      <c r="C163" t="s">
        <v>192</v>
      </c>
      <c r="D163" s="1">
        <v>42923</v>
      </c>
      <c r="E163">
        <v>29.75</v>
      </c>
      <c r="F163">
        <v>-0.1</v>
      </c>
      <c r="G163" s="3">
        <v>-3.3999999999999998E-3</v>
      </c>
      <c r="H163">
        <v>2016</v>
      </c>
      <c r="I163">
        <v>2.02</v>
      </c>
      <c r="J163">
        <v>2</v>
      </c>
      <c r="K163">
        <v>0</v>
      </c>
      <c r="L163">
        <v>2</v>
      </c>
      <c r="M163" s="3">
        <v>6.7199999999999996E-2</v>
      </c>
      <c r="N163" s="2">
        <v>0</v>
      </c>
      <c r="O163" s="3">
        <v>6.7199999999999996E-2</v>
      </c>
      <c r="P163" s="2">
        <v>0.99</v>
      </c>
      <c r="Q163" s="2">
        <v>0</v>
      </c>
      <c r="R163" s="2">
        <v>0.99</v>
      </c>
      <c r="S163" t="s">
        <v>597</v>
      </c>
      <c r="U163" t="s">
        <v>603</v>
      </c>
    </row>
    <row r="164" spans="1:21" x14ac:dyDescent="0.6">
      <c r="A164">
        <v>417</v>
      </c>
      <c r="B164" t="str">
        <f>"8213"</f>
        <v>8213</v>
      </c>
      <c r="C164" t="s">
        <v>504</v>
      </c>
      <c r="D164" s="1">
        <v>42923</v>
      </c>
      <c r="E164">
        <v>29.75</v>
      </c>
      <c r="F164">
        <v>0.05</v>
      </c>
      <c r="G164" s="3">
        <v>1.6999999999999999E-3</v>
      </c>
      <c r="H164">
        <v>2016</v>
      </c>
      <c r="I164">
        <v>4.0199999999999996</v>
      </c>
      <c r="J164">
        <v>2</v>
      </c>
      <c r="K164">
        <v>0</v>
      </c>
      <c r="L164">
        <v>2</v>
      </c>
      <c r="M164" s="3">
        <v>6.7199999999999996E-2</v>
      </c>
      <c r="N164" s="2">
        <v>0</v>
      </c>
      <c r="O164" s="3">
        <v>6.7199999999999996E-2</v>
      </c>
      <c r="P164" s="3">
        <v>0.498</v>
      </c>
      <c r="Q164" s="2">
        <v>0</v>
      </c>
      <c r="R164" s="3">
        <v>0.498</v>
      </c>
      <c r="S164" t="s">
        <v>600</v>
      </c>
      <c r="U164" t="s">
        <v>603</v>
      </c>
    </row>
    <row r="165" spans="1:21" x14ac:dyDescent="0.6">
      <c r="A165">
        <v>132</v>
      </c>
      <c r="B165" t="str">
        <f>"2459"</f>
        <v>2459</v>
      </c>
      <c r="C165" t="s">
        <v>198</v>
      </c>
      <c r="D165" s="1">
        <v>42923</v>
      </c>
      <c r="E165">
        <v>37.25</v>
      </c>
      <c r="F165">
        <v>-0.35</v>
      </c>
      <c r="G165" s="3">
        <v>-9.2999999999999992E-3</v>
      </c>
      <c r="H165">
        <v>2016</v>
      </c>
      <c r="I165">
        <v>3.52</v>
      </c>
      <c r="J165">
        <v>2.5</v>
      </c>
      <c r="K165">
        <v>0</v>
      </c>
      <c r="L165">
        <v>2.5</v>
      </c>
      <c r="M165" s="3">
        <v>6.7100000000000007E-2</v>
      </c>
      <c r="N165" s="2">
        <v>0</v>
      </c>
      <c r="O165" s="3">
        <v>6.7100000000000007E-2</v>
      </c>
      <c r="P165" s="2">
        <v>0.71</v>
      </c>
      <c r="Q165" s="2">
        <v>0</v>
      </c>
      <c r="R165" s="2">
        <v>0.71</v>
      </c>
      <c r="S165" t="s">
        <v>616</v>
      </c>
      <c r="U165" t="s">
        <v>631</v>
      </c>
    </row>
    <row r="166" spans="1:21" x14ac:dyDescent="0.6">
      <c r="A166">
        <v>153</v>
      </c>
      <c r="B166" t="str">
        <f>"2114"</f>
        <v>2114</v>
      </c>
      <c r="C166" t="s">
        <v>222</v>
      </c>
      <c r="D166" s="1">
        <v>42923</v>
      </c>
      <c r="E166">
        <v>74.5</v>
      </c>
      <c r="F166">
        <v>0.8</v>
      </c>
      <c r="G166" s="3">
        <v>1.09E-2</v>
      </c>
      <c r="H166">
        <v>2016</v>
      </c>
      <c r="I166">
        <v>6.2</v>
      </c>
      <c r="J166">
        <v>5</v>
      </c>
      <c r="K166">
        <v>0</v>
      </c>
      <c r="L166">
        <v>5</v>
      </c>
      <c r="M166" s="3">
        <v>6.7100000000000007E-2</v>
      </c>
      <c r="N166" s="2">
        <v>0</v>
      </c>
      <c r="O166" s="3">
        <v>6.7100000000000007E-2</v>
      </c>
      <c r="P166" s="3">
        <v>0.80600000000000005</v>
      </c>
      <c r="Q166" s="2">
        <v>0</v>
      </c>
      <c r="R166" s="3">
        <v>0.80600000000000005</v>
      </c>
      <c r="S166" t="s">
        <v>602</v>
      </c>
      <c r="U166" t="s">
        <v>666</v>
      </c>
    </row>
    <row r="167" spans="1:21" x14ac:dyDescent="0.6">
      <c r="A167">
        <v>166</v>
      </c>
      <c r="B167" t="str">
        <f>"6290"</f>
        <v>6290</v>
      </c>
      <c r="C167" t="s">
        <v>238</v>
      </c>
      <c r="D167" s="1">
        <v>42923</v>
      </c>
      <c r="E167">
        <v>40.200000000000003</v>
      </c>
      <c r="F167">
        <v>-0.75</v>
      </c>
      <c r="G167" s="3">
        <v>-1.83E-2</v>
      </c>
      <c r="H167">
        <v>2016</v>
      </c>
      <c r="I167">
        <v>2.2200000000000002</v>
      </c>
      <c r="J167">
        <v>2</v>
      </c>
      <c r="K167">
        <v>0</v>
      </c>
      <c r="L167">
        <v>2</v>
      </c>
      <c r="M167" s="3">
        <v>4.9799999999999997E-2</v>
      </c>
      <c r="N167" s="2">
        <v>0</v>
      </c>
      <c r="O167" s="3">
        <v>4.9799999999999997E-2</v>
      </c>
      <c r="P167" s="3">
        <v>0.90100000000000002</v>
      </c>
      <c r="Q167" s="2">
        <v>0</v>
      </c>
      <c r="R167" s="3">
        <v>0.90100000000000002</v>
      </c>
      <c r="S167" t="s">
        <v>649</v>
      </c>
      <c r="U167" t="s">
        <v>669</v>
      </c>
    </row>
    <row r="168" spans="1:21" x14ac:dyDescent="0.6">
      <c r="A168">
        <v>295</v>
      </c>
      <c r="B168" t="str">
        <f>"6266"</f>
        <v>6266</v>
      </c>
      <c r="C168" t="s">
        <v>377</v>
      </c>
      <c r="D168" s="1">
        <v>42923</v>
      </c>
      <c r="E168">
        <v>11.95</v>
      </c>
      <c r="F168">
        <v>0</v>
      </c>
      <c r="G168" s="2">
        <v>0</v>
      </c>
      <c r="H168">
        <v>2016</v>
      </c>
      <c r="I168">
        <v>1.89</v>
      </c>
      <c r="J168">
        <v>0.8</v>
      </c>
      <c r="K168">
        <v>0.8</v>
      </c>
      <c r="L168">
        <v>1.6</v>
      </c>
      <c r="M168" s="3">
        <v>6.6900000000000001E-2</v>
      </c>
      <c r="N168" s="3">
        <v>6.6900000000000001E-2</v>
      </c>
      <c r="O168" s="3">
        <v>0.13400000000000001</v>
      </c>
      <c r="P168" s="3">
        <v>0.42299999999999999</v>
      </c>
      <c r="Q168" s="3">
        <v>0.42299999999999999</v>
      </c>
      <c r="R168" s="3">
        <v>0.84699999999999998</v>
      </c>
      <c r="S168" t="s">
        <v>662</v>
      </c>
      <c r="T168" t="s">
        <v>662</v>
      </c>
      <c r="U168" t="s">
        <v>599</v>
      </c>
    </row>
    <row r="169" spans="1:21" x14ac:dyDescent="0.6">
      <c r="A169">
        <v>136</v>
      </c>
      <c r="B169" t="str">
        <f>"2414"</f>
        <v>2414</v>
      </c>
      <c r="C169" t="s">
        <v>202</v>
      </c>
      <c r="D169" s="1">
        <v>42923</v>
      </c>
      <c r="E169">
        <v>18.75</v>
      </c>
      <c r="F169">
        <v>-0.05</v>
      </c>
      <c r="G169" s="3">
        <v>-2.7000000000000001E-3</v>
      </c>
      <c r="H169">
        <v>2016</v>
      </c>
      <c r="I169">
        <v>1.38</v>
      </c>
      <c r="J169">
        <v>1.25</v>
      </c>
      <c r="K169">
        <v>0</v>
      </c>
      <c r="L169">
        <v>1.25</v>
      </c>
      <c r="M169" s="3">
        <v>6.6699999999999995E-2</v>
      </c>
      <c r="N169" s="2">
        <v>0</v>
      </c>
      <c r="O169" s="3">
        <v>6.6699999999999995E-2</v>
      </c>
      <c r="P169" s="3">
        <v>0.90600000000000003</v>
      </c>
      <c r="Q169" s="2">
        <v>0</v>
      </c>
      <c r="R169" s="3">
        <v>0.90600000000000003</v>
      </c>
      <c r="S169" t="s">
        <v>610</v>
      </c>
      <c r="U169" t="s">
        <v>599</v>
      </c>
    </row>
    <row r="170" spans="1:21" x14ac:dyDescent="0.6">
      <c r="A170">
        <v>169</v>
      </c>
      <c r="B170" t="str">
        <f>"6108"</f>
        <v>6108</v>
      </c>
      <c r="C170" t="s">
        <v>242</v>
      </c>
      <c r="D170" s="1">
        <v>42923</v>
      </c>
      <c r="E170">
        <v>30.5</v>
      </c>
      <c r="F170">
        <v>0.1</v>
      </c>
      <c r="G170" s="3">
        <v>3.3E-3</v>
      </c>
      <c r="H170">
        <v>2016</v>
      </c>
      <c r="I170">
        <v>0.12</v>
      </c>
      <c r="J170">
        <v>0</v>
      </c>
      <c r="K170">
        <v>0</v>
      </c>
      <c r="L170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</row>
    <row r="171" spans="1:21" x14ac:dyDescent="0.6">
      <c r="A171">
        <v>148</v>
      </c>
      <c r="B171" t="str">
        <f>"3479"</f>
        <v>3479</v>
      </c>
      <c r="C171" t="s">
        <v>216</v>
      </c>
      <c r="D171" s="1">
        <v>42923</v>
      </c>
      <c r="E171">
        <v>53.3</v>
      </c>
      <c r="F171">
        <v>0.3</v>
      </c>
      <c r="G171" s="3">
        <v>5.7000000000000002E-3</v>
      </c>
      <c r="H171">
        <v>2016</v>
      </c>
      <c r="I171">
        <v>4.3499999999999996</v>
      </c>
      <c r="J171">
        <v>3.55</v>
      </c>
      <c r="K171">
        <v>0</v>
      </c>
      <c r="L171">
        <v>3.55</v>
      </c>
      <c r="M171" s="3">
        <v>6.6600000000000006E-2</v>
      </c>
      <c r="N171" s="2">
        <v>0</v>
      </c>
      <c r="O171" s="3">
        <v>6.6600000000000006E-2</v>
      </c>
      <c r="P171" s="3">
        <v>0.81599999999999995</v>
      </c>
      <c r="Q171" s="2">
        <v>0</v>
      </c>
      <c r="R171" s="3">
        <v>0.81599999999999995</v>
      </c>
      <c r="S171" t="s">
        <v>597</v>
      </c>
      <c r="U171" t="s">
        <v>603</v>
      </c>
    </row>
    <row r="172" spans="1:21" x14ac:dyDescent="0.6">
      <c r="A172">
        <v>494</v>
      </c>
      <c r="B172" t="str">
        <f>"1477"</f>
        <v>1477</v>
      </c>
      <c r="C172" t="s">
        <v>588</v>
      </c>
      <c r="D172" s="1">
        <v>42923</v>
      </c>
      <c r="E172">
        <v>143</v>
      </c>
      <c r="F172">
        <v>-2.5</v>
      </c>
      <c r="G172" s="3">
        <v>-1.72E-2</v>
      </c>
      <c r="H172">
        <v>2016</v>
      </c>
      <c r="I172">
        <v>10.9</v>
      </c>
      <c r="J172">
        <v>9.51</v>
      </c>
      <c r="K172">
        <v>0.35</v>
      </c>
      <c r="L172">
        <v>9.86</v>
      </c>
      <c r="M172" s="3">
        <v>6.6500000000000004E-2</v>
      </c>
      <c r="N172" s="3">
        <v>2.3999999999999998E-3</v>
      </c>
      <c r="O172" s="3">
        <v>6.9000000000000006E-2</v>
      </c>
      <c r="P172" s="3">
        <v>0.872</v>
      </c>
      <c r="Q172" s="3">
        <v>3.2099999999999997E-2</v>
      </c>
      <c r="R172" s="3">
        <v>0.90500000000000003</v>
      </c>
      <c r="S172" t="s">
        <v>675</v>
      </c>
      <c r="T172" t="s">
        <v>675</v>
      </c>
      <c r="U172" t="s">
        <v>639</v>
      </c>
    </row>
    <row r="173" spans="1:21" x14ac:dyDescent="0.6">
      <c r="A173">
        <v>172</v>
      </c>
      <c r="B173" t="str">
        <f>"3675"</f>
        <v>3675</v>
      </c>
      <c r="C173" t="s">
        <v>245</v>
      </c>
      <c r="D173" s="1">
        <v>42923</v>
      </c>
      <c r="E173">
        <v>53</v>
      </c>
      <c r="F173">
        <v>-2.8</v>
      </c>
      <c r="G173" s="3">
        <v>-5.0200000000000002E-2</v>
      </c>
      <c r="H173">
        <v>2016</v>
      </c>
      <c r="I173">
        <v>2.1</v>
      </c>
      <c r="J173">
        <v>0.63</v>
      </c>
      <c r="K173">
        <v>0</v>
      </c>
      <c r="L173">
        <v>0.63</v>
      </c>
      <c r="M173" s="3">
        <v>1.1900000000000001E-2</v>
      </c>
      <c r="N173" s="2">
        <v>0</v>
      </c>
      <c r="O173" s="3">
        <v>1.1900000000000001E-2</v>
      </c>
      <c r="P173" s="2">
        <v>0.3</v>
      </c>
      <c r="Q173" s="2">
        <v>0</v>
      </c>
      <c r="R173" s="2">
        <v>0.3</v>
      </c>
      <c r="S173" t="s">
        <v>666</v>
      </c>
      <c r="U173" t="s">
        <v>671</v>
      </c>
    </row>
    <row r="174" spans="1:21" x14ac:dyDescent="0.6">
      <c r="A174">
        <v>173</v>
      </c>
      <c r="B174" t="str">
        <f>"8996"</f>
        <v>8996</v>
      </c>
      <c r="C174" t="s">
        <v>246</v>
      </c>
      <c r="D174" s="1">
        <v>42923</v>
      </c>
      <c r="E174">
        <v>46</v>
      </c>
      <c r="F174">
        <v>-0.7</v>
      </c>
      <c r="G174" s="3">
        <v>-1.4999999999999999E-2</v>
      </c>
      <c r="H174">
        <v>2016</v>
      </c>
      <c r="I174">
        <v>2.0699999999999998</v>
      </c>
      <c r="J174">
        <v>1.5</v>
      </c>
      <c r="K174">
        <v>0</v>
      </c>
      <c r="L174">
        <v>1.5</v>
      </c>
      <c r="M174" s="3">
        <v>3.2599999999999997E-2</v>
      </c>
      <c r="N174" s="2">
        <v>0</v>
      </c>
      <c r="O174" s="3">
        <v>3.2599999999999997E-2</v>
      </c>
      <c r="P174" s="3">
        <v>0.72499999999999998</v>
      </c>
      <c r="Q174" s="2">
        <v>0</v>
      </c>
      <c r="R174" s="3">
        <v>0.72499999999999998</v>
      </c>
      <c r="S174" t="s">
        <v>614</v>
      </c>
      <c r="U174" t="s">
        <v>619</v>
      </c>
    </row>
    <row r="175" spans="1:21" x14ac:dyDescent="0.6">
      <c r="A175">
        <v>60</v>
      </c>
      <c r="B175" t="str">
        <f>"8916"</f>
        <v>8916</v>
      </c>
      <c r="C175" t="s">
        <v>113</v>
      </c>
      <c r="D175" s="1">
        <v>42923</v>
      </c>
      <c r="E175">
        <v>45.1</v>
      </c>
      <c r="F175">
        <v>0.1</v>
      </c>
      <c r="G175" s="3">
        <v>2.2000000000000001E-3</v>
      </c>
      <c r="H175">
        <v>2016</v>
      </c>
      <c r="I175">
        <v>4.09</v>
      </c>
      <c r="J175">
        <v>2.99</v>
      </c>
      <c r="K175">
        <v>0</v>
      </c>
      <c r="L175">
        <v>2.99</v>
      </c>
      <c r="M175" s="3">
        <v>6.6400000000000001E-2</v>
      </c>
      <c r="N175" s="2">
        <v>0</v>
      </c>
      <c r="O175" s="3">
        <v>6.6400000000000001E-2</v>
      </c>
      <c r="P175" s="3">
        <v>0.73099999999999998</v>
      </c>
      <c r="Q175" s="2">
        <v>0</v>
      </c>
      <c r="R175" s="3">
        <v>0.73099999999999998</v>
      </c>
      <c r="S175" t="s">
        <v>613</v>
      </c>
      <c r="U175" t="s">
        <v>599</v>
      </c>
    </row>
    <row r="176" spans="1:21" x14ac:dyDescent="0.6">
      <c r="A176">
        <v>157</v>
      </c>
      <c r="B176" t="str">
        <f>"6105"</f>
        <v>6105</v>
      </c>
      <c r="C176" t="s">
        <v>227</v>
      </c>
      <c r="D176" s="1">
        <v>42923</v>
      </c>
      <c r="E176">
        <v>44.3</v>
      </c>
      <c r="F176">
        <v>-0.4</v>
      </c>
      <c r="G176" s="3">
        <v>-8.8999999999999999E-3</v>
      </c>
      <c r="H176">
        <v>2016</v>
      </c>
      <c r="I176">
        <v>4.41</v>
      </c>
      <c r="J176">
        <v>2.94</v>
      </c>
      <c r="K176">
        <v>0</v>
      </c>
      <c r="L176">
        <v>2.94</v>
      </c>
      <c r="M176" s="3">
        <v>6.6400000000000001E-2</v>
      </c>
      <c r="N176" s="2">
        <v>0</v>
      </c>
      <c r="O176" s="3">
        <v>6.6400000000000001E-2</v>
      </c>
      <c r="P176" s="3">
        <v>0.66700000000000004</v>
      </c>
      <c r="Q176" s="2">
        <v>0</v>
      </c>
      <c r="R176" s="3">
        <v>0.66700000000000004</v>
      </c>
      <c r="S176" t="s">
        <v>640</v>
      </c>
      <c r="U176" t="s">
        <v>637</v>
      </c>
    </row>
    <row r="177" spans="1:21" x14ac:dyDescent="0.6">
      <c r="A177">
        <v>176</v>
      </c>
      <c r="B177" t="str">
        <f>"3022"</f>
        <v>3022</v>
      </c>
      <c r="C177" t="s">
        <v>250</v>
      </c>
      <c r="D177" s="1">
        <v>42923</v>
      </c>
      <c r="E177">
        <v>46.25</v>
      </c>
      <c r="F177">
        <v>-0.1</v>
      </c>
      <c r="G177" s="3">
        <v>-2.2000000000000001E-3</v>
      </c>
      <c r="H177">
        <v>2016</v>
      </c>
      <c r="I177">
        <v>3.55</v>
      </c>
      <c r="J177">
        <v>2</v>
      </c>
      <c r="K177">
        <v>0</v>
      </c>
      <c r="L177">
        <v>2</v>
      </c>
      <c r="M177" s="3">
        <v>4.3200000000000002E-2</v>
      </c>
      <c r="N177" s="2">
        <v>0</v>
      </c>
      <c r="O177" s="3">
        <v>4.3200000000000002E-2</v>
      </c>
      <c r="P177" s="3">
        <v>0.56299999999999994</v>
      </c>
      <c r="Q177" s="2">
        <v>0</v>
      </c>
      <c r="R177" s="3">
        <v>0.56299999999999994</v>
      </c>
      <c r="S177" t="s">
        <v>608</v>
      </c>
      <c r="U177" t="s">
        <v>609</v>
      </c>
    </row>
    <row r="178" spans="1:21" x14ac:dyDescent="0.6">
      <c r="A178">
        <v>140</v>
      </c>
      <c r="B178" t="str">
        <f>"2376"</f>
        <v>2376</v>
      </c>
      <c r="C178" t="s">
        <v>207</v>
      </c>
      <c r="D178" s="1">
        <v>42923</v>
      </c>
      <c r="E178">
        <v>37.9</v>
      </c>
      <c r="F178">
        <v>-0.4</v>
      </c>
      <c r="G178" s="3">
        <v>-1.04E-2</v>
      </c>
      <c r="H178">
        <v>2016</v>
      </c>
      <c r="I178">
        <v>3.05</v>
      </c>
      <c r="J178">
        <v>2.5</v>
      </c>
      <c r="K178">
        <v>0</v>
      </c>
      <c r="L178">
        <v>2.5</v>
      </c>
      <c r="M178" s="3">
        <v>6.6000000000000003E-2</v>
      </c>
      <c r="N178" s="2">
        <v>0</v>
      </c>
      <c r="O178" s="3">
        <v>6.6000000000000003E-2</v>
      </c>
      <c r="P178" s="2">
        <v>0.82</v>
      </c>
      <c r="Q178" s="2">
        <v>0</v>
      </c>
      <c r="R178" s="2">
        <v>0.82</v>
      </c>
      <c r="S178" t="s">
        <v>648</v>
      </c>
      <c r="U178" t="s">
        <v>605</v>
      </c>
    </row>
    <row r="179" spans="1:21" x14ac:dyDescent="0.6">
      <c r="A179">
        <v>165</v>
      </c>
      <c r="B179" t="str">
        <f>"6203"</f>
        <v>6203</v>
      </c>
      <c r="C179" t="s">
        <v>237</v>
      </c>
      <c r="D179" s="1">
        <v>42923</v>
      </c>
      <c r="E179">
        <v>30.3</v>
      </c>
      <c r="F179">
        <v>0.1</v>
      </c>
      <c r="G179" s="3">
        <v>3.3E-3</v>
      </c>
      <c r="H179">
        <v>2016</v>
      </c>
      <c r="I179">
        <v>2.46</v>
      </c>
      <c r="J179">
        <v>2</v>
      </c>
      <c r="K179">
        <v>0</v>
      </c>
      <c r="L179">
        <v>2</v>
      </c>
      <c r="M179" s="3">
        <v>6.6000000000000003E-2</v>
      </c>
      <c r="N179" s="2">
        <v>0</v>
      </c>
      <c r="O179" s="3">
        <v>6.6000000000000003E-2</v>
      </c>
      <c r="P179" s="3">
        <v>0.81299999999999994</v>
      </c>
      <c r="Q179" s="2">
        <v>0</v>
      </c>
      <c r="R179" s="3">
        <v>0.81299999999999994</v>
      </c>
      <c r="S179" t="s">
        <v>623</v>
      </c>
      <c r="U179" t="s">
        <v>667</v>
      </c>
    </row>
    <row r="180" spans="1:21" x14ac:dyDescent="0.6">
      <c r="A180">
        <v>32</v>
      </c>
      <c r="B180" t="str">
        <f>"2404"</f>
        <v>2404</v>
      </c>
      <c r="C180" t="s">
        <v>68</v>
      </c>
      <c r="D180" s="1">
        <v>42923</v>
      </c>
      <c r="E180">
        <v>68.3</v>
      </c>
      <c r="F180">
        <v>-1.2</v>
      </c>
      <c r="G180" s="3">
        <v>-1.7299999999999999E-2</v>
      </c>
      <c r="H180">
        <v>2016</v>
      </c>
      <c r="I180">
        <v>5.24</v>
      </c>
      <c r="J180">
        <v>4.5</v>
      </c>
      <c r="K180">
        <v>0</v>
      </c>
      <c r="L180">
        <v>4.5</v>
      </c>
      <c r="M180" s="3">
        <v>6.59E-2</v>
      </c>
      <c r="N180" s="2">
        <v>0</v>
      </c>
      <c r="O180" s="3">
        <v>6.59E-2</v>
      </c>
      <c r="P180" s="3">
        <v>0.85899999999999999</v>
      </c>
      <c r="Q180" s="2">
        <v>0</v>
      </c>
      <c r="R180" s="3">
        <v>0.85899999999999999</v>
      </c>
      <c r="S180" t="s">
        <v>597</v>
      </c>
      <c r="U180" t="s">
        <v>604</v>
      </c>
    </row>
    <row r="181" spans="1:21" x14ac:dyDescent="0.6">
      <c r="A181">
        <v>168</v>
      </c>
      <c r="B181" t="str">
        <f>"9924"</f>
        <v>9924</v>
      </c>
      <c r="C181" t="s">
        <v>241</v>
      </c>
      <c r="D181" s="1">
        <v>42923</v>
      </c>
      <c r="E181">
        <v>42.65</v>
      </c>
      <c r="F181">
        <v>-0.15</v>
      </c>
      <c r="G181" s="3">
        <v>-3.5000000000000001E-3</v>
      </c>
      <c r="H181">
        <v>2016</v>
      </c>
      <c r="I181">
        <v>4.22</v>
      </c>
      <c r="J181">
        <v>2.8</v>
      </c>
      <c r="K181">
        <v>0</v>
      </c>
      <c r="L181">
        <v>2.8</v>
      </c>
      <c r="M181" s="3">
        <v>6.5699999999999995E-2</v>
      </c>
      <c r="N181" s="2">
        <v>0</v>
      </c>
      <c r="O181" s="3">
        <v>6.5699999999999995E-2</v>
      </c>
      <c r="P181" s="3">
        <v>0.66400000000000003</v>
      </c>
      <c r="Q181" s="2">
        <v>0</v>
      </c>
      <c r="R181" s="3">
        <v>0.66400000000000003</v>
      </c>
      <c r="S181" t="s">
        <v>641</v>
      </c>
      <c r="U181" t="s">
        <v>599</v>
      </c>
    </row>
    <row r="182" spans="1:21" x14ac:dyDescent="0.6">
      <c r="A182">
        <v>208</v>
      </c>
      <c r="B182" t="str">
        <f>"8435"</f>
        <v>8435</v>
      </c>
      <c r="C182" t="s">
        <v>287</v>
      </c>
      <c r="D182" s="1">
        <v>42923</v>
      </c>
      <c r="E182">
        <v>48</v>
      </c>
      <c r="F182">
        <v>0.5</v>
      </c>
      <c r="G182" s="3">
        <v>1.0500000000000001E-2</v>
      </c>
      <c r="H182">
        <v>2016</v>
      </c>
      <c r="I182">
        <v>3.09</v>
      </c>
      <c r="J182">
        <v>3.15</v>
      </c>
      <c r="K182">
        <v>0</v>
      </c>
      <c r="L182">
        <v>3.15</v>
      </c>
      <c r="M182" s="3">
        <v>6.5600000000000006E-2</v>
      </c>
      <c r="N182" s="2">
        <v>0</v>
      </c>
      <c r="O182" s="3">
        <v>6.5600000000000006E-2</v>
      </c>
      <c r="P182" s="2">
        <v>1.02</v>
      </c>
      <c r="Q182" s="2">
        <v>0</v>
      </c>
      <c r="R182" s="2">
        <v>1.02</v>
      </c>
      <c r="S182" t="s">
        <v>653</v>
      </c>
      <c r="U182" t="s">
        <v>601</v>
      </c>
    </row>
    <row r="183" spans="1:21" x14ac:dyDescent="0.6">
      <c r="A183">
        <v>182</v>
      </c>
      <c r="B183" t="str">
        <f>"3293"</f>
        <v>3293</v>
      </c>
      <c r="C183" t="s">
        <v>258</v>
      </c>
      <c r="D183" s="1">
        <v>42923</v>
      </c>
      <c r="E183">
        <v>156</v>
      </c>
      <c r="F183">
        <v>-3</v>
      </c>
      <c r="G183" s="3">
        <v>-1.89E-2</v>
      </c>
      <c r="H183">
        <v>2016</v>
      </c>
      <c r="I183">
        <v>4.4000000000000004</v>
      </c>
      <c r="J183">
        <v>4.5</v>
      </c>
      <c r="K183">
        <v>0</v>
      </c>
      <c r="L183">
        <v>4.5</v>
      </c>
      <c r="M183" s="3">
        <v>2.8799999999999999E-2</v>
      </c>
      <c r="N183" s="2">
        <v>0</v>
      </c>
      <c r="O183" s="3">
        <v>2.8799999999999999E-2</v>
      </c>
      <c r="P183" s="2">
        <v>1.02</v>
      </c>
      <c r="Q183" s="2">
        <v>0</v>
      </c>
      <c r="R183" s="2">
        <v>1.02</v>
      </c>
      <c r="S183" t="s">
        <v>620</v>
      </c>
      <c r="U183" t="s">
        <v>667</v>
      </c>
    </row>
    <row r="184" spans="1:21" x14ac:dyDescent="0.6">
      <c r="A184">
        <v>363</v>
      </c>
      <c r="B184" t="str">
        <f>"5471"</f>
        <v>5471</v>
      </c>
      <c r="C184" t="s">
        <v>446</v>
      </c>
      <c r="D184" s="1">
        <v>42923</v>
      </c>
      <c r="E184">
        <v>33.700000000000003</v>
      </c>
      <c r="F184">
        <v>-0.2</v>
      </c>
      <c r="G184" s="3">
        <v>-5.8999999999999999E-3</v>
      </c>
      <c r="H184">
        <v>2016</v>
      </c>
      <c r="I184">
        <v>2.3199999999999998</v>
      </c>
      <c r="J184">
        <v>2.2000000000000002</v>
      </c>
      <c r="K184">
        <v>0</v>
      </c>
      <c r="L184">
        <v>2.2000000000000002</v>
      </c>
      <c r="M184" s="3">
        <v>6.5299999999999997E-2</v>
      </c>
      <c r="N184" s="2">
        <v>0</v>
      </c>
      <c r="O184" s="3">
        <v>6.5299999999999997E-2</v>
      </c>
      <c r="P184" s="3">
        <v>0.94799999999999995</v>
      </c>
      <c r="Q184" s="2">
        <v>0</v>
      </c>
      <c r="R184" s="3">
        <v>0.94799999999999995</v>
      </c>
      <c r="S184" t="s">
        <v>602</v>
      </c>
      <c r="U184" t="s">
        <v>605</v>
      </c>
    </row>
    <row r="185" spans="1:21" x14ac:dyDescent="0.6">
      <c r="A185">
        <v>355</v>
      </c>
      <c r="B185" t="str">
        <f>"3036"</f>
        <v>3036</v>
      </c>
      <c r="C185" t="s">
        <v>438</v>
      </c>
      <c r="D185" s="1">
        <v>42923</v>
      </c>
      <c r="E185">
        <v>44.6</v>
      </c>
      <c r="F185">
        <v>-0.35</v>
      </c>
      <c r="G185" s="3">
        <v>-7.7999999999999996E-3</v>
      </c>
      <c r="H185">
        <v>2016</v>
      </c>
      <c r="I185">
        <v>4.49</v>
      </c>
      <c r="J185">
        <v>2.9</v>
      </c>
      <c r="K185">
        <v>0.5</v>
      </c>
      <c r="L185">
        <v>3.4</v>
      </c>
      <c r="M185" s="3">
        <v>6.5000000000000002E-2</v>
      </c>
      <c r="N185" s="3">
        <v>1.12E-2</v>
      </c>
      <c r="O185" s="3">
        <v>7.6200000000000004E-2</v>
      </c>
      <c r="P185" s="3">
        <v>0.64600000000000002</v>
      </c>
      <c r="Q185" s="3">
        <v>0.111</v>
      </c>
      <c r="R185" s="3">
        <v>0.75700000000000001</v>
      </c>
      <c r="S185" t="s">
        <v>622</v>
      </c>
      <c r="T185" t="s">
        <v>622</v>
      </c>
      <c r="U185" t="s">
        <v>659</v>
      </c>
    </row>
    <row r="186" spans="1:21" x14ac:dyDescent="0.6">
      <c r="A186">
        <v>175</v>
      </c>
      <c r="B186" t="str">
        <f>"1540"</f>
        <v>1540</v>
      </c>
      <c r="C186" t="s">
        <v>249</v>
      </c>
      <c r="D186" s="1">
        <v>42923</v>
      </c>
      <c r="E186">
        <v>15.4</v>
      </c>
      <c r="F186">
        <v>0.1</v>
      </c>
      <c r="G186" s="3">
        <v>6.4999999999999997E-3</v>
      </c>
      <c r="H186">
        <v>2016</v>
      </c>
      <c r="I186">
        <v>0.73</v>
      </c>
      <c r="J186">
        <v>1</v>
      </c>
      <c r="K186">
        <v>0</v>
      </c>
      <c r="L186">
        <v>1</v>
      </c>
      <c r="M186" s="3">
        <v>6.4899999999999999E-2</v>
      </c>
      <c r="N186" s="2">
        <v>0</v>
      </c>
      <c r="O186" s="3">
        <v>6.4899999999999999E-2</v>
      </c>
      <c r="P186" s="2">
        <v>1.37</v>
      </c>
      <c r="Q186" s="2">
        <v>0</v>
      </c>
      <c r="R186" s="2">
        <v>1.37</v>
      </c>
      <c r="S186" t="s">
        <v>596</v>
      </c>
      <c r="U186" t="s">
        <v>614</v>
      </c>
    </row>
    <row r="187" spans="1:21" x14ac:dyDescent="0.6">
      <c r="A187">
        <v>186</v>
      </c>
      <c r="B187" t="str">
        <f>"3455"</f>
        <v>3455</v>
      </c>
      <c r="C187" t="s">
        <v>262</v>
      </c>
      <c r="D187" s="1">
        <v>42923</v>
      </c>
      <c r="E187">
        <v>54.9</v>
      </c>
      <c r="F187">
        <v>0.5</v>
      </c>
      <c r="G187" s="3">
        <v>9.1999999999999998E-3</v>
      </c>
      <c r="H187">
        <v>2016</v>
      </c>
      <c r="I187">
        <v>3.06</v>
      </c>
      <c r="J187">
        <v>2.5</v>
      </c>
      <c r="K187">
        <v>0</v>
      </c>
      <c r="L187">
        <v>2.5</v>
      </c>
      <c r="M187" s="3">
        <v>4.5499999999999999E-2</v>
      </c>
      <c r="N187" s="2">
        <v>0</v>
      </c>
      <c r="O187" s="3">
        <v>4.5499999999999999E-2</v>
      </c>
      <c r="P187" s="3">
        <v>0.81699999999999995</v>
      </c>
      <c r="Q187" s="2">
        <v>0</v>
      </c>
      <c r="R187" s="3">
        <v>0.81699999999999995</v>
      </c>
      <c r="S187" t="s">
        <v>631</v>
      </c>
      <c r="U187" t="s">
        <v>667</v>
      </c>
    </row>
    <row r="188" spans="1:21" x14ac:dyDescent="0.6">
      <c r="A188">
        <v>188</v>
      </c>
      <c r="B188" t="str">
        <f>"6202"</f>
        <v>6202</v>
      </c>
      <c r="C188" t="s">
        <v>265</v>
      </c>
      <c r="D188" s="1">
        <v>42923</v>
      </c>
      <c r="E188">
        <v>55</v>
      </c>
      <c r="F188">
        <v>-0.4</v>
      </c>
      <c r="G188" s="3">
        <v>-7.1999999999999998E-3</v>
      </c>
      <c r="H188">
        <v>2016</v>
      </c>
      <c r="I188">
        <v>3.57</v>
      </c>
      <c r="J188">
        <v>3.57</v>
      </c>
      <c r="K188">
        <v>0</v>
      </c>
      <c r="L188">
        <v>3.57</v>
      </c>
      <c r="M188" s="3">
        <v>6.4899999999999999E-2</v>
      </c>
      <c r="N188" s="2">
        <v>0</v>
      </c>
      <c r="O188" s="3">
        <v>6.4899999999999999E-2</v>
      </c>
      <c r="P188" s="2">
        <v>1</v>
      </c>
      <c r="Q188" s="2">
        <v>0</v>
      </c>
      <c r="R188" s="2">
        <v>1</v>
      </c>
      <c r="S188" t="s">
        <v>622</v>
      </c>
      <c r="U188" t="s">
        <v>631</v>
      </c>
    </row>
    <row r="189" spans="1:21" x14ac:dyDescent="0.6">
      <c r="A189">
        <v>214</v>
      </c>
      <c r="B189" t="str">
        <f>"2739"</f>
        <v>2739</v>
      </c>
      <c r="C189" t="s">
        <v>293</v>
      </c>
      <c r="D189" s="1">
        <v>42923</v>
      </c>
      <c r="E189">
        <v>35.5</v>
      </c>
      <c r="F189">
        <v>-0.5</v>
      </c>
      <c r="G189" s="3">
        <v>-1.3899999999999999E-2</v>
      </c>
      <c r="H189">
        <v>2016</v>
      </c>
      <c r="I189">
        <v>3</v>
      </c>
      <c r="J189">
        <v>2.2999999999999998</v>
      </c>
      <c r="K189">
        <v>0</v>
      </c>
      <c r="L189">
        <v>2.2999999999999998</v>
      </c>
      <c r="M189" s="3">
        <v>6.4799999999999996E-2</v>
      </c>
      <c r="N189" s="2">
        <v>0</v>
      </c>
      <c r="O189" s="3">
        <v>6.4799999999999996E-2</v>
      </c>
      <c r="P189" s="3">
        <v>0.76700000000000002</v>
      </c>
      <c r="Q189" s="2">
        <v>0</v>
      </c>
      <c r="R189" s="3">
        <v>0.76700000000000002</v>
      </c>
      <c r="S189" t="s">
        <v>656</v>
      </c>
      <c r="U189" t="s">
        <v>613</v>
      </c>
    </row>
    <row r="190" spans="1:21" x14ac:dyDescent="0.6">
      <c r="A190">
        <v>233</v>
      </c>
      <c r="B190" t="str">
        <f>"6282"</f>
        <v>6282</v>
      </c>
      <c r="C190" t="s">
        <v>312</v>
      </c>
      <c r="D190" s="1">
        <v>42923</v>
      </c>
      <c r="E190">
        <v>23.15</v>
      </c>
      <c r="F190">
        <v>-0.3</v>
      </c>
      <c r="G190" s="3">
        <v>-1.2800000000000001E-2</v>
      </c>
      <c r="H190">
        <v>2016</v>
      </c>
      <c r="I190">
        <v>1.29</v>
      </c>
      <c r="J190">
        <v>1.5</v>
      </c>
      <c r="K190">
        <v>0</v>
      </c>
      <c r="L190">
        <v>1.5</v>
      </c>
      <c r="M190" s="3">
        <v>6.4600000000000005E-2</v>
      </c>
      <c r="N190" s="2">
        <v>0</v>
      </c>
      <c r="O190" s="3">
        <v>6.4600000000000005E-2</v>
      </c>
      <c r="P190" s="2">
        <v>1.1599999999999999</v>
      </c>
      <c r="Q190" s="2">
        <v>0</v>
      </c>
      <c r="R190" s="2">
        <v>1.1599999999999999</v>
      </c>
      <c r="S190" t="s">
        <v>623</v>
      </c>
      <c r="U190" t="s">
        <v>632</v>
      </c>
    </row>
    <row r="191" spans="1:21" x14ac:dyDescent="0.6">
      <c r="A191">
        <v>138</v>
      </c>
      <c r="B191" t="str">
        <f>"5878"</f>
        <v>5878</v>
      </c>
      <c r="C191" t="s">
        <v>205</v>
      </c>
      <c r="D191" s="1">
        <v>42923</v>
      </c>
      <c r="E191">
        <v>46.5</v>
      </c>
      <c r="F191">
        <v>-0.3</v>
      </c>
      <c r="G191" s="3">
        <v>-6.4000000000000003E-3</v>
      </c>
      <c r="H191">
        <v>2016</v>
      </c>
      <c r="I191">
        <v>3.12</v>
      </c>
      <c r="J191">
        <v>3</v>
      </c>
      <c r="K191">
        <v>0</v>
      </c>
      <c r="L191">
        <v>3</v>
      </c>
      <c r="M191" s="3">
        <v>6.4500000000000002E-2</v>
      </c>
      <c r="N191" s="2">
        <v>0</v>
      </c>
      <c r="O191" s="3">
        <v>6.4500000000000002E-2</v>
      </c>
      <c r="P191" s="3">
        <v>0.96199999999999997</v>
      </c>
      <c r="Q191" s="2">
        <v>0</v>
      </c>
      <c r="R191" s="3">
        <v>0.96199999999999997</v>
      </c>
      <c r="S191" t="s">
        <v>597</v>
      </c>
      <c r="U191" t="s">
        <v>636</v>
      </c>
    </row>
    <row r="192" spans="1:21" x14ac:dyDescent="0.6">
      <c r="A192">
        <v>327</v>
      </c>
      <c r="B192" t="str">
        <f>"3570"</f>
        <v>3570</v>
      </c>
      <c r="C192" t="s">
        <v>409</v>
      </c>
      <c r="D192" s="1">
        <v>42923</v>
      </c>
      <c r="E192">
        <v>54.3</v>
      </c>
      <c r="F192">
        <v>-0.8</v>
      </c>
      <c r="G192" s="3">
        <v>-1.4500000000000001E-2</v>
      </c>
      <c r="H192">
        <v>2016</v>
      </c>
      <c r="I192">
        <v>5.01</v>
      </c>
      <c r="J192">
        <v>3.5</v>
      </c>
      <c r="K192">
        <v>0</v>
      </c>
      <c r="L192">
        <v>3.5</v>
      </c>
      <c r="M192" s="3">
        <v>6.4500000000000002E-2</v>
      </c>
      <c r="N192" s="2">
        <v>0</v>
      </c>
      <c r="O192" s="3">
        <v>6.4500000000000002E-2</v>
      </c>
      <c r="P192" s="3">
        <v>0.69899999999999995</v>
      </c>
      <c r="Q192" s="2">
        <v>0</v>
      </c>
      <c r="R192" s="3">
        <v>0.69899999999999995</v>
      </c>
      <c r="S192" t="s">
        <v>639</v>
      </c>
      <c r="U192" t="s">
        <v>667</v>
      </c>
    </row>
    <row r="193" spans="1:21" x14ac:dyDescent="0.6">
      <c r="A193">
        <v>76</v>
      </c>
      <c r="B193" t="str">
        <f>"1582"</f>
        <v>1582</v>
      </c>
      <c r="C193" t="s">
        <v>135</v>
      </c>
      <c r="D193" s="1">
        <v>42923</v>
      </c>
      <c r="E193">
        <v>69.900000000000006</v>
      </c>
      <c r="F193">
        <v>-0.2</v>
      </c>
      <c r="G193" s="3">
        <v>-2.8999999999999998E-3</v>
      </c>
      <c r="H193">
        <v>2016</v>
      </c>
      <c r="I193">
        <v>5.28</v>
      </c>
      <c r="J193">
        <v>4.5</v>
      </c>
      <c r="K193">
        <v>0</v>
      </c>
      <c r="L193">
        <v>4.5</v>
      </c>
      <c r="M193" s="3">
        <v>6.4399999999999999E-2</v>
      </c>
      <c r="N193" s="2">
        <v>0</v>
      </c>
      <c r="O193" s="3">
        <v>6.4399999999999999E-2</v>
      </c>
      <c r="P193" s="3">
        <v>0.85199999999999998</v>
      </c>
      <c r="Q193" s="2">
        <v>0</v>
      </c>
      <c r="R193" s="3">
        <v>0.85199999999999998</v>
      </c>
      <c r="S193" t="s">
        <v>610</v>
      </c>
      <c r="U193" t="s">
        <v>614</v>
      </c>
    </row>
    <row r="194" spans="1:21" x14ac:dyDescent="0.6">
      <c r="A194">
        <v>118</v>
      </c>
      <c r="B194" t="str">
        <f>"8427"</f>
        <v>8427</v>
      </c>
      <c r="C194" t="s">
        <v>182</v>
      </c>
      <c r="D194" s="1">
        <v>42923</v>
      </c>
      <c r="E194">
        <v>56</v>
      </c>
      <c r="F194">
        <v>-0.4</v>
      </c>
      <c r="G194" s="3">
        <v>-7.1000000000000004E-3</v>
      </c>
      <c r="H194">
        <v>2016</v>
      </c>
      <c r="I194">
        <v>4.28</v>
      </c>
      <c r="J194">
        <v>3.6</v>
      </c>
      <c r="K194">
        <v>0</v>
      </c>
      <c r="L194">
        <v>3.6</v>
      </c>
      <c r="M194" s="3">
        <v>6.4299999999999996E-2</v>
      </c>
      <c r="N194" s="2">
        <v>0</v>
      </c>
      <c r="O194" s="3">
        <v>6.4299999999999996E-2</v>
      </c>
      <c r="P194" s="3">
        <v>0.84099999999999997</v>
      </c>
      <c r="Q194" s="2">
        <v>0</v>
      </c>
      <c r="R194" s="3">
        <v>0.84099999999999997</v>
      </c>
      <c r="S194" t="s">
        <v>661</v>
      </c>
      <c r="U194" t="s">
        <v>600</v>
      </c>
    </row>
    <row r="195" spans="1:21" x14ac:dyDescent="0.6">
      <c r="A195">
        <v>93</v>
      </c>
      <c r="B195" t="str">
        <f>"6486"</f>
        <v>6486</v>
      </c>
      <c r="C195" t="s">
        <v>156</v>
      </c>
      <c r="D195" s="1">
        <v>42923</v>
      </c>
      <c r="E195">
        <v>46.8</v>
      </c>
      <c r="F195">
        <v>-1.95</v>
      </c>
      <c r="G195" s="2">
        <v>-0.04</v>
      </c>
      <c r="H195">
        <v>2016</v>
      </c>
      <c r="I195">
        <v>3.59</v>
      </c>
      <c r="J195">
        <v>3</v>
      </c>
      <c r="K195">
        <v>0</v>
      </c>
      <c r="L195">
        <v>3</v>
      </c>
      <c r="M195" s="3">
        <v>6.4100000000000004E-2</v>
      </c>
      <c r="N195" s="2">
        <v>0</v>
      </c>
      <c r="O195" s="3">
        <v>6.4100000000000004E-2</v>
      </c>
      <c r="P195" s="3">
        <v>0.83599999999999997</v>
      </c>
      <c r="Q195" s="2">
        <v>0</v>
      </c>
      <c r="R195" s="3">
        <v>0.83599999999999997</v>
      </c>
      <c r="S195" t="s">
        <v>602</v>
      </c>
      <c r="U195" t="s">
        <v>630</v>
      </c>
    </row>
    <row r="196" spans="1:21" x14ac:dyDescent="0.6">
      <c r="A196">
        <v>195</v>
      </c>
      <c r="B196" t="str">
        <f>"1220"</f>
        <v>1220</v>
      </c>
      <c r="C196" t="s">
        <v>272</v>
      </c>
      <c r="D196" s="1">
        <v>42923</v>
      </c>
      <c r="E196">
        <v>10.35</v>
      </c>
      <c r="F196">
        <v>0</v>
      </c>
      <c r="G196" s="2">
        <v>0</v>
      </c>
      <c r="H196">
        <v>2016</v>
      </c>
      <c r="I196">
        <v>0.67</v>
      </c>
      <c r="J196">
        <v>0.5</v>
      </c>
      <c r="K196">
        <v>0</v>
      </c>
      <c r="L196">
        <v>0.5</v>
      </c>
      <c r="M196" s="3">
        <v>4.8300000000000003E-2</v>
      </c>
      <c r="N196" s="2">
        <v>0</v>
      </c>
      <c r="O196" s="3">
        <v>4.8300000000000003E-2</v>
      </c>
      <c r="P196" s="3">
        <v>0.746</v>
      </c>
      <c r="Q196" s="2">
        <v>0</v>
      </c>
      <c r="R196" s="3">
        <v>0.746</v>
      </c>
      <c r="S196" t="s">
        <v>600</v>
      </c>
      <c r="U196" t="s">
        <v>605</v>
      </c>
    </row>
    <row r="197" spans="1:21" x14ac:dyDescent="0.6">
      <c r="A197">
        <v>196</v>
      </c>
      <c r="B197" t="str">
        <f>"8421"</f>
        <v>8421</v>
      </c>
      <c r="C197" t="s">
        <v>273</v>
      </c>
      <c r="D197" s="1">
        <v>42923</v>
      </c>
      <c r="E197">
        <v>18.8</v>
      </c>
      <c r="F197">
        <v>0.2</v>
      </c>
      <c r="G197" s="3">
        <v>1.0800000000000001E-2</v>
      </c>
      <c r="H197">
        <v>2016</v>
      </c>
      <c r="I197">
        <v>0.81</v>
      </c>
      <c r="J197">
        <v>0.49</v>
      </c>
      <c r="K197">
        <v>0</v>
      </c>
      <c r="L197">
        <v>0.49</v>
      </c>
      <c r="M197" s="3">
        <v>2.5999999999999999E-2</v>
      </c>
      <c r="N197" s="2">
        <v>0</v>
      </c>
      <c r="O197" s="3">
        <v>2.5999999999999999E-2</v>
      </c>
      <c r="P197" s="3">
        <v>0.60499999999999998</v>
      </c>
      <c r="Q197" s="2">
        <v>0</v>
      </c>
      <c r="R197" s="3">
        <v>0.60499999999999998</v>
      </c>
      <c r="S197" t="s">
        <v>655</v>
      </c>
      <c r="U197" t="s">
        <v>639</v>
      </c>
    </row>
    <row r="198" spans="1:21" x14ac:dyDescent="0.6">
      <c r="A198">
        <v>197</v>
      </c>
      <c r="B198" t="str">
        <f>"2377"</f>
        <v>2377</v>
      </c>
      <c r="C198" t="s">
        <v>274</v>
      </c>
      <c r="D198" s="1">
        <v>42923</v>
      </c>
      <c r="E198">
        <v>71.7</v>
      </c>
      <c r="F198">
        <v>-0.1</v>
      </c>
      <c r="G198" s="3">
        <v>-1.4E-3</v>
      </c>
      <c r="H198">
        <v>2016</v>
      </c>
      <c r="I198">
        <v>4.3899999999999997</v>
      </c>
      <c r="J198">
        <v>3.5</v>
      </c>
      <c r="K198">
        <v>0</v>
      </c>
      <c r="L198">
        <v>3.5</v>
      </c>
      <c r="M198" s="3">
        <v>4.8800000000000003E-2</v>
      </c>
      <c r="N198" s="2">
        <v>0</v>
      </c>
      <c r="O198" s="3">
        <v>4.8800000000000003E-2</v>
      </c>
      <c r="P198" s="3">
        <v>0.79700000000000004</v>
      </c>
      <c r="Q198" s="2">
        <v>0</v>
      </c>
      <c r="R198" s="3">
        <v>0.79700000000000004</v>
      </c>
      <c r="S198" t="s">
        <v>666</v>
      </c>
      <c r="U198" t="s">
        <v>609</v>
      </c>
    </row>
    <row r="199" spans="1:21" x14ac:dyDescent="0.6">
      <c r="A199">
        <v>181</v>
      </c>
      <c r="B199" t="str">
        <f>"3015"</f>
        <v>3015</v>
      </c>
      <c r="C199" t="s">
        <v>257</v>
      </c>
      <c r="D199" s="1">
        <v>42923</v>
      </c>
      <c r="E199">
        <v>23.4</v>
      </c>
      <c r="F199">
        <v>-0.1</v>
      </c>
      <c r="G199" s="3">
        <v>-4.3E-3</v>
      </c>
      <c r="H199">
        <v>2016</v>
      </c>
      <c r="I199">
        <v>1.73</v>
      </c>
      <c r="J199">
        <v>1.5</v>
      </c>
      <c r="K199">
        <v>0</v>
      </c>
      <c r="L199">
        <v>1.5</v>
      </c>
      <c r="M199" s="3">
        <v>6.4100000000000004E-2</v>
      </c>
      <c r="N199" s="2">
        <v>0</v>
      </c>
      <c r="O199" s="3">
        <v>6.4100000000000004E-2</v>
      </c>
      <c r="P199" s="3">
        <v>0.86699999999999999</v>
      </c>
      <c r="Q199" s="2">
        <v>0</v>
      </c>
      <c r="R199" s="3">
        <v>0.86699999999999999</v>
      </c>
      <c r="S199" t="s">
        <v>608</v>
      </c>
      <c r="U199" t="s">
        <v>619</v>
      </c>
    </row>
    <row r="200" spans="1:21" x14ac:dyDescent="0.6">
      <c r="A200">
        <v>66</v>
      </c>
      <c r="B200" t="str">
        <f>"3078"</f>
        <v>3078</v>
      </c>
      <c r="C200" t="s">
        <v>121</v>
      </c>
      <c r="D200" s="1">
        <v>42923</v>
      </c>
      <c r="E200">
        <v>29.7</v>
      </c>
      <c r="F200">
        <v>-0.15</v>
      </c>
      <c r="G200" s="3">
        <v>-5.0000000000000001E-3</v>
      </c>
      <c r="H200">
        <v>2016</v>
      </c>
      <c r="I200">
        <v>2.62</v>
      </c>
      <c r="J200">
        <v>1.9</v>
      </c>
      <c r="K200">
        <v>0</v>
      </c>
      <c r="L200">
        <v>1.9</v>
      </c>
      <c r="M200" s="3">
        <v>6.4000000000000001E-2</v>
      </c>
      <c r="N200" s="2">
        <v>0</v>
      </c>
      <c r="O200" s="3">
        <v>6.4000000000000001E-2</v>
      </c>
      <c r="P200" s="3">
        <v>0.72499999999999998</v>
      </c>
      <c r="Q200" s="2">
        <v>0</v>
      </c>
      <c r="R200" s="3">
        <v>0.72499999999999998</v>
      </c>
      <c r="S200" t="s">
        <v>596</v>
      </c>
      <c r="U200" t="s">
        <v>630</v>
      </c>
    </row>
    <row r="201" spans="1:21" x14ac:dyDescent="0.6">
      <c r="A201">
        <v>200</v>
      </c>
      <c r="B201" t="str">
        <f>"5538"</f>
        <v>5538</v>
      </c>
      <c r="C201" t="s">
        <v>278</v>
      </c>
      <c r="D201" s="1">
        <v>42923</v>
      </c>
      <c r="E201">
        <v>31.9</v>
      </c>
      <c r="F201">
        <v>0.1</v>
      </c>
      <c r="G201" s="3">
        <v>3.0999999999999999E-3</v>
      </c>
      <c r="H201">
        <v>2016</v>
      </c>
      <c r="I201">
        <v>1.42</v>
      </c>
      <c r="J201">
        <v>1</v>
      </c>
      <c r="K201">
        <v>0</v>
      </c>
      <c r="L201">
        <v>1</v>
      </c>
      <c r="M201" s="3">
        <v>3.1300000000000001E-2</v>
      </c>
      <c r="N201" s="2">
        <v>0</v>
      </c>
      <c r="O201" s="3">
        <v>3.1300000000000001E-2</v>
      </c>
      <c r="P201" s="3">
        <v>0.70399999999999996</v>
      </c>
      <c r="Q201" s="2">
        <v>0</v>
      </c>
      <c r="R201" s="3">
        <v>0.70399999999999996</v>
      </c>
      <c r="S201" t="s">
        <v>610</v>
      </c>
      <c r="U201" t="s">
        <v>614</v>
      </c>
    </row>
    <row r="202" spans="1:21" x14ac:dyDescent="0.6">
      <c r="A202">
        <v>201</v>
      </c>
      <c r="B202" t="str">
        <f>"3526"</f>
        <v>3526</v>
      </c>
      <c r="C202" t="s">
        <v>279</v>
      </c>
      <c r="D202" s="1">
        <v>42923</v>
      </c>
      <c r="E202">
        <v>76.599999999999994</v>
      </c>
      <c r="F202">
        <v>0.6</v>
      </c>
      <c r="G202" s="3">
        <v>7.9000000000000008E-3</v>
      </c>
      <c r="H202">
        <v>2016</v>
      </c>
      <c r="I202">
        <v>1.42</v>
      </c>
      <c r="J202">
        <v>1.78</v>
      </c>
      <c r="K202">
        <v>0</v>
      </c>
      <c r="L202">
        <v>1.78</v>
      </c>
      <c r="M202" s="3">
        <v>2.3300000000000001E-2</v>
      </c>
      <c r="N202" s="2">
        <v>0</v>
      </c>
      <c r="O202" s="3">
        <v>2.3300000000000001E-2</v>
      </c>
      <c r="P202" s="2">
        <v>1.25</v>
      </c>
      <c r="Q202" s="2">
        <v>0</v>
      </c>
      <c r="R202" s="2">
        <v>1.25</v>
      </c>
      <c r="S202" t="s">
        <v>617</v>
      </c>
      <c r="U202" t="s">
        <v>630</v>
      </c>
    </row>
    <row r="203" spans="1:21" x14ac:dyDescent="0.6">
      <c r="A203">
        <v>204</v>
      </c>
      <c r="B203" t="str">
        <f>"4138"</f>
        <v>4138</v>
      </c>
      <c r="C203" t="s">
        <v>283</v>
      </c>
      <c r="D203" s="1">
        <v>42923</v>
      </c>
      <c r="E203">
        <v>56.9</v>
      </c>
      <c r="F203">
        <v>-0.4</v>
      </c>
      <c r="G203" s="3">
        <v>-7.0000000000000001E-3</v>
      </c>
      <c r="H203">
        <v>2016</v>
      </c>
      <c r="I203">
        <v>4.05</v>
      </c>
      <c r="J203">
        <v>3.63</v>
      </c>
      <c r="K203">
        <v>0</v>
      </c>
      <c r="L203">
        <v>3.63</v>
      </c>
      <c r="M203" s="3">
        <v>6.3799999999999996E-2</v>
      </c>
      <c r="N203" s="2">
        <v>0</v>
      </c>
      <c r="O203" s="3">
        <v>6.3799999999999996E-2</v>
      </c>
      <c r="P203" s="3">
        <v>0.89600000000000002</v>
      </c>
      <c r="Q203" s="2">
        <v>0</v>
      </c>
      <c r="R203" s="3">
        <v>0.89600000000000002</v>
      </c>
      <c r="S203" t="s">
        <v>675</v>
      </c>
      <c r="U203" t="s">
        <v>642</v>
      </c>
    </row>
    <row r="204" spans="1:21" x14ac:dyDescent="0.6">
      <c r="A204">
        <v>203</v>
      </c>
      <c r="B204" t="str">
        <f>"1773"</f>
        <v>1773</v>
      </c>
      <c r="C204" t="s">
        <v>281</v>
      </c>
      <c r="D204" s="1">
        <v>42923</v>
      </c>
      <c r="E204">
        <v>63.9</v>
      </c>
      <c r="F204">
        <v>-0.3</v>
      </c>
      <c r="G204" s="3">
        <v>-4.7000000000000002E-3</v>
      </c>
      <c r="H204">
        <v>2016</v>
      </c>
      <c r="I204">
        <v>4.08</v>
      </c>
      <c r="J204">
        <v>3</v>
      </c>
      <c r="K204">
        <v>0</v>
      </c>
      <c r="L204">
        <v>3</v>
      </c>
      <c r="M204" s="3">
        <v>4.6899999999999997E-2</v>
      </c>
      <c r="N204" s="2">
        <v>0</v>
      </c>
      <c r="O204" s="3">
        <v>4.6899999999999997E-2</v>
      </c>
      <c r="P204" s="3">
        <v>0.73499999999999999</v>
      </c>
      <c r="Q204" s="2">
        <v>0</v>
      </c>
      <c r="R204" s="3">
        <v>0.73499999999999999</v>
      </c>
      <c r="S204" t="s">
        <v>674</v>
      </c>
      <c r="U204" t="s">
        <v>627</v>
      </c>
    </row>
    <row r="205" spans="1:21" x14ac:dyDescent="0.6">
      <c r="A205">
        <v>225</v>
      </c>
      <c r="B205" t="str">
        <f>"2472"</f>
        <v>2472</v>
      </c>
      <c r="C205" t="s">
        <v>304</v>
      </c>
      <c r="D205" s="1">
        <v>42923</v>
      </c>
      <c r="E205">
        <v>39.25</v>
      </c>
      <c r="F205">
        <v>0</v>
      </c>
      <c r="G205" s="2">
        <v>0</v>
      </c>
      <c r="H205">
        <v>2016</v>
      </c>
      <c r="I205">
        <v>2.83</v>
      </c>
      <c r="J205">
        <v>2.5</v>
      </c>
      <c r="K205">
        <v>0</v>
      </c>
      <c r="L205">
        <v>2.5</v>
      </c>
      <c r="M205" s="3">
        <v>6.3700000000000007E-2</v>
      </c>
      <c r="N205" s="2">
        <v>0</v>
      </c>
      <c r="O205" s="3">
        <v>6.3700000000000007E-2</v>
      </c>
      <c r="P205" s="3">
        <v>0.88300000000000001</v>
      </c>
      <c r="Q205" s="2">
        <v>0</v>
      </c>
      <c r="R205" s="3">
        <v>0.88300000000000001</v>
      </c>
      <c r="S205" t="s">
        <v>622</v>
      </c>
      <c r="U205" t="s">
        <v>651</v>
      </c>
    </row>
    <row r="206" spans="1:21" x14ac:dyDescent="0.6">
      <c r="A206">
        <v>49</v>
      </c>
      <c r="B206" t="str">
        <f>"2471"</f>
        <v>2471</v>
      </c>
      <c r="C206" t="s">
        <v>97</v>
      </c>
      <c r="D206" s="1">
        <v>42923</v>
      </c>
      <c r="E206">
        <v>16.350000000000001</v>
      </c>
      <c r="F206">
        <v>-0.05</v>
      </c>
      <c r="G206" s="3">
        <v>-3.0000000000000001E-3</v>
      </c>
      <c r="H206">
        <v>2016</v>
      </c>
      <c r="I206">
        <v>0.78</v>
      </c>
      <c r="J206">
        <v>1.04</v>
      </c>
      <c r="K206">
        <v>0</v>
      </c>
      <c r="L206">
        <v>1.04</v>
      </c>
      <c r="M206" s="3">
        <v>6.3600000000000004E-2</v>
      </c>
      <c r="N206" s="2">
        <v>0</v>
      </c>
      <c r="O206" s="3">
        <v>6.3600000000000004E-2</v>
      </c>
      <c r="P206" s="2">
        <v>1.33</v>
      </c>
      <c r="Q206" s="2">
        <v>0</v>
      </c>
      <c r="R206" s="2">
        <v>1.33</v>
      </c>
      <c r="S206" t="s">
        <v>598</v>
      </c>
      <c r="U206" t="s">
        <v>630</v>
      </c>
    </row>
    <row r="207" spans="1:21" x14ac:dyDescent="0.6">
      <c r="A207">
        <v>206</v>
      </c>
      <c r="B207" t="str">
        <f>"6506"</f>
        <v>6506</v>
      </c>
      <c r="C207" t="s">
        <v>285</v>
      </c>
      <c r="D207" s="1">
        <v>42923</v>
      </c>
      <c r="E207">
        <v>24</v>
      </c>
      <c r="F207">
        <v>-0.25</v>
      </c>
      <c r="G207" s="3">
        <v>-1.03E-2</v>
      </c>
      <c r="H207">
        <v>2016</v>
      </c>
      <c r="I207">
        <v>1.56</v>
      </c>
      <c r="J207">
        <v>0.8</v>
      </c>
      <c r="K207">
        <v>0.2</v>
      </c>
      <c r="L207">
        <v>1</v>
      </c>
      <c r="M207" s="3">
        <v>3.3300000000000003E-2</v>
      </c>
      <c r="N207" s="3">
        <v>8.3000000000000001E-3</v>
      </c>
      <c r="O207" s="3">
        <v>4.1700000000000001E-2</v>
      </c>
      <c r="P207" s="3">
        <v>0.51300000000000001</v>
      </c>
      <c r="Q207" s="3">
        <v>0.128</v>
      </c>
      <c r="R207" s="3">
        <v>0.64100000000000001</v>
      </c>
      <c r="S207" t="s">
        <v>644</v>
      </c>
      <c r="T207" t="s">
        <v>644</v>
      </c>
      <c r="U207" t="s">
        <v>649</v>
      </c>
    </row>
    <row r="208" spans="1:21" x14ac:dyDescent="0.6">
      <c r="A208">
        <v>299</v>
      </c>
      <c r="B208" t="str">
        <f>"6024"</f>
        <v>6024</v>
      </c>
      <c r="C208" t="s">
        <v>381</v>
      </c>
      <c r="D208" s="1">
        <v>42923</v>
      </c>
      <c r="E208">
        <v>38.9</v>
      </c>
      <c r="F208">
        <v>0.55000000000000004</v>
      </c>
      <c r="G208" s="3">
        <v>1.43E-2</v>
      </c>
      <c r="H208">
        <v>2016</v>
      </c>
      <c r="I208">
        <v>3.54</v>
      </c>
      <c r="J208">
        <v>2.4700000000000002</v>
      </c>
      <c r="K208">
        <v>0</v>
      </c>
      <c r="L208">
        <v>2.4700000000000002</v>
      </c>
      <c r="M208" s="3">
        <v>6.3500000000000001E-2</v>
      </c>
      <c r="N208" s="2">
        <v>0</v>
      </c>
      <c r="O208" s="3">
        <v>6.3500000000000001E-2</v>
      </c>
      <c r="P208" s="3">
        <v>0.69799999999999995</v>
      </c>
      <c r="Q208" s="2">
        <v>0</v>
      </c>
      <c r="R208" s="3">
        <v>0.69799999999999995</v>
      </c>
      <c r="S208" t="s">
        <v>656</v>
      </c>
      <c r="U208" t="s">
        <v>601</v>
      </c>
    </row>
    <row r="209" spans="1:21" x14ac:dyDescent="0.6">
      <c r="A209">
        <v>413</v>
      </c>
      <c r="B209" t="str">
        <f>"9930"</f>
        <v>9930</v>
      </c>
      <c r="C209" t="s">
        <v>500</v>
      </c>
      <c r="D209" s="1">
        <v>42923</v>
      </c>
      <c r="E209">
        <v>55.3</v>
      </c>
      <c r="F209">
        <v>-0.1</v>
      </c>
      <c r="G209" s="3">
        <v>-1.8E-3</v>
      </c>
      <c r="H209">
        <v>2016</v>
      </c>
      <c r="I209">
        <v>3.99</v>
      </c>
      <c r="J209">
        <v>3.5</v>
      </c>
      <c r="K209">
        <v>0</v>
      </c>
      <c r="L209">
        <v>3.5</v>
      </c>
      <c r="M209" s="3">
        <v>6.3299999999999995E-2</v>
      </c>
      <c r="N209" s="2">
        <v>0</v>
      </c>
      <c r="O209" s="3">
        <v>6.3299999999999995E-2</v>
      </c>
      <c r="P209" s="3">
        <v>0.877</v>
      </c>
      <c r="Q209" s="2">
        <v>0</v>
      </c>
      <c r="R209" s="3">
        <v>0.877</v>
      </c>
      <c r="S209" t="s">
        <v>610</v>
      </c>
      <c r="U209" t="s">
        <v>599</v>
      </c>
    </row>
    <row r="210" spans="1:21" x14ac:dyDescent="0.6">
      <c r="A210">
        <v>209</v>
      </c>
      <c r="B210" t="str">
        <f>"2449"</f>
        <v>2449</v>
      </c>
      <c r="C210" t="s">
        <v>288</v>
      </c>
      <c r="D210" s="1">
        <v>42923</v>
      </c>
      <c r="E210">
        <v>28.75</v>
      </c>
      <c r="F210">
        <v>-0.3</v>
      </c>
      <c r="G210" s="3">
        <v>-1.03E-2</v>
      </c>
      <c r="H210">
        <v>2016</v>
      </c>
      <c r="I210">
        <v>1.93</v>
      </c>
      <c r="J210">
        <v>1.2</v>
      </c>
      <c r="K210">
        <v>0</v>
      </c>
      <c r="L210">
        <v>1.2</v>
      </c>
      <c r="M210" s="3">
        <v>4.1700000000000001E-2</v>
      </c>
      <c r="N210" s="2">
        <v>0</v>
      </c>
      <c r="O210" s="3">
        <v>4.1700000000000001E-2</v>
      </c>
      <c r="P210" s="3">
        <v>0.622</v>
      </c>
      <c r="Q210" s="2">
        <v>0</v>
      </c>
      <c r="R210" s="3">
        <v>0.622</v>
      </c>
      <c r="S210" t="s">
        <v>599</v>
      </c>
      <c r="U210" t="s">
        <v>649</v>
      </c>
    </row>
    <row r="211" spans="1:21" x14ac:dyDescent="0.6">
      <c r="A211">
        <v>174</v>
      </c>
      <c r="B211" t="str">
        <f>"1541"</f>
        <v>1541</v>
      </c>
      <c r="C211" t="s">
        <v>248</v>
      </c>
      <c r="D211" s="1">
        <v>42923</v>
      </c>
      <c r="E211">
        <v>50.8</v>
      </c>
      <c r="F211">
        <v>0.2</v>
      </c>
      <c r="G211" s="3">
        <v>4.0000000000000001E-3</v>
      </c>
      <c r="H211">
        <v>2016</v>
      </c>
      <c r="I211">
        <v>3.59</v>
      </c>
      <c r="J211">
        <v>3.21</v>
      </c>
      <c r="K211">
        <v>0</v>
      </c>
      <c r="L211">
        <v>3.21</v>
      </c>
      <c r="M211" s="3">
        <v>6.3200000000000006E-2</v>
      </c>
      <c r="N211" s="2">
        <v>0</v>
      </c>
      <c r="O211" s="3">
        <v>6.3200000000000006E-2</v>
      </c>
      <c r="P211" s="3">
        <v>0.89400000000000002</v>
      </c>
      <c r="Q211" s="2">
        <v>0</v>
      </c>
      <c r="R211" s="3">
        <v>0.89400000000000002</v>
      </c>
      <c r="S211" t="s">
        <v>620</v>
      </c>
      <c r="U211" t="s">
        <v>645</v>
      </c>
    </row>
    <row r="212" spans="1:21" x14ac:dyDescent="0.6">
      <c r="A212">
        <v>211</v>
      </c>
      <c r="B212" t="str">
        <f>"1326"</f>
        <v>1326</v>
      </c>
      <c r="C212" t="s">
        <v>290</v>
      </c>
      <c r="D212" s="1">
        <v>42923</v>
      </c>
      <c r="E212">
        <v>90</v>
      </c>
      <c r="F212">
        <v>-0.8</v>
      </c>
      <c r="G212" s="3">
        <v>-8.8000000000000005E-3</v>
      </c>
      <c r="H212">
        <v>2016</v>
      </c>
      <c r="I212">
        <v>4.72</v>
      </c>
      <c r="J212">
        <v>3.5</v>
      </c>
      <c r="K212">
        <v>0</v>
      </c>
      <c r="L212">
        <v>3.5</v>
      </c>
      <c r="M212" s="3">
        <v>3.8899999999999997E-2</v>
      </c>
      <c r="N212" s="2">
        <v>0</v>
      </c>
      <c r="O212" s="3">
        <v>3.8899999999999997E-2</v>
      </c>
      <c r="P212" s="3">
        <v>0.74199999999999999</v>
      </c>
      <c r="Q212" s="2">
        <v>0</v>
      </c>
      <c r="R212" s="3">
        <v>0.74199999999999999</v>
      </c>
      <c r="S212" t="s">
        <v>627</v>
      </c>
      <c r="U212" t="s">
        <v>655</v>
      </c>
    </row>
    <row r="213" spans="1:21" x14ac:dyDescent="0.6">
      <c r="A213">
        <v>486</v>
      </c>
      <c r="B213" t="str">
        <f>"2832"</f>
        <v>2832</v>
      </c>
      <c r="C213" t="s">
        <v>579</v>
      </c>
      <c r="D213" s="1">
        <v>42923</v>
      </c>
      <c r="E213">
        <v>19</v>
      </c>
      <c r="F213">
        <v>0.05</v>
      </c>
      <c r="G213" s="3">
        <v>2.5999999999999999E-3</v>
      </c>
      <c r="H213">
        <v>2016</v>
      </c>
      <c r="I213">
        <v>3.01</v>
      </c>
      <c r="J213">
        <v>1.2</v>
      </c>
      <c r="K213">
        <v>0</v>
      </c>
      <c r="L213">
        <v>1.2</v>
      </c>
      <c r="M213" s="3">
        <v>6.3200000000000006E-2</v>
      </c>
      <c r="N213" s="2">
        <v>0</v>
      </c>
      <c r="O213" s="3">
        <v>6.3200000000000006E-2</v>
      </c>
      <c r="P213" s="3">
        <v>0.39900000000000002</v>
      </c>
      <c r="Q213" s="2">
        <v>0</v>
      </c>
      <c r="R213" s="3">
        <v>0.39900000000000002</v>
      </c>
      <c r="S213" t="s">
        <v>597</v>
      </c>
      <c r="U213" t="s">
        <v>634</v>
      </c>
    </row>
    <row r="214" spans="1:21" x14ac:dyDescent="0.6">
      <c r="A214">
        <v>198</v>
      </c>
      <c r="B214" t="str">
        <f>"1724"</f>
        <v>1724</v>
      </c>
      <c r="C214" t="s">
        <v>276</v>
      </c>
      <c r="D214" s="1">
        <v>42923</v>
      </c>
      <c r="E214">
        <v>15.95</v>
      </c>
      <c r="F214">
        <v>-0.2</v>
      </c>
      <c r="G214" s="3">
        <v>-1.24E-2</v>
      </c>
      <c r="H214">
        <v>2016</v>
      </c>
      <c r="I214">
        <v>1.67</v>
      </c>
      <c r="J214">
        <v>1</v>
      </c>
      <c r="K214">
        <v>0</v>
      </c>
      <c r="L214">
        <v>1</v>
      </c>
      <c r="M214" s="3">
        <v>6.2700000000000006E-2</v>
      </c>
      <c r="N214" s="2">
        <v>0</v>
      </c>
      <c r="O214" s="3">
        <v>6.2700000000000006E-2</v>
      </c>
      <c r="P214" s="3">
        <v>0.59899999999999998</v>
      </c>
      <c r="Q214" s="2">
        <v>0</v>
      </c>
      <c r="R214" s="3">
        <v>0.59899999999999998</v>
      </c>
      <c r="S214" t="s">
        <v>610</v>
      </c>
      <c r="U214" t="s">
        <v>611</v>
      </c>
    </row>
    <row r="215" spans="1:21" x14ac:dyDescent="0.6">
      <c r="A215">
        <v>199</v>
      </c>
      <c r="B215" t="str">
        <f>"3388"</f>
        <v>3388</v>
      </c>
      <c r="C215" t="s">
        <v>277</v>
      </c>
      <c r="D215" s="1">
        <v>42923</v>
      </c>
      <c r="E215">
        <v>63.8</v>
      </c>
      <c r="F215">
        <v>0.7</v>
      </c>
      <c r="G215" s="3">
        <v>1.11E-2</v>
      </c>
      <c r="H215">
        <v>2016</v>
      </c>
      <c r="I215">
        <v>4.68</v>
      </c>
      <c r="J215">
        <v>4</v>
      </c>
      <c r="K215">
        <v>0</v>
      </c>
      <c r="L215">
        <v>4</v>
      </c>
      <c r="M215" s="3">
        <v>6.2700000000000006E-2</v>
      </c>
      <c r="N215" s="2">
        <v>0</v>
      </c>
      <c r="O215" s="3">
        <v>6.2700000000000006E-2</v>
      </c>
      <c r="P215" s="3">
        <v>0.85499999999999998</v>
      </c>
      <c r="Q215" s="2">
        <v>0</v>
      </c>
      <c r="R215" s="3">
        <v>0.85499999999999998</v>
      </c>
      <c r="S215" t="s">
        <v>600</v>
      </c>
      <c r="U215" t="s">
        <v>605</v>
      </c>
    </row>
    <row r="216" spans="1:21" x14ac:dyDescent="0.6">
      <c r="A216">
        <v>215</v>
      </c>
      <c r="B216" t="str">
        <f>"6213"</f>
        <v>6213</v>
      </c>
      <c r="C216" t="s">
        <v>294</v>
      </c>
      <c r="D216" s="1">
        <v>42923</v>
      </c>
      <c r="E216">
        <v>40.35</v>
      </c>
      <c r="F216">
        <v>-0.2</v>
      </c>
      <c r="G216" s="3">
        <v>-4.8999999999999998E-3</v>
      </c>
      <c r="H216">
        <v>2016</v>
      </c>
      <c r="I216">
        <v>1.92</v>
      </c>
      <c r="J216">
        <v>1.6</v>
      </c>
      <c r="K216">
        <v>0</v>
      </c>
      <c r="L216">
        <v>1.6</v>
      </c>
      <c r="M216" s="3">
        <v>3.9699999999999999E-2</v>
      </c>
      <c r="N216" s="2">
        <v>0</v>
      </c>
      <c r="O216" s="3">
        <v>3.9699999999999999E-2</v>
      </c>
      <c r="P216" s="3">
        <v>0.83299999999999996</v>
      </c>
      <c r="Q216" s="2">
        <v>0</v>
      </c>
      <c r="R216" s="3">
        <v>0.83299999999999996</v>
      </c>
      <c r="S216" t="s">
        <v>633</v>
      </c>
      <c r="U216" t="s">
        <v>605</v>
      </c>
    </row>
    <row r="217" spans="1:21" x14ac:dyDescent="0.6">
      <c r="A217">
        <v>202</v>
      </c>
      <c r="B217" t="str">
        <f>"1451"</f>
        <v>1451</v>
      </c>
      <c r="C217" t="s">
        <v>280</v>
      </c>
      <c r="D217" s="1">
        <v>42923</v>
      </c>
      <c r="E217">
        <v>23.95</v>
      </c>
      <c r="F217">
        <v>-0.1</v>
      </c>
      <c r="G217" s="3">
        <v>-4.1999999999999997E-3</v>
      </c>
      <c r="H217">
        <v>2016</v>
      </c>
      <c r="I217">
        <v>1.69</v>
      </c>
      <c r="J217">
        <v>1.5</v>
      </c>
      <c r="K217">
        <v>0</v>
      </c>
      <c r="L217">
        <v>1.5</v>
      </c>
      <c r="M217" s="3">
        <v>6.2600000000000003E-2</v>
      </c>
      <c r="N217" s="2">
        <v>0</v>
      </c>
      <c r="O217" s="3">
        <v>6.2600000000000003E-2</v>
      </c>
      <c r="P217" s="3">
        <v>0.88800000000000001</v>
      </c>
      <c r="Q217" s="2">
        <v>0</v>
      </c>
      <c r="R217" s="3">
        <v>0.88800000000000001</v>
      </c>
      <c r="S217" t="s">
        <v>595</v>
      </c>
      <c r="U217" t="s">
        <v>604</v>
      </c>
    </row>
    <row r="218" spans="1:21" x14ac:dyDescent="0.6">
      <c r="A218">
        <v>217</v>
      </c>
      <c r="B218" t="str">
        <f>"6422"</f>
        <v>6422</v>
      </c>
      <c r="C218" t="s">
        <v>296</v>
      </c>
      <c r="D218" s="1">
        <v>42923</v>
      </c>
      <c r="E218">
        <v>70.599999999999994</v>
      </c>
      <c r="F218">
        <v>0.6</v>
      </c>
      <c r="G218" s="3">
        <v>8.6E-3</v>
      </c>
      <c r="H218">
        <v>2016</v>
      </c>
      <c r="I218">
        <v>6.3</v>
      </c>
      <c r="J218">
        <v>3.5</v>
      </c>
      <c r="K218">
        <v>0.5</v>
      </c>
      <c r="L218">
        <v>4</v>
      </c>
      <c r="M218" s="3">
        <v>4.9599999999999998E-2</v>
      </c>
      <c r="N218" s="3">
        <v>7.1000000000000004E-3</v>
      </c>
      <c r="O218" s="3">
        <v>5.67E-2</v>
      </c>
      <c r="P218" s="3">
        <v>0.55600000000000005</v>
      </c>
      <c r="Q218" s="3">
        <v>7.9399999999999998E-2</v>
      </c>
      <c r="R218" s="3">
        <v>0.63500000000000001</v>
      </c>
      <c r="S218" t="s">
        <v>617</v>
      </c>
      <c r="T218" t="s">
        <v>617</v>
      </c>
      <c r="U218" t="s">
        <v>620</v>
      </c>
    </row>
    <row r="219" spans="1:21" x14ac:dyDescent="0.6">
      <c r="A219">
        <v>207</v>
      </c>
      <c r="B219" t="str">
        <f>"8420"</f>
        <v>8420</v>
      </c>
      <c r="C219" t="s">
        <v>286</v>
      </c>
      <c r="D219" s="1">
        <v>42923</v>
      </c>
      <c r="E219">
        <v>19.2</v>
      </c>
      <c r="F219">
        <v>0</v>
      </c>
      <c r="G219" s="2">
        <v>0</v>
      </c>
      <c r="H219">
        <v>2016</v>
      </c>
      <c r="I219">
        <v>2.46</v>
      </c>
      <c r="J219">
        <v>1.2</v>
      </c>
      <c r="K219">
        <v>0</v>
      </c>
      <c r="L219">
        <v>1.2</v>
      </c>
      <c r="M219" s="3">
        <v>6.25E-2</v>
      </c>
      <c r="N219" s="2">
        <v>0</v>
      </c>
      <c r="O219" s="3">
        <v>6.25E-2</v>
      </c>
      <c r="P219" s="3">
        <v>0.48799999999999999</v>
      </c>
      <c r="Q219" s="2">
        <v>0</v>
      </c>
      <c r="R219" s="3">
        <v>0.48799999999999999</v>
      </c>
      <c r="S219" t="s">
        <v>635</v>
      </c>
      <c r="U219" t="s">
        <v>596</v>
      </c>
    </row>
    <row r="220" spans="1:21" x14ac:dyDescent="0.6">
      <c r="A220">
        <v>362</v>
      </c>
      <c r="B220" t="str">
        <f>"6195"</f>
        <v>6195</v>
      </c>
      <c r="C220" t="s">
        <v>445</v>
      </c>
      <c r="D220" s="1">
        <v>42923</v>
      </c>
      <c r="E220">
        <v>56</v>
      </c>
      <c r="F220">
        <v>-0.2</v>
      </c>
      <c r="G220" s="3">
        <v>-3.5999999999999999E-3</v>
      </c>
      <c r="H220">
        <v>2016</v>
      </c>
      <c r="I220">
        <v>4.4000000000000004</v>
      </c>
      <c r="J220">
        <v>3.5</v>
      </c>
      <c r="K220">
        <v>0</v>
      </c>
      <c r="L220">
        <v>3.5</v>
      </c>
      <c r="M220" s="3">
        <v>6.25E-2</v>
      </c>
      <c r="N220" s="2">
        <v>0</v>
      </c>
      <c r="O220" s="3">
        <v>6.25E-2</v>
      </c>
      <c r="P220" s="3">
        <v>0.79600000000000004</v>
      </c>
      <c r="Q220" s="2">
        <v>0</v>
      </c>
      <c r="R220" s="3">
        <v>0.79600000000000004</v>
      </c>
      <c r="S220" t="s">
        <v>600</v>
      </c>
      <c r="U220" t="s">
        <v>616</v>
      </c>
    </row>
    <row r="221" spans="1:21" x14ac:dyDescent="0.6">
      <c r="A221">
        <v>500</v>
      </c>
      <c r="B221" t="str">
        <f>"8467"</f>
        <v>8467</v>
      </c>
      <c r="C221" t="s">
        <v>594</v>
      </c>
      <c r="D221" s="1">
        <v>42923</v>
      </c>
      <c r="E221">
        <v>33.1</v>
      </c>
      <c r="F221">
        <v>-0.05</v>
      </c>
      <c r="G221" s="3">
        <v>-1.5E-3</v>
      </c>
      <c r="H221">
        <v>2016</v>
      </c>
      <c r="I221">
        <v>4.07</v>
      </c>
      <c r="J221">
        <v>2.0699999999999998</v>
      </c>
      <c r="K221">
        <v>0</v>
      </c>
      <c r="L221">
        <v>2.0699999999999998</v>
      </c>
      <c r="M221" s="3">
        <v>6.2399999999999997E-2</v>
      </c>
      <c r="N221" s="2">
        <v>0</v>
      </c>
      <c r="O221" s="3">
        <v>6.2399999999999997E-2</v>
      </c>
      <c r="P221" s="3">
        <v>0.50900000000000001</v>
      </c>
      <c r="Q221" s="2">
        <v>0</v>
      </c>
      <c r="R221" s="3">
        <v>0.50900000000000001</v>
      </c>
      <c r="S221" t="s">
        <v>689</v>
      </c>
      <c r="U221" t="s">
        <v>662</v>
      </c>
    </row>
    <row r="222" spans="1:21" x14ac:dyDescent="0.6">
      <c r="A222">
        <v>221</v>
      </c>
      <c r="B222" t="str">
        <f>"2010"</f>
        <v>2010</v>
      </c>
      <c r="C222" t="s">
        <v>300</v>
      </c>
      <c r="D222" s="1">
        <v>42923</v>
      </c>
      <c r="E222">
        <v>11.4</v>
      </c>
      <c r="F222">
        <v>0</v>
      </c>
      <c r="G222" s="2">
        <v>0</v>
      </c>
      <c r="H222">
        <v>2016</v>
      </c>
      <c r="I222">
        <v>1.02</v>
      </c>
      <c r="J222">
        <v>0.5</v>
      </c>
      <c r="K222">
        <v>0</v>
      </c>
      <c r="L222">
        <v>0.5</v>
      </c>
      <c r="M222" s="3">
        <v>4.3900000000000002E-2</v>
      </c>
      <c r="N222" s="2">
        <v>0</v>
      </c>
      <c r="O222" s="3">
        <v>4.3900000000000002E-2</v>
      </c>
      <c r="P222" s="2">
        <v>0.49</v>
      </c>
      <c r="Q222" s="2">
        <v>0</v>
      </c>
      <c r="R222" s="2">
        <v>0.49</v>
      </c>
      <c r="S222" t="s">
        <v>662</v>
      </c>
      <c r="U222" t="s">
        <v>637</v>
      </c>
    </row>
    <row r="223" spans="1:21" x14ac:dyDescent="0.6">
      <c r="A223">
        <v>222</v>
      </c>
      <c r="B223" t="str">
        <f>"1522"</f>
        <v>1522</v>
      </c>
      <c r="C223" t="s">
        <v>301</v>
      </c>
      <c r="D223" s="1">
        <v>42923</v>
      </c>
      <c r="E223">
        <v>32.6</v>
      </c>
      <c r="F223">
        <v>0</v>
      </c>
      <c r="G223" s="2">
        <v>0</v>
      </c>
      <c r="H223">
        <v>2016</v>
      </c>
      <c r="I223">
        <v>2.4300000000000002</v>
      </c>
      <c r="J223">
        <v>1.5</v>
      </c>
      <c r="K223">
        <v>0</v>
      </c>
      <c r="L223">
        <v>1.5</v>
      </c>
      <c r="M223" s="3">
        <v>4.5999999999999999E-2</v>
      </c>
      <c r="N223" s="2">
        <v>0</v>
      </c>
      <c r="O223" s="3">
        <v>4.5999999999999999E-2</v>
      </c>
      <c r="P223" s="3">
        <v>0.61699999999999999</v>
      </c>
      <c r="Q223" s="2">
        <v>0</v>
      </c>
      <c r="R223" s="3">
        <v>0.61699999999999999</v>
      </c>
      <c r="S223" t="s">
        <v>651</v>
      </c>
      <c r="U223" t="s">
        <v>667</v>
      </c>
    </row>
    <row r="224" spans="1:21" x14ac:dyDescent="0.6">
      <c r="A224">
        <v>134</v>
      </c>
      <c r="B224" t="str">
        <f>"6277"</f>
        <v>6277</v>
      </c>
      <c r="C224" t="s">
        <v>200</v>
      </c>
      <c r="D224" s="1">
        <v>42923</v>
      </c>
      <c r="E224">
        <v>83.5</v>
      </c>
      <c r="F224">
        <v>-0.2</v>
      </c>
      <c r="G224" s="3">
        <v>-2.3999999999999998E-3</v>
      </c>
      <c r="H224">
        <v>2016</v>
      </c>
      <c r="I224">
        <v>5.9</v>
      </c>
      <c r="J224">
        <v>5.2</v>
      </c>
      <c r="K224">
        <v>0</v>
      </c>
      <c r="L224">
        <v>5.2</v>
      </c>
      <c r="M224" s="3">
        <v>6.2300000000000001E-2</v>
      </c>
      <c r="N224" s="2">
        <v>0</v>
      </c>
      <c r="O224" s="3">
        <v>6.2300000000000001E-2</v>
      </c>
      <c r="P224" s="3">
        <v>0.88100000000000001</v>
      </c>
      <c r="Q224" s="2">
        <v>0</v>
      </c>
      <c r="R224" s="3">
        <v>0.88100000000000001</v>
      </c>
      <c r="S224" t="s">
        <v>641</v>
      </c>
      <c r="U224" t="s">
        <v>605</v>
      </c>
    </row>
    <row r="225" spans="1:21" x14ac:dyDescent="0.6">
      <c r="A225">
        <v>95</v>
      </c>
      <c r="B225" t="str">
        <f>"8424"</f>
        <v>8424</v>
      </c>
      <c r="C225" t="s">
        <v>158</v>
      </c>
      <c r="D225" s="1">
        <v>42923</v>
      </c>
      <c r="E225">
        <v>40.299999999999997</v>
      </c>
      <c r="F225">
        <v>-0.5</v>
      </c>
      <c r="G225" s="3">
        <v>-1.23E-2</v>
      </c>
      <c r="H225">
        <v>2016</v>
      </c>
      <c r="I225">
        <v>3.76</v>
      </c>
      <c r="J225">
        <v>2.5</v>
      </c>
      <c r="K225">
        <v>0</v>
      </c>
      <c r="L225">
        <v>2.5</v>
      </c>
      <c r="M225" s="3">
        <v>6.2E-2</v>
      </c>
      <c r="N225" s="2">
        <v>0</v>
      </c>
      <c r="O225" s="3">
        <v>6.2E-2</v>
      </c>
      <c r="P225" s="3">
        <v>0.66500000000000004</v>
      </c>
      <c r="Q225" s="2">
        <v>0</v>
      </c>
      <c r="R225" s="3">
        <v>0.66500000000000004</v>
      </c>
      <c r="S225" t="s">
        <v>660</v>
      </c>
      <c r="U225" t="s">
        <v>643</v>
      </c>
    </row>
    <row r="226" spans="1:21" x14ac:dyDescent="0.6">
      <c r="A226">
        <v>213</v>
      </c>
      <c r="B226" t="str">
        <f>"8416"</f>
        <v>8416</v>
      </c>
      <c r="C226" t="s">
        <v>292</v>
      </c>
      <c r="D226" s="1">
        <v>42923</v>
      </c>
      <c r="E226">
        <v>96.8</v>
      </c>
      <c r="F226">
        <v>0</v>
      </c>
      <c r="G226" s="2">
        <v>0</v>
      </c>
      <c r="H226">
        <v>2016</v>
      </c>
      <c r="I226">
        <v>8.11</v>
      </c>
      <c r="J226">
        <v>6</v>
      </c>
      <c r="K226">
        <v>0</v>
      </c>
      <c r="L226">
        <v>6</v>
      </c>
      <c r="M226" s="3">
        <v>6.2E-2</v>
      </c>
      <c r="N226" s="2">
        <v>0</v>
      </c>
      <c r="O226" s="3">
        <v>6.2E-2</v>
      </c>
      <c r="P226" s="2">
        <v>0.74</v>
      </c>
      <c r="Q226" s="2">
        <v>0</v>
      </c>
      <c r="R226" s="2">
        <v>0.74</v>
      </c>
      <c r="S226" t="s">
        <v>653</v>
      </c>
      <c r="U226" t="s">
        <v>636</v>
      </c>
    </row>
    <row r="227" spans="1:21" x14ac:dyDescent="0.6">
      <c r="A227">
        <v>226</v>
      </c>
      <c r="B227" t="str">
        <f>"2069"</f>
        <v>2069</v>
      </c>
      <c r="C227" t="s">
        <v>305</v>
      </c>
      <c r="D227" s="1">
        <v>42923</v>
      </c>
      <c r="E227">
        <v>27.05</v>
      </c>
      <c r="F227">
        <v>-0.45</v>
      </c>
      <c r="G227" s="3">
        <v>-1.6400000000000001E-2</v>
      </c>
      <c r="H227">
        <v>2016</v>
      </c>
      <c r="I227">
        <v>0.55000000000000004</v>
      </c>
      <c r="J227">
        <v>0.6</v>
      </c>
      <c r="K227">
        <v>0</v>
      </c>
      <c r="L227">
        <v>0.6</v>
      </c>
      <c r="M227" s="3">
        <v>2.2200000000000001E-2</v>
      </c>
      <c r="N227" s="2">
        <v>0</v>
      </c>
      <c r="O227" s="3">
        <v>2.2200000000000001E-2</v>
      </c>
      <c r="P227" s="2">
        <v>1.0900000000000001</v>
      </c>
      <c r="Q227" s="2">
        <v>0</v>
      </c>
      <c r="R227" s="2">
        <v>1.0900000000000001</v>
      </c>
      <c r="S227" t="s">
        <v>638</v>
      </c>
      <c r="U227" t="s">
        <v>632</v>
      </c>
    </row>
    <row r="228" spans="1:21" x14ac:dyDescent="0.6">
      <c r="A228">
        <v>479</v>
      </c>
      <c r="B228" t="str">
        <f>"6155"</f>
        <v>6155</v>
      </c>
      <c r="C228" t="s">
        <v>572</v>
      </c>
      <c r="D228" s="1">
        <v>42923</v>
      </c>
      <c r="E228">
        <v>17.75</v>
      </c>
      <c r="F228">
        <v>-0.25</v>
      </c>
      <c r="G228" s="3">
        <v>-1.3899999999999999E-2</v>
      </c>
      <c r="H228">
        <v>2016</v>
      </c>
      <c r="I228">
        <v>1.22</v>
      </c>
      <c r="J228">
        <v>1.1000000000000001</v>
      </c>
      <c r="K228">
        <v>0.05</v>
      </c>
      <c r="L228">
        <v>1.1499999999999999</v>
      </c>
      <c r="M228" s="3">
        <v>6.2E-2</v>
      </c>
      <c r="N228" s="3">
        <v>2.8E-3</v>
      </c>
      <c r="O228" s="3">
        <v>6.4799999999999996E-2</v>
      </c>
      <c r="P228" s="3">
        <v>0.90200000000000002</v>
      </c>
      <c r="Q228" s="3">
        <v>4.1000000000000002E-2</v>
      </c>
      <c r="R228" s="3">
        <v>0.94299999999999995</v>
      </c>
      <c r="S228" t="s">
        <v>656</v>
      </c>
      <c r="T228" t="s">
        <v>656</v>
      </c>
      <c r="U228" t="s">
        <v>643</v>
      </c>
    </row>
    <row r="229" spans="1:21" x14ac:dyDescent="0.6">
      <c r="A229">
        <v>129</v>
      </c>
      <c r="B229" t="str">
        <f>"1787"</f>
        <v>1787</v>
      </c>
      <c r="C229" t="s">
        <v>195</v>
      </c>
      <c r="D229" s="1">
        <v>42923</v>
      </c>
      <c r="E229">
        <v>24.7</v>
      </c>
      <c r="F229">
        <v>-0.35</v>
      </c>
      <c r="G229" s="3">
        <v>-1.4E-2</v>
      </c>
      <c r="H229">
        <v>2016</v>
      </c>
      <c r="I229">
        <v>1.81</v>
      </c>
      <c r="J229">
        <v>1.53</v>
      </c>
      <c r="K229">
        <v>0</v>
      </c>
      <c r="L229">
        <v>1.53</v>
      </c>
      <c r="M229" s="3">
        <v>6.1899999999999997E-2</v>
      </c>
      <c r="N229" s="2">
        <v>0</v>
      </c>
      <c r="O229" s="3">
        <v>6.1899999999999997E-2</v>
      </c>
      <c r="P229" s="3">
        <v>0.84499999999999997</v>
      </c>
      <c r="Q229" s="2">
        <v>0</v>
      </c>
      <c r="R229" s="3">
        <v>0.84499999999999997</v>
      </c>
      <c r="S229" t="s">
        <v>598</v>
      </c>
      <c r="U229" t="s">
        <v>608</v>
      </c>
    </row>
    <row r="230" spans="1:21" x14ac:dyDescent="0.6">
      <c r="A230">
        <v>229</v>
      </c>
      <c r="B230" t="str">
        <f>"1307"</f>
        <v>1307</v>
      </c>
      <c r="C230" t="s">
        <v>308</v>
      </c>
      <c r="D230" s="1">
        <v>42923</v>
      </c>
      <c r="E230">
        <v>36.299999999999997</v>
      </c>
      <c r="F230">
        <v>-0.25</v>
      </c>
      <c r="G230" s="3">
        <v>-6.7999999999999996E-3</v>
      </c>
      <c r="H230">
        <v>2016</v>
      </c>
      <c r="I230">
        <v>2.85</v>
      </c>
      <c r="J230">
        <v>1.7</v>
      </c>
      <c r="K230">
        <v>0.3</v>
      </c>
      <c r="L230">
        <v>2</v>
      </c>
      <c r="M230" s="3">
        <v>4.6800000000000001E-2</v>
      </c>
      <c r="N230" s="3">
        <v>8.3000000000000001E-3</v>
      </c>
      <c r="O230" s="3">
        <v>5.5100000000000003E-2</v>
      </c>
      <c r="P230" s="3">
        <v>0.59599999999999997</v>
      </c>
      <c r="Q230" s="3">
        <v>0.105</v>
      </c>
      <c r="R230" s="3">
        <v>0.70199999999999996</v>
      </c>
      <c r="S230" t="s">
        <v>617</v>
      </c>
      <c r="T230" t="s">
        <v>617</v>
      </c>
      <c r="U230" t="s">
        <v>620</v>
      </c>
    </row>
    <row r="231" spans="1:21" x14ac:dyDescent="0.6">
      <c r="A231">
        <v>251</v>
      </c>
      <c r="B231" t="str">
        <f>"2850"</f>
        <v>2850</v>
      </c>
      <c r="C231" t="s">
        <v>330</v>
      </c>
      <c r="D231" s="1">
        <v>42923</v>
      </c>
      <c r="E231">
        <v>25.45</v>
      </c>
      <c r="F231">
        <v>0.05</v>
      </c>
      <c r="G231" s="3">
        <v>2E-3</v>
      </c>
      <c r="H231">
        <v>2016</v>
      </c>
      <c r="I231">
        <v>3.97</v>
      </c>
      <c r="J231">
        <v>1.57</v>
      </c>
      <c r="K231">
        <v>0</v>
      </c>
      <c r="L231">
        <v>1.57</v>
      </c>
      <c r="M231" s="3">
        <v>6.1800000000000001E-2</v>
      </c>
      <c r="N231" s="2">
        <v>0</v>
      </c>
      <c r="O231" s="3">
        <v>6.1800000000000001E-2</v>
      </c>
      <c r="P231" s="3">
        <v>0.39600000000000002</v>
      </c>
      <c r="Q231" s="2">
        <v>0</v>
      </c>
      <c r="R231" s="3">
        <v>0.39600000000000002</v>
      </c>
      <c r="S231" t="s">
        <v>641</v>
      </c>
      <c r="U231" t="s">
        <v>637</v>
      </c>
    </row>
    <row r="232" spans="1:21" x14ac:dyDescent="0.6">
      <c r="A232">
        <v>259</v>
      </c>
      <c r="B232" t="str">
        <f>"3360"</f>
        <v>3360</v>
      </c>
      <c r="C232" t="s">
        <v>338</v>
      </c>
      <c r="D232" s="1">
        <v>42923</v>
      </c>
      <c r="E232">
        <v>20.350000000000001</v>
      </c>
      <c r="F232">
        <v>-0.15</v>
      </c>
      <c r="G232" s="3">
        <v>-7.3000000000000001E-3</v>
      </c>
      <c r="H232">
        <v>2016</v>
      </c>
      <c r="I232">
        <v>0.91</v>
      </c>
      <c r="J232">
        <v>1.26</v>
      </c>
      <c r="K232">
        <v>0</v>
      </c>
      <c r="L232">
        <v>1.26</v>
      </c>
      <c r="M232" s="3">
        <v>6.1699999999999998E-2</v>
      </c>
      <c r="N232" s="2">
        <v>0</v>
      </c>
      <c r="O232" s="3">
        <v>6.1699999999999998E-2</v>
      </c>
      <c r="P232" s="2">
        <v>1.38</v>
      </c>
      <c r="Q232" s="2">
        <v>0</v>
      </c>
      <c r="R232" s="2">
        <v>1.38</v>
      </c>
      <c r="S232" t="s">
        <v>642</v>
      </c>
      <c r="U232" t="s">
        <v>679</v>
      </c>
    </row>
    <row r="233" spans="1:21" x14ac:dyDescent="0.6">
      <c r="A233">
        <v>15</v>
      </c>
      <c r="B233" t="str">
        <f>"8426"</f>
        <v>8426</v>
      </c>
      <c r="C233" t="s">
        <v>44</v>
      </c>
      <c r="D233" s="1">
        <v>42923</v>
      </c>
      <c r="E233">
        <v>40.6</v>
      </c>
      <c r="F233">
        <v>-0.35</v>
      </c>
      <c r="G233" s="3">
        <v>-8.5000000000000006E-3</v>
      </c>
      <c r="H233">
        <v>2016</v>
      </c>
      <c r="I233">
        <v>3.26</v>
      </c>
      <c r="J233">
        <v>2.5</v>
      </c>
      <c r="K233">
        <v>0</v>
      </c>
      <c r="L233">
        <v>2.5</v>
      </c>
      <c r="M233" s="3">
        <v>6.1600000000000002E-2</v>
      </c>
      <c r="N233" s="2">
        <v>0</v>
      </c>
      <c r="O233" s="3">
        <v>6.1600000000000002E-2</v>
      </c>
      <c r="P233" s="3">
        <v>0.76700000000000002</v>
      </c>
      <c r="Q233" s="2">
        <v>0</v>
      </c>
      <c r="R233" s="3">
        <v>0.76700000000000002</v>
      </c>
      <c r="S233" t="s">
        <v>613</v>
      </c>
      <c r="U233" t="s">
        <v>603</v>
      </c>
    </row>
    <row r="234" spans="1:21" x14ac:dyDescent="0.6">
      <c r="A234">
        <v>100</v>
      </c>
      <c r="B234" t="str">
        <f>"6123"</f>
        <v>6123</v>
      </c>
      <c r="C234" t="s">
        <v>163</v>
      </c>
      <c r="D234" s="1">
        <v>42923</v>
      </c>
      <c r="E234">
        <v>33.799999999999997</v>
      </c>
      <c r="F234">
        <v>-0.15</v>
      </c>
      <c r="G234" s="3">
        <v>-4.4000000000000003E-3</v>
      </c>
      <c r="H234">
        <v>2016</v>
      </c>
      <c r="I234">
        <v>2.25</v>
      </c>
      <c r="J234">
        <v>2.08</v>
      </c>
      <c r="K234">
        <v>0</v>
      </c>
      <c r="L234">
        <v>2.08</v>
      </c>
      <c r="M234" s="3">
        <v>6.1600000000000002E-2</v>
      </c>
      <c r="N234" s="2">
        <v>0</v>
      </c>
      <c r="O234" s="3">
        <v>6.1600000000000002E-2</v>
      </c>
      <c r="P234" s="3">
        <v>0.92400000000000004</v>
      </c>
      <c r="Q234" s="2">
        <v>0</v>
      </c>
      <c r="R234" s="3">
        <v>0.92400000000000004</v>
      </c>
      <c r="S234" t="s">
        <v>648</v>
      </c>
      <c r="U234" t="s">
        <v>603</v>
      </c>
    </row>
    <row r="235" spans="1:21" x14ac:dyDescent="0.6">
      <c r="A235">
        <v>218</v>
      </c>
      <c r="B235" t="str">
        <f>"8255"</f>
        <v>8255</v>
      </c>
      <c r="C235" t="s">
        <v>297</v>
      </c>
      <c r="D235" s="1">
        <v>42923</v>
      </c>
      <c r="E235">
        <v>105.5</v>
      </c>
      <c r="F235">
        <v>-1.5</v>
      </c>
      <c r="G235" s="3">
        <v>-1.4E-2</v>
      </c>
      <c r="H235">
        <v>2016</v>
      </c>
      <c r="I235">
        <v>8.1300000000000008</v>
      </c>
      <c r="J235">
        <v>6.5</v>
      </c>
      <c r="K235">
        <v>0</v>
      </c>
      <c r="L235">
        <v>6.5</v>
      </c>
      <c r="M235" s="3">
        <v>6.1600000000000002E-2</v>
      </c>
      <c r="N235" s="2">
        <v>0</v>
      </c>
      <c r="O235" s="3">
        <v>6.1600000000000002E-2</v>
      </c>
      <c r="P235" s="2">
        <v>0.8</v>
      </c>
      <c r="Q235" s="2">
        <v>0</v>
      </c>
      <c r="R235" s="2">
        <v>0.8</v>
      </c>
      <c r="S235" t="s">
        <v>641</v>
      </c>
      <c r="U235" t="s">
        <v>637</v>
      </c>
    </row>
    <row r="236" spans="1:21" x14ac:dyDescent="0.6">
      <c r="A236">
        <v>219</v>
      </c>
      <c r="B236" t="str">
        <f>"3026"</f>
        <v>3026</v>
      </c>
      <c r="C236" t="s">
        <v>298</v>
      </c>
      <c r="D236" s="1">
        <v>42923</v>
      </c>
      <c r="E236">
        <v>40.6</v>
      </c>
      <c r="F236">
        <v>-0.3</v>
      </c>
      <c r="G236" s="3">
        <v>-7.3000000000000001E-3</v>
      </c>
      <c r="H236">
        <v>2016</v>
      </c>
      <c r="I236">
        <v>2.67</v>
      </c>
      <c r="J236">
        <v>2.5</v>
      </c>
      <c r="K236">
        <v>0</v>
      </c>
      <c r="L236">
        <v>2.5</v>
      </c>
      <c r="M236" s="3">
        <v>6.1600000000000002E-2</v>
      </c>
      <c r="N236" s="2">
        <v>0</v>
      </c>
      <c r="O236" s="3">
        <v>6.1600000000000002E-2</v>
      </c>
      <c r="P236" s="3">
        <v>0.93600000000000005</v>
      </c>
      <c r="Q236" s="2">
        <v>0</v>
      </c>
      <c r="R236" s="3">
        <v>0.93600000000000005</v>
      </c>
      <c r="S236" t="s">
        <v>599</v>
      </c>
      <c r="U236" t="s">
        <v>619</v>
      </c>
    </row>
    <row r="237" spans="1:21" x14ac:dyDescent="0.6">
      <c r="A237">
        <v>236</v>
      </c>
      <c r="B237" t="str">
        <f>"4706"</f>
        <v>4706</v>
      </c>
      <c r="C237" t="s">
        <v>315</v>
      </c>
      <c r="D237" s="1">
        <v>42923</v>
      </c>
      <c r="E237">
        <v>21.55</v>
      </c>
      <c r="F237">
        <v>0.15</v>
      </c>
      <c r="G237" s="3">
        <v>7.0000000000000001E-3</v>
      </c>
      <c r="H237">
        <v>2016</v>
      </c>
      <c r="I237">
        <v>1.35</v>
      </c>
      <c r="J237">
        <v>0.9</v>
      </c>
      <c r="K237">
        <v>0</v>
      </c>
      <c r="L237">
        <v>0.9</v>
      </c>
      <c r="M237" s="3">
        <v>4.1799999999999997E-2</v>
      </c>
      <c r="N237" s="2">
        <v>0</v>
      </c>
      <c r="O237" s="3">
        <v>4.1799999999999997E-2</v>
      </c>
      <c r="P237" s="3">
        <v>0.66700000000000004</v>
      </c>
      <c r="Q237" s="2">
        <v>0</v>
      </c>
      <c r="R237" s="3">
        <v>0.66700000000000004</v>
      </c>
      <c r="S237" t="s">
        <v>597</v>
      </c>
      <c r="U237" t="s">
        <v>604</v>
      </c>
    </row>
    <row r="238" spans="1:21" x14ac:dyDescent="0.6">
      <c r="A238">
        <v>146</v>
      </c>
      <c r="B238" t="str">
        <f>"6442"</f>
        <v>6442</v>
      </c>
      <c r="C238" t="s">
        <v>214</v>
      </c>
      <c r="D238" s="1">
        <v>42923</v>
      </c>
      <c r="E238">
        <v>48.8</v>
      </c>
      <c r="F238">
        <v>-0.75</v>
      </c>
      <c r="G238" s="3">
        <v>-1.5100000000000001E-2</v>
      </c>
      <c r="H238">
        <v>2016</v>
      </c>
      <c r="I238">
        <v>5.05</v>
      </c>
      <c r="J238">
        <v>3</v>
      </c>
      <c r="K238">
        <v>0</v>
      </c>
      <c r="L238">
        <v>3</v>
      </c>
      <c r="M238" s="3">
        <v>6.1499999999999999E-2</v>
      </c>
      <c r="N238" s="2">
        <v>0</v>
      </c>
      <c r="O238" s="3">
        <v>6.1499999999999999E-2</v>
      </c>
      <c r="P238" s="3">
        <v>0.59399999999999997</v>
      </c>
      <c r="Q238" s="2">
        <v>0</v>
      </c>
      <c r="R238" s="3">
        <v>0.59399999999999997</v>
      </c>
      <c r="S238" t="s">
        <v>598</v>
      </c>
      <c r="U238" t="s">
        <v>611</v>
      </c>
    </row>
    <row r="239" spans="1:21" x14ac:dyDescent="0.6">
      <c r="A239">
        <v>220</v>
      </c>
      <c r="B239" t="str">
        <f>"2484"</f>
        <v>2484</v>
      </c>
      <c r="C239" t="s">
        <v>299</v>
      </c>
      <c r="D239" s="1">
        <v>42923</v>
      </c>
      <c r="E239">
        <v>19.5</v>
      </c>
      <c r="F239">
        <v>-0.2</v>
      </c>
      <c r="G239" s="3">
        <v>-1.0200000000000001E-2</v>
      </c>
      <c r="H239">
        <v>2016</v>
      </c>
      <c r="I239">
        <v>1.67</v>
      </c>
      <c r="J239">
        <v>1.2</v>
      </c>
      <c r="K239">
        <v>0</v>
      </c>
      <c r="L239">
        <v>1.2</v>
      </c>
      <c r="M239" s="3">
        <v>6.1499999999999999E-2</v>
      </c>
      <c r="N239" s="2">
        <v>0</v>
      </c>
      <c r="O239" s="3">
        <v>6.1499999999999999E-2</v>
      </c>
      <c r="P239" s="3">
        <v>0.71899999999999997</v>
      </c>
      <c r="Q239" s="2">
        <v>0</v>
      </c>
      <c r="R239" s="3">
        <v>0.71899999999999997</v>
      </c>
      <c r="S239" t="s">
        <v>623</v>
      </c>
      <c r="U239" t="s">
        <v>632</v>
      </c>
    </row>
    <row r="240" spans="1:21" x14ac:dyDescent="0.6">
      <c r="A240">
        <v>239</v>
      </c>
      <c r="B240" t="str">
        <f>"2836"</f>
        <v>2836</v>
      </c>
      <c r="C240" t="s">
        <v>318</v>
      </c>
      <c r="D240" s="1">
        <v>42923</v>
      </c>
      <c r="E240">
        <v>9.9700000000000006</v>
      </c>
      <c r="F240">
        <v>-0.02</v>
      </c>
      <c r="G240" s="3">
        <v>-2E-3</v>
      </c>
      <c r="H240">
        <v>2016</v>
      </c>
      <c r="I240">
        <v>0.76</v>
      </c>
      <c r="J240">
        <v>0.03</v>
      </c>
      <c r="K240">
        <v>0.52</v>
      </c>
      <c r="L240">
        <v>0.55000000000000004</v>
      </c>
      <c r="M240" s="3">
        <v>3.0000000000000001E-3</v>
      </c>
      <c r="N240" s="3">
        <v>5.2200000000000003E-2</v>
      </c>
      <c r="O240" s="3">
        <v>5.5199999999999999E-2</v>
      </c>
      <c r="P240" s="3">
        <v>3.95E-2</v>
      </c>
      <c r="Q240" s="3">
        <v>0.68400000000000005</v>
      </c>
      <c r="R240" s="3">
        <v>0.72399999999999998</v>
      </c>
      <c r="S240" t="s">
        <v>639</v>
      </c>
      <c r="T240" t="s">
        <v>639</v>
      </c>
      <c r="U240" t="s">
        <v>676</v>
      </c>
    </row>
    <row r="241" spans="1:21" x14ac:dyDescent="0.6">
      <c r="A241">
        <v>372</v>
      </c>
      <c r="B241" t="str">
        <f>"3416"</f>
        <v>3416</v>
      </c>
      <c r="C241" t="s">
        <v>455</v>
      </c>
      <c r="D241" s="1">
        <v>42923</v>
      </c>
      <c r="E241">
        <v>56.9</v>
      </c>
      <c r="F241">
        <v>-0.4</v>
      </c>
      <c r="G241" s="3">
        <v>-7.0000000000000001E-3</v>
      </c>
      <c r="H241">
        <v>2016</v>
      </c>
      <c r="I241">
        <v>3.52</v>
      </c>
      <c r="J241">
        <v>3.5</v>
      </c>
      <c r="K241">
        <v>0</v>
      </c>
      <c r="L241">
        <v>3.5</v>
      </c>
      <c r="M241" s="3">
        <v>6.1499999999999999E-2</v>
      </c>
      <c r="N241" s="2">
        <v>0</v>
      </c>
      <c r="O241" s="3">
        <v>6.1499999999999999E-2</v>
      </c>
      <c r="P241" s="3">
        <v>0.99399999999999999</v>
      </c>
      <c r="Q241" s="2">
        <v>0</v>
      </c>
      <c r="R241" s="3">
        <v>0.99399999999999999</v>
      </c>
      <c r="S241" t="s">
        <v>601</v>
      </c>
      <c r="U241" t="s">
        <v>614</v>
      </c>
    </row>
    <row r="242" spans="1:21" x14ac:dyDescent="0.6">
      <c r="A242">
        <v>401</v>
      </c>
      <c r="B242" t="str">
        <f>"3131"</f>
        <v>3131</v>
      </c>
      <c r="C242" t="s">
        <v>487</v>
      </c>
      <c r="D242" s="1">
        <v>42923</v>
      </c>
      <c r="E242">
        <v>195.5</v>
      </c>
      <c r="F242">
        <v>2</v>
      </c>
      <c r="G242" s="3">
        <v>1.03E-2</v>
      </c>
      <c r="H242">
        <v>2016</v>
      </c>
      <c r="I242">
        <v>16.41</v>
      </c>
      <c r="J242">
        <v>12</v>
      </c>
      <c r="K242">
        <v>0</v>
      </c>
      <c r="L242">
        <v>12</v>
      </c>
      <c r="M242" s="3">
        <v>6.1400000000000003E-2</v>
      </c>
      <c r="N242" s="2">
        <v>0</v>
      </c>
      <c r="O242" s="3">
        <v>6.1400000000000003E-2</v>
      </c>
      <c r="P242" s="3">
        <v>0.73099999999999998</v>
      </c>
      <c r="Q242" s="2">
        <v>0</v>
      </c>
      <c r="R242" s="3">
        <v>0.73099999999999998</v>
      </c>
      <c r="S242" t="s">
        <v>641</v>
      </c>
      <c r="U242" t="s">
        <v>614</v>
      </c>
    </row>
    <row r="243" spans="1:21" x14ac:dyDescent="0.6">
      <c r="A243">
        <v>242</v>
      </c>
      <c r="B243" t="str">
        <f>"8155"</f>
        <v>8155</v>
      </c>
      <c r="C243" t="s">
        <v>321</v>
      </c>
      <c r="D243" s="1">
        <v>42923</v>
      </c>
      <c r="E243">
        <v>48.85</v>
      </c>
      <c r="F243">
        <v>-0.25</v>
      </c>
      <c r="G243" s="3">
        <v>-5.1000000000000004E-3</v>
      </c>
      <c r="H243">
        <v>2016</v>
      </c>
      <c r="I243">
        <v>1.81</v>
      </c>
      <c r="J243">
        <v>2</v>
      </c>
      <c r="K243">
        <v>0</v>
      </c>
      <c r="L243">
        <v>2</v>
      </c>
      <c r="M243" s="3">
        <v>4.0899999999999999E-2</v>
      </c>
      <c r="N243" s="2">
        <v>0</v>
      </c>
      <c r="O243" s="3">
        <v>4.0899999999999999E-2</v>
      </c>
      <c r="P243" s="2">
        <v>1.1000000000000001</v>
      </c>
      <c r="Q243" s="2">
        <v>0</v>
      </c>
      <c r="R243" s="2">
        <v>1.1000000000000001</v>
      </c>
      <c r="S243" t="s">
        <v>655</v>
      </c>
      <c r="U243" t="s">
        <v>618</v>
      </c>
    </row>
    <row r="244" spans="1:21" x14ac:dyDescent="0.6">
      <c r="A244">
        <v>243</v>
      </c>
      <c r="B244" t="str">
        <f>"1303"</f>
        <v>1303</v>
      </c>
      <c r="C244" t="s">
        <v>322</v>
      </c>
      <c r="D244" s="1">
        <v>42923</v>
      </c>
      <c r="E244">
        <v>75.099999999999994</v>
      </c>
      <c r="F244">
        <v>-0.5</v>
      </c>
      <c r="G244" s="3">
        <v>-6.6E-3</v>
      </c>
      <c r="H244">
        <v>2016</v>
      </c>
      <c r="I244">
        <v>4.5</v>
      </c>
      <c r="J244">
        <v>3.3</v>
      </c>
      <c r="K244">
        <v>0</v>
      </c>
      <c r="L244">
        <v>3.3</v>
      </c>
      <c r="M244" s="3">
        <v>4.3900000000000002E-2</v>
      </c>
      <c r="N244" s="2">
        <v>0</v>
      </c>
      <c r="O244" s="3">
        <v>4.3900000000000002E-2</v>
      </c>
      <c r="P244" s="3">
        <v>0.73299999999999998</v>
      </c>
      <c r="Q244" s="2">
        <v>0</v>
      </c>
      <c r="R244" s="3">
        <v>0.73299999999999998</v>
      </c>
      <c r="S244" t="s">
        <v>643</v>
      </c>
      <c r="U244" t="s">
        <v>664</v>
      </c>
    </row>
    <row r="245" spans="1:21" x14ac:dyDescent="0.6">
      <c r="A245">
        <v>402</v>
      </c>
      <c r="B245" t="str">
        <f>"6206"</f>
        <v>6206</v>
      </c>
      <c r="C245" t="s">
        <v>488</v>
      </c>
      <c r="D245" s="1">
        <v>42923</v>
      </c>
      <c r="E245">
        <v>97.9</v>
      </c>
      <c r="F245">
        <v>-0.5</v>
      </c>
      <c r="G245" s="3">
        <v>-5.1000000000000004E-3</v>
      </c>
      <c r="H245">
        <v>2016</v>
      </c>
      <c r="I245">
        <v>7.02</v>
      </c>
      <c r="J245">
        <v>6</v>
      </c>
      <c r="K245">
        <v>0</v>
      </c>
      <c r="L245">
        <v>6</v>
      </c>
      <c r="M245" s="3">
        <v>6.13E-2</v>
      </c>
      <c r="N245" s="2">
        <v>0</v>
      </c>
      <c r="O245" s="3">
        <v>6.13E-2</v>
      </c>
      <c r="P245" s="3">
        <v>0.85499999999999998</v>
      </c>
      <c r="Q245" s="2">
        <v>0</v>
      </c>
      <c r="R245" s="3">
        <v>0.85499999999999998</v>
      </c>
      <c r="S245" t="s">
        <v>611</v>
      </c>
      <c r="U245" t="s">
        <v>682</v>
      </c>
    </row>
    <row r="246" spans="1:21" x14ac:dyDescent="0.6">
      <c r="A246">
        <v>224</v>
      </c>
      <c r="B246" t="str">
        <f>"2393"</f>
        <v>2393</v>
      </c>
      <c r="C246" t="s">
        <v>303</v>
      </c>
      <c r="D246" s="1">
        <v>42923</v>
      </c>
      <c r="E246">
        <v>48.95</v>
      </c>
      <c r="F246">
        <v>0</v>
      </c>
      <c r="G246" s="2">
        <v>0</v>
      </c>
      <c r="H246">
        <v>2016</v>
      </c>
      <c r="I246">
        <v>4.2699999999999996</v>
      </c>
      <c r="J246">
        <v>3</v>
      </c>
      <c r="K246">
        <v>0</v>
      </c>
      <c r="L246">
        <v>3</v>
      </c>
      <c r="M246" s="3">
        <v>6.1199999999999997E-2</v>
      </c>
      <c r="N246" s="2">
        <v>0</v>
      </c>
      <c r="O246" s="3">
        <v>6.1199999999999997E-2</v>
      </c>
      <c r="P246" s="3">
        <v>0.70299999999999996</v>
      </c>
      <c r="Q246" s="2">
        <v>0</v>
      </c>
      <c r="R246" s="3">
        <v>0.70299999999999996</v>
      </c>
      <c r="S246" t="s">
        <v>617</v>
      </c>
      <c r="U246" t="s">
        <v>620</v>
      </c>
    </row>
    <row r="247" spans="1:21" x14ac:dyDescent="0.6">
      <c r="A247">
        <v>432</v>
      </c>
      <c r="B247" t="str">
        <f>"9934"</f>
        <v>9934</v>
      </c>
      <c r="C247" t="s">
        <v>520</v>
      </c>
      <c r="D247" s="1">
        <v>42923</v>
      </c>
      <c r="E247">
        <v>19.649999999999999</v>
      </c>
      <c r="F247">
        <v>-0.05</v>
      </c>
      <c r="G247" s="3">
        <v>-2.5000000000000001E-3</v>
      </c>
      <c r="H247">
        <v>2016</v>
      </c>
      <c r="I247">
        <v>1.42</v>
      </c>
      <c r="J247">
        <v>1.2</v>
      </c>
      <c r="K247">
        <v>0</v>
      </c>
      <c r="L247">
        <v>1.2</v>
      </c>
      <c r="M247" s="3">
        <v>6.1100000000000002E-2</v>
      </c>
      <c r="N247" s="2">
        <v>0</v>
      </c>
      <c r="O247" s="3">
        <v>6.1100000000000002E-2</v>
      </c>
      <c r="P247" s="3">
        <v>0.84499999999999997</v>
      </c>
      <c r="Q247" s="2">
        <v>0</v>
      </c>
      <c r="R247" s="3">
        <v>0.84499999999999997</v>
      </c>
      <c r="S247" t="s">
        <v>598</v>
      </c>
      <c r="U247" t="s">
        <v>614</v>
      </c>
    </row>
    <row r="248" spans="1:21" x14ac:dyDescent="0.6">
      <c r="A248">
        <v>436</v>
      </c>
      <c r="B248" t="str">
        <f>"5460"</f>
        <v>5460</v>
      </c>
      <c r="C248" t="s">
        <v>526</v>
      </c>
      <c r="D248" s="1">
        <v>42923</v>
      </c>
      <c r="E248">
        <v>13.1</v>
      </c>
      <c r="F248">
        <v>0.05</v>
      </c>
      <c r="G248" s="3">
        <v>3.8E-3</v>
      </c>
      <c r="H248">
        <v>2016</v>
      </c>
      <c r="I248">
        <v>1.04</v>
      </c>
      <c r="J248">
        <v>0.8</v>
      </c>
      <c r="K248">
        <v>0</v>
      </c>
      <c r="L248">
        <v>0.8</v>
      </c>
      <c r="M248" s="3">
        <v>6.1100000000000002E-2</v>
      </c>
      <c r="N248" s="2">
        <v>0</v>
      </c>
      <c r="O248" s="3">
        <v>6.1100000000000002E-2</v>
      </c>
      <c r="P248" s="3">
        <v>0.76900000000000002</v>
      </c>
      <c r="Q248" s="2">
        <v>0</v>
      </c>
      <c r="R248" s="3">
        <v>0.76900000000000002</v>
      </c>
      <c r="S248" t="s">
        <v>616</v>
      </c>
      <c r="U248" t="s">
        <v>652</v>
      </c>
    </row>
    <row r="249" spans="1:21" x14ac:dyDescent="0.6">
      <c r="A249">
        <v>87</v>
      </c>
      <c r="B249" t="str">
        <f>"3303"</f>
        <v>3303</v>
      </c>
      <c r="C249" t="s">
        <v>150</v>
      </c>
      <c r="D249" s="1">
        <v>42923</v>
      </c>
      <c r="E249">
        <v>19.8</v>
      </c>
      <c r="F249">
        <v>0</v>
      </c>
      <c r="G249" s="2">
        <v>0</v>
      </c>
      <c r="H249">
        <v>2016</v>
      </c>
      <c r="I249">
        <v>1.53</v>
      </c>
      <c r="J249">
        <v>1.2</v>
      </c>
      <c r="K249">
        <v>0</v>
      </c>
      <c r="L249">
        <v>1.2</v>
      </c>
      <c r="M249" s="3">
        <v>6.0600000000000001E-2</v>
      </c>
      <c r="N249" s="2">
        <v>0</v>
      </c>
      <c r="O249" s="3">
        <v>6.0600000000000001E-2</v>
      </c>
      <c r="P249" s="3">
        <v>0.78400000000000003</v>
      </c>
      <c r="Q249" s="2">
        <v>0</v>
      </c>
      <c r="R249" s="3">
        <v>0.78400000000000003</v>
      </c>
      <c r="S249" t="s">
        <v>596</v>
      </c>
      <c r="U249" t="s">
        <v>599</v>
      </c>
    </row>
    <row r="250" spans="1:21" x14ac:dyDescent="0.6">
      <c r="A250">
        <v>249</v>
      </c>
      <c r="B250" t="str">
        <f>"1234"</f>
        <v>1234</v>
      </c>
      <c r="C250" t="s">
        <v>328</v>
      </c>
      <c r="D250" s="1">
        <v>42923</v>
      </c>
      <c r="E250">
        <v>33.65</v>
      </c>
      <c r="F250">
        <v>-0.25</v>
      </c>
      <c r="G250" s="3">
        <v>-7.4000000000000003E-3</v>
      </c>
      <c r="H250">
        <v>2016</v>
      </c>
      <c r="I250">
        <v>1.54</v>
      </c>
      <c r="J250">
        <v>1.5</v>
      </c>
      <c r="K250">
        <v>0</v>
      </c>
      <c r="L250">
        <v>1.5</v>
      </c>
      <c r="M250" s="3">
        <v>4.4600000000000001E-2</v>
      </c>
      <c r="N250" s="2">
        <v>0</v>
      </c>
      <c r="O250" s="3">
        <v>4.4600000000000001E-2</v>
      </c>
      <c r="P250" s="3">
        <v>0.97399999999999998</v>
      </c>
      <c r="Q250" s="2">
        <v>0</v>
      </c>
      <c r="R250" s="3">
        <v>0.97399999999999998</v>
      </c>
      <c r="S250" t="s">
        <v>617</v>
      </c>
      <c r="U250" t="s">
        <v>614</v>
      </c>
    </row>
    <row r="251" spans="1:21" x14ac:dyDescent="0.6">
      <c r="A251">
        <v>250</v>
      </c>
      <c r="B251" t="str">
        <f>"2616"</f>
        <v>2616</v>
      </c>
      <c r="C251" t="s">
        <v>329</v>
      </c>
      <c r="D251" s="1">
        <v>42923</v>
      </c>
      <c r="E251">
        <v>34.6</v>
      </c>
      <c r="F251">
        <v>-0.1</v>
      </c>
      <c r="G251" s="3">
        <v>-2.8999999999999998E-3</v>
      </c>
      <c r="H251">
        <v>2016</v>
      </c>
      <c r="I251">
        <v>1.9</v>
      </c>
      <c r="J251">
        <v>1.49</v>
      </c>
      <c r="K251">
        <v>0</v>
      </c>
      <c r="L251">
        <v>1.49</v>
      </c>
      <c r="M251" s="3">
        <v>4.2999999999999997E-2</v>
      </c>
      <c r="N251" s="2">
        <v>0</v>
      </c>
      <c r="O251" s="3">
        <v>4.2999999999999997E-2</v>
      </c>
      <c r="P251" s="3">
        <v>0.78400000000000003</v>
      </c>
      <c r="Q251" s="2">
        <v>0</v>
      </c>
      <c r="R251" s="3">
        <v>0.78400000000000003</v>
      </c>
      <c r="S251" t="s">
        <v>598</v>
      </c>
      <c r="U251" t="s">
        <v>620</v>
      </c>
    </row>
    <row r="252" spans="1:21" x14ac:dyDescent="0.6">
      <c r="A252">
        <v>163</v>
      </c>
      <c r="B252" t="str">
        <f>"3213"</f>
        <v>3213</v>
      </c>
      <c r="C252" t="s">
        <v>235</v>
      </c>
      <c r="D252" s="1">
        <v>42923</v>
      </c>
      <c r="E252">
        <v>51.4</v>
      </c>
      <c r="F252">
        <v>0.4</v>
      </c>
      <c r="G252" s="3">
        <v>7.7999999999999996E-3</v>
      </c>
      <c r="H252">
        <v>2016</v>
      </c>
      <c r="I252">
        <v>3.98</v>
      </c>
      <c r="J252">
        <v>3.1</v>
      </c>
      <c r="K252">
        <v>0</v>
      </c>
      <c r="L252">
        <v>3.1</v>
      </c>
      <c r="M252" s="3">
        <v>6.0299999999999999E-2</v>
      </c>
      <c r="N252" s="2">
        <v>0</v>
      </c>
      <c r="O252" s="3">
        <v>6.0299999999999999E-2</v>
      </c>
      <c r="P252" s="3">
        <v>0.77900000000000003</v>
      </c>
      <c r="Q252" s="2">
        <v>0</v>
      </c>
      <c r="R252" s="3">
        <v>0.77900000000000003</v>
      </c>
      <c r="S252" t="s">
        <v>627</v>
      </c>
      <c r="U252" t="s">
        <v>622</v>
      </c>
    </row>
    <row r="253" spans="1:21" x14ac:dyDescent="0.6">
      <c r="A253">
        <v>252</v>
      </c>
      <c r="B253" t="str">
        <f>"2352"</f>
        <v>2352</v>
      </c>
      <c r="C253" t="s">
        <v>331</v>
      </c>
      <c r="D253" s="1">
        <v>42923</v>
      </c>
      <c r="E253">
        <v>22.25</v>
      </c>
      <c r="F253">
        <v>-0.15</v>
      </c>
      <c r="G253" s="3">
        <v>-6.7000000000000002E-3</v>
      </c>
      <c r="H253">
        <v>2016</v>
      </c>
      <c r="I253">
        <v>1.1000000000000001</v>
      </c>
      <c r="J253">
        <v>0.55000000000000004</v>
      </c>
      <c r="K253">
        <v>0</v>
      </c>
      <c r="L253">
        <v>0.55000000000000004</v>
      </c>
      <c r="M253" s="3">
        <v>2.47E-2</v>
      </c>
      <c r="N253" s="2">
        <v>0</v>
      </c>
      <c r="O253" s="3">
        <v>2.47E-2</v>
      </c>
      <c r="P253" s="2">
        <v>0.5</v>
      </c>
      <c r="Q253" s="2">
        <v>0</v>
      </c>
      <c r="R253" s="2">
        <v>0.5</v>
      </c>
      <c r="S253" t="s">
        <v>596</v>
      </c>
      <c r="U253" t="s">
        <v>599</v>
      </c>
    </row>
    <row r="254" spans="1:21" x14ac:dyDescent="0.6">
      <c r="A254">
        <v>253</v>
      </c>
      <c r="B254" t="str">
        <f>"2015"</f>
        <v>2015</v>
      </c>
      <c r="C254" t="s">
        <v>332</v>
      </c>
      <c r="D254" s="1">
        <v>42923</v>
      </c>
      <c r="E254">
        <v>50.6</v>
      </c>
      <c r="F254">
        <v>-0.4</v>
      </c>
      <c r="G254" s="3">
        <v>-7.7999999999999996E-3</v>
      </c>
      <c r="H254">
        <v>2016</v>
      </c>
      <c r="I254">
        <v>3.45</v>
      </c>
      <c r="J254">
        <v>2.5</v>
      </c>
      <c r="K254">
        <v>0</v>
      </c>
      <c r="L254">
        <v>2.5</v>
      </c>
      <c r="M254" s="3">
        <v>4.9399999999999999E-2</v>
      </c>
      <c r="N254" s="2">
        <v>0</v>
      </c>
      <c r="O254" s="3">
        <v>4.9399999999999999E-2</v>
      </c>
      <c r="P254" s="3">
        <v>0.72499999999999998</v>
      </c>
      <c r="Q254" s="2">
        <v>0</v>
      </c>
      <c r="R254" s="3">
        <v>0.72499999999999998</v>
      </c>
      <c r="S254" t="s">
        <v>635</v>
      </c>
      <c r="U254" t="s">
        <v>601</v>
      </c>
    </row>
    <row r="255" spans="1:21" x14ac:dyDescent="0.6">
      <c r="A255">
        <v>254</v>
      </c>
      <c r="B255" t="str">
        <f>"1712"</f>
        <v>1712</v>
      </c>
      <c r="C255" t="s">
        <v>333</v>
      </c>
      <c r="D255" s="1">
        <v>42923</v>
      </c>
      <c r="E255">
        <v>15.85</v>
      </c>
      <c r="F255">
        <v>-0.1</v>
      </c>
      <c r="G255" s="3">
        <v>-6.3E-3</v>
      </c>
      <c r="H255">
        <v>2016</v>
      </c>
      <c r="I255">
        <v>1.03</v>
      </c>
      <c r="J255">
        <v>0.6</v>
      </c>
      <c r="K255">
        <v>0</v>
      </c>
      <c r="L255">
        <v>0.6</v>
      </c>
      <c r="M255" s="3">
        <v>3.7900000000000003E-2</v>
      </c>
      <c r="N255" s="2">
        <v>0</v>
      </c>
      <c r="O255" s="3">
        <v>3.7900000000000003E-2</v>
      </c>
      <c r="P255" s="3">
        <v>0.58199999999999996</v>
      </c>
      <c r="Q255" s="2">
        <v>0</v>
      </c>
      <c r="R255" s="3">
        <v>0.58199999999999996</v>
      </c>
      <c r="S255" t="s">
        <v>596</v>
      </c>
      <c r="U255" t="s">
        <v>608</v>
      </c>
    </row>
    <row r="256" spans="1:21" x14ac:dyDescent="0.6">
      <c r="A256">
        <v>255</v>
      </c>
      <c r="B256" t="str">
        <f>"1305"</f>
        <v>1305</v>
      </c>
      <c r="C256" t="s">
        <v>334</v>
      </c>
      <c r="D256" s="1">
        <v>42923</v>
      </c>
      <c r="E256">
        <v>28.75</v>
      </c>
      <c r="F256">
        <v>-0.25</v>
      </c>
      <c r="G256" s="3">
        <v>-8.6E-3</v>
      </c>
      <c r="H256">
        <v>2016</v>
      </c>
      <c r="I256">
        <v>1.64</v>
      </c>
      <c r="J256">
        <v>1</v>
      </c>
      <c r="K256">
        <v>0.2</v>
      </c>
      <c r="L256">
        <v>1.2</v>
      </c>
      <c r="M256" s="3">
        <v>3.4799999999999998E-2</v>
      </c>
      <c r="N256" s="3">
        <v>7.0000000000000001E-3</v>
      </c>
      <c r="O256" s="3">
        <v>4.1700000000000001E-2</v>
      </c>
      <c r="P256" s="2">
        <v>0.61</v>
      </c>
      <c r="Q256" s="3">
        <v>0.122</v>
      </c>
      <c r="R256" s="3">
        <v>0.73199999999999998</v>
      </c>
      <c r="S256" t="s">
        <v>611</v>
      </c>
      <c r="T256" t="s">
        <v>611</v>
      </c>
      <c r="U256" t="s">
        <v>671</v>
      </c>
    </row>
    <row r="257" spans="1:21" x14ac:dyDescent="0.6">
      <c r="A257">
        <v>349</v>
      </c>
      <c r="B257" t="str">
        <f>"6451"</f>
        <v>6451</v>
      </c>
      <c r="C257" t="s">
        <v>431</v>
      </c>
      <c r="D257" s="1">
        <v>42923</v>
      </c>
      <c r="E257">
        <v>99.9</v>
      </c>
      <c r="F257">
        <v>-3.1</v>
      </c>
      <c r="G257" s="3">
        <v>-3.0099999999999998E-2</v>
      </c>
      <c r="H257">
        <v>2016</v>
      </c>
      <c r="I257">
        <v>10.56</v>
      </c>
      <c r="J257">
        <v>6</v>
      </c>
      <c r="K257">
        <v>0</v>
      </c>
      <c r="L257">
        <v>6</v>
      </c>
      <c r="M257" s="3">
        <v>6.0100000000000001E-2</v>
      </c>
      <c r="N257" s="2">
        <v>0</v>
      </c>
      <c r="O257" s="3">
        <v>6.0100000000000001E-2</v>
      </c>
      <c r="P257" s="3">
        <v>0.56799999999999995</v>
      </c>
      <c r="Q257" s="2">
        <v>0</v>
      </c>
      <c r="R257" s="3">
        <v>0.56799999999999995</v>
      </c>
      <c r="S257" t="s">
        <v>624</v>
      </c>
      <c r="U257" t="s">
        <v>603</v>
      </c>
    </row>
    <row r="258" spans="1:21" x14ac:dyDescent="0.6">
      <c r="A258">
        <v>257</v>
      </c>
      <c r="B258" t="str">
        <f>"2892"</f>
        <v>2892</v>
      </c>
      <c r="C258" t="s">
        <v>336</v>
      </c>
      <c r="D258" s="1">
        <v>42923</v>
      </c>
      <c r="E258">
        <v>20.3</v>
      </c>
      <c r="F258">
        <v>-0.1</v>
      </c>
      <c r="G258" s="3">
        <v>-4.8999999999999998E-3</v>
      </c>
      <c r="H258">
        <v>2016</v>
      </c>
      <c r="I258">
        <v>1.55</v>
      </c>
      <c r="J258">
        <v>0.95</v>
      </c>
      <c r="K258">
        <v>0.45</v>
      </c>
      <c r="L258">
        <v>1.4</v>
      </c>
      <c r="M258" s="3">
        <v>4.6800000000000001E-2</v>
      </c>
      <c r="N258" s="3">
        <v>2.2200000000000001E-2</v>
      </c>
      <c r="O258" s="3">
        <v>6.9000000000000006E-2</v>
      </c>
      <c r="P258" s="3">
        <v>0.61299999999999999</v>
      </c>
      <c r="Q258" s="2">
        <v>0.28999999999999998</v>
      </c>
      <c r="R258" s="3">
        <v>0.90300000000000002</v>
      </c>
      <c r="S258" t="s">
        <v>605</v>
      </c>
      <c r="T258" t="s">
        <v>605</v>
      </c>
      <c r="U258" t="s">
        <v>620</v>
      </c>
    </row>
    <row r="259" spans="1:21" x14ac:dyDescent="0.6">
      <c r="A259">
        <v>241</v>
      </c>
      <c r="B259" t="str">
        <f>"2883"</f>
        <v>2883</v>
      </c>
      <c r="C259" t="s">
        <v>320</v>
      </c>
      <c r="D259" s="1">
        <v>42923</v>
      </c>
      <c r="E259">
        <v>8.33</v>
      </c>
      <c r="F259">
        <v>-0.06</v>
      </c>
      <c r="G259" s="3">
        <v>-7.1999999999999998E-3</v>
      </c>
      <c r="H259">
        <v>2016</v>
      </c>
      <c r="I259">
        <v>0.57999999999999996</v>
      </c>
      <c r="J259">
        <v>0.5</v>
      </c>
      <c r="K259">
        <v>0</v>
      </c>
      <c r="L259">
        <v>0.5</v>
      </c>
      <c r="M259" s="2">
        <v>0.06</v>
      </c>
      <c r="N259" s="2">
        <v>0</v>
      </c>
      <c r="O259" s="2">
        <v>0.06</v>
      </c>
      <c r="P259" s="3">
        <v>0.86199999999999999</v>
      </c>
      <c r="Q259" s="2">
        <v>0</v>
      </c>
      <c r="R259" s="3">
        <v>0.86199999999999999</v>
      </c>
      <c r="S259" t="s">
        <v>677</v>
      </c>
      <c r="U259" t="s">
        <v>654</v>
      </c>
    </row>
    <row r="260" spans="1:21" x14ac:dyDescent="0.6">
      <c r="A260">
        <v>426</v>
      </c>
      <c r="B260" t="str">
        <f>"2066"</f>
        <v>2066</v>
      </c>
      <c r="C260" t="s">
        <v>514</v>
      </c>
      <c r="D260" s="1">
        <v>42923</v>
      </c>
      <c r="E260">
        <v>100</v>
      </c>
      <c r="F260">
        <v>-3</v>
      </c>
      <c r="G260" s="3">
        <v>-2.9100000000000001E-2</v>
      </c>
      <c r="H260">
        <v>2016</v>
      </c>
      <c r="I260">
        <v>7.1</v>
      </c>
      <c r="J260">
        <v>6</v>
      </c>
      <c r="K260">
        <v>0</v>
      </c>
      <c r="L260">
        <v>6</v>
      </c>
      <c r="M260" s="2">
        <v>0.06</v>
      </c>
      <c r="N260" s="2">
        <v>0</v>
      </c>
      <c r="O260" s="2">
        <v>0.06</v>
      </c>
      <c r="P260" s="3">
        <v>0.84499999999999997</v>
      </c>
      <c r="Q260" s="2">
        <v>0</v>
      </c>
      <c r="R260" s="3">
        <v>0.84499999999999997</v>
      </c>
      <c r="S260" t="s">
        <v>622</v>
      </c>
      <c r="U260" t="s">
        <v>649</v>
      </c>
    </row>
    <row r="261" spans="1:21" x14ac:dyDescent="0.6">
      <c r="A261">
        <v>260</v>
      </c>
      <c r="B261" t="str">
        <f>"3548"</f>
        <v>3548</v>
      </c>
      <c r="C261" t="s">
        <v>340</v>
      </c>
      <c r="D261" s="1">
        <v>42923</v>
      </c>
      <c r="E261">
        <v>59.8</v>
      </c>
      <c r="F261">
        <v>-0.2</v>
      </c>
      <c r="G261" s="3">
        <v>-3.3E-3</v>
      </c>
      <c r="H261">
        <v>2016</v>
      </c>
      <c r="I261">
        <v>3.92</v>
      </c>
      <c r="J261">
        <v>1.31</v>
      </c>
      <c r="K261">
        <v>0</v>
      </c>
      <c r="L261">
        <v>1.31</v>
      </c>
      <c r="M261" s="3">
        <v>2.1899999999999999E-2</v>
      </c>
      <c r="N261" s="2">
        <v>0</v>
      </c>
      <c r="O261" s="3">
        <v>2.1899999999999999E-2</v>
      </c>
      <c r="P261" s="3">
        <v>0.33400000000000002</v>
      </c>
      <c r="Q261" s="2">
        <v>0</v>
      </c>
      <c r="R261" s="3">
        <v>0.33400000000000002</v>
      </c>
      <c r="S261" t="s">
        <v>665</v>
      </c>
      <c r="T261" t="s">
        <v>665</v>
      </c>
      <c r="U261" t="s">
        <v>667</v>
      </c>
    </row>
    <row r="262" spans="1:21" x14ac:dyDescent="0.6">
      <c r="A262">
        <v>133</v>
      </c>
      <c r="B262" t="str">
        <f>"6281"</f>
        <v>6281</v>
      </c>
      <c r="C262" t="s">
        <v>199</v>
      </c>
      <c r="D262" s="1">
        <v>42923</v>
      </c>
      <c r="E262">
        <v>61.8</v>
      </c>
      <c r="F262">
        <v>0.2</v>
      </c>
      <c r="G262" s="3">
        <v>3.2000000000000002E-3</v>
      </c>
      <c r="H262">
        <v>2016</v>
      </c>
      <c r="I262">
        <v>4.37</v>
      </c>
      <c r="J262">
        <v>3.7</v>
      </c>
      <c r="K262">
        <v>0</v>
      </c>
      <c r="L262">
        <v>3.7</v>
      </c>
      <c r="M262" s="3">
        <v>5.9900000000000002E-2</v>
      </c>
      <c r="N262" s="2">
        <v>0</v>
      </c>
      <c r="O262" s="3">
        <v>5.9900000000000002E-2</v>
      </c>
      <c r="P262" s="3">
        <v>0.84699999999999998</v>
      </c>
      <c r="Q262" s="2">
        <v>0</v>
      </c>
      <c r="R262" s="3">
        <v>0.84699999999999998</v>
      </c>
      <c r="S262" t="s">
        <v>653</v>
      </c>
      <c r="U262" t="s">
        <v>640</v>
      </c>
    </row>
    <row r="263" spans="1:21" x14ac:dyDescent="0.6">
      <c r="A263">
        <v>262</v>
      </c>
      <c r="B263" t="str">
        <f>"4737"</f>
        <v>4737</v>
      </c>
      <c r="C263" t="s">
        <v>342</v>
      </c>
      <c r="D263" s="1">
        <v>42923</v>
      </c>
      <c r="E263">
        <v>70.400000000000006</v>
      </c>
      <c r="F263">
        <v>-0.5</v>
      </c>
      <c r="G263" s="3">
        <v>-7.1000000000000004E-3</v>
      </c>
      <c r="H263">
        <v>2016</v>
      </c>
      <c r="I263">
        <v>1.91</v>
      </c>
      <c r="J263">
        <v>2</v>
      </c>
      <c r="K263">
        <v>0</v>
      </c>
      <c r="L263">
        <v>2</v>
      </c>
      <c r="M263" s="3">
        <v>2.8400000000000002E-2</v>
      </c>
      <c r="N263" s="2">
        <v>0</v>
      </c>
      <c r="O263" s="3">
        <v>2.8400000000000002E-2</v>
      </c>
      <c r="P263" s="2">
        <v>1.05</v>
      </c>
      <c r="Q263" s="2">
        <v>0</v>
      </c>
      <c r="R263" s="2">
        <v>1.05</v>
      </c>
      <c r="S263" t="s">
        <v>617</v>
      </c>
      <c r="U263" t="s">
        <v>639</v>
      </c>
    </row>
    <row r="264" spans="1:21" x14ac:dyDescent="0.6">
      <c r="A264">
        <v>244</v>
      </c>
      <c r="B264" t="str">
        <f>"5425"</f>
        <v>5425</v>
      </c>
      <c r="C264" t="s">
        <v>323</v>
      </c>
      <c r="D264" s="1">
        <v>42923</v>
      </c>
      <c r="E264">
        <v>41.85</v>
      </c>
      <c r="F264">
        <v>0.05</v>
      </c>
      <c r="G264" s="3">
        <v>1.1999999999999999E-3</v>
      </c>
      <c r="H264">
        <v>2016</v>
      </c>
      <c r="I264">
        <v>3.31</v>
      </c>
      <c r="J264">
        <v>2.5</v>
      </c>
      <c r="K264">
        <v>0</v>
      </c>
      <c r="L264">
        <v>2.5</v>
      </c>
      <c r="M264" s="3">
        <v>5.9700000000000003E-2</v>
      </c>
      <c r="N264" s="2">
        <v>0</v>
      </c>
      <c r="O264" s="3">
        <v>5.9700000000000003E-2</v>
      </c>
      <c r="P264" s="3">
        <v>0.755</v>
      </c>
      <c r="Q264" s="2">
        <v>0</v>
      </c>
      <c r="R264" s="3">
        <v>0.755</v>
      </c>
      <c r="S264" t="s">
        <v>636</v>
      </c>
      <c r="U264" t="s">
        <v>599</v>
      </c>
    </row>
    <row r="265" spans="1:21" x14ac:dyDescent="0.6">
      <c r="A265">
        <v>247</v>
      </c>
      <c r="B265" t="str">
        <f>"5251"</f>
        <v>5251</v>
      </c>
      <c r="C265" t="s">
        <v>326</v>
      </c>
      <c r="D265" s="1">
        <v>42923</v>
      </c>
      <c r="E265">
        <v>33.6</v>
      </c>
      <c r="F265">
        <v>-1</v>
      </c>
      <c r="G265" s="3">
        <v>-2.8899999999999999E-2</v>
      </c>
      <c r="H265">
        <v>2016</v>
      </c>
      <c r="I265">
        <v>2.4</v>
      </c>
      <c r="J265">
        <v>2.0099999999999998</v>
      </c>
      <c r="K265">
        <v>0</v>
      </c>
      <c r="L265">
        <v>2.0099999999999998</v>
      </c>
      <c r="M265" s="3">
        <v>5.9700000000000003E-2</v>
      </c>
      <c r="N265" s="2">
        <v>0</v>
      </c>
      <c r="O265" s="3">
        <v>5.9700000000000003E-2</v>
      </c>
      <c r="P265" s="3">
        <v>0.83799999999999997</v>
      </c>
      <c r="Q265" s="2">
        <v>0</v>
      </c>
      <c r="R265" s="3">
        <v>0.83799999999999997</v>
      </c>
      <c r="S265" t="s">
        <v>614</v>
      </c>
      <c r="U265" t="s">
        <v>609</v>
      </c>
    </row>
    <row r="266" spans="1:21" x14ac:dyDescent="0.6">
      <c r="A266">
        <v>265</v>
      </c>
      <c r="B266" t="str">
        <f>"5287"</f>
        <v>5287</v>
      </c>
      <c r="C266" t="s">
        <v>345</v>
      </c>
      <c r="D266" s="1">
        <v>42923</v>
      </c>
      <c r="E266">
        <v>255.5</v>
      </c>
      <c r="F266">
        <v>0</v>
      </c>
      <c r="G266" s="2">
        <v>0</v>
      </c>
      <c r="H266">
        <v>2016</v>
      </c>
      <c r="I266">
        <v>12.16</v>
      </c>
      <c r="J266">
        <v>12</v>
      </c>
      <c r="K266">
        <v>0.32</v>
      </c>
      <c r="L266">
        <v>12.32</v>
      </c>
      <c r="M266" s="3">
        <v>4.7E-2</v>
      </c>
      <c r="N266" s="3">
        <v>1.2999999999999999E-3</v>
      </c>
      <c r="O266" s="3">
        <v>4.82E-2</v>
      </c>
      <c r="P266" s="3">
        <v>0.98699999999999999</v>
      </c>
      <c r="Q266" s="3">
        <v>2.63E-2</v>
      </c>
      <c r="R266" s="2">
        <v>1.01</v>
      </c>
      <c r="S266" t="s">
        <v>680</v>
      </c>
      <c r="T266" t="s">
        <v>680</v>
      </c>
      <c r="U266" t="s">
        <v>681</v>
      </c>
    </row>
    <row r="267" spans="1:21" x14ac:dyDescent="0.6">
      <c r="A267">
        <v>332</v>
      </c>
      <c r="B267" t="str">
        <f>"4909"</f>
        <v>4909</v>
      </c>
      <c r="C267" t="s">
        <v>414</v>
      </c>
      <c r="D267" s="1">
        <v>42923</v>
      </c>
      <c r="E267">
        <v>21.8</v>
      </c>
      <c r="F267">
        <v>-0.15</v>
      </c>
      <c r="G267" s="3">
        <v>-6.7999999999999996E-3</v>
      </c>
      <c r="H267">
        <v>2016</v>
      </c>
      <c r="I267">
        <v>2.6</v>
      </c>
      <c r="J267">
        <v>1.3</v>
      </c>
      <c r="K267">
        <v>0</v>
      </c>
      <c r="L267">
        <v>1.3</v>
      </c>
      <c r="M267" s="3">
        <v>5.96E-2</v>
      </c>
      <c r="N267" s="2">
        <v>0</v>
      </c>
      <c r="O267" s="3">
        <v>5.96E-2</v>
      </c>
      <c r="P267" s="2">
        <v>0.5</v>
      </c>
      <c r="Q267" s="2">
        <v>0</v>
      </c>
      <c r="R267" s="2">
        <v>0.5</v>
      </c>
      <c r="S267" t="s">
        <v>601</v>
      </c>
      <c r="U267" t="s">
        <v>614</v>
      </c>
    </row>
    <row r="268" spans="1:21" x14ac:dyDescent="0.6">
      <c r="A268">
        <v>267</v>
      </c>
      <c r="B268" t="str">
        <f>"2301"</f>
        <v>2301</v>
      </c>
      <c r="C268" t="s">
        <v>347</v>
      </c>
      <c r="D268" s="1">
        <v>42923</v>
      </c>
      <c r="E268">
        <v>49.8</v>
      </c>
      <c r="F268">
        <v>-0.2</v>
      </c>
      <c r="G268" s="3">
        <v>-4.0000000000000001E-3</v>
      </c>
      <c r="H268">
        <v>2016</v>
      </c>
      <c r="I268">
        <v>3.11</v>
      </c>
      <c r="J268">
        <v>2.19</v>
      </c>
      <c r="K268">
        <v>0.05</v>
      </c>
      <c r="L268">
        <v>2.2400000000000002</v>
      </c>
      <c r="M268" s="3">
        <v>4.3900000000000002E-2</v>
      </c>
      <c r="N268" s="3">
        <v>1E-3</v>
      </c>
      <c r="O268" s="3">
        <v>4.4900000000000002E-2</v>
      </c>
      <c r="P268" s="3">
        <v>0.70399999999999996</v>
      </c>
      <c r="Q268" s="3">
        <v>1.61E-2</v>
      </c>
      <c r="R268" s="2">
        <v>0.72</v>
      </c>
      <c r="S268" t="s">
        <v>639</v>
      </c>
      <c r="T268" t="s">
        <v>639</v>
      </c>
      <c r="U268" t="s">
        <v>679</v>
      </c>
    </row>
    <row r="269" spans="1:21" x14ac:dyDescent="0.6">
      <c r="A269">
        <v>58</v>
      </c>
      <c r="B269" t="str">
        <f>"1604"</f>
        <v>1604</v>
      </c>
      <c r="C269" t="s">
        <v>111</v>
      </c>
      <c r="D269" s="1">
        <v>42923</v>
      </c>
      <c r="E269">
        <v>17.5</v>
      </c>
      <c r="F269">
        <v>-0.1</v>
      </c>
      <c r="G269" s="3">
        <v>-5.7000000000000002E-3</v>
      </c>
      <c r="H269">
        <v>2016</v>
      </c>
      <c r="I269">
        <v>1</v>
      </c>
      <c r="J269">
        <v>1.04</v>
      </c>
      <c r="K269">
        <v>0</v>
      </c>
      <c r="L269">
        <v>1.04</v>
      </c>
      <c r="M269" s="3">
        <v>5.9499999999999997E-2</v>
      </c>
      <c r="N269" s="2">
        <v>0</v>
      </c>
      <c r="O269" s="3">
        <v>5.9499999999999997E-2</v>
      </c>
      <c r="P269" s="2">
        <v>1.04</v>
      </c>
      <c r="Q269" s="2">
        <v>0</v>
      </c>
      <c r="R269" s="2">
        <v>1.04</v>
      </c>
      <c r="S269" t="s">
        <v>614</v>
      </c>
      <c r="U269" t="s">
        <v>649</v>
      </c>
    </row>
    <row r="270" spans="1:21" x14ac:dyDescent="0.6">
      <c r="A270">
        <v>178</v>
      </c>
      <c r="B270" t="str">
        <f>"6023"</f>
        <v>6023</v>
      </c>
      <c r="C270" t="s">
        <v>254</v>
      </c>
      <c r="D270" s="1">
        <v>42923</v>
      </c>
      <c r="E270">
        <v>38.35</v>
      </c>
      <c r="F270">
        <v>0.25</v>
      </c>
      <c r="G270" s="3">
        <v>6.6E-3</v>
      </c>
      <c r="H270">
        <v>2016</v>
      </c>
      <c r="I270">
        <v>3.35</v>
      </c>
      <c r="J270">
        <v>2.2799999999999998</v>
      </c>
      <c r="K270">
        <v>0</v>
      </c>
      <c r="L270">
        <v>2.2799999999999998</v>
      </c>
      <c r="M270" s="3">
        <v>5.9499999999999997E-2</v>
      </c>
      <c r="N270" s="2">
        <v>0</v>
      </c>
      <c r="O270" s="3">
        <v>5.9499999999999997E-2</v>
      </c>
      <c r="P270" s="3">
        <v>0.68100000000000005</v>
      </c>
      <c r="Q270" s="2">
        <v>0</v>
      </c>
      <c r="R270" s="3">
        <v>0.68100000000000005</v>
      </c>
      <c r="S270" t="s">
        <v>672</v>
      </c>
      <c r="U270" t="s">
        <v>597</v>
      </c>
    </row>
    <row r="271" spans="1:21" x14ac:dyDescent="0.6">
      <c r="A271">
        <v>110</v>
      </c>
      <c r="B271" t="str">
        <f>"4527"</f>
        <v>4527</v>
      </c>
      <c r="C271" t="s">
        <v>173</v>
      </c>
      <c r="D271" s="1">
        <v>42923</v>
      </c>
      <c r="E271">
        <v>30.3</v>
      </c>
      <c r="F271">
        <v>-1.65</v>
      </c>
      <c r="G271" s="3">
        <v>-5.16E-2</v>
      </c>
      <c r="H271">
        <v>2016</v>
      </c>
      <c r="I271">
        <v>2.4300000000000002</v>
      </c>
      <c r="J271">
        <v>1.8</v>
      </c>
      <c r="K271">
        <v>0</v>
      </c>
      <c r="L271">
        <v>1.8</v>
      </c>
      <c r="M271" s="3">
        <v>5.9400000000000001E-2</v>
      </c>
      <c r="N271" s="2">
        <v>0</v>
      </c>
      <c r="O271" s="3">
        <v>5.9400000000000001E-2</v>
      </c>
      <c r="P271" s="3">
        <v>0.74099999999999999</v>
      </c>
      <c r="Q271" s="2">
        <v>0</v>
      </c>
      <c r="R271" s="3">
        <v>0.74099999999999999</v>
      </c>
      <c r="S271" t="s">
        <v>660</v>
      </c>
      <c r="U271" t="s">
        <v>640</v>
      </c>
    </row>
    <row r="272" spans="1:21" x14ac:dyDescent="0.6">
      <c r="A272">
        <v>271</v>
      </c>
      <c r="B272" t="str">
        <f>"6161"</f>
        <v>6161</v>
      </c>
      <c r="C272" t="s">
        <v>351</v>
      </c>
      <c r="D272" s="1">
        <v>42923</v>
      </c>
      <c r="E272">
        <v>15.45</v>
      </c>
      <c r="F272">
        <v>-0.15</v>
      </c>
      <c r="G272" s="3">
        <v>-9.5999999999999992E-3</v>
      </c>
      <c r="H272">
        <v>2016</v>
      </c>
      <c r="I272">
        <v>0.34</v>
      </c>
      <c r="J272">
        <v>0.2</v>
      </c>
      <c r="K272">
        <v>0</v>
      </c>
      <c r="L272">
        <v>0.2</v>
      </c>
      <c r="M272" s="3">
        <v>1.29E-2</v>
      </c>
      <c r="N272" s="2">
        <v>0</v>
      </c>
      <c r="O272" s="3">
        <v>1.29E-2</v>
      </c>
      <c r="P272" s="3">
        <v>0.58799999999999997</v>
      </c>
      <c r="Q272" s="2">
        <v>0</v>
      </c>
      <c r="R272" s="3">
        <v>0.58799999999999997</v>
      </c>
      <c r="S272" t="s">
        <v>617</v>
      </c>
      <c r="U272" t="s">
        <v>618</v>
      </c>
    </row>
    <row r="273" spans="1:21" x14ac:dyDescent="0.6">
      <c r="A273">
        <v>272</v>
      </c>
      <c r="B273" t="str">
        <f>"6494"</f>
        <v>6494</v>
      </c>
      <c r="C273" t="s">
        <v>352</v>
      </c>
      <c r="D273" s="1">
        <v>42923</v>
      </c>
      <c r="E273">
        <v>51.5</v>
      </c>
      <c r="F273">
        <v>0.2</v>
      </c>
      <c r="G273" s="3">
        <v>3.8999999999999998E-3</v>
      </c>
      <c r="H273">
        <v>2016</v>
      </c>
      <c r="I273">
        <v>2.3199999999999998</v>
      </c>
      <c r="J273">
        <v>1.8</v>
      </c>
      <c r="K273">
        <v>0</v>
      </c>
      <c r="L273">
        <v>1.8</v>
      </c>
      <c r="M273" s="3">
        <v>3.5000000000000003E-2</v>
      </c>
      <c r="N273" s="2">
        <v>0</v>
      </c>
      <c r="O273" s="3">
        <v>3.5000000000000003E-2</v>
      </c>
      <c r="P273" s="3">
        <v>0.77600000000000002</v>
      </c>
      <c r="Q273" s="2">
        <v>0</v>
      </c>
      <c r="R273" s="3">
        <v>0.77600000000000002</v>
      </c>
      <c r="S273" t="s">
        <v>624</v>
      </c>
      <c r="U273" t="s">
        <v>604</v>
      </c>
    </row>
    <row r="274" spans="1:21" x14ac:dyDescent="0.6">
      <c r="A274">
        <v>273</v>
      </c>
      <c r="B274" t="str">
        <f>"2020"</f>
        <v>2020</v>
      </c>
      <c r="C274" t="s">
        <v>353</v>
      </c>
      <c r="D274" s="1">
        <v>42923</v>
      </c>
      <c r="E274">
        <v>13.75</v>
      </c>
      <c r="F274">
        <v>-0.05</v>
      </c>
      <c r="G274" s="3">
        <v>-3.5999999999999999E-3</v>
      </c>
      <c r="H274">
        <v>2016</v>
      </c>
      <c r="I274">
        <v>-1.45</v>
      </c>
      <c r="J274">
        <v>0</v>
      </c>
      <c r="K274">
        <v>0</v>
      </c>
      <c r="L274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</row>
    <row r="275" spans="1:21" x14ac:dyDescent="0.6">
      <c r="A275">
        <v>274</v>
      </c>
      <c r="B275" t="str">
        <f>"2889"</f>
        <v>2889</v>
      </c>
      <c r="C275" t="s">
        <v>354</v>
      </c>
      <c r="D275" s="1">
        <v>42923</v>
      </c>
      <c r="E275">
        <v>9.4600000000000009</v>
      </c>
      <c r="F275">
        <v>-0.04</v>
      </c>
      <c r="G275" s="3">
        <v>-4.1999999999999997E-3</v>
      </c>
      <c r="H275">
        <v>2016</v>
      </c>
      <c r="I275">
        <v>0.57999999999999996</v>
      </c>
      <c r="J275">
        <v>0.26</v>
      </c>
      <c r="K275">
        <v>0.26</v>
      </c>
      <c r="L275">
        <v>0.53</v>
      </c>
      <c r="M275" s="3">
        <v>2.7900000000000001E-2</v>
      </c>
      <c r="N275" s="3">
        <v>2.7900000000000001E-2</v>
      </c>
      <c r="O275" s="3">
        <v>5.5800000000000002E-2</v>
      </c>
      <c r="P275" s="3">
        <v>0.44800000000000001</v>
      </c>
      <c r="Q275" s="3">
        <v>0.44800000000000001</v>
      </c>
      <c r="R275" s="3">
        <v>0.91400000000000003</v>
      </c>
      <c r="S275" t="s">
        <v>644</v>
      </c>
      <c r="T275" t="s">
        <v>644</v>
      </c>
      <c r="U275" t="s">
        <v>619</v>
      </c>
    </row>
    <row r="276" spans="1:21" x14ac:dyDescent="0.6">
      <c r="A276">
        <v>25</v>
      </c>
      <c r="B276" t="str">
        <f>"6201"</f>
        <v>6201</v>
      </c>
      <c r="C276" t="s">
        <v>59</v>
      </c>
      <c r="D276" s="1">
        <v>42923</v>
      </c>
      <c r="E276">
        <v>33.75</v>
      </c>
      <c r="F276">
        <v>0</v>
      </c>
      <c r="G276" s="2">
        <v>0</v>
      </c>
      <c r="H276">
        <v>2016</v>
      </c>
      <c r="I276">
        <v>2.2400000000000002</v>
      </c>
      <c r="J276">
        <v>2</v>
      </c>
      <c r="K276">
        <v>0</v>
      </c>
      <c r="L276">
        <v>2</v>
      </c>
      <c r="M276" s="3">
        <v>5.9299999999999999E-2</v>
      </c>
      <c r="N276" s="2">
        <v>0</v>
      </c>
      <c r="O276" s="3">
        <v>5.9299999999999999E-2</v>
      </c>
      <c r="P276" s="3">
        <v>0.89300000000000002</v>
      </c>
      <c r="Q276" s="2">
        <v>0</v>
      </c>
      <c r="R276" s="3">
        <v>0.89300000000000002</v>
      </c>
      <c r="S276" t="s">
        <v>622</v>
      </c>
      <c r="U276" t="s">
        <v>623</v>
      </c>
    </row>
    <row r="277" spans="1:21" x14ac:dyDescent="0.6">
      <c r="A277">
        <v>54</v>
      </c>
      <c r="B277" t="str">
        <f>"1709"</f>
        <v>1709</v>
      </c>
      <c r="C277" t="s">
        <v>104</v>
      </c>
      <c r="D277" s="1">
        <v>42923</v>
      </c>
      <c r="E277">
        <v>19.899999999999999</v>
      </c>
      <c r="F277">
        <v>-0.1</v>
      </c>
      <c r="G277" s="3">
        <v>-5.0000000000000001E-3</v>
      </c>
      <c r="H277">
        <v>2016</v>
      </c>
      <c r="I277">
        <v>1.48</v>
      </c>
      <c r="J277">
        <v>1.18</v>
      </c>
      <c r="K277">
        <v>0</v>
      </c>
      <c r="L277">
        <v>1.18</v>
      </c>
      <c r="M277" s="3">
        <v>5.9299999999999999E-2</v>
      </c>
      <c r="N277" s="2">
        <v>0</v>
      </c>
      <c r="O277" s="3">
        <v>5.9299999999999999E-2</v>
      </c>
      <c r="P277" s="3">
        <v>0.79700000000000004</v>
      </c>
      <c r="Q277" s="2">
        <v>0</v>
      </c>
      <c r="R277" s="3">
        <v>0.79700000000000004</v>
      </c>
      <c r="S277" t="s">
        <v>620</v>
      </c>
      <c r="U277" t="s">
        <v>647</v>
      </c>
    </row>
    <row r="278" spans="1:21" x14ac:dyDescent="0.6">
      <c r="A278">
        <v>167</v>
      </c>
      <c r="B278" t="str">
        <f>"2476"</f>
        <v>2476</v>
      </c>
      <c r="C278" t="s">
        <v>239</v>
      </c>
      <c r="D278" s="1">
        <v>42923</v>
      </c>
      <c r="E278">
        <v>25.8</v>
      </c>
      <c r="F278">
        <v>0</v>
      </c>
      <c r="G278" s="2">
        <v>0</v>
      </c>
      <c r="H278">
        <v>2016</v>
      </c>
      <c r="I278">
        <v>2.19</v>
      </c>
      <c r="J278">
        <v>1.53</v>
      </c>
      <c r="K278">
        <v>0</v>
      </c>
      <c r="L278">
        <v>1.53</v>
      </c>
      <c r="M278" s="3">
        <v>5.9299999999999999E-2</v>
      </c>
      <c r="N278" s="2">
        <v>0</v>
      </c>
      <c r="O278" s="3">
        <v>5.9299999999999999E-2</v>
      </c>
      <c r="P278" s="3">
        <v>0.69899999999999995</v>
      </c>
      <c r="Q278" s="2">
        <v>0</v>
      </c>
      <c r="R278" s="3">
        <v>0.69899999999999995</v>
      </c>
      <c r="S278" t="s">
        <v>622</v>
      </c>
      <c r="U278" t="s">
        <v>619</v>
      </c>
    </row>
    <row r="279" spans="1:21" x14ac:dyDescent="0.6">
      <c r="A279">
        <v>278</v>
      </c>
      <c r="B279" t="str">
        <f>"3296"</f>
        <v>3296</v>
      </c>
      <c r="C279" t="s">
        <v>358</v>
      </c>
      <c r="D279" s="1">
        <v>42923</v>
      </c>
      <c r="E279">
        <v>20.75</v>
      </c>
      <c r="F279">
        <v>-0.45</v>
      </c>
      <c r="G279" s="3">
        <v>-2.12E-2</v>
      </c>
      <c r="H279">
        <v>2016</v>
      </c>
      <c r="I279">
        <v>0.08</v>
      </c>
      <c r="J279">
        <v>0.1</v>
      </c>
      <c r="K279">
        <v>0</v>
      </c>
      <c r="L279">
        <v>0.1</v>
      </c>
      <c r="M279" s="3">
        <v>4.7999999999999996E-3</v>
      </c>
      <c r="N279" s="2">
        <v>0</v>
      </c>
      <c r="O279" s="3">
        <v>4.7999999999999996E-3</v>
      </c>
      <c r="P279" s="2">
        <v>1.25</v>
      </c>
      <c r="Q279" s="2">
        <v>0</v>
      </c>
      <c r="R279" s="2">
        <v>1.25</v>
      </c>
      <c r="S279" t="s">
        <v>654</v>
      </c>
      <c r="U279" t="s">
        <v>596</v>
      </c>
    </row>
    <row r="280" spans="1:21" x14ac:dyDescent="0.6">
      <c r="A280">
        <v>315</v>
      </c>
      <c r="B280" t="str">
        <f>"2886"</f>
        <v>2886</v>
      </c>
      <c r="C280" t="s">
        <v>397</v>
      </c>
      <c r="D280" s="1">
        <v>42923</v>
      </c>
      <c r="E280">
        <v>25.35</v>
      </c>
      <c r="F280">
        <v>-0.25</v>
      </c>
      <c r="G280" s="3">
        <v>-9.7999999999999997E-3</v>
      </c>
      <c r="H280">
        <v>2016</v>
      </c>
      <c r="I280">
        <v>2.35</v>
      </c>
      <c r="J280">
        <v>1.5</v>
      </c>
      <c r="K280">
        <v>0</v>
      </c>
      <c r="L280">
        <v>1.5</v>
      </c>
      <c r="M280" s="3">
        <v>5.9200000000000003E-2</v>
      </c>
      <c r="N280" s="2">
        <v>0</v>
      </c>
      <c r="O280" s="3">
        <v>5.9200000000000003E-2</v>
      </c>
      <c r="P280" s="3">
        <v>0.63800000000000001</v>
      </c>
      <c r="Q280" s="2">
        <v>0</v>
      </c>
      <c r="R280" s="3">
        <v>0.63800000000000001</v>
      </c>
      <c r="S280" t="s">
        <v>630</v>
      </c>
      <c r="U280" t="s">
        <v>618</v>
      </c>
    </row>
    <row r="281" spans="1:21" x14ac:dyDescent="0.6">
      <c r="A281">
        <v>280</v>
      </c>
      <c r="B281" t="str">
        <f>"4754"</f>
        <v>4754</v>
      </c>
      <c r="C281" t="s">
        <v>360</v>
      </c>
      <c r="D281" s="1">
        <v>42923</v>
      </c>
      <c r="E281">
        <v>45</v>
      </c>
      <c r="F281">
        <v>0</v>
      </c>
      <c r="G281" s="2">
        <v>0</v>
      </c>
      <c r="H281">
        <v>2016</v>
      </c>
      <c r="I281">
        <v>2.6</v>
      </c>
      <c r="J281">
        <v>2</v>
      </c>
      <c r="K281">
        <v>0</v>
      </c>
      <c r="L281">
        <v>2</v>
      </c>
      <c r="M281" s="3">
        <v>4.4400000000000002E-2</v>
      </c>
      <c r="N281" s="2">
        <v>0</v>
      </c>
      <c r="O281" s="3">
        <v>4.4400000000000002E-2</v>
      </c>
      <c r="P281" s="3">
        <v>0.76900000000000002</v>
      </c>
      <c r="Q281" s="2">
        <v>0</v>
      </c>
      <c r="R281" s="3">
        <v>0.76900000000000002</v>
      </c>
      <c r="S281" t="s">
        <v>601</v>
      </c>
      <c r="U281" t="s">
        <v>664</v>
      </c>
    </row>
    <row r="282" spans="1:21" x14ac:dyDescent="0.6">
      <c r="A282">
        <v>281</v>
      </c>
      <c r="B282" t="str">
        <f>"6505"</f>
        <v>6505</v>
      </c>
      <c r="C282" t="s">
        <v>362</v>
      </c>
      <c r="D282" s="1">
        <v>42923</v>
      </c>
      <c r="E282">
        <v>104</v>
      </c>
      <c r="F282">
        <v>-0.5</v>
      </c>
      <c r="G282" s="3">
        <v>-4.7999999999999996E-3</v>
      </c>
      <c r="H282">
        <v>2016</v>
      </c>
      <c r="I282">
        <v>4.97</v>
      </c>
      <c r="J282">
        <v>4</v>
      </c>
      <c r="K282">
        <v>0</v>
      </c>
      <c r="L282">
        <v>4</v>
      </c>
      <c r="M282" s="3">
        <v>3.85E-2</v>
      </c>
      <c r="N282" s="2">
        <v>0</v>
      </c>
      <c r="O282" s="3">
        <v>3.85E-2</v>
      </c>
      <c r="P282" s="3">
        <v>0.80500000000000005</v>
      </c>
      <c r="Q282" s="2">
        <v>0</v>
      </c>
      <c r="R282" s="3">
        <v>0.80500000000000005</v>
      </c>
      <c r="S282" t="s">
        <v>615</v>
      </c>
      <c r="U282" t="s">
        <v>601</v>
      </c>
    </row>
    <row r="283" spans="1:21" x14ac:dyDescent="0.6">
      <c r="A283">
        <v>282</v>
      </c>
      <c r="B283" t="str">
        <f>"4417"</f>
        <v>4417</v>
      </c>
      <c r="C283" t="s">
        <v>363</v>
      </c>
      <c r="D283" s="1">
        <v>42923</v>
      </c>
      <c r="E283">
        <v>38.200000000000003</v>
      </c>
      <c r="F283">
        <v>-0.1</v>
      </c>
      <c r="G283" s="3">
        <v>-2.5999999999999999E-3</v>
      </c>
      <c r="H283">
        <v>2016</v>
      </c>
      <c r="I283">
        <v>3.44</v>
      </c>
      <c r="J283">
        <v>1.8</v>
      </c>
      <c r="K283">
        <v>0</v>
      </c>
      <c r="L283">
        <v>1.8</v>
      </c>
      <c r="M283" s="3">
        <v>4.7100000000000003E-2</v>
      </c>
      <c r="N283" s="2">
        <v>0</v>
      </c>
      <c r="O283" s="3">
        <v>4.7100000000000003E-2</v>
      </c>
      <c r="P283" s="3">
        <v>0.52300000000000002</v>
      </c>
      <c r="Q283" s="2">
        <v>0</v>
      </c>
      <c r="R283" s="3">
        <v>0.52300000000000002</v>
      </c>
      <c r="S283" t="s">
        <v>613</v>
      </c>
      <c r="U283" t="s">
        <v>616</v>
      </c>
    </row>
    <row r="284" spans="1:21" x14ac:dyDescent="0.6">
      <c r="A284">
        <v>472</v>
      </c>
      <c r="B284" t="str">
        <f>"8289"</f>
        <v>8289</v>
      </c>
      <c r="C284" t="s">
        <v>565</v>
      </c>
      <c r="D284" s="1">
        <v>42923</v>
      </c>
      <c r="E284">
        <v>10.4</v>
      </c>
      <c r="F284">
        <v>-0.05</v>
      </c>
      <c r="G284" s="3">
        <v>-4.7999999999999996E-3</v>
      </c>
      <c r="H284">
        <v>2016</v>
      </c>
      <c r="I284">
        <v>0.7</v>
      </c>
      <c r="J284">
        <v>0.62</v>
      </c>
      <c r="K284">
        <v>0</v>
      </c>
      <c r="L284">
        <v>0.62</v>
      </c>
      <c r="M284" s="3">
        <v>5.9200000000000003E-2</v>
      </c>
      <c r="N284" s="2">
        <v>0</v>
      </c>
      <c r="O284" s="3">
        <v>5.9200000000000003E-2</v>
      </c>
      <c r="P284" s="3">
        <v>0.88600000000000001</v>
      </c>
      <c r="Q284" s="2">
        <v>0</v>
      </c>
      <c r="R284" s="3">
        <v>0.88600000000000001</v>
      </c>
      <c r="S284" t="s">
        <v>603</v>
      </c>
      <c r="U284" t="s">
        <v>631</v>
      </c>
    </row>
    <row r="285" spans="1:21" x14ac:dyDescent="0.6">
      <c r="A285">
        <v>256</v>
      </c>
      <c r="B285" t="str">
        <f>"2324"</f>
        <v>2324</v>
      </c>
      <c r="C285" t="s">
        <v>335</v>
      </c>
      <c r="D285" s="1">
        <v>42923</v>
      </c>
      <c r="E285">
        <v>20.3</v>
      </c>
      <c r="F285">
        <v>-0.15</v>
      </c>
      <c r="G285" s="3">
        <v>-7.3000000000000001E-3</v>
      </c>
      <c r="H285">
        <v>2016</v>
      </c>
      <c r="I285">
        <v>2.0099999999999998</v>
      </c>
      <c r="J285">
        <v>1.2</v>
      </c>
      <c r="K285">
        <v>0</v>
      </c>
      <c r="L285">
        <v>1.2</v>
      </c>
      <c r="M285" s="3">
        <v>5.91E-2</v>
      </c>
      <c r="N285" s="2">
        <v>0</v>
      </c>
      <c r="O285" s="3">
        <v>5.91E-2</v>
      </c>
      <c r="P285" s="3">
        <v>0.59699999999999998</v>
      </c>
      <c r="Q285" s="2">
        <v>0</v>
      </c>
      <c r="R285" s="3">
        <v>0.59699999999999998</v>
      </c>
      <c r="S285" t="s">
        <v>634</v>
      </c>
      <c r="U285" t="s">
        <v>642</v>
      </c>
    </row>
    <row r="286" spans="1:21" x14ac:dyDescent="0.6">
      <c r="A286">
        <v>263</v>
      </c>
      <c r="B286" t="str">
        <f>"3702"</f>
        <v>3702</v>
      </c>
      <c r="C286" t="s">
        <v>343</v>
      </c>
      <c r="D286" s="1">
        <v>42923</v>
      </c>
      <c r="E286">
        <v>40.85</v>
      </c>
      <c r="F286">
        <v>0.1</v>
      </c>
      <c r="G286" s="3">
        <v>2.5000000000000001E-3</v>
      </c>
      <c r="H286">
        <v>2016</v>
      </c>
      <c r="I286">
        <v>3.27</v>
      </c>
      <c r="J286">
        <v>2.4</v>
      </c>
      <c r="K286">
        <v>0</v>
      </c>
      <c r="L286">
        <v>2.4</v>
      </c>
      <c r="M286" s="3">
        <v>5.8799999999999998E-2</v>
      </c>
      <c r="N286" s="2">
        <v>0</v>
      </c>
      <c r="O286" s="3">
        <v>5.8799999999999998E-2</v>
      </c>
      <c r="P286" s="3">
        <v>0.73399999999999999</v>
      </c>
      <c r="Q286" s="2">
        <v>0</v>
      </c>
      <c r="R286" s="3">
        <v>0.73399999999999999</v>
      </c>
      <c r="S286" t="s">
        <v>629</v>
      </c>
      <c r="U286" t="s">
        <v>650</v>
      </c>
    </row>
    <row r="287" spans="1:21" x14ac:dyDescent="0.6">
      <c r="A287">
        <v>286</v>
      </c>
      <c r="B287" t="str">
        <f>"6230"</f>
        <v>6230</v>
      </c>
      <c r="C287" t="s">
        <v>368</v>
      </c>
      <c r="D287" s="1">
        <v>42923</v>
      </c>
      <c r="E287">
        <v>131</v>
      </c>
      <c r="F287">
        <v>-2</v>
      </c>
      <c r="G287" s="3">
        <v>-1.4999999999999999E-2</v>
      </c>
      <c r="H287">
        <v>2016</v>
      </c>
      <c r="I287">
        <v>7.77</v>
      </c>
      <c r="J287">
        <v>5.5</v>
      </c>
      <c r="K287">
        <v>0</v>
      </c>
      <c r="L287">
        <v>5.5</v>
      </c>
      <c r="M287" s="3">
        <v>4.2000000000000003E-2</v>
      </c>
      <c r="N287" s="2">
        <v>0</v>
      </c>
      <c r="O287" s="3">
        <v>4.2000000000000003E-2</v>
      </c>
      <c r="P287" s="3">
        <v>0.70799999999999996</v>
      </c>
      <c r="Q287" s="2">
        <v>0</v>
      </c>
      <c r="R287" s="3">
        <v>0.70799999999999996</v>
      </c>
      <c r="S287" t="s">
        <v>639</v>
      </c>
      <c r="U287" t="s">
        <v>609</v>
      </c>
    </row>
    <row r="288" spans="1:21" x14ac:dyDescent="0.6">
      <c r="A288">
        <v>231</v>
      </c>
      <c r="B288" t="str">
        <f>"1521"</f>
        <v>1521</v>
      </c>
      <c r="C288" t="s">
        <v>310</v>
      </c>
      <c r="D288" s="1">
        <v>42923</v>
      </c>
      <c r="E288">
        <v>85.9</v>
      </c>
      <c r="F288">
        <v>0</v>
      </c>
      <c r="G288" s="2">
        <v>0</v>
      </c>
      <c r="H288">
        <v>2016</v>
      </c>
      <c r="I288">
        <v>5.9</v>
      </c>
      <c r="J288">
        <v>5</v>
      </c>
      <c r="K288">
        <v>0</v>
      </c>
      <c r="L288">
        <v>5</v>
      </c>
      <c r="M288" s="3">
        <v>5.8200000000000002E-2</v>
      </c>
      <c r="N288" s="2">
        <v>0</v>
      </c>
      <c r="O288" s="3">
        <v>5.8200000000000002E-2</v>
      </c>
      <c r="P288" s="3">
        <v>0.84799999999999998</v>
      </c>
      <c r="Q288" s="2">
        <v>0</v>
      </c>
      <c r="R288" s="3">
        <v>0.84799999999999998</v>
      </c>
      <c r="S288" t="s">
        <v>615</v>
      </c>
      <c r="U288" t="s">
        <v>603</v>
      </c>
    </row>
    <row r="289" spans="1:21" x14ac:dyDescent="0.6">
      <c r="A289">
        <v>276</v>
      </c>
      <c r="B289" t="str">
        <f>"6154"</f>
        <v>6154</v>
      </c>
      <c r="C289" t="s">
        <v>356</v>
      </c>
      <c r="D289" s="1">
        <v>42923</v>
      </c>
      <c r="E289">
        <v>17.25</v>
      </c>
      <c r="F289">
        <v>0</v>
      </c>
      <c r="G289" s="2">
        <v>0</v>
      </c>
      <c r="H289">
        <v>2016</v>
      </c>
      <c r="I289">
        <v>1.06</v>
      </c>
      <c r="J289">
        <v>1</v>
      </c>
      <c r="K289">
        <v>0</v>
      </c>
      <c r="L289">
        <v>1</v>
      </c>
      <c r="M289" s="3">
        <v>5.8000000000000003E-2</v>
      </c>
      <c r="N289" s="2">
        <v>0</v>
      </c>
      <c r="O289" s="3">
        <v>5.8000000000000003E-2</v>
      </c>
      <c r="P289" s="3">
        <v>0.94299999999999995</v>
      </c>
      <c r="Q289" s="2">
        <v>0</v>
      </c>
      <c r="R289" s="3">
        <v>0.94299999999999995</v>
      </c>
      <c r="S289" t="s">
        <v>652</v>
      </c>
      <c r="U289" t="s">
        <v>676</v>
      </c>
    </row>
    <row r="290" spans="1:21" x14ac:dyDescent="0.6">
      <c r="A290">
        <v>370</v>
      </c>
      <c r="B290" t="str">
        <f>"3332"</f>
        <v>3332</v>
      </c>
      <c r="C290" t="s">
        <v>453</v>
      </c>
      <c r="D290" s="1">
        <v>42923</v>
      </c>
      <c r="E290">
        <v>37.9</v>
      </c>
      <c r="F290">
        <v>0</v>
      </c>
      <c r="G290" s="2">
        <v>0</v>
      </c>
      <c r="H290">
        <v>2016</v>
      </c>
      <c r="I290">
        <v>2.4900000000000002</v>
      </c>
      <c r="J290">
        <v>2.2000000000000002</v>
      </c>
      <c r="K290">
        <v>0</v>
      </c>
      <c r="L290">
        <v>2.2000000000000002</v>
      </c>
      <c r="M290" s="3">
        <v>5.8000000000000003E-2</v>
      </c>
      <c r="N290" s="2">
        <v>0</v>
      </c>
      <c r="O290" s="3">
        <v>5.8000000000000003E-2</v>
      </c>
      <c r="P290" s="3">
        <v>0.88400000000000001</v>
      </c>
      <c r="Q290" s="2">
        <v>0</v>
      </c>
      <c r="R290" s="3">
        <v>0.88400000000000001</v>
      </c>
      <c r="S290" t="s">
        <v>655</v>
      </c>
      <c r="U290" t="s">
        <v>620</v>
      </c>
    </row>
    <row r="291" spans="1:21" x14ac:dyDescent="0.6">
      <c r="A291">
        <v>277</v>
      </c>
      <c r="B291" t="str">
        <f>"6582"</f>
        <v>6582</v>
      </c>
      <c r="C291" t="s">
        <v>357</v>
      </c>
      <c r="D291" s="1">
        <v>42923</v>
      </c>
      <c r="E291">
        <v>69.099999999999994</v>
      </c>
      <c r="F291">
        <v>0.2</v>
      </c>
      <c r="G291" s="3">
        <v>2.8999999999999998E-3</v>
      </c>
      <c r="H291">
        <v>2016</v>
      </c>
      <c r="I291">
        <v>8.1300000000000008</v>
      </c>
      <c r="J291">
        <v>4</v>
      </c>
      <c r="K291">
        <v>0</v>
      </c>
      <c r="L291">
        <v>4</v>
      </c>
      <c r="M291" s="3">
        <v>5.79E-2</v>
      </c>
      <c r="N291" s="2">
        <v>0</v>
      </c>
      <c r="O291" s="3">
        <v>5.79E-2</v>
      </c>
      <c r="P291" s="3">
        <v>0.49199999999999999</v>
      </c>
      <c r="Q291" s="2">
        <v>0</v>
      </c>
      <c r="R291" s="3">
        <v>0.49199999999999999</v>
      </c>
      <c r="S291" t="s">
        <v>602</v>
      </c>
      <c r="U291" t="s">
        <v>666</v>
      </c>
    </row>
    <row r="292" spans="1:21" x14ac:dyDescent="0.6">
      <c r="A292">
        <v>291</v>
      </c>
      <c r="B292" t="str">
        <f>"4536"</f>
        <v>4536</v>
      </c>
      <c r="C292" t="s">
        <v>373</v>
      </c>
      <c r="D292" s="1">
        <v>42923</v>
      </c>
      <c r="E292">
        <v>105</v>
      </c>
      <c r="F292">
        <v>0.5</v>
      </c>
      <c r="G292" s="3">
        <v>4.7999999999999996E-3</v>
      </c>
      <c r="H292">
        <v>2016</v>
      </c>
      <c r="I292">
        <v>6.73</v>
      </c>
      <c r="J292">
        <v>5</v>
      </c>
      <c r="K292">
        <v>0</v>
      </c>
      <c r="L292">
        <v>5</v>
      </c>
      <c r="M292" s="3">
        <v>4.7600000000000003E-2</v>
      </c>
      <c r="N292" s="2">
        <v>0</v>
      </c>
      <c r="O292" s="3">
        <v>4.7600000000000003E-2</v>
      </c>
      <c r="P292" s="3">
        <v>0.74299999999999999</v>
      </c>
      <c r="Q292" s="2">
        <v>0</v>
      </c>
      <c r="R292" s="3">
        <v>0.74299999999999999</v>
      </c>
      <c r="S292" t="s">
        <v>634</v>
      </c>
      <c r="U292" t="s">
        <v>631</v>
      </c>
    </row>
    <row r="293" spans="1:21" x14ac:dyDescent="0.6">
      <c r="A293">
        <v>292</v>
      </c>
      <c r="B293" t="str">
        <f>"8103"</f>
        <v>8103</v>
      </c>
      <c r="C293" t="s">
        <v>374</v>
      </c>
      <c r="D293" s="1">
        <v>42923</v>
      </c>
      <c r="E293">
        <v>31.5</v>
      </c>
      <c r="F293">
        <v>-0.2</v>
      </c>
      <c r="G293" s="3">
        <v>-6.3E-3</v>
      </c>
      <c r="H293">
        <v>2016</v>
      </c>
      <c r="I293">
        <v>1.21</v>
      </c>
      <c r="J293">
        <v>0.3</v>
      </c>
      <c r="K293">
        <v>0.4</v>
      </c>
      <c r="L293">
        <v>0.7</v>
      </c>
      <c r="M293" s="3">
        <v>9.4999999999999998E-3</v>
      </c>
      <c r="N293" s="3">
        <v>1.2699999999999999E-2</v>
      </c>
      <c r="O293" s="3">
        <v>2.2200000000000001E-2</v>
      </c>
      <c r="P293" s="3">
        <v>0.248</v>
      </c>
      <c r="Q293" s="3">
        <v>0.33100000000000002</v>
      </c>
      <c r="R293" s="3">
        <v>0.57799999999999996</v>
      </c>
      <c r="S293" t="s">
        <v>644</v>
      </c>
      <c r="T293" t="s">
        <v>644</v>
      </c>
      <c r="U293" t="s">
        <v>667</v>
      </c>
    </row>
    <row r="294" spans="1:21" x14ac:dyDescent="0.6">
      <c r="A294">
        <v>293</v>
      </c>
      <c r="B294" t="str">
        <f>"9962"</f>
        <v>9962</v>
      </c>
      <c r="C294" t="s">
        <v>375</v>
      </c>
      <c r="D294" s="1">
        <v>42923</v>
      </c>
      <c r="E294">
        <v>10.5</v>
      </c>
      <c r="F294">
        <v>-0.15</v>
      </c>
      <c r="G294" s="3">
        <v>-1.41E-2</v>
      </c>
      <c r="H294">
        <v>2016</v>
      </c>
      <c r="I294">
        <v>-0.73</v>
      </c>
      <c r="J294">
        <v>0</v>
      </c>
      <c r="K294">
        <v>0</v>
      </c>
      <c r="L294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</row>
    <row r="295" spans="1:21" x14ac:dyDescent="0.6">
      <c r="A295">
        <v>162</v>
      </c>
      <c r="B295" t="str">
        <f>"8050"</f>
        <v>8050</v>
      </c>
      <c r="C295" t="s">
        <v>233</v>
      </c>
      <c r="D295" s="1">
        <v>42923</v>
      </c>
      <c r="E295">
        <v>60.4</v>
      </c>
      <c r="F295">
        <v>-0.1</v>
      </c>
      <c r="G295" s="3">
        <v>-1.6999999999999999E-3</v>
      </c>
      <c r="H295">
        <v>2016</v>
      </c>
      <c r="I295">
        <v>4.45</v>
      </c>
      <c r="J295">
        <v>3.49</v>
      </c>
      <c r="K295">
        <v>0.38</v>
      </c>
      <c r="L295">
        <v>3.87</v>
      </c>
      <c r="M295" s="3">
        <v>5.7799999999999997E-2</v>
      </c>
      <c r="N295" s="3">
        <v>6.3E-3</v>
      </c>
      <c r="O295" s="3">
        <v>6.4100000000000004E-2</v>
      </c>
      <c r="P295" s="3">
        <v>0.78400000000000003</v>
      </c>
      <c r="Q295" s="3">
        <v>8.5400000000000004E-2</v>
      </c>
      <c r="R295" s="2">
        <v>0.87</v>
      </c>
      <c r="S295" t="s">
        <v>598</v>
      </c>
      <c r="T295" t="s">
        <v>631</v>
      </c>
    </row>
    <row r="296" spans="1:21" x14ac:dyDescent="0.6">
      <c r="A296">
        <v>248</v>
      </c>
      <c r="B296" t="str">
        <f>"6257"</f>
        <v>6257</v>
      </c>
      <c r="C296" t="s">
        <v>327</v>
      </c>
      <c r="D296" s="1">
        <v>42923</v>
      </c>
      <c r="E296">
        <v>27.75</v>
      </c>
      <c r="F296">
        <v>-0.3</v>
      </c>
      <c r="G296" s="3">
        <v>-1.0699999999999999E-2</v>
      </c>
      <c r="H296">
        <v>2016</v>
      </c>
      <c r="I296">
        <v>2.11</v>
      </c>
      <c r="J296">
        <v>1.6</v>
      </c>
      <c r="K296">
        <v>0</v>
      </c>
      <c r="L296">
        <v>1.6</v>
      </c>
      <c r="M296" s="3">
        <v>5.7700000000000001E-2</v>
      </c>
      <c r="N296" s="2">
        <v>0</v>
      </c>
      <c r="O296" s="3">
        <v>5.7700000000000001E-2</v>
      </c>
      <c r="P296" s="3">
        <v>0.75800000000000001</v>
      </c>
      <c r="Q296" s="2">
        <v>0</v>
      </c>
      <c r="R296" s="3">
        <v>0.75800000000000001</v>
      </c>
      <c r="S296" t="s">
        <v>617</v>
      </c>
      <c r="U296" t="s">
        <v>664</v>
      </c>
    </row>
    <row r="297" spans="1:21" x14ac:dyDescent="0.6">
      <c r="A297">
        <v>284</v>
      </c>
      <c r="B297" t="str">
        <f>"8147"</f>
        <v>8147</v>
      </c>
      <c r="C297" t="s">
        <v>365</v>
      </c>
      <c r="D297" s="1">
        <v>42923</v>
      </c>
      <c r="E297">
        <v>34.799999999999997</v>
      </c>
      <c r="F297">
        <v>0.05</v>
      </c>
      <c r="G297" s="3">
        <v>1.4E-3</v>
      </c>
      <c r="H297">
        <v>2016</v>
      </c>
      <c r="I297">
        <v>3.51</v>
      </c>
      <c r="J297">
        <v>2</v>
      </c>
      <c r="K297">
        <v>0</v>
      </c>
      <c r="L297">
        <v>2</v>
      </c>
      <c r="M297" s="3">
        <v>5.7500000000000002E-2</v>
      </c>
      <c r="N297" s="2">
        <v>0</v>
      </c>
      <c r="O297" s="3">
        <v>5.7500000000000002E-2</v>
      </c>
      <c r="P297" s="2">
        <v>0.56999999999999995</v>
      </c>
      <c r="Q297" s="2">
        <v>0</v>
      </c>
      <c r="R297" s="2">
        <v>0.56999999999999995</v>
      </c>
      <c r="S297" t="s">
        <v>620</v>
      </c>
      <c r="U297" t="s">
        <v>663</v>
      </c>
    </row>
    <row r="298" spans="1:21" x14ac:dyDescent="0.6">
      <c r="A298">
        <v>294</v>
      </c>
      <c r="B298" t="str">
        <f>"5209"</f>
        <v>5209</v>
      </c>
      <c r="C298" t="s">
        <v>376</v>
      </c>
      <c r="D298" s="1">
        <v>42923</v>
      </c>
      <c r="E298">
        <v>43.95</v>
      </c>
      <c r="F298">
        <v>-0.15</v>
      </c>
      <c r="G298" s="3">
        <v>-3.3999999999999998E-3</v>
      </c>
      <c r="H298">
        <v>2016</v>
      </c>
      <c r="I298">
        <v>3.4</v>
      </c>
      <c r="J298">
        <v>2.5299999999999998</v>
      </c>
      <c r="K298">
        <v>0</v>
      </c>
      <c r="L298">
        <v>2.5299999999999998</v>
      </c>
      <c r="M298" s="3">
        <v>5.7500000000000002E-2</v>
      </c>
      <c r="N298" s="2">
        <v>0</v>
      </c>
      <c r="O298" s="3">
        <v>5.7500000000000002E-2</v>
      </c>
      <c r="P298" s="3">
        <v>0.74399999999999999</v>
      </c>
      <c r="Q298" s="2">
        <v>0</v>
      </c>
      <c r="R298" s="3">
        <v>0.74399999999999999</v>
      </c>
      <c r="S298" t="s">
        <v>634</v>
      </c>
      <c r="U298" t="s">
        <v>614</v>
      </c>
    </row>
    <row r="299" spans="1:21" x14ac:dyDescent="0.6">
      <c r="A299">
        <v>298</v>
      </c>
      <c r="B299" t="str">
        <f>"8905"</f>
        <v>8905</v>
      </c>
      <c r="C299" t="s">
        <v>380</v>
      </c>
      <c r="D299" s="1">
        <v>42923</v>
      </c>
      <c r="E299">
        <v>17.600000000000001</v>
      </c>
      <c r="F299">
        <v>-0.1</v>
      </c>
      <c r="G299" s="3">
        <v>-5.5999999999999999E-3</v>
      </c>
      <c r="H299">
        <v>2016</v>
      </c>
      <c r="I299">
        <v>0.88</v>
      </c>
      <c r="J299">
        <v>0.7</v>
      </c>
      <c r="K299">
        <v>0</v>
      </c>
      <c r="L299">
        <v>0.7</v>
      </c>
      <c r="M299" s="3">
        <v>3.9800000000000002E-2</v>
      </c>
      <c r="N299" s="2">
        <v>0</v>
      </c>
      <c r="O299" s="3">
        <v>3.9800000000000002E-2</v>
      </c>
      <c r="P299" s="3">
        <v>0.79600000000000004</v>
      </c>
      <c r="Q299" s="2">
        <v>0</v>
      </c>
      <c r="R299" s="3">
        <v>0.79600000000000004</v>
      </c>
      <c r="S299" t="s">
        <v>641</v>
      </c>
      <c r="U299" t="s">
        <v>616</v>
      </c>
    </row>
    <row r="300" spans="1:21" x14ac:dyDescent="0.6">
      <c r="A300">
        <v>184</v>
      </c>
      <c r="B300" t="str">
        <f>"3042"</f>
        <v>3042</v>
      </c>
      <c r="C300" t="s">
        <v>260</v>
      </c>
      <c r="D300" s="1">
        <v>42923</v>
      </c>
      <c r="E300">
        <v>43.8</v>
      </c>
      <c r="F300">
        <v>-0.95</v>
      </c>
      <c r="G300" s="3">
        <v>-2.12E-2</v>
      </c>
      <c r="H300">
        <v>2016</v>
      </c>
      <c r="I300">
        <v>3.03</v>
      </c>
      <c r="J300">
        <v>2.5</v>
      </c>
      <c r="K300">
        <v>0</v>
      </c>
      <c r="L300">
        <v>2.5</v>
      </c>
      <c r="M300" s="3">
        <v>5.7099999999999998E-2</v>
      </c>
      <c r="N300" s="2">
        <v>0</v>
      </c>
      <c r="O300" s="3">
        <v>5.7099999999999998E-2</v>
      </c>
      <c r="P300" s="3">
        <v>0.82499999999999996</v>
      </c>
      <c r="Q300" s="2">
        <v>0</v>
      </c>
      <c r="R300" s="3">
        <v>0.82499999999999996</v>
      </c>
      <c r="S300" t="s">
        <v>607</v>
      </c>
      <c r="U300" t="s">
        <v>652</v>
      </c>
    </row>
    <row r="301" spans="1:21" x14ac:dyDescent="0.6">
      <c r="A301">
        <v>300</v>
      </c>
      <c r="B301" t="str">
        <f>"1537"</f>
        <v>1537</v>
      </c>
      <c r="C301" t="s">
        <v>382</v>
      </c>
      <c r="D301" s="1">
        <v>42923</v>
      </c>
      <c r="E301">
        <v>158.5</v>
      </c>
      <c r="F301">
        <v>-2</v>
      </c>
      <c r="G301" s="3">
        <v>-1.2500000000000001E-2</v>
      </c>
      <c r="H301">
        <v>2016</v>
      </c>
      <c r="I301">
        <v>9.42</v>
      </c>
      <c r="J301">
        <v>7.5</v>
      </c>
      <c r="K301">
        <v>0</v>
      </c>
      <c r="L301">
        <v>7.5</v>
      </c>
      <c r="M301" s="3">
        <v>4.7300000000000002E-2</v>
      </c>
      <c r="N301" s="2">
        <v>0</v>
      </c>
      <c r="O301" s="3">
        <v>4.7300000000000002E-2</v>
      </c>
      <c r="P301" s="3">
        <v>0.79600000000000004</v>
      </c>
      <c r="Q301" s="2">
        <v>0</v>
      </c>
      <c r="R301" s="3">
        <v>0.79600000000000004</v>
      </c>
      <c r="S301" t="s">
        <v>608</v>
      </c>
      <c r="U301" t="s">
        <v>649</v>
      </c>
    </row>
    <row r="302" spans="1:21" x14ac:dyDescent="0.6">
      <c r="A302">
        <v>141</v>
      </c>
      <c r="B302" t="str">
        <f>"8016"</f>
        <v>8016</v>
      </c>
      <c r="C302" t="s">
        <v>208</v>
      </c>
      <c r="D302" s="1">
        <v>42923</v>
      </c>
      <c r="E302">
        <v>87.7</v>
      </c>
      <c r="F302">
        <v>-1.6</v>
      </c>
      <c r="G302" s="3">
        <v>-1.7899999999999999E-2</v>
      </c>
      <c r="H302">
        <v>2016</v>
      </c>
      <c r="I302">
        <v>7.05</v>
      </c>
      <c r="J302">
        <v>5</v>
      </c>
      <c r="K302">
        <v>0</v>
      </c>
      <c r="L302">
        <v>5</v>
      </c>
      <c r="M302" s="3">
        <v>5.7000000000000002E-2</v>
      </c>
      <c r="N302" s="2">
        <v>0</v>
      </c>
      <c r="O302" s="3">
        <v>5.7000000000000002E-2</v>
      </c>
      <c r="P302" s="3">
        <v>0.70899999999999996</v>
      </c>
      <c r="Q302" s="2">
        <v>0</v>
      </c>
      <c r="R302" s="3">
        <v>0.70899999999999996</v>
      </c>
      <c r="S302" t="s">
        <v>600</v>
      </c>
      <c r="U302" t="s">
        <v>603</v>
      </c>
    </row>
    <row r="303" spans="1:21" x14ac:dyDescent="0.6">
      <c r="A303">
        <v>302</v>
      </c>
      <c r="B303" t="str">
        <f>"2732"</f>
        <v>2732</v>
      </c>
      <c r="C303" t="s">
        <v>384</v>
      </c>
      <c r="D303" s="1">
        <v>42923</v>
      </c>
      <c r="E303">
        <v>87</v>
      </c>
      <c r="F303">
        <v>0</v>
      </c>
      <c r="G303" s="2">
        <v>0</v>
      </c>
      <c r="H303">
        <v>2016</v>
      </c>
      <c r="I303">
        <v>5.0599999999999996</v>
      </c>
      <c r="J303">
        <v>3.97</v>
      </c>
      <c r="K303">
        <v>1.49</v>
      </c>
      <c r="L303">
        <v>5.46</v>
      </c>
      <c r="M303" s="3">
        <v>4.5600000000000002E-2</v>
      </c>
      <c r="N303" s="3">
        <v>1.7100000000000001E-2</v>
      </c>
      <c r="O303" s="3">
        <v>6.2799999999999995E-2</v>
      </c>
      <c r="P303" s="3">
        <v>0.78500000000000003</v>
      </c>
      <c r="Q303" s="3">
        <v>0.29399999999999998</v>
      </c>
      <c r="R303" s="2">
        <v>1.08</v>
      </c>
      <c r="S303" t="s">
        <v>636</v>
      </c>
      <c r="T303" t="s">
        <v>636</v>
      </c>
      <c r="U303" t="s">
        <v>614</v>
      </c>
    </row>
    <row r="304" spans="1:21" x14ac:dyDescent="0.6">
      <c r="A304">
        <v>170</v>
      </c>
      <c r="B304" t="str">
        <f>"6525"</f>
        <v>6525</v>
      </c>
      <c r="C304" t="s">
        <v>243</v>
      </c>
      <c r="D304" s="1">
        <v>42923</v>
      </c>
      <c r="E304">
        <v>58</v>
      </c>
      <c r="F304">
        <v>-0.2</v>
      </c>
      <c r="G304" s="3">
        <v>-3.3999999999999998E-3</v>
      </c>
      <c r="H304">
        <v>2016</v>
      </c>
      <c r="I304">
        <v>5.82</v>
      </c>
      <c r="J304">
        <v>3.3</v>
      </c>
      <c r="K304">
        <v>0</v>
      </c>
      <c r="L304">
        <v>3.3</v>
      </c>
      <c r="M304" s="3">
        <v>5.6899999999999999E-2</v>
      </c>
      <c r="N304" s="2">
        <v>0</v>
      </c>
      <c r="O304" s="3">
        <v>5.6899999999999999E-2</v>
      </c>
      <c r="P304" s="3">
        <v>0.56699999999999995</v>
      </c>
      <c r="Q304" s="2">
        <v>0</v>
      </c>
      <c r="R304" s="3">
        <v>0.56699999999999995</v>
      </c>
      <c r="S304" t="s">
        <v>646</v>
      </c>
      <c r="U304" t="s">
        <v>648</v>
      </c>
    </row>
    <row r="305" spans="1:21" x14ac:dyDescent="0.6">
      <c r="A305">
        <v>304</v>
      </c>
      <c r="B305" t="str">
        <f>"1229"</f>
        <v>1229</v>
      </c>
      <c r="C305" t="s">
        <v>386</v>
      </c>
      <c r="D305" s="1">
        <v>42923</v>
      </c>
      <c r="E305">
        <v>28.35</v>
      </c>
      <c r="F305">
        <v>-0.15</v>
      </c>
      <c r="G305" s="3">
        <v>-5.3E-3</v>
      </c>
      <c r="H305">
        <v>2016</v>
      </c>
      <c r="I305">
        <v>1.59</v>
      </c>
      <c r="J305">
        <v>1.2</v>
      </c>
      <c r="K305">
        <v>0.25</v>
      </c>
      <c r="L305">
        <v>1.45</v>
      </c>
      <c r="M305" s="3">
        <v>4.2299999999999997E-2</v>
      </c>
      <c r="N305" s="3">
        <v>8.8000000000000005E-3</v>
      </c>
      <c r="O305" s="3">
        <v>5.11E-2</v>
      </c>
      <c r="P305" s="3">
        <v>0.755</v>
      </c>
      <c r="Q305" s="3">
        <v>0.157</v>
      </c>
      <c r="R305" s="3">
        <v>0.91200000000000003</v>
      </c>
      <c r="S305" t="s">
        <v>651</v>
      </c>
      <c r="T305" t="s">
        <v>651</v>
      </c>
      <c r="U305" t="s">
        <v>632</v>
      </c>
    </row>
    <row r="306" spans="1:21" x14ac:dyDescent="0.6">
      <c r="A306">
        <v>22</v>
      </c>
      <c r="B306" t="str">
        <f>"6292"</f>
        <v>6292</v>
      </c>
      <c r="C306" t="s">
        <v>54</v>
      </c>
      <c r="D306" s="1">
        <v>42923</v>
      </c>
      <c r="E306">
        <v>35.200000000000003</v>
      </c>
      <c r="F306">
        <v>-0.1</v>
      </c>
      <c r="G306" s="3">
        <v>-2.8E-3</v>
      </c>
      <c r="H306">
        <v>2016</v>
      </c>
      <c r="I306">
        <v>2.06</v>
      </c>
      <c r="J306">
        <v>2</v>
      </c>
      <c r="K306">
        <v>0</v>
      </c>
      <c r="L306">
        <v>2</v>
      </c>
      <c r="M306" s="3">
        <v>5.6800000000000003E-2</v>
      </c>
      <c r="N306" s="2">
        <v>0</v>
      </c>
      <c r="O306" s="3">
        <v>5.6800000000000003E-2</v>
      </c>
      <c r="P306" s="3">
        <v>0.97099999999999997</v>
      </c>
      <c r="Q306" s="2">
        <v>0</v>
      </c>
      <c r="R306" s="3">
        <v>0.97099999999999997</v>
      </c>
      <c r="S306" t="s">
        <v>607</v>
      </c>
      <c r="U306" t="s">
        <v>618</v>
      </c>
    </row>
    <row r="307" spans="1:21" x14ac:dyDescent="0.6">
      <c r="A307">
        <v>306</v>
      </c>
      <c r="B307" t="str">
        <f>"5439"</f>
        <v>5439</v>
      </c>
      <c r="C307" t="s">
        <v>388</v>
      </c>
      <c r="D307" s="1">
        <v>42923</v>
      </c>
      <c r="E307">
        <v>32.15</v>
      </c>
      <c r="F307">
        <v>0</v>
      </c>
      <c r="G307" s="2">
        <v>0</v>
      </c>
      <c r="H307">
        <v>2016</v>
      </c>
      <c r="I307">
        <v>1.62</v>
      </c>
      <c r="J307">
        <v>1.5</v>
      </c>
      <c r="K307">
        <v>0</v>
      </c>
      <c r="L307">
        <v>1.5</v>
      </c>
      <c r="M307" s="3">
        <v>4.6699999999999998E-2</v>
      </c>
      <c r="N307" s="2">
        <v>0</v>
      </c>
      <c r="O307" s="3">
        <v>4.6699999999999998E-2</v>
      </c>
      <c r="P307" s="3">
        <v>0.92600000000000005</v>
      </c>
      <c r="Q307" s="2">
        <v>0</v>
      </c>
      <c r="R307" s="3">
        <v>0.92600000000000005</v>
      </c>
      <c r="S307" t="s">
        <v>596</v>
      </c>
      <c r="U307" t="s">
        <v>630</v>
      </c>
    </row>
    <row r="308" spans="1:21" x14ac:dyDescent="0.6">
      <c r="A308">
        <v>307</v>
      </c>
      <c r="B308" t="str">
        <f>"8210"</f>
        <v>8210</v>
      </c>
      <c r="C308" t="s">
        <v>389</v>
      </c>
      <c r="D308" s="1">
        <v>42923</v>
      </c>
      <c r="E308">
        <v>53.2</v>
      </c>
      <c r="F308">
        <v>-0.6</v>
      </c>
      <c r="G308" s="3">
        <v>-1.12E-2</v>
      </c>
      <c r="H308">
        <v>2016</v>
      </c>
      <c r="I308">
        <v>4.22</v>
      </c>
      <c r="J308">
        <v>2.6</v>
      </c>
      <c r="K308">
        <v>0</v>
      </c>
      <c r="L308">
        <v>2.6</v>
      </c>
      <c r="M308" s="3">
        <v>4.8899999999999999E-2</v>
      </c>
      <c r="N308" s="2">
        <v>0</v>
      </c>
      <c r="O308" s="3">
        <v>4.8899999999999999E-2</v>
      </c>
      <c r="P308" s="3">
        <v>0.61599999999999999</v>
      </c>
      <c r="Q308" s="2">
        <v>0</v>
      </c>
      <c r="R308" s="3">
        <v>0.61599999999999999</v>
      </c>
      <c r="S308" t="s">
        <v>613</v>
      </c>
      <c r="U308" t="s">
        <v>603</v>
      </c>
    </row>
    <row r="309" spans="1:21" x14ac:dyDescent="0.6">
      <c r="A309">
        <v>297</v>
      </c>
      <c r="B309" t="str">
        <f>"6298"</f>
        <v>6298</v>
      </c>
      <c r="C309" t="s">
        <v>379</v>
      </c>
      <c r="D309" s="1">
        <v>42923</v>
      </c>
      <c r="E309">
        <v>17.600000000000001</v>
      </c>
      <c r="F309">
        <v>-0.2</v>
      </c>
      <c r="G309" s="3">
        <v>-1.12E-2</v>
      </c>
      <c r="H309">
        <v>2016</v>
      </c>
      <c r="I309">
        <v>0.97</v>
      </c>
      <c r="J309">
        <v>1</v>
      </c>
      <c r="K309">
        <v>0</v>
      </c>
      <c r="L309">
        <v>1</v>
      </c>
      <c r="M309" s="3">
        <v>5.6800000000000003E-2</v>
      </c>
      <c r="N309" s="2">
        <v>0</v>
      </c>
      <c r="O309" s="3">
        <v>5.6800000000000003E-2</v>
      </c>
      <c r="P309" s="2">
        <v>1.03</v>
      </c>
      <c r="Q309" s="2">
        <v>0</v>
      </c>
      <c r="R309" s="2">
        <v>1.03</v>
      </c>
      <c r="S309" t="s">
        <v>617</v>
      </c>
      <c r="U309" t="s">
        <v>614</v>
      </c>
    </row>
    <row r="310" spans="1:21" x14ac:dyDescent="0.6">
      <c r="A310">
        <v>309</v>
      </c>
      <c r="B310" t="str">
        <f>"1598"</f>
        <v>1598</v>
      </c>
      <c r="C310" t="s">
        <v>391</v>
      </c>
      <c r="D310" s="1">
        <v>42923</v>
      </c>
      <c r="E310">
        <v>37.299999999999997</v>
      </c>
      <c r="F310">
        <v>-0.2</v>
      </c>
      <c r="G310" s="3">
        <v>-5.3E-3</v>
      </c>
      <c r="H310">
        <v>2016</v>
      </c>
      <c r="I310">
        <v>3.13</v>
      </c>
      <c r="J310">
        <v>1.5</v>
      </c>
      <c r="K310">
        <v>0</v>
      </c>
      <c r="L310">
        <v>1.5</v>
      </c>
      <c r="M310" s="3">
        <v>4.02E-2</v>
      </c>
      <c r="N310" s="2">
        <v>0</v>
      </c>
      <c r="O310" s="3">
        <v>4.02E-2</v>
      </c>
      <c r="P310" s="3">
        <v>0.47899999999999998</v>
      </c>
      <c r="Q310" s="2">
        <v>0</v>
      </c>
      <c r="R310" s="3">
        <v>0.47899999999999998</v>
      </c>
      <c r="S310" t="s">
        <v>622</v>
      </c>
      <c r="U310" t="s">
        <v>620</v>
      </c>
    </row>
    <row r="311" spans="1:21" x14ac:dyDescent="0.6">
      <c r="A311">
        <v>142</v>
      </c>
      <c r="B311" t="str">
        <f>"2340"</f>
        <v>2340</v>
      </c>
      <c r="C311" t="s">
        <v>209</v>
      </c>
      <c r="D311" s="1">
        <v>42923</v>
      </c>
      <c r="E311">
        <v>17.649999999999999</v>
      </c>
      <c r="F311">
        <v>0</v>
      </c>
      <c r="G311" s="2">
        <v>0</v>
      </c>
      <c r="H311">
        <v>2016</v>
      </c>
      <c r="I311">
        <v>1.05</v>
      </c>
      <c r="J311">
        <v>1</v>
      </c>
      <c r="K311">
        <v>0</v>
      </c>
      <c r="L311">
        <v>1</v>
      </c>
      <c r="M311" s="3">
        <v>5.67E-2</v>
      </c>
      <c r="N311" s="2">
        <v>0</v>
      </c>
      <c r="O311" s="3">
        <v>5.67E-2</v>
      </c>
      <c r="P311" s="3">
        <v>0.95199999999999996</v>
      </c>
      <c r="Q311" s="2">
        <v>0</v>
      </c>
      <c r="R311" s="3">
        <v>0.95199999999999996</v>
      </c>
      <c r="S311" t="s">
        <v>641</v>
      </c>
      <c r="U311" t="s">
        <v>637</v>
      </c>
    </row>
    <row r="312" spans="1:21" x14ac:dyDescent="0.6">
      <c r="A312">
        <v>27</v>
      </c>
      <c r="B312" t="str">
        <f>"4550"</f>
        <v>4550</v>
      </c>
      <c r="C312" t="s">
        <v>61</v>
      </c>
      <c r="D312" s="1">
        <v>42923</v>
      </c>
      <c r="E312">
        <v>22.3</v>
      </c>
      <c r="F312">
        <v>0.3</v>
      </c>
      <c r="G312" s="3">
        <v>1.3599999999999999E-2</v>
      </c>
      <c r="H312">
        <v>2016</v>
      </c>
      <c r="I312">
        <v>1.34</v>
      </c>
      <c r="J312">
        <v>1.26</v>
      </c>
      <c r="K312">
        <v>0</v>
      </c>
      <c r="L312">
        <v>1.26</v>
      </c>
      <c r="M312" s="3">
        <v>5.6599999999999998E-2</v>
      </c>
      <c r="N312" s="2">
        <v>0</v>
      </c>
      <c r="O312" s="3">
        <v>5.6599999999999998E-2</v>
      </c>
      <c r="P312" s="2">
        <v>0.94</v>
      </c>
      <c r="Q312" s="2">
        <v>0</v>
      </c>
      <c r="R312" s="2">
        <v>0.94</v>
      </c>
      <c r="S312" t="s">
        <v>625</v>
      </c>
      <c r="U312" t="s">
        <v>626</v>
      </c>
    </row>
    <row r="313" spans="1:21" x14ac:dyDescent="0.6">
      <c r="A313">
        <v>312</v>
      </c>
      <c r="B313" t="str">
        <f>"8466"</f>
        <v>8466</v>
      </c>
      <c r="C313" t="s">
        <v>394</v>
      </c>
      <c r="D313" s="1">
        <v>42923</v>
      </c>
      <c r="E313">
        <v>124.5</v>
      </c>
      <c r="F313">
        <v>-1.5</v>
      </c>
      <c r="G313" s="3">
        <v>-1.1900000000000001E-2</v>
      </c>
      <c r="H313">
        <v>2016</v>
      </c>
      <c r="I313">
        <v>7.44</v>
      </c>
      <c r="J313">
        <v>6.2</v>
      </c>
      <c r="K313">
        <v>0</v>
      </c>
      <c r="L313">
        <v>6.2</v>
      </c>
      <c r="M313" s="3">
        <v>4.9799999999999997E-2</v>
      </c>
      <c r="N313" s="2">
        <v>0</v>
      </c>
      <c r="O313" s="3">
        <v>4.9799999999999997E-2</v>
      </c>
      <c r="P313" s="3">
        <v>0.83299999999999996</v>
      </c>
      <c r="Q313" s="2">
        <v>0</v>
      </c>
      <c r="R313" s="3">
        <v>0.83299999999999996</v>
      </c>
    </row>
    <row r="314" spans="1:21" x14ac:dyDescent="0.6">
      <c r="A314">
        <v>318</v>
      </c>
      <c r="B314" t="str">
        <f>"2385"</f>
        <v>2385</v>
      </c>
      <c r="C314" t="s">
        <v>400</v>
      </c>
      <c r="D314" s="1">
        <v>42923</v>
      </c>
      <c r="E314">
        <v>76.2</v>
      </c>
      <c r="F314">
        <v>0.3</v>
      </c>
      <c r="G314" s="3">
        <v>4.0000000000000001E-3</v>
      </c>
      <c r="H314">
        <v>2016</v>
      </c>
      <c r="I314">
        <v>5.79</v>
      </c>
      <c r="J314">
        <v>4.3</v>
      </c>
      <c r="K314">
        <v>0.05</v>
      </c>
      <c r="L314">
        <v>4.3499999999999996</v>
      </c>
      <c r="M314" s="3">
        <v>5.6399999999999999E-2</v>
      </c>
      <c r="N314" s="3">
        <v>6.9999999999999999E-4</v>
      </c>
      <c r="O314" s="3">
        <v>5.7099999999999998E-2</v>
      </c>
      <c r="P314" s="3">
        <v>0.74299999999999999</v>
      </c>
      <c r="Q314" s="3">
        <v>8.6E-3</v>
      </c>
      <c r="R314" s="3">
        <v>0.751</v>
      </c>
      <c r="S314" t="s">
        <v>635</v>
      </c>
      <c r="T314" t="s">
        <v>598</v>
      </c>
    </row>
    <row r="315" spans="1:21" x14ac:dyDescent="0.6">
      <c r="A315">
        <v>367</v>
      </c>
      <c r="B315" t="str">
        <f>"4974"</f>
        <v>4974</v>
      </c>
      <c r="C315" t="s">
        <v>450</v>
      </c>
      <c r="D315" s="1">
        <v>42923</v>
      </c>
      <c r="E315">
        <v>46.95</v>
      </c>
      <c r="F315">
        <v>0</v>
      </c>
      <c r="G315" s="2">
        <v>0</v>
      </c>
      <c r="H315">
        <v>2016</v>
      </c>
      <c r="I315">
        <v>4.0199999999999996</v>
      </c>
      <c r="J315">
        <v>2.65</v>
      </c>
      <c r="K315">
        <v>0</v>
      </c>
      <c r="L315">
        <v>2.65</v>
      </c>
      <c r="M315" s="3">
        <v>5.6399999999999999E-2</v>
      </c>
      <c r="N315" s="2">
        <v>0</v>
      </c>
      <c r="O315" s="3">
        <v>5.6399999999999999E-2</v>
      </c>
      <c r="P315" s="3">
        <v>0.65900000000000003</v>
      </c>
      <c r="Q315" s="2">
        <v>0</v>
      </c>
      <c r="R315" s="3">
        <v>0.65900000000000003</v>
      </c>
      <c r="S315" t="s">
        <v>643</v>
      </c>
      <c r="U315" t="s">
        <v>599</v>
      </c>
    </row>
    <row r="316" spans="1:21" x14ac:dyDescent="0.6">
      <c r="A316">
        <v>193</v>
      </c>
      <c r="B316" t="str">
        <f>"8074"</f>
        <v>8074</v>
      </c>
      <c r="C316" t="s">
        <v>270</v>
      </c>
      <c r="D316" s="1">
        <v>42923</v>
      </c>
      <c r="E316">
        <v>26.45</v>
      </c>
      <c r="F316">
        <v>-0.05</v>
      </c>
      <c r="G316" s="3">
        <v>-1.9E-3</v>
      </c>
      <c r="H316">
        <v>2016</v>
      </c>
      <c r="I316">
        <v>2.34</v>
      </c>
      <c r="J316">
        <v>1.49</v>
      </c>
      <c r="K316">
        <v>0</v>
      </c>
      <c r="L316">
        <v>1.49</v>
      </c>
      <c r="M316" s="3">
        <v>5.62E-2</v>
      </c>
      <c r="N316" s="2">
        <v>0</v>
      </c>
      <c r="O316" s="3">
        <v>5.62E-2</v>
      </c>
      <c r="P316" s="3">
        <v>0.63700000000000001</v>
      </c>
      <c r="Q316" s="2">
        <v>0</v>
      </c>
      <c r="R316" s="3">
        <v>0.63700000000000001</v>
      </c>
      <c r="S316" t="s">
        <v>673</v>
      </c>
      <c r="U316" t="s">
        <v>613</v>
      </c>
    </row>
    <row r="317" spans="1:21" x14ac:dyDescent="0.6">
      <c r="A317">
        <v>3</v>
      </c>
      <c r="B317" t="str">
        <f>"2596"</f>
        <v>2596</v>
      </c>
      <c r="C317" t="s">
        <v>25</v>
      </c>
      <c r="D317" s="1">
        <v>42923</v>
      </c>
      <c r="E317">
        <v>17.850000000000001</v>
      </c>
      <c r="F317">
        <v>-0.4</v>
      </c>
      <c r="G317" s="3">
        <v>-2.1899999999999999E-2</v>
      </c>
      <c r="H317">
        <v>2016</v>
      </c>
      <c r="I317">
        <v>0.7</v>
      </c>
      <c r="J317">
        <v>1</v>
      </c>
      <c r="K317">
        <v>0</v>
      </c>
      <c r="L317">
        <v>1</v>
      </c>
      <c r="M317" s="3">
        <v>5.6000000000000001E-2</v>
      </c>
      <c r="N317" s="2">
        <v>0</v>
      </c>
      <c r="O317" s="3">
        <v>5.6000000000000001E-2</v>
      </c>
      <c r="P317" s="2">
        <v>1.43</v>
      </c>
      <c r="Q317" s="2">
        <v>0</v>
      </c>
      <c r="R317" s="2">
        <v>1.43</v>
      </c>
      <c r="S317" t="s">
        <v>598</v>
      </c>
      <c r="U317" t="s">
        <v>599</v>
      </c>
    </row>
    <row r="318" spans="1:21" x14ac:dyDescent="0.6">
      <c r="A318">
        <v>317</v>
      </c>
      <c r="B318" t="str">
        <f>"2495"</f>
        <v>2495</v>
      </c>
      <c r="C318" t="s">
        <v>399</v>
      </c>
      <c r="D318" s="1">
        <v>42923</v>
      </c>
      <c r="E318">
        <v>16.100000000000001</v>
      </c>
      <c r="F318">
        <v>0</v>
      </c>
      <c r="G318" s="2">
        <v>0</v>
      </c>
      <c r="H318">
        <v>2016</v>
      </c>
      <c r="I318">
        <v>1.04</v>
      </c>
      <c r="J318">
        <v>0.9</v>
      </c>
      <c r="K318">
        <v>0</v>
      </c>
      <c r="L318">
        <v>0.9</v>
      </c>
      <c r="M318" s="3">
        <v>5.5899999999999998E-2</v>
      </c>
      <c r="N318" s="2">
        <v>0</v>
      </c>
      <c r="O318" s="3">
        <v>5.5899999999999998E-2</v>
      </c>
      <c r="P318" s="3">
        <v>0.86499999999999999</v>
      </c>
      <c r="Q318" s="2">
        <v>0</v>
      </c>
      <c r="R318" s="3">
        <v>0.86499999999999999</v>
      </c>
      <c r="S318" t="s">
        <v>617</v>
      </c>
      <c r="U318" t="s">
        <v>620</v>
      </c>
    </row>
    <row r="319" spans="1:21" x14ac:dyDescent="0.6">
      <c r="A319">
        <v>41</v>
      </c>
      <c r="B319" t="str">
        <f>"3550"</f>
        <v>3550</v>
      </c>
      <c r="C319" t="s">
        <v>84</v>
      </c>
      <c r="D319" s="1">
        <v>42923</v>
      </c>
      <c r="E319">
        <v>18</v>
      </c>
      <c r="F319">
        <v>0</v>
      </c>
      <c r="G319" s="2">
        <v>0</v>
      </c>
      <c r="H319">
        <v>2016</v>
      </c>
      <c r="I319">
        <v>0.96</v>
      </c>
      <c r="J319">
        <v>1</v>
      </c>
      <c r="K319">
        <v>0</v>
      </c>
      <c r="L319">
        <v>1</v>
      </c>
      <c r="M319" s="3">
        <v>5.5599999999999997E-2</v>
      </c>
      <c r="N319" s="2">
        <v>0</v>
      </c>
      <c r="O319" s="3">
        <v>5.5599999999999997E-2</v>
      </c>
      <c r="P319" s="2">
        <v>1.04</v>
      </c>
      <c r="Q319" s="2">
        <v>0</v>
      </c>
      <c r="R319" s="2">
        <v>1.04</v>
      </c>
      <c r="S319" t="s">
        <v>600</v>
      </c>
      <c r="U319" t="s">
        <v>617</v>
      </c>
    </row>
    <row r="320" spans="1:21" x14ac:dyDescent="0.6">
      <c r="A320">
        <v>319</v>
      </c>
      <c r="B320" t="str">
        <f>"2441"</f>
        <v>2441</v>
      </c>
      <c r="C320" t="s">
        <v>401</v>
      </c>
      <c r="D320" s="1">
        <v>42923</v>
      </c>
      <c r="E320">
        <v>49.35</v>
      </c>
      <c r="F320">
        <v>-0.15</v>
      </c>
      <c r="G320" s="3">
        <v>-3.0000000000000001E-3</v>
      </c>
      <c r="H320">
        <v>2016</v>
      </c>
      <c r="I320">
        <v>3.47</v>
      </c>
      <c r="J320">
        <v>2.4</v>
      </c>
      <c r="K320">
        <v>0</v>
      </c>
      <c r="L320">
        <v>2.4</v>
      </c>
      <c r="M320" s="3">
        <v>4.8599999999999997E-2</v>
      </c>
      <c r="N320" s="2">
        <v>0</v>
      </c>
      <c r="O320" s="3">
        <v>4.8599999999999997E-2</v>
      </c>
      <c r="P320" s="3">
        <v>0.69199999999999995</v>
      </c>
      <c r="Q320" s="2">
        <v>0</v>
      </c>
      <c r="R320" s="3">
        <v>0.69199999999999995</v>
      </c>
      <c r="S320" t="s">
        <v>620</v>
      </c>
      <c r="U320" t="s">
        <v>632</v>
      </c>
    </row>
    <row r="321" spans="1:21" x14ac:dyDescent="0.6">
      <c r="A321">
        <v>320</v>
      </c>
      <c r="B321" t="str">
        <f>"6158"</f>
        <v>6158</v>
      </c>
      <c r="C321" t="s">
        <v>402</v>
      </c>
      <c r="D321" s="1">
        <v>42923</v>
      </c>
      <c r="E321">
        <v>21.55</v>
      </c>
      <c r="F321">
        <v>-0.35</v>
      </c>
      <c r="G321" s="3">
        <v>-1.6E-2</v>
      </c>
      <c r="H321">
        <v>2016</v>
      </c>
      <c r="I321">
        <v>0.11</v>
      </c>
      <c r="J321">
        <v>0.49</v>
      </c>
      <c r="K321">
        <v>0</v>
      </c>
      <c r="L321">
        <v>0.49</v>
      </c>
      <c r="M321" s="3">
        <v>2.2599999999999999E-2</v>
      </c>
      <c r="N321" s="2">
        <v>0</v>
      </c>
      <c r="O321" s="3">
        <v>2.2599999999999999E-2</v>
      </c>
      <c r="P321" s="2">
        <v>4.45</v>
      </c>
      <c r="Q321" s="2">
        <v>0</v>
      </c>
      <c r="R321" s="2">
        <v>4.45</v>
      </c>
      <c r="S321" t="s">
        <v>634</v>
      </c>
      <c r="U321" t="s">
        <v>631</v>
      </c>
    </row>
    <row r="322" spans="1:21" x14ac:dyDescent="0.6">
      <c r="A322">
        <v>321</v>
      </c>
      <c r="B322" t="str">
        <f>"8383"</f>
        <v>8383</v>
      </c>
      <c r="C322" t="s">
        <v>403</v>
      </c>
      <c r="D322" s="1">
        <v>42923</v>
      </c>
      <c r="E322">
        <v>48.55</v>
      </c>
      <c r="F322">
        <v>-0.15</v>
      </c>
      <c r="G322" s="3">
        <v>-3.0999999999999999E-3</v>
      </c>
      <c r="H322">
        <v>2016</v>
      </c>
      <c r="I322">
        <v>3.53</v>
      </c>
      <c r="J322">
        <v>2.2000000000000002</v>
      </c>
      <c r="K322">
        <v>0</v>
      </c>
      <c r="L322">
        <v>2.2000000000000002</v>
      </c>
      <c r="M322" s="3">
        <v>4.53E-2</v>
      </c>
      <c r="N322" s="2">
        <v>0</v>
      </c>
      <c r="O322" s="3">
        <v>4.53E-2</v>
      </c>
      <c r="P322" s="3">
        <v>0.623</v>
      </c>
      <c r="Q322" s="2">
        <v>0</v>
      </c>
      <c r="R322" s="3">
        <v>0.623</v>
      </c>
      <c r="S322" t="s">
        <v>622</v>
      </c>
      <c r="U322" t="s">
        <v>623</v>
      </c>
    </row>
    <row r="323" spans="1:21" x14ac:dyDescent="0.6">
      <c r="A323">
        <v>322</v>
      </c>
      <c r="B323" t="str">
        <f>"1906"</f>
        <v>1906</v>
      </c>
      <c r="C323" t="s">
        <v>404</v>
      </c>
      <c r="D323" s="1">
        <v>42923</v>
      </c>
      <c r="E323">
        <v>27</v>
      </c>
      <c r="F323">
        <v>1.1000000000000001</v>
      </c>
      <c r="G323" s="3">
        <v>4.2500000000000003E-2</v>
      </c>
      <c r="H323">
        <v>2016</v>
      </c>
      <c r="I323">
        <v>0.53</v>
      </c>
      <c r="J323">
        <v>0.15</v>
      </c>
      <c r="K323">
        <v>0</v>
      </c>
      <c r="L323">
        <v>0.15</v>
      </c>
      <c r="M323" s="3">
        <v>5.5999999999999999E-3</v>
      </c>
      <c r="N323" s="2">
        <v>0</v>
      </c>
      <c r="O323" s="3">
        <v>5.5999999999999999E-3</v>
      </c>
      <c r="P323" s="3">
        <v>0.28299999999999997</v>
      </c>
      <c r="Q323" s="2">
        <v>0</v>
      </c>
      <c r="R323" s="3">
        <v>0.28299999999999997</v>
      </c>
      <c r="S323" t="s">
        <v>600</v>
      </c>
      <c r="U323" t="s">
        <v>617</v>
      </c>
    </row>
    <row r="324" spans="1:21" x14ac:dyDescent="0.6">
      <c r="A324">
        <v>185</v>
      </c>
      <c r="B324" t="str">
        <f>"8422"</f>
        <v>8422</v>
      </c>
      <c r="C324" t="s">
        <v>261</v>
      </c>
      <c r="D324" s="1">
        <v>42923</v>
      </c>
      <c r="E324">
        <v>180</v>
      </c>
      <c r="F324">
        <v>-1</v>
      </c>
      <c r="G324" s="3">
        <v>-5.4999999999999997E-3</v>
      </c>
      <c r="H324">
        <v>2016</v>
      </c>
      <c r="I324">
        <v>11.32</v>
      </c>
      <c r="J324">
        <v>10</v>
      </c>
      <c r="K324">
        <v>0</v>
      </c>
      <c r="L324">
        <v>10</v>
      </c>
      <c r="M324" s="3">
        <v>5.5599999999999997E-2</v>
      </c>
      <c r="N324" s="2">
        <v>0</v>
      </c>
      <c r="O324" s="3">
        <v>5.5599999999999997E-2</v>
      </c>
      <c r="P324" s="3">
        <v>0.88300000000000001</v>
      </c>
      <c r="Q324" s="2">
        <v>0</v>
      </c>
      <c r="R324" s="3">
        <v>0.88300000000000001</v>
      </c>
      <c r="S324" t="s">
        <v>627</v>
      </c>
      <c r="U324" t="s">
        <v>617</v>
      </c>
    </row>
    <row r="325" spans="1:21" x14ac:dyDescent="0.6">
      <c r="A325">
        <v>324</v>
      </c>
      <c r="B325" t="str">
        <f>"2461"</f>
        <v>2461</v>
      </c>
      <c r="C325" t="s">
        <v>406</v>
      </c>
      <c r="D325" s="1">
        <v>42923</v>
      </c>
      <c r="E325">
        <v>14.7</v>
      </c>
      <c r="F325">
        <v>-0.15</v>
      </c>
      <c r="G325" s="3">
        <v>-1.01E-2</v>
      </c>
      <c r="H325">
        <v>2016</v>
      </c>
      <c r="I325">
        <v>1.1200000000000001</v>
      </c>
      <c r="J325">
        <v>0.5</v>
      </c>
      <c r="K325">
        <v>0</v>
      </c>
      <c r="L325">
        <v>0.5</v>
      </c>
      <c r="M325" s="3">
        <v>3.4000000000000002E-2</v>
      </c>
      <c r="N325" s="2">
        <v>0</v>
      </c>
      <c r="O325" s="3">
        <v>3.4000000000000002E-2</v>
      </c>
      <c r="P325" s="3">
        <v>0.44600000000000001</v>
      </c>
      <c r="Q325" s="2">
        <v>0</v>
      </c>
      <c r="R325" s="3">
        <v>0.44600000000000001</v>
      </c>
      <c r="S325" t="s">
        <v>654</v>
      </c>
      <c r="U325" t="s">
        <v>662</v>
      </c>
    </row>
    <row r="326" spans="1:21" x14ac:dyDescent="0.6">
      <c r="A326">
        <v>325</v>
      </c>
      <c r="B326" t="str">
        <f>"6218"</f>
        <v>6218</v>
      </c>
      <c r="C326" t="s">
        <v>407</v>
      </c>
      <c r="D326" s="1">
        <v>42923</v>
      </c>
      <c r="E326">
        <v>21.65</v>
      </c>
      <c r="F326">
        <v>-0.1</v>
      </c>
      <c r="G326" s="3">
        <v>-4.5999999999999999E-3</v>
      </c>
      <c r="H326">
        <v>2016</v>
      </c>
      <c r="I326">
        <v>1.0900000000000001</v>
      </c>
      <c r="J326">
        <v>1</v>
      </c>
      <c r="K326">
        <v>0</v>
      </c>
      <c r="L326">
        <v>1</v>
      </c>
      <c r="M326" s="3">
        <v>4.6199999999999998E-2</v>
      </c>
      <c r="N326" s="2">
        <v>0</v>
      </c>
      <c r="O326" s="3">
        <v>4.6199999999999998E-2</v>
      </c>
      <c r="P326" s="3">
        <v>0.91700000000000004</v>
      </c>
      <c r="Q326" s="2">
        <v>0</v>
      </c>
      <c r="R326" s="3">
        <v>0.91700000000000004</v>
      </c>
      <c r="S326" t="s">
        <v>596</v>
      </c>
      <c r="U326" t="s">
        <v>599</v>
      </c>
    </row>
    <row r="327" spans="1:21" x14ac:dyDescent="0.6">
      <c r="A327">
        <v>326</v>
      </c>
      <c r="B327" t="str">
        <f>"5347"</f>
        <v>5347</v>
      </c>
      <c r="C327" t="s">
        <v>408</v>
      </c>
      <c r="D327" s="1">
        <v>42923</v>
      </c>
      <c r="E327">
        <v>54.2</v>
      </c>
      <c r="F327">
        <v>-1.4</v>
      </c>
      <c r="G327" s="3">
        <v>-2.52E-2</v>
      </c>
      <c r="H327">
        <v>2016</v>
      </c>
      <c r="I327">
        <v>2.54</v>
      </c>
      <c r="J327">
        <v>2.6</v>
      </c>
      <c r="K327">
        <v>0</v>
      </c>
      <c r="L327">
        <v>2.6</v>
      </c>
      <c r="M327" s="3">
        <v>4.8000000000000001E-2</v>
      </c>
      <c r="N327" s="2">
        <v>0</v>
      </c>
      <c r="O327" s="3">
        <v>4.8000000000000001E-2</v>
      </c>
      <c r="P327" s="2">
        <v>1.02</v>
      </c>
      <c r="Q327" s="2">
        <v>0</v>
      </c>
      <c r="R327" s="2">
        <v>1.02</v>
      </c>
      <c r="S327" t="s">
        <v>597</v>
      </c>
      <c r="U327" t="s">
        <v>610</v>
      </c>
    </row>
    <row r="328" spans="1:21" x14ac:dyDescent="0.6">
      <c r="A328">
        <v>305</v>
      </c>
      <c r="B328" t="str">
        <f>"2373"</f>
        <v>2373</v>
      </c>
      <c r="C328" t="s">
        <v>387</v>
      </c>
      <c r="D328" s="1">
        <v>42923</v>
      </c>
      <c r="E328">
        <v>57.6</v>
      </c>
      <c r="F328">
        <v>-0.4</v>
      </c>
      <c r="G328" s="3">
        <v>-6.8999999999999999E-3</v>
      </c>
      <c r="H328">
        <v>2016</v>
      </c>
      <c r="I328">
        <v>3.8</v>
      </c>
      <c r="J328">
        <v>3.2</v>
      </c>
      <c r="K328">
        <v>0</v>
      </c>
      <c r="L328">
        <v>3.2</v>
      </c>
      <c r="M328" s="3">
        <v>5.5599999999999997E-2</v>
      </c>
      <c r="N328" s="2">
        <v>0</v>
      </c>
      <c r="O328" s="3">
        <v>5.5599999999999997E-2</v>
      </c>
      <c r="P328" s="3">
        <v>0.84199999999999997</v>
      </c>
      <c r="Q328" s="2">
        <v>0</v>
      </c>
      <c r="R328" s="3">
        <v>0.84199999999999997</v>
      </c>
      <c r="S328" t="s">
        <v>624</v>
      </c>
      <c r="U328" t="s">
        <v>640</v>
      </c>
    </row>
    <row r="329" spans="1:21" x14ac:dyDescent="0.6">
      <c r="A329">
        <v>328</v>
      </c>
      <c r="B329" t="str">
        <f>"8415"</f>
        <v>8415</v>
      </c>
      <c r="C329" t="s">
        <v>410</v>
      </c>
      <c r="D329" s="1">
        <v>42923</v>
      </c>
      <c r="E329">
        <v>18.100000000000001</v>
      </c>
      <c r="F329">
        <v>0.05</v>
      </c>
      <c r="G329" s="3">
        <v>2.8E-3</v>
      </c>
      <c r="H329">
        <v>2016</v>
      </c>
      <c r="I329">
        <v>0.35</v>
      </c>
      <c r="J329">
        <v>0.6</v>
      </c>
      <c r="K329">
        <v>0</v>
      </c>
      <c r="L329">
        <v>0.6</v>
      </c>
      <c r="M329" s="3">
        <v>3.3099999999999997E-2</v>
      </c>
      <c r="N329" s="2">
        <v>0</v>
      </c>
      <c r="O329" s="3">
        <v>3.3099999999999997E-2</v>
      </c>
      <c r="P329" s="2">
        <v>1.71</v>
      </c>
      <c r="Q329" s="2">
        <v>0</v>
      </c>
      <c r="R329" s="2">
        <v>1.71</v>
      </c>
      <c r="S329" t="s">
        <v>600</v>
      </c>
      <c r="U329" t="s">
        <v>603</v>
      </c>
    </row>
    <row r="330" spans="1:21" x14ac:dyDescent="0.6">
      <c r="A330">
        <v>398</v>
      </c>
      <c r="B330" t="str">
        <f>"8926"</f>
        <v>8926</v>
      </c>
      <c r="C330" t="s">
        <v>484</v>
      </c>
      <c r="D330" s="1">
        <v>42923</v>
      </c>
      <c r="E330">
        <v>23.4</v>
      </c>
      <c r="F330">
        <v>-0.1</v>
      </c>
      <c r="G330" s="3">
        <v>-4.3E-3</v>
      </c>
      <c r="H330">
        <v>2016</v>
      </c>
      <c r="I330">
        <v>1.8</v>
      </c>
      <c r="J330">
        <v>1.3</v>
      </c>
      <c r="K330">
        <v>0</v>
      </c>
      <c r="L330">
        <v>1.3</v>
      </c>
      <c r="M330" s="3">
        <v>5.5599999999999997E-2</v>
      </c>
      <c r="N330" s="2">
        <v>0</v>
      </c>
      <c r="O330" s="3">
        <v>5.5599999999999997E-2</v>
      </c>
      <c r="P330" s="3">
        <v>0.72199999999999998</v>
      </c>
      <c r="Q330" s="2">
        <v>0</v>
      </c>
      <c r="R330" s="3">
        <v>0.72199999999999998</v>
      </c>
      <c r="S330" t="s">
        <v>596</v>
      </c>
      <c r="U330" t="s">
        <v>607</v>
      </c>
    </row>
    <row r="331" spans="1:21" x14ac:dyDescent="0.6">
      <c r="A331">
        <v>30</v>
      </c>
      <c r="B331" t="str">
        <f>"2488"</f>
        <v>2488</v>
      </c>
      <c r="C331" t="s">
        <v>64</v>
      </c>
      <c r="D331" s="1">
        <v>42923</v>
      </c>
      <c r="E331">
        <v>39.65</v>
      </c>
      <c r="F331">
        <v>0.4</v>
      </c>
      <c r="G331" s="3">
        <v>1.0200000000000001E-2</v>
      </c>
      <c r="H331">
        <v>2016</v>
      </c>
      <c r="I331">
        <v>2.98</v>
      </c>
      <c r="J331">
        <v>2.2000000000000002</v>
      </c>
      <c r="K331">
        <v>0</v>
      </c>
      <c r="L331">
        <v>2.2000000000000002</v>
      </c>
      <c r="M331" s="3">
        <v>5.5500000000000001E-2</v>
      </c>
      <c r="N331" s="2">
        <v>0</v>
      </c>
      <c r="O331" s="3">
        <v>5.5500000000000001E-2</v>
      </c>
      <c r="P331" s="3">
        <v>0.73799999999999999</v>
      </c>
      <c r="Q331" s="2">
        <v>0</v>
      </c>
      <c r="R331" s="3">
        <v>0.73799999999999999</v>
      </c>
      <c r="S331" t="s">
        <v>607</v>
      </c>
      <c r="U331" t="s">
        <v>619</v>
      </c>
    </row>
    <row r="332" spans="1:21" x14ac:dyDescent="0.6">
      <c r="A332">
        <v>331</v>
      </c>
      <c r="B332" t="str">
        <f>"6116"</f>
        <v>6116</v>
      </c>
      <c r="C332" t="s">
        <v>413</v>
      </c>
      <c r="D332" s="1">
        <v>42923</v>
      </c>
      <c r="E332">
        <v>9.08</v>
      </c>
      <c r="F332">
        <v>-0.04</v>
      </c>
      <c r="G332" s="3">
        <v>-4.4000000000000003E-3</v>
      </c>
      <c r="H332">
        <v>2016</v>
      </c>
      <c r="I332">
        <v>-0.68</v>
      </c>
      <c r="J332">
        <v>0</v>
      </c>
      <c r="K332">
        <v>0</v>
      </c>
      <c r="L33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</row>
    <row r="333" spans="1:21" x14ac:dyDescent="0.6">
      <c r="A333">
        <v>42</v>
      </c>
      <c r="B333" t="str">
        <f>"4973"</f>
        <v>4973</v>
      </c>
      <c r="C333" t="s">
        <v>86</v>
      </c>
      <c r="D333" s="1">
        <v>42923</v>
      </c>
      <c r="E333">
        <v>21.65</v>
      </c>
      <c r="F333">
        <v>-0.25</v>
      </c>
      <c r="G333" s="3">
        <v>-1.14E-2</v>
      </c>
      <c r="H333">
        <v>2016</v>
      </c>
      <c r="I333">
        <v>0.8</v>
      </c>
      <c r="J333">
        <v>1.2</v>
      </c>
      <c r="K333">
        <v>0</v>
      </c>
      <c r="L333">
        <v>1.2</v>
      </c>
      <c r="M333" s="3">
        <v>5.5500000000000001E-2</v>
      </c>
      <c r="N333" s="2">
        <v>0</v>
      </c>
      <c r="O333" s="3">
        <v>5.5500000000000001E-2</v>
      </c>
      <c r="P333" s="2">
        <v>1.5</v>
      </c>
      <c r="Q333" s="2">
        <v>0</v>
      </c>
      <c r="R333" s="2">
        <v>1.5</v>
      </c>
      <c r="S333" t="s">
        <v>639</v>
      </c>
      <c r="U333" t="s">
        <v>609</v>
      </c>
    </row>
    <row r="334" spans="1:21" x14ac:dyDescent="0.6">
      <c r="A334">
        <v>333</v>
      </c>
      <c r="B334" t="str">
        <f>"2539"</f>
        <v>2539</v>
      </c>
      <c r="C334" t="s">
        <v>415</v>
      </c>
      <c r="D334" s="1">
        <v>42923</v>
      </c>
      <c r="E334">
        <v>29.15</v>
      </c>
      <c r="F334">
        <v>-0.05</v>
      </c>
      <c r="G334" s="3">
        <v>-1.6999999999999999E-3</v>
      </c>
      <c r="H334">
        <v>2016</v>
      </c>
      <c r="I334">
        <v>3.51</v>
      </c>
      <c r="J334">
        <v>1.1000000000000001</v>
      </c>
      <c r="K334">
        <v>2</v>
      </c>
      <c r="L334">
        <v>3.1</v>
      </c>
      <c r="M334" s="3">
        <v>3.7699999999999997E-2</v>
      </c>
      <c r="N334" s="3">
        <v>6.8599999999999994E-2</v>
      </c>
      <c r="O334" s="3">
        <v>0.106</v>
      </c>
      <c r="P334" s="3">
        <v>0.313</v>
      </c>
      <c r="Q334" s="2">
        <v>0.56999999999999995</v>
      </c>
      <c r="R334" s="3">
        <v>0.88300000000000001</v>
      </c>
      <c r="S334" t="s">
        <v>622</v>
      </c>
      <c r="T334" t="s">
        <v>622</v>
      </c>
      <c r="U334" t="s">
        <v>619</v>
      </c>
    </row>
    <row r="335" spans="1:21" x14ac:dyDescent="0.6">
      <c r="A335">
        <v>313</v>
      </c>
      <c r="B335" t="str">
        <f>"2820"</f>
        <v>2820</v>
      </c>
      <c r="C335" t="s">
        <v>395</v>
      </c>
      <c r="D335" s="1">
        <v>42923</v>
      </c>
      <c r="E335">
        <v>14.95</v>
      </c>
      <c r="F335">
        <v>-0.1</v>
      </c>
      <c r="G335" s="3">
        <v>-6.6E-3</v>
      </c>
      <c r="H335">
        <v>2016</v>
      </c>
      <c r="I335">
        <v>1.2</v>
      </c>
      <c r="J335">
        <v>0.83</v>
      </c>
      <c r="K335">
        <v>0</v>
      </c>
      <c r="L335">
        <v>0.83</v>
      </c>
      <c r="M335" s="3">
        <v>5.5500000000000001E-2</v>
      </c>
      <c r="N335" s="2">
        <v>0</v>
      </c>
      <c r="O335" s="3">
        <v>5.5500000000000001E-2</v>
      </c>
      <c r="P335" s="3">
        <v>0.69199999999999995</v>
      </c>
      <c r="Q335" s="2">
        <v>0</v>
      </c>
      <c r="R335" s="3">
        <v>0.69199999999999995</v>
      </c>
      <c r="S335" t="s">
        <v>595</v>
      </c>
      <c r="U335" t="s">
        <v>604</v>
      </c>
    </row>
    <row r="336" spans="1:21" x14ac:dyDescent="0.6">
      <c r="A336">
        <v>230</v>
      </c>
      <c r="B336" t="str">
        <f>"4119"</f>
        <v>4119</v>
      </c>
      <c r="C336" t="s">
        <v>309</v>
      </c>
      <c r="D336" s="1">
        <v>42923</v>
      </c>
      <c r="E336">
        <v>69.3</v>
      </c>
      <c r="F336">
        <v>-0.6</v>
      </c>
      <c r="G336" s="3">
        <v>-8.6E-3</v>
      </c>
      <c r="H336">
        <v>2016</v>
      </c>
      <c r="I336">
        <v>5.17</v>
      </c>
      <c r="J336">
        <v>3.84</v>
      </c>
      <c r="K336">
        <v>0</v>
      </c>
      <c r="L336">
        <v>3.84</v>
      </c>
      <c r="M336" s="3">
        <v>5.5399999999999998E-2</v>
      </c>
      <c r="N336" s="2">
        <v>0</v>
      </c>
      <c r="O336" s="3">
        <v>5.5399999999999998E-2</v>
      </c>
      <c r="P336" s="3">
        <v>0.74299999999999999</v>
      </c>
      <c r="Q336" s="2">
        <v>0</v>
      </c>
      <c r="R336" s="3">
        <v>0.74299999999999999</v>
      </c>
      <c r="S336" t="s">
        <v>603</v>
      </c>
      <c r="U336" t="s">
        <v>614</v>
      </c>
    </row>
    <row r="337" spans="1:21" x14ac:dyDescent="0.6">
      <c r="A337">
        <v>336</v>
      </c>
      <c r="B337" t="str">
        <f>"5434"</f>
        <v>5434</v>
      </c>
      <c r="C337" t="s">
        <v>418</v>
      </c>
      <c r="D337" s="1">
        <v>42923</v>
      </c>
      <c r="E337">
        <v>91.4</v>
      </c>
      <c r="F337">
        <v>-0.4</v>
      </c>
      <c r="G337" s="3">
        <v>-4.4000000000000003E-3</v>
      </c>
      <c r="H337">
        <v>2016</v>
      </c>
      <c r="I337">
        <v>5.89</v>
      </c>
      <c r="J337">
        <v>3.9</v>
      </c>
      <c r="K337">
        <v>0.2</v>
      </c>
      <c r="L337">
        <v>4.0999999999999996</v>
      </c>
      <c r="M337" s="3">
        <v>4.2700000000000002E-2</v>
      </c>
      <c r="N337" s="3">
        <v>2.2000000000000001E-3</v>
      </c>
      <c r="O337" s="3">
        <v>4.4900000000000002E-2</v>
      </c>
      <c r="P337" s="3">
        <v>0.66200000000000003</v>
      </c>
      <c r="Q337" s="3">
        <v>3.4000000000000002E-2</v>
      </c>
      <c r="R337" s="3">
        <v>0.69599999999999995</v>
      </c>
      <c r="S337" t="s">
        <v>630</v>
      </c>
      <c r="T337" t="s">
        <v>630</v>
      </c>
      <c r="U337" t="s">
        <v>609</v>
      </c>
    </row>
    <row r="338" spans="1:21" x14ac:dyDescent="0.6">
      <c r="A338">
        <v>394</v>
      </c>
      <c r="B338" t="str">
        <f>"3491"</f>
        <v>3491</v>
      </c>
      <c r="C338" t="s">
        <v>479</v>
      </c>
      <c r="D338" s="1">
        <v>42923</v>
      </c>
      <c r="E338">
        <v>77.599999999999994</v>
      </c>
      <c r="F338">
        <v>-1.9</v>
      </c>
      <c r="G338" s="3">
        <v>-2.3900000000000001E-2</v>
      </c>
      <c r="H338">
        <v>2016</v>
      </c>
      <c r="I338">
        <v>4.5199999999999996</v>
      </c>
      <c r="J338">
        <v>4.3</v>
      </c>
      <c r="K338">
        <v>0</v>
      </c>
      <c r="L338">
        <v>4.3</v>
      </c>
      <c r="M338" s="3">
        <v>5.5399999999999998E-2</v>
      </c>
      <c r="N338" s="2">
        <v>0</v>
      </c>
      <c r="O338" s="3">
        <v>5.5399999999999998E-2</v>
      </c>
      <c r="P338" s="3">
        <v>0.95099999999999996</v>
      </c>
      <c r="Q338" s="2">
        <v>0</v>
      </c>
      <c r="R338" s="3">
        <v>0.95099999999999996</v>
      </c>
      <c r="S338" t="s">
        <v>600</v>
      </c>
      <c r="U338" t="s">
        <v>605</v>
      </c>
    </row>
    <row r="339" spans="1:21" x14ac:dyDescent="0.6">
      <c r="A339">
        <v>441</v>
      </c>
      <c r="B339" t="str">
        <f>"1507"</f>
        <v>1507</v>
      </c>
      <c r="C339" t="s">
        <v>531</v>
      </c>
      <c r="D339" s="1">
        <v>42923</v>
      </c>
      <c r="E339">
        <v>48.7</v>
      </c>
      <c r="F339">
        <v>-0.9</v>
      </c>
      <c r="G339" s="3">
        <v>-1.8100000000000002E-2</v>
      </c>
      <c r="H339">
        <v>2016</v>
      </c>
      <c r="I339">
        <v>4.53</v>
      </c>
      <c r="J339">
        <v>2.7</v>
      </c>
      <c r="K339">
        <v>0</v>
      </c>
      <c r="L339">
        <v>2.7</v>
      </c>
      <c r="M339" s="3">
        <v>5.5399999999999998E-2</v>
      </c>
      <c r="N339" s="2">
        <v>0</v>
      </c>
      <c r="O339" s="3">
        <v>5.5399999999999998E-2</v>
      </c>
      <c r="P339" s="3">
        <v>0.59599999999999997</v>
      </c>
      <c r="Q339" s="2">
        <v>0</v>
      </c>
      <c r="R339" s="3">
        <v>0.59599999999999997</v>
      </c>
      <c r="S339" t="s">
        <v>627</v>
      </c>
      <c r="U339" t="s">
        <v>617</v>
      </c>
    </row>
    <row r="340" spans="1:21" x14ac:dyDescent="0.6">
      <c r="A340">
        <v>287</v>
      </c>
      <c r="B340" t="str">
        <f>"2356"</f>
        <v>2356</v>
      </c>
      <c r="C340" t="s">
        <v>369</v>
      </c>
      <c r="D340" s="1">
        <v>42923</v>
      </c>
      <c r="E340">
        <v>25.35</v>
      </c>
      <c r="F340">
        <v>0.15</v>
      </c>
      <c r="G340" s="3">
        <v>6.0000000000000001E-3</v>
      </c>
      <c r="H340">
        <v>2016</v>
      </c>
      <c r="I340">
        <v>1.55</v>
      </c>
      <c r="J340">
        <v>1.4</v>
      </c>
      <c r="K340">
        <v>0</v>
      </c>
      <c r="L340">
        <v>1.4</v>
      </c>
      <c r="M340" s="3">
        <v>5.5199999999999999E-2</v>
      </c>
      <c r="N340" s="2">
        <v>0</v>
      </c>
      <c r="O340" s="3">
        <v>5.5199999999999999E-2</v>
      </c>
      <c r="P340" s="3">
        <v>0.90300000000000002</v>
      </c>
      <c r="Q340" s="2">
        <v>0</v>
      </c>
      <c r="R340" s="3">
        <v>0.90300000000000002</v>
      </c>
      <c r="S340" t="s">
        <v>641</v>
      </c>
      <c r="U340" t="s">
        <v>599</v>
      </c>
    </row>
    <row r="341" spans="1:21" x14ac:dyDescent="0.6">
      <c r="A341">
        <v>43</v>
      </c>
      <c r="B341" t="str">
        <f>"2065"</f>
        <v>2065</v>
      </c>
      <c r="C341" t="s">
        <v>88</v>
      </c>
      <c r="D341" s="1">
        <v>42923</v>
      </c>
      <c r="E341">
        <v>36.299999999999997</v>
      </c>
      <c r="F341">
        <v>-0.7</v>
      </c>
      <c r="G341" s="3">
        <v>-1.89E-2</v>
      </c>
      <c r="H341">
        <v>2016</v>
      </c>
      <c r="I341">
        <v>1.86</v>
      </c>
      <c r="J341">
        <v>2</v>
      </c>
      <c r="K341">
        <v>0</v>
      </c>
      <c r="L341">
        <v>2</v>
      </c>
      <c r="M341" s="3">
        <v>5.5100000000000003E-2</v>
      </c>
      <c r="N341" s="2">
        <v>0</v>
      </c>
      <c r="O341" s="3">
        <v>5.5100000000000003E-2</v>
      </c>
      <c r="P341" s="2">
        <v>1.08</v>
      </c>
      <c r="Q341" s="2">
        <v>0</v>
      </c>
      <c r="R341" s="2">
        <v>1.08</v>
      </c>
      <c r="S341" t="s">
        <v>640</v>
      </c>
      <c r="U341" t="s">
        <v>616</v>
      </c>
    </row>
    <row r="342" spans="1:21" x14ac:dyDescent="0.6">
      <c r="A342">
        <v>341</v>
      </c>
      <c r="B342" t="str">
        <f>"4804"</f>
        <v>4804</v>
      </c>
      <c r="C342" t="s">
        <v>423</v>
      </c>
      <c r="D342" s="1">
        <v>42923</v>
      </c>
      <c r="E342">
        <v>55.2</v>
      </c>
      <c r="F342">
        <v>-0.2</v>
      </c>
      <c r="G342" s="3">
        <v>-3.5999999999999999E-3</v>
      </c>
      <c r="H342">
        <v>2016</v>
      </c>
      <c r="I342">
        <v>5.09</v>
      </c>
      <c r="J342">
        <v>0.99</v>
      </c>
      <c r="K342">
        <v>2.97</v>
      </c>
      <c r="L342">
        <v>3.96</v>
      </c>
      <c r="M342" s="3">
        <v>1.7899999999999999E-2</v>
      </c>
      <c r="N342" s="3">
        <v>5.3800000000000001E-2</v>
      </c>
      <c r="O342" s="3">
        <v>7.17E-2</v>
      </c>
      <c r="P342" s="3">
        <v>0.19400000000000001</v>
      </c>
      <c r="Q342" s="3">
        <v>0.58399999999999996</v>
      </c>
      <c r="R342" s="3">
        <v>0.77800000000000002</v>
      </c>
      <c r="S342" t="s">
        <v>607</v>
      </c>
      <c r="T342" t="s">
        <v>607</v>
      </c>
      <c r="U342" t="s">
        <v>625</v>
      </c>
    </row>
    <row r="343" spans="1:21" x14ac:dyDescent="0.6">
      <c r="A343">
        <v>342</v>
      </c>
      <c r="B343" t="str">
        <f>"1605"</f>
        <v>1605</v>
      </c>
      <c r="C343" t="s">
        <v>424</v>
      </c>
      <c r="D343" s="1">
        <v>42923</v>
      </c>
      <c r="E343">
        <v>12.9</v>
      </c>
      <c r="F343">
        <v>-0.35</v>
      </c>
      <c r="G343" s="3">
        <v>-2.64E-2</v>
      </c>
      <c r="H343">
        <v>2016</v>
      </c>
      <c r="I343">
        <v>0.45</v>
      </c>
      <c r="J343">
        <v>0.21</v>
      </c>
      <c r="K343">
        <v>0</v>
      </c>
      <c r="L343">
        <v>0.21</v>
      </c>
      <c r="M343" s="3">
        <v>1.6299999999999999E-2</v>
      </c>
      <c r="N343" s="2">
        <v>0</v>
      </c>
      <c r="O343" s="3">
        <v>1.6299999999999999E-2</v>
      </c>
      <c r="P343" s="3">
        <v>0.46700000000000003</v>
      </c>
      <c r="Q343" s="2">
        <v>0</v>
      </c>
      <c r="R343" s="3">
        <v>0.46700000000000003</v>
      </c>
      <c r="S343" t="s">
        <v>683</v>
      </c>
      <c r="U343" t="s">
        <v>684</v>
      </c>
    </row>
    <row r="344" spans="1:21" x14ac:dyDescent="0.6">
      <c r="A344">
        <v>234</v>
      </c>
      <c r="B344" t="str">
        <f>"8463"</f>
        <v>8463</v>
      </c>
      <c r="C344" t="s">
        <v>313</v>
      </c>
      <c r="D344" s="1">
        <v>42923</v>
      </c>
      <c r="E344">
        <v>18.2</v>
      </c>
      <c r="F344">
        <v>-0.1</v>
      </c>
      <c r="G344" s="3">
        <v>-5.4999999999999997E-3</v>
      </c>
      <c r="H344">
        <v>2016</v>
      </c>
      <c r="I344">
        <v>1.32</v>
      </c>
      <c r="J344">
        <v>1</v>
      </c>
      <c r="K344">
        <v>0</v>
      </c>
      <c r="L344">
        <v>1</v>
      </c>
      <c r="M344" s="3">
        <v>5.4899999999999997E-2</v>
      </c>
      <c r="N344" s="2">
        <v>0</v>
      </c>
      <c r="O344" s="3">
        <v>5.4899999999999997E-2</v>
      </c>
      <c r="P344" s="3">
        <v>0.75800000000000001</v>
      </c>
      <c r="Q344" s="2">
        <v>0</v>
      </c>
      <c r="R344" s="3">
        <v>0.75800000000000001</v>
      </c>
      <c r="S344" t="s">
        <v>597</v>
      </c>
      <c r="U344" t="s">
        <v>640</v>
      </c>
    </row>
    <row r="345" spans="1:21" x14ac:dyDescent="0.6">
      <c r="A345">
        <v>301</v>
      </c>
      <c r="B345" t="str">
        <f>"4999"</f>
        <v>4999</v>
      </c>
      <c r="C345" t="s">
        <v>383</v>
      </c>
      <c r="D345" s="1">
        <v>42923</v>
      </c>
      <c r="E345">
        <v>54.7</v>
      </c>
      <c r="F345">
        <v>-0.5</v>
      </c>
      <c r="G345" s="3">
        <v>-9.1000000000000004E-3</v>
      </c>
      <c r="H345">
        <v>2016</v>
      </c>
      <c r="I345">
        <v>5.89</v>
      </c>
      <c r="J345">
        <v>3</v>
      </c>
      <c r="K345">
        <v>0</v>
      </c>
      <c r="L345">
        <v>3</v>
      </c>
      <c r="M345" s="3">
        <v>5.4800000000000001E-2</v>
      </c>
      <c r="N345" s="2">
        <v>0</v>
      </c>
      <c r="O345" s="3">
        <v>5.4800000000000001E-2</v>
      </c>
      <c r="P345" s="3">
        <v>0.50900000000000001</v>
      </c>
      <c r="Q345" s="2">
        <v>0</v>
      </c>
      <c r="R345" s="3">
        <v>0.50900000000000001</v>
      </c>
      <c r="S345" t="s">
        <v>615</v>
      </c>
      <c r="U345" t="s">
        <v>616</v>
      </c>
    </row>
    <row r="346" spans="1:21" x14ac:dyDescent="0.6">
      <c r="A346">
        <v>334</v>
      </c>
      <c r="B346" t="str">
        <f>"3537"</f>
        <v>3537</v>
      </c>
      <c r="C346" t="s">
        <v>416</v>
      </c>
      <c r="D346" s="1">
        <v>42923</v>
      </c>
      <c r="E346">
        <v>21.9</v>
      </c>
      <c r="F346">
        <v>0</v>
      </c>
      <c r="G346" s="2">
        <v>0</v>
      </c>
      <c r="H346">
        <v>2016</v>
      </c>
      <c r="I346">
        <v>1.41</v>
      </c>
      <c r="J346">
        <v>1.2</v>
      </c>
      <c r="K346">
        <v>0</v>
      </c>
      <c r="L346">
        <v>1.2</v>
      </c>
      <c r="M346" s="3">
        <v>5.4800000000000001E-2</v>
      </c>
      <c r="N346" s="2">
        <v>0</v>
      </c>
      <c r="O346" s="3">
        <v>5.4800000000000001E-2</v>
      </c>
      <c r="P346" s="3">
        <v>0.85099999999999998</v>
      </c>
      <c r="Q346" s="2">
        <v>0</v>
      </c>
      <c r="R346" s="3">
        <v>0.85099999999999998</v>
      </c>
      <c r="S346" t="s">
        <v>634</v>
      </c>
      <c r="U346" t="s">
        <v>611</v>
      </c>
    </row>
    <row r="347" spans="1:21" x14ac:dyDescent="0.6">
      <c r="A347">
        <v>346</v>
      </c>
      <c r="B347" t="str">
        <f>"6138"</f>
        <v>6138</v>
      </c>
      <c r="C347" t="s">
        <v>428</v>
      </c>
      <c r="D347" s="1">
        <v>42923</v>
      </c>
      <c r="E347">
        <v>39.200000000000003</v>
      </c>
      <c r="F347">
        <v>0.2</v>
      </c>
      <c r="G347" s="3">
        <v>5.1000000000000004E-3</v>
      </c>
      <c r="H347">
        <v>2016</v>
      </c>
      <c r="I347">
        <v>1.49</v>
      </c>
      <c r="J347">
        <v>1.5</v>
      </c>
      <c r="K347">
        <v>0</v>
      </c>
      <c r="L347">
        <v>1.5</v>
      </c>
      <c r="M347" s="3">
        <v>3.8300000000000001E-2</v>
      </c>
      <c r="N347" s="2">
        <v>0</v>
      </c>
      <c r="O347" s="3">
        <v>3.8300000000000001E-2</v>
      </c>
      <c r="P347" s="2">
        <v>1.01</v>
      </c>
      <c r="Q347" s="2">
        <v>0</v>
      </c>
      <c r="R347" s="2">
        <v>1.01</v>
      </c>
      <c r="S347" t="s">
        <v>620</v>
      </c>
      <c r="U347" t="s">
        <v>645</v>
      </c>
    </row>
    <row r="348" spans="1:21" x14ac:dyDescent="0.6">
      <c r="A348">
        <v>347</v>
      </c>
      <c r="B348" t="str">
        <f>"2520"</f>
        <v>2520</v>
      </c>
      <c r="C348" t="s">
        <v>429</v>
      </c>
      <c r="D348" s="1">
        <v>42923</v>
      </c>
      <c r="E348">
        <v>20.350000000000001</v>
      </c>
      <c r="F348">
        <v>0.1</v>
      </c>
      <c r="G348" s="3">
        <v>4.8999999999999998E-3</v>
      </c>
      <c r="H348">
        <v>2016</v>
      </c>
      <c r="I348">
        <v>1.1599999999999999</v>
      </c>
      <c r="J348">
        <v>1</v>
      </c>
      <c r="K348">
        <v>0</v>
      </c>
      <c r="L348">
        <v>1</v>
      </c>
      <c r="M348" s="3">
        <v>4.9099999999999998E-2</v>
      </c>
      <c r="N348" s="2">
        <v>0</v>
      </c>
      <c r="O348" s="3">
        <v>4.9099999999999998E-2</v>
      </c>
      <c r="P348" s="3">
        <v>0.86199999999999999</v>
      </c>
      <c r="Q348" s="2">
        <v>0</v>
      </c>
      <c r="R348" s="3">
        <v>0.86199999999999999</v>
      </c>
      <c r="S348" t="s">
        <v>629</v>
      </c>
      <c r="U348" t="s">
        <v>631</v>
      </c>
    </row>
    <row r="349" spans="1:21" x14ac:dyDescent="0.6">
      <c r="A349">
        <v>348</v>
      </c>
      <c r="B349" t="str">
        <f>"4747"</f>
        <v>4747</v>
      </c>
      <c r="C349" t="s">
        <v>430</v>
      </c>
      <c r="D349" s="1">
        <v>42923</v>
      </c>
      <c r="E349">
        <v>35.15</v>
      </c>
      <c r="F349">
        <v>-0.25</v>
      </c>
      <c r="G349" s="3">
        <v>-7.1000000000000004E-3</v>
      </c>
      <c r="H349">
        <v>2016</v>
      </c>
      <c r="I349">
        <v>2.1</v>
      </c>
      <c r="J349">
        <v>1.75</v>
      </c>
      <c r="K349">
        <v>0</v>
      </c>
      <c r="L349">
        <v>1.75</v>
      </c>
      <c r="M349" s="3">
        <v>4.9799999999999997E-2</v>
      </c>
      <c r="N349" s="2">
        <v>0</v>
      </c>
      <c r="O349" s="3">
        <v>4.9799999999999997E-2</v>
      </c>
      <c r="P349" s="3">
        <v>0.83299999999999996</v>
      </c>
      <c r="Q349" s="2">
        <v>0</v>
      </c>
      <c r="R349" s="3">
        <v>0.83299999999999996</v>
      </c>
      <c r="S349" t="s">
        <v>635</v>
      </c>
      <c r="U349" t="s">
        <v>643</v>
      </c>
    </row>
    <row r="350" spans="1:21" x14ac:dyDescent="0.6">
      <c r="A350">
        <v>335</v>
      </c>
      <c r="B350" t="str">
        <f>"6205"</f>
        <v>6205</v>
      </c>
      <c r="C350" t="s">
        <v>417</v>
      </c>
      <c r="D350" s="1">
        <v>42923</v>
      </c>
      <c r="E350">
        <v>36.5</v>
      </c>
      <c r="F350">
        <v>-0.75</v>
      </c>
      <c r="G350" s="3">
        <v>-2.01E-2</v>
      </c>
      <c r="H350">
        <v>2016</v>
      </c>
      <c r="I350">
        <v>3.1</v>
      </c>
      <c r="J350">
        <v>2</v>
      </c>
      <c r="K350">
        <v>0</v>
      </c>
      <c r="L350">
        <v>2</v>
      </c>
      <c r="M350" s="3">
        <v>5.4800000000000001E-2</v>
      </c>
      <c r="N350" s="2">
        <v>0</v>
      </c>
      <c r="O350" s="3">
        <v>5.4800000000000001E-2</v>
      </c>
      <c r="P350" s="3">
        <v>0.64500000000000002</v>
      </c>
      <c r="Q350" s="2">
        <v>0</v>
      </c>
      <c r="R350" s="3">
        <v>0.64500000000000002</v>
      </c>
      <c r="S350" t="s">
        <v>613</v>
      </c>
      <c r="U350" t="s">
        <v>630</v>
      </c>
    </row>
    <row r="351" spans="1:21" x14ac:dyDescent="0.6">
      <c r="A351">
        <v>350</v>
      </c>
      <c r="B351" t="str">
        <f>"1323"</f>
        <v>1323</v>
      </c>
      <c r="C351" t="s">
        <v>432</v>
      </c>
      <c r="D351" s="1">
        <v>42923</v>
      </c>
      <c r="E351">
        <v>33.35</v>
      </c>
      <c r="F351">
        <v>-0.3</v>
      </c>
      <c r="G351" s="3">
        <v>-8.8999999999999999E-3</v>
      </c>
      <c r="H351">
        <v>2016</v>
      </c>
      <c r="I351">
        <v>2.5499999999999998</v>
      </c>
      <c r="J351">
        <v>1.55</v>
      </c>
      <c r="K351">
        <v>0</v>
      </c>
      <c r="L351">
        <v>1.55</v>
      </c>
      <c r="M351" s="3">
        <v>4.65E-2</v>
      </c>
      <c r="N351" s="2">
        <v>0</v>
      </c>
      <c r="O351" s="3">
        <v>4.65E-2</v>
      </c>
      <c r="P351" s="3">
        <v>0.60799999999999998</v>
      </c>
      <c r="Q351" s="2">
        <v>0</v>
      </c>
      <c r="R351" s="3">
        <v>0.60799999999999998</v>
      </c>
      <c r="S351" t="s">
        <v>595</v>
      </c>
      <c r="U351" t="s">
        <v>643</v>
      </c>
    </row>
    <row r="352" spans="1:21" x14ac:dyDescent="0.6">
      <c r="A352">
        <v>351</v>
      </c>
      <c r="B352" t="str">
        <f>"2812"</f>
        <v>2812</v>
      </c>
      <c r="C352" t="s">
        <v>433</v>
      </c>
      <c r="D352" s="1">
        <v>42923</v>
      </c>
      <c r="E352">
        <v>10.199999999999999</v>
      </c>
      <c r="F352">
        <v>-0.05</v>
      </c>
      <c r="G352" s="3">
        <v>-4.8999999999999998E-3</v>
      </c>
      <c r="H352">
        <v>2016</v>
      </c>
      <c r="I352">
        <v>1.1399999999999999</v>
      </c>
      <c r="J352">
        <v>0.5</v>
      </c>
      <c r="K352">
        <v>0.17</v>
      </c>
      <c r="L352">
        <v>0.67</v>
      </c>
      <c r="M352" s="3">
        <v>4.9000000000000002E-2</v>
      </c>
      <c r="N352" s="3">
        <v>1.67E-2</v>
      </c>
      <c r="O352" s="3">
        <v>6.5699999999999995E-2</v>
      </c>
      <c r="P352" s="3">
        <v>0.439</v>
      </c>
      <c r="Q352" s="3">
        <v>0.14899999999999999</v>
      </c>
      <c r="R352" s="3">
        <v>0.58799999999999997</v>
      </c>
      <c r="S352" t="s">
        <v>639</v>
      </c>
      <c r="T352" t="s">
        <v>639</v>
      </c>
      <c r="U352" t="s">
        <v>626</v>
      </c>
    </row>
    <row r="353" spans="1:21" x14ac:dyDescent="0.6">
      <c r="A353">
        <v>337</v>
      </c>
      <c r="B353" t="str">
        <f>"1788"</f>
        <v>1788</v>
      </c>
      <c r="C353" t="s">
        <v>419</v>
      </c>
      <c r="D353" s="1">
        <v>42923</v>
      </c>
      <c r="E353">
        <v>91.5</v>
      </c>
      <c r="F353">
        <v>-0.5</v>
      </c>
      <c r="G353" s="3">
        <v>-5.4000000000000003E-3</v>
      </c>
      <c r="H353">
        <v>2016</v>
      </c>
      <c r="I353">
        <v>6.2</v>
      </c>
      <c r="J353">
        <v>5</v>
      </c>
      <c r="K353">
        <v>0</v>
      </c>
      <c r="L353">
        <v>5</v>
      </c>
      <c r="M353" s="3">
        <v>5.4600000000000003E-2</v>
      </c>
      <c r="N353" s="2">
        <v>0</v>
      </c>
      <c r="O353" s="3">
        <v>5.4600000000000003E-2</v>
      </c>
      <c r="P353" s="3">
        <v>0.80600000000000005</v>
      </c>
      <c r="Q353" s="2">
        <v>0</v>
      </c>
      <c r="R353" s="3">
        <v>0.80600000000000005</v>
      </c>
      <c r="S353" t="s">
        <v>597</v>
      </c>
      <c r="U353" t="s">
        <v>655</v>
      </c>
    </row>
    <row r="354" spans="1:21" x14ac:dyDescent="0.6">
      <c r="A354">
        <v>212</v>
      </c>
      <c r="B354" t="str">
        <f>"8099"</f>
        <v>8099</v>
      </c>
      <c r="C354" t="s">
        <v>291</v>
      </c>
      <c r="D354" s="1">
        <v>42923</v>
      </c>
      <c r="E354">
        <v>18.350000000000001</v>
      </c>
      <c r="F354">
        <v>-0.15</v>
      </c>
      <c r="G354" s="3">
        <v>-8.0999999999999996E-3</v>
      </c>
      <c r="H354">
        <v>2016</v>
      </c>
      <c r="I354">
        <v>1.34</v>
      </c>
      <c r="J354">
        <v>1</v>
      </c>
      <c r="K354">
        <v>0</v>
      </c>
      <c r="L354">
        <v>1</v>
      </c>
      <c r="M354" s="3">
        <v>5.45E-2</v>
      </c>
      <c r="N354" s="2">
        <v>0</v>
      </c>
      <c r="O354" s="3">
        <v>5.45E-2</v>
      </c>
      <c r="P354" s="3">
        <v>0.746</v>
      </c>
      <c r="Q354" s="2">
        <v>0</v>
      </c>
      <c r="R354" s="3">
        <v>0.746</v>
      </c>
      <c r="S354" t="s">
        <v>614</v>
      </c>
      <c r="U354" t="s">
        <v>609</v>
      </c>
    </row>
    <row r="355" spans="1:21" x14ac:dyDescent="0.6">
      <c r="A355">
        <v>354</v>
      </c>
      <c r="B355" t="str">
        <f>"3260"</f>
        <v>3260</v>
      </c>
      <c r="C355" t="s">
        <v>437</v>
      </c>
      <c r="D355" s="1">
        <v>42923</v>
      </c>
      <c r="E355">
        <v>74.3</v>
      </c>
      <c r="F355">
        <v>-0.5</v>
      </c>
      <c r="G355" s="3">
        <v>-6.7000000000000002E-3</v>
      </c>
      <c r="H355">
        <v>2016</v>
      </c>
      <c r="I355">
        <v>-0.2</v>
      </c>
      <c r="J355">
        <v>0.5</v>
      </c>
      <c r="K355">
        <v>0</v>
      </c>
      <c r="L355">
        <v>0.5</v>
      </c>
      <c r="M355" s="3">
        <v>6.7000000000000002E-3</v>
      </c>
      <c r="N355" s="2">
        <v>0</v>
      </c>
      <c r="O355" s="3">
        <v>6.7000000000000002E-3</v>
      </c>
      <c r="P355" s="2">
        <v>-2.5</v>
      </c>
      <c r="Q355" s="2">
        <v>0</v>
      </c>
      <c r="R355" s="2">
        <v>-2.5</v>
      </c>
      <c r="S355" t="s">
        <v>615</v>
      </c>
      <c r="U355" t="s">
        <v>601</v>
      </c>
    </row>
    <row r="356" spans="1:21" x14ac:dyDescent="0.6">
      <c r="A356">
        <v>316</v>
      </c>
      <c r="B356" t="str">
        <f>"1725"</f>
        <v>1725</v>
      </c>
      <c r="C356" t="s">
        <v>398</v>
      </c>
      <c r="D356" s="1">
        <v>42923</v>
      </c>
      <c r="E356">
        <v>14.3</v>
      </c>
      <c r="F356">
        <v>0</v>
      </c>
      <c r="G356" s="2">
        <v>0</v>
      </c>
      <c r="H356">
        <v>2016</v>
      </c>
      <c r="I356">
        <v>1.1100000000000001</v>
      </c>
      <c r="J356">
        <v>0.78</v>
      </c>
      <c r="K356">
        <v>0</v>
      </c>
      <c r="L356">
        <v>0.78</v>
      </c>
      <c r="M356" s="3">
        <v>5.45E-2</v>
      </c>
      <c r="N356" s="2">
        <v>0</v>
      </c>
      <c r="O356" s="3">
        <v>5.45E-2</v>
      </c>
      <c r="P356" s="3">
        <v>0.70299999999999996</v>
      </c>
      <c r="Q356" s="2">
        <v>0</v>
      </c>
      <c r="R356" s="3">
        <v>0.70299999999999996</v>
      </c>
      <c r="S356" t="s">
        <v>675</v>
      </c>
      <c r="U356" t="s">
        <v>666</v>
      </c>
    </row>
    <row r="357" spans="1:21" x14ac:dyDescent="0.6">
      <c r="A357">
        <v>339</v>
      </c>
      <c r="B357" t="str">
        <f>"6212"</f>
        <v>6212</v>
      </c>
      <c r="C357" t="s">
        <v>421</v>
      </c>
      <c r="D357" s="1">
        <v>42923</v>
      </c>
      <c r="E357">
        <v>27.5</v>
      </c>
      <c r="F357">
        <v>-0.05</v>
      </c>
      <c r="G357" s="3">
        <v>-1.8E-3</v>
      </c>
      <c r="H357">
        <v>2016</v>
      </c>
      <c r="I357">
        <v>4.0999999999999996</v>
      </c>
      <c r="J357">
        <v>1.5</v>
      </c>
      <c r="K357">
        <v>0</v>
      </c>
      <c r="L357">
        <v>1.5</v>
      </c>
      <c r="M357" s="3">
        <v>5.45E-2</v>
      </c>
      <c r="N357" s="2">
        <v>0</v>
      </c>
      <c r="O357" s="3">
        <v>5.45E-2</v>
      </c>
      <c r="P357" s="3">
        <v>0.36599999999999999</v>
      </c>
      <c r="Q357" s="2">
        <v>0</v>
      </c>
      <c r="R357" s="3">
        <v>0.36599999999999999</v>
      </c>
      <c r="S357" t="s">
        <v>655</v>
      </c>
      <c r="U357" t="s">
        <v>650</v>
      </c>
    </row>
    <row r="358" spans="1:21" x14ac:dyDescent="0.6">
      <c r="A358">
        <v>357</v>
      </c>
      <c r="B358" t="str">
        <f>"6496"</f>
        <v>6496</v>
      </c>
      <c r="C358" t="s">
        <v>440</v>
      </c>
      <c r="D358" s="1">
        <v>42923</v>
      </c>
      <c r="E358">
        <v>74.400000000000006</v>
      </c>
      <c r="F358">
        <v>-0.8</v>
      </c>
      <c r="G358" s="3">
        <v>-1.06E-2</v>
      </c>
      <c r="H358">
        <v>2016</v>
      </c>
      <c r="I358">
        <v>3.37</v>
      </c>
      <c r="J358">
        <v>2.5</v>
      </c>
      <c r="K358">
        <v>0</v>
      </c>
      <c r="L358">
        <v>2.5</v>
      </c>
      <c r="M358" s="3">
        <v>3.3599999999999998E-2</v>
      </c>
      <c r="N358" s="2">
        <v>0</v>
      </c>
      <c r="O358" s="3">
        <v>3.3599999999999998E-2</v>
      </c>
      <c r="P358" s="3">
        <v>0.74199999999999999</v>
      </c>
      <c r="Q358" s="2">
        <v>0</v>
      </c>
      <c r="R358" s="3">
        <v>0.74199999999999999</v>
      </c>
      <c r="S358" t="s">
        <v>650</v>
      </c>
      <c r="U358" t="s">
        <v>663</v>
      </c>
    </row>
    <row r="359" spans="1:21" x14ac:dyDescent="0.6">
      <c r="A359">
        <v>180</v>
      </c>
      <c r="B359" t="str">
        <f>"6803"</f>
        <v>6803</v>
      </c>
      <c r="C359" t="s">
        <v>256</v>
      </c>
      <c r="D359" s="1">
        <v>42923</v>
      </c>
      <c r="E359">
        <v>177</v>
      </c>
      <c r="F359">
        <v>0</v>
      </c>
      <c r="G359" s="2">
        <v>0</v>
      </c>
      <c r="H359">
        <v>2016</v>
      </c>
      <c r="I359">
        <v>10.84</v>
      </c>
      <c r="J359">
        <v>9.6300000000000008</v>
      </c>
      <c r="K359">
        <v>0</v>
      </c>
      <c r="L359">
        <v>9.6300000000000008</v>
      </c>
      <c r="M359" s="3">
        <v>5.4399999999999997E-2</v>
      </c>
      <c r="N359" s="2">
        <v>0</v>
      </c>
      <c r="O359" s="3">
        <v>5.4399999999999997E-2</v>
      </c>
      <c r="P359" s="3">
        <v>0.88800000000000001</v>
      </c>
      <c r="Q359" s="2">
        <v>0</v>
      </c>
      <c r="R359" s="3">
        <v>0.88800000000000001</v>
      </c>
      <c r="S359" t="s">
        <v>634</v>
      </c>
    </row>
    <row r="360" spans="1:21" x14ac:dyDescent="0.6">
      <c r="A360">
        <v>340</v>
      </c>
      <c r="B360" t="str">
        <f>"2359"</f>
        <v>2359</v>
      </c>
      <c r="C360" t="s">
        <v>422</v>
      </c>
      <c r="D360" s="1">
        <v>42923</v>
      </c>
      <c r="E360">
        <v>18.399999999999999</v>
      </c>
      <c r="F360">
        <v>0.2</v>
      </c>
      <c r="G360" s="3">
        <v>1.0999999999999999E-2</v>
      </c>
      <c r="H360">
        <v>2016</v>
      </c>
      <c r="I360">
        <v>2.15</v>
      </c>
      <c r="J360">
        <v>1</v>
      </c>
      <c r="K360">
        <v>0</v>
      </c>
      <c r="L360">
        <v>1</v>
      </c>
      <c r="M360" s="3">
        <v>5.4300000000000001E-2</v>
      </c>
      <c r="N360" s="2">
        <v>0</v>
      </c>
      <c r="O360" s="3">
        <v>5.4300000000000001E-2</v>
      </c>
      <c r="P360" s="3">
        <v>0.46500000000000002</v>
      </c>
      <c r="Q360" s="2">
        <v>0</v>
      </c>
      <c r="R360" s="3">
        <v>0.46500000000000002</v>
      </c>
      <c r="S360" t="s">
        <v>653</v>
      </c>
      <c r="U360" t="s">
        <v>613</v>
      </c>
    </row>
    <row r="361" spans="1:21" x14ac:dyDescent="0.6">
      <c r="A361">
        <v>360</v>
      </c>
      <c r="B361" t="str">
        <f>"1730"</f>
        <v>1730</v>
      </c>
      <c r="C361" t="s">
        <v>443</v>
      </c>
      <c r="D361" s="1">
        <v>42923</v>
      </c>
      <c r="E361">
        <v>41</v>
      </c>
      <c r="F361">
        <v>0.05</v>
      </c>
      <c r="G361" s="3">
        <v>1.1999999999999999E-3</v>
      </c>
      <c r="H361">
        <v>2016</v>
      </c>
      <c r="I361">
        <v>2.73</v>
      </c>
      <c r="J361">
        <v>2</v>
      </c>
      <c r="K361">
        <v>0</v>
      </c>
      <c r="L361">
        <v>2</v>
      </c>
      <c r="M361" s="3">
        <v>4.8800000000000003E-2</v>
      </c>
      <c r="N361" s="2">
        <v>0</v>
      </c>
      <c r="O361" s="3">
        <v>4.8800000000000003E-2</v>
      </c>
      <c r="P361" s="3">
        <v>0.73299999999999998</v>
      </c>
      <c r="Q361" s="2">
        <v>0</v>
      </c>
      <c r="R361" s="3">
        <v>0.73299999999999998</v>
      </c>
      <c r="S361" t="s">
        <v>622</v>
      </c>
      <c r="U361" t="s">
        <v>623</v>
      </c>
    </row>
    <row r="362" spans="1:21" x14ac:dyDescent="0.6">
      <c r="A362">
        <v>245</v>
      </c>
      <c r="B362" t="str">
        <f>"8433"</f>
        <v>8433</v>
      </c>
      <c r="C362" t="s">
        <v>324</v>
      </c>
      <c r="D362" s="1">
        <v>42923</v>
      </c>
      <c r="E362">
        <v>101.5</v>
      </c>
      <c r="F362">
        <v>-2.5</v>
      </c>
      <c r="G362" s="3">
        <v>-2.4E-2</v>
      </c>
      <c r="H362">
        <v>2016</v>
      </c>
      <c r="I362">
        <v>6.75</v>
      </c>
      <c r="J362">
        <v>5.5</v>
      </c>
      <c r="K362">
        <v>0</v>
      </c>
      <c r="L362">
        <v>5.5</v>
      </c>
      <c r="M362" s="3">
        <v>5.4199999999999998E-2</v>
      </c>
      <c r="N362" s="2">
        <v>0</v>
      </c>
      <c r="O362" s="3">
        <v>5.4199999999999998E-2</v>
      </c>
      <c r="P362" s="3">
        <v>0.81499999999999995</v>
      </c>
      <c r="Q362" s="2">
        <v>0</v>
      </c>
      <c r="R362" s="3">
        <v>0.81499999999999995</v>
      </c>
      <c r="S362" t="s">
        <v>597</v>
      </c>
      <c r="U362" t="s">
        <v>601</v>
      </c>
    </row>
    <row r="363" spans="1:21" x14ac:dyDescent="0.6">
      <c r="A363">
        <v>343</v>
      </c>
      <c r="B363" t="str">
        <f>"9905"</f>
        <v>9905</v>
      </c>
      <c r="C363" t="s">
        <v>425</v>
      </c>
      <c r="D363" s="1">
        <v>42923</v>
      </c>
      <c r="E363">
        <v>27.65</v>
      </c>
      <c r="F363">
        <v>-0.1</v>
      </c>
      <c r="G363" s="3">
        <v>-3.5999999999999999E-3</v>
      </c>
      <c r="H363">
        <v>2016</v>
      </c>
      <c r="I363">
        <v>2.2599999999999998</v>
      </c>
      <c r="J363">
        <v>1.5</v>
      </c>
      <c r="K363">
        <v>0</v>
      </c>
      <c r="L363">
        <v>1.5</v>
      </c>
      <c r="M363" s="3">
        <v>5.4199999999999998E-2</v>
      </c>
      <c r="N363" s="2">
        <v>0</v>
      </c>
      <c r="O363" s="3">
        <v>5.4199999999999998E-2</v>
      </c>
      <c r="P363" s="3">
        <v>0.66400000000000003</v>
      </c>
      <c r="Q363" s="2">
        <v>0</v>
      </c>
      <c r="R363" s="3">
        <v>0.66400000000000003</v>
      </c>
      <c r="S363" t="s">
        <v>603</v>
      </c>
      <c r="U363" t="s">
        <v>623</v>
      </c>
    </row>
    <row r="364" spans="1:21" x14ac:dyDescent="0.6">
      <c r="A364">
        <v>344</v>
      </c>
      <c r="B364" t="str">
        <f>"1232"</f>
        <v>1232</v>
      </c>
      <c r="C364" t="s">
        <v>426</v>
      </c>
      <c r="D364" s="1">
        <v>42923</v>
      </c>
      <c r="E364">
        <v>92.2</v>
      </c>
      <c r="F364">
        <v>-0.1</v>
      </c>
      <c r="G364" s="3">
        <v>-1.1000000000000001E-3</v>
      </c>
      <c r="H364">
        <v>2016</v>
      </c>
      <c r="I364">
        <v>5.7</v>
      </c>
      <c r="J364">
        <v>5</v>
      </c>
      <c r="K364">
        <v>0</v>
      </c>
      <c r="L364">
        <v>5</v>
      </c>
      <c r="M364" s="3">
        <v>5.4199999999999998E-2</v>
      </c>
      <c r="N364" s="2">
        <v>0</v>
      </c>
      <c r="O364" s="3">
        <v>5.4199999999999998E-2</v>
      </c>
      <c r="P364" s="3">
        <v>0.877</v>
      </c>
      <c r="Q364" s="2">
        <v>0</v>
      </c>
      <c r="R364" s="3">
        <v>0.877</v>
      </c>
      <c r="S364" t="s">
        <v>628</v>
      </c>
      <c r="U364" t="s">
        <v>603</v>
      </c>
    </row>
    <row r="365" spans="1:21" x14ac:dyDescent="0.6">
      <c r="A365">
        <v>364</v>
      </c>
      <c r="B365" t="str">
        <f>"8091"</f>
        <v>8091</v>
      </c>
      <c r="C365" t="s">
        <v>447</v>
      </c>
      <c r="D365" s="1">
        <v>42923</v>
      </c>
      <c r="E365">
        <v>68</v>
      </c>
      <c r="F365">
        <v>-0.2</v>
      </c>
      <c r="G365" s="3">
        <v>-2.8999999999999998E-3</v>
      </c>
      <c r="H365">
        <v>2016</v>
      </c>
      <c r="I365">
        <v>5.43</v>
      </c>
      <c r="J365">
        <v>3</v>
      </c>
      <c r="K365">
        <v>0</v>
      </c>
      <c r="L365">
        <v>3</v>
      </c>
      <c r="M365" s="3">
        <v>4.41E-2</v>
      </c>
      <c r="N365" s="2">
        <v>0</v>
      </c>
      <c r="O365" s="3">
        <v>4.41E-2</v>
      </c>
      <c r="P365" s="3">
        <v>0.55200000000000005</v>
      </c>
      <c r="Q365" s="2">
        <v>0</v>
      </c>
      <c r="R365" s="3">
        <v>0.55200000000000005</v>
      </c>
      <c r="S365" t="s">
        <v>650</v>
      </c>
      <c r="U365" t="s">
        <v>609</v>
      </c>
    </row>
    <row r="366" spans="1:21" x14ac:dyDescent="0.6">
      <c r="A366">
        <v>365</v>
      </c>
      <c r="B366" t="str">
        <f>"2355"</f>
        <v>2355</v>
      </c>
      <c r="C366" t="s">
        <v>448</v>
      </c>
      <c r="D366" s="1">
        <v>42923</v>
      </c>
      <c r="E366">
        <v>60.1</v>
      </c>
      <c r="F366">
        <v>-0.7</v>
      </c>
      <c r="G366" s="3">
        <v>-1.15E-2</v>
      </c>
      <c r="H366">
        <v>2016</v>
      </c>
      <c r="I366">
        <v>4.97</v>
      </c>
      <c r="J366">
        <v>2.6</v>
      </c>
      <c r="K366">
        <v>0</v>
      </c>
      <c r="L366">
        <v>2.6</v>
      </c>
      <c r="M366" s="3">
        <v>4.3299999999999998E-2</v>
      </c>
      <c r="N366" s="2">
        <v>0</v>
      </c>
      <c r="O366" s="3">
        <v>4.3299999999999998E-2</v>
      </c>
      <c r="P366" s="3">
        <v>0.52300000000000002</v>
      </c>
      <c r="Q366" s="2">
        <v>0</v>
      </c>
      <c r="R366" s="3">
        <v>0.52300000000000002</v>
      </c>
      <c r="S366" t="s">
        <v>675</v>
      </c>
      <c r="U366" t="s">
        <v>619</v>
      </c>
    </row>
    <row r="367" spans="1:21" x14ac:dyDescent="0.6">
      <c r="A367">
        <v>361</v>
      </c>
      <c r="B367" t="str">
        <f>"5515"</f>
        <v>5515</v>
      </c>
      <c r="C367" t="s">
        <v>444</v>
      </c>
      <c r="D367" s="1">
        <v>42923</v>
      </c>
      <c r="E367">
        <v>9.32</v>
      </c>
      <c r="F367">
        <v>-0.05</v>
      </c>
      <c r="G367" s="3">
        <v>-5.3E-3</v>
      </c>
      <c r="H367">
        <v>2016</v>
      </c>
      <c r="I367">
        <v>-0.51</v>
      </c>
      <c r="J367">
        <v>0.51</v>
      </c>
      <c r="K367">
        <v>0</v>
      </c>
      <c r="L367">
        <v>0.51</v>
      </c>
      <c r="M367" s="3">
        <v>5.4199999999999998E-2</v>
      </c>
      <c r="N367" s="2">
        <v>0</v>
      </c>
      <c r="O367" s="3">
        <v>5.4199999999999998E-2</v>
      </c>
      <c r="P367" s="2">
        <v>-1</v>
      </c>
      <c r="Q367" s="2">
        <v>0</v>
      </c>
      <c r="R367" s="2">
        <v>-1</v>
      </c>
      <c r="S367" t="s">
        <v>622</v>
      </c>
      <c r="U367" t="s">
        <v>606</v>
      </c>
    </row>
    <row r="368" spans="1:21" x14ac:dyDescent="0.6">
      <c r="A368">
        <v>452</v>
      </c>
      <c r="B368" t="str">
        <f>"2897"</f>
        <v>2897</v>
      </c>
      <c r="C368" t="s">
        <v>542</v>
      </c>
      <c r="D368" s="1">
        <v>42923</v>
      </c>
      <c r="E368">
        <v>9.2200000000000006</v>
      </c>
      <c r="F368">
        <v>-0.04</v>
      </c>
      <c r="G368" s="3">
        <v>-4.3E-3</v>
      </c>
      <c r="H368">
        <v>2016</v>
      </c>
      <c r="I368">
        <v>0.72</v>
      </c>
      <c r="J368">
        <v>0.5</v>
      </c>
      <c r="K368">
        <v>0</v>
      </c>
      <c r="L368">
        <v>0.5</v>
      </c>
      <c r="M368" s="3">
        <v>5.4199999999999998E-2</v>
      </c>
      <c r="N368" s="2">
        <v>0</v>
      </c>
      <c r="O368" s="3">
        <v>5.4199999999999998E-2</v>
      </c>
      <c r="P368" s="3">
        <v>0.69399999999999995</v>
      </c>
      <c r="Q368" s="2">
        <v>0</v>
      </c>
      <c r="R368" s="3">
        <v>0.69399999999999995</v>
      </c>
      <c r="S368" t="s">
        <v>613</v>
      </c>
      <c r="U368" t="s">
        <v>605</v>
      </c>
    </row>
    <row r="369" spans="1:21" x14ac:dyDescent="0.6">
      <c r="A369">
        <v>368</v>
      </c>
      <c r="B369" t="str">
        <f>"8069"</f>
        <v>8069</v>
      </c>
      <c r="C369" t="s">
        <v>451</v>
      </c>
      <c r="D369" s="1">
        <v>42923</v>
      </c>
      <c r="E369">
        <v>28.35</v>
      </c>
      <c r="F369">
        <v>-0.05</v>
      </c>
      <c r="G369" s="3">
        <v>-1.8E-3</v>
      </c>
      <c r="H369">
        <v>2016</v>
      </c>
      <c r="I369">
        <v>0.47</v>
      </c>
      <c r="J369">
        <v>0.48</v>
      </c>
      <c r="K369">
        <v>0</v>
      </c>
      <c r="L369">
        <v>0.48</v>
      </c>
      <c r="M369" s="3">
        <v>1.6899999999999998E-2</v>
      </c>
      <c r="N369" s="2">
        <v>0</v>
      </c>
      <c r="O369" s="3">
        <v>1.6899999999999998E-2</v>
      </c>
      <c r="P369" s="2">
        <v>1.02</v>
      </c>
      <c r="Q369" s="2">
        <v>0</v>
      </c>
      <c r="R369" s="2">
        <v>1.02</v>
      </c>
      <c r="S369" t="s">
        <v>650</v>
      </c>
      <c r="U369" t="s">
        <v>663</v>
      </c>
    </row>
    <row r="370" spans="1:21" x14ac:dyDescent="0.6">
      <c r="A370">
        <v>433</v>
      </c>
      <c r="B370" t="str">
        <f>"2707"</f>
        <v>2707</v>
      </c>
      <c r="C370" t="s">
        <v>521</v>
      </c>
      <c r="D370" s="1">
        <v>42923</v>
      </c>
      <c r="E370">
        <v>164</v>
      </c>
      <c r="F370">
        <v>-1</v>
      </c>
      <c r="G370" s="3">
        <v>-6.1000000000000004E-3</v>
      </c>
      <c r="H370">
        <v>2016</v>
      </c>
      <c r="I370">
        <v>8.9600000000000009</v>
      </c>
      <c r="J370">
        <v>8.8699999999999992</v>
      </c>
      <c r="K370">
        <v>0</v>
      </c>
      <c r="L370">
        <v>8.8699999999999992</v>
      </c>
      <c r="M370" s="3">
        <v>5.4100000000000002E-2</v>
      </c>
      <c r="N370" s="2">
        <v>0</v>
      </c>
      <c r="O370" s="3">
        <v>5.4100000000000002E-2</v>
      </c>
      <c r="P370" s="2">
        <v>0.99</v>
      </c>
      <c r="Q370" s="2">
        <v>0</v>
      </c>
      <c r="R370" s="2">
        <v>0.99</v>
      </c>
      <c r="S370" t="s">
        <v>640</v>
      </c>
      <c r="U370" t="s">
        <v>675</v>
      </c>
    </row>
    <row r="371" spans="1:21" x14ac:dyDescent="0.6">
      <c r="A371">
        <v>194</v>
      </c>
      <c r="B371" t="str">
        <f>"5520"</f>
        <v>5520</v>
      </c>
      <c r="C371" t="s">
        <v>271</v>
      </c>
      <c r="D371" s="1">
        <v>42923</v>
      </c>
      <c r="E371">
        <v>27.8</v>
      </c>
      <c r="F371">
        <v>0.2</v>
      </c>
      <c r="G371" s="3">
        <v>7.1999999999999998E-3</v>
      </c>
      <c r="H371">
        <v>2016</v>
      </c>
      <c r="I371">
        <v>1.81</v>
      </c>
      <c r="J371">
        <v>1.5</v>
      </c>
      <c r="K371">
        <v>0</v>
      </c>
      <c r="L371">
        <v>1.5</v>
      </c>
      <c r="M371" s="3">
        <v>5.3999999999999999E-2</v>
      </c>
      <c r="N371" s="2">
        <v>0</v>
      </c>
      <c r="O371" s="3">
        <v>5.3999999999999999E-2</v>
      </c>
      <c r="P371" s="3">
        <v>0.82899999999999996</v>
      </c>
      <c r="Q371" s="2">
        <v>0</v>
      </c>
      <c r="R371" s="3">
        <v>0.82899999999999996</v>
      </c>
      <c r="S371" t="s">
        <v>601</v>
      </c>
      <c r="U371" t="s">
        <v>650</v>
      </c>
    </row>
    <row r="372" spans="1:21" x14ac:dyDescent="0.6">
      <c r="A372">
        <v>67</v>
      </c>
      <c r="B372" t="str">
        <f>"3014"</f>
        <v>3014</v>
      </c>
      <c r="C372" t="s">
        <v>123</v>
      </c>
      <c r="D372" s="1">
        <v>42923</v>
      </c>
      <c r="E372">
        <v>37.1</v>
      </c>
      <c r="F372">
        <v>-0.15</v>
      </c>
      <c r="G372" s="3">
        <v>-4.0000000000000001E-3</v>
      </c>
      <c r="H372">
        <v>2016</v>
      </c>
      <c r="I372">
        <v>2.2000000000000002</v>
      </c>
      <c r="J372">
        <v>2</v>
      </c>
      <c r="K372">
        <v>0</v>
      </c>
      <c r="L372">
        <v>2</v>
      </c>
      <c r="M372" s="3">
        <v>5.3900000000000003E-2</v>
      </c>
      <c r="N372" s="2">
        <v>0</v>
      </c>
      <c r="O372" s="3">
        <v>5.3900000000000003E-2</v>
      </c>
      <c r="P372" s="3">
        <v>0.90900000000000003</v>
      </c>
      <c r="Q372" s="2">
        <v>0</v>
      </c>
      <c r="R372" s="3">
        <v>0.90900000000000003</v>
      </c>
      <c r="S372" t="s">
        <v>648</v>
      </c>
      <c r="U372" t="s">
        <v>607</v>
      </c>
    </row>
    <row r="373" spans="1:21" x14ac:dyDescent="0.6">
      <c r="A373">
        <v>358</v>
      </c>
      <c r="B373" t="str">
        <f>"4103"</f>
        <v>4103</v>
      </c>
      <c r="C373" t="s">
        <v>441</v>
      </c>
      <c r="D373" s="1">
        <v>42923</v>
      </c>
      <c r="E373">
        <v>74.5</v>
      </c>
      <c r="F373">
        <v>0.2</v>
      </c>
      <c r="G373" s="3">
        <v>2.7000000000000001E-3</v>
      </c>
      <c r="H373">
        <v>2016</v>
      </c>
      <c r="I373">
        <v>5.89</v>
      </c>
      <c r="J373">
        <v>4</v>
      </c>
      <c r="K373">
        <v>0</v>
      </c>
      <c r="L373">
        <v>4</v>
      </c>
      <c r="M373" s="3">
        <v>5.3699999999999998E-2</v>
      </c>
      <c r="N373" s="2">
        <v>0</v>
      </c>
      <c r="O373" s="3">
        <v>5.3699999999999998E-2</v>
      </c>
      <c r="P373" s="3">
        <v>0.67900000000000005</v>
      </c>
      <c r="Q373" s="2">
        <v>0</v>
      </c>
      <c r="R373" s="3">
        <v>0.67900000000000005</v>
      </c>
      <c r="S373" t="s">
        <v>604</v>
      </c>
      <c r="U373" t="s">
        <v>639</v>
      </c>
    </row>
    <row r="374" spans="1:21" x14ac:dyDescent="0.6">
      <c r="A374">
        <v>359</v>
      </c>
      <c r="B374" t="str">
        <f>"1539"</f>
        <v>1539</v>
      </c>
      <c r="C374" t="s">
        <v>442</v>
      </c>
      <c r="D374" s="1">
        <v>42923</v>
      </c>
      <c r="E374">
        <v>22.35</v>
      </c>
      <c r="F374">
        <v>-0.05</v>
      </c>
      <c r="G374" s="3">
        <v>-2.2000000000000001E-3</v>
      </c>
      <c r="H374">
        <v>2016</v>
      </c>
      <c r="I374">
        <v>3.42</v>
      </c>
      <c r="J374">
        <v>1.2</v>
      </c>
      <c r="K374">
        <v>0</v>
      </c>
      <c r="L374">
        <v>1.2</v>
      </c>
      <c r="M374" s="3">
        <v>5.3699999999999998E-2</v>
      </c>
      <c r="N374" s="2">
        <v>0</v>
      </c>
      <c r="O374" s="3">
        <v>5.3699999999999998E-2</v>
      </c>
      <c r="P374" s="3">
        <v>0.35099999999999998</v>
      </c>
      <c r="Q374" s="2">
        <v>0</v>
      </c>
      <c r="R374" s="3">
        <v>0.35099999999999998</v>
      </c>
      <c r="S374" t="s">
        <v>638</v>
      </c>
      <c r="U374" t="s">
        <v>626</v>
      </c>
    </row>
    <row r="375" spans="1:21" x14ac:dyDescent="0.6">
      <c r="A375">
        <v>374</v>
      </c>
      <c r="B375" t="str">
        <f>"8234"</f>
        <v>8234</v>
      </c>
      <c r="C375" t="s">
        <v>457</v>
      </c>
      <c r="D375" s="1">
        <v>42923</v>
      </c>
      <c r="E375">
        <v>28.55</v>
      </c>
      <c r="F375">
        <v>-0.15</v>
      </c>
      <c r="G375" s="3">
        <v>-5.1999999999999998E-3</v>
      </c>
      <c r="H375">
        <v>2016</v>
      </c>
      <c r="I375">
        <v>1.4</v>
      </c>
      <c r="J375">
        <v>1.25</v>
      </c>
      <c r="K375">
        <v>0</v>
      </c>
      <c r="L375">
        <v>1.25</v>
      </c>
      <c r="M375" s="3">
        <v>4.3700000000000003E-2</v>
      </c>
      <c r="N375" s="2">
        <v>0</v>
      </c>
      <c r="O375" s="3">
        <v>4.3700000000000003E-2</v>
      </c>
      <c r="P375" s="3">
        <v>0.89300000000000002</v>
      </c>
      <c r="Q375" s="2">
        <v>0</v>
      </c>
      <c r="R375" s="3">
        <v>0.89300000000000002</v>
      </c>
      <c r="S375" t="s">
        <v>642</v>
      </c>
      <c r="U375" t="s">
        <v>682</v>
      </c>
    </row>
    <row r="376" spans="1:21" x14ac:dyDescent="0.6">
      <c r="A376">
        <v>375</v>
      </c>
      <c r="B376" t="str">
        <f>"2006"</f>
        <v>2006</v>
      </c>
      <c r="C376" t="s">
        <v>458</v>
      </c>
      <c r="D376" s="1">
        <v>42923</v>
      </c>
      <c r="E376">
        <v>24.75</v>
      </c>
      <c r="F376">
        <v>-0.05</v>
      </c>
      <c r="G376" s="3">
        <v>-2E-3</v>
      </c>
      <c r="H376">
        <v>2016</v>
      </c>
      <c r="I376">
        <v>1.27</v>
      </c>
      <c r="J376">
        <v>1.1000000000000001</v>
      </c>
      <c r="K376">
        <v>0</v>
      </c>
      <c r="L376">
        <v>1.1000000000000001</v>
      </c>
      <c r="M376" s="3">
        <v>4.4400000000000002E-2</v>
      </c>
      <c r="N376" s="2">
        <v>0</v>
      </c>
      <c r="O376" s="3">
        <v>4.4400000000000002E-2</v>
      </c>
      <c r="P376" s="3">
        <v>0.86599999999999999</v>
      </c>
      <c r="Q376" s="2">
        <v>0</v>
      </c>
      <c r="R376" s="3">
        <v>0.86599999999999999</v>
      </c>
      <c r="S376" t="s">
        <v>643</v>
      </c>
      <c r="U376" t="s">
        <v>614</v>
      </c>
    </row>
    <row r="377" spans="1:21" x14ac:dyDescent="0.6">
      <c r="A377">
        <v>376</v>
      </c>
      <c r="B377" t="str">
        <f>"5388"</f>
        <v>5388</v>
      </c>
      <c r="C377" t="s">
        <v>459</v>
      </c>
      <c r="D377" s="1">
        <v>42923</v>
      </c>
      <c r="E377">
        <v>80</v>
      </c>
      <c r="F377">
        <v>-0.4</v>
      </c>
      <c r="G377" s="3">
        <v>-5.0000000000000001E-3</v>
      </c>
      <c r="H377">
        <v>2016</v>
      </c>
      <c r="I377">
        <v>5.57</v>
      </c>
      <c r="J377">
        <v>3.85</v>
      </c>
      <c r="K377">
        <v>0</v>
      </c>
      <c r="L377">
        <v>3.85</v>
      </c>
      <c r="M377" s="3">
        <v>4.82E-2</v>
      </c>
      <c r="N377" s="2">
        <v>0</v>
      </c>
      <c r="O377" s="3">
        <v>4.82E-2</v>
      </c>
      <c r="P377" s="3">
        <v>0.69099999999999995</v>
      </c>
      <c r="Q377" s="2">
        <v>0</v>
      </c>
      <c r="R377" s="3">
        <v>0.69099999999999995</v>
      </c>
      <c r="S377" t="s">
        <v>615</v>
      </c>
      <c r="U377" t="s">
        <v>634</v>
      </c>
    </row>
    <row r="378" spans="1:21" x14ac:dyDescent="0.6">
      <c r="A378">
        <v>377</v>
      </c>
      <c r="B378" t="str">
        <f>"2012"</f>
        <v>2012</v>
      </c>
      <c r="C378" t="s">
        <v>460</v>
      </c>
      <c r="D378" s="1">
        <v>42923</v>
      </c>
      <c r="E378">
        <v>14.3</v>
      </c>
      <c r="F378">
        <v>0.15</v>
      </c>
      <c r="G378" s="3">
        <v>1.06E-2</v>
      </c>
      <c r="H378">
        <v>2016</v>
      </c>
      <c r="I378">
        <v>0.56000000000000005</v>
      </c>
      <c r="J378">
        <v>0.5</v>
      </c>
      <c r="K378">
        <v>0</v>
      </c>
      <c r="L378">
        <v>0.5</v>
      </c>
      <c r="M378" s="3">
        <v>3.5000000000000003E-2</v>
      </c>
      <c r="N378" s="2">
        <v>0</v>
      </c>
      <c r="O378" s="3">
        <v>3.5000000000000003E-2</v>
      </c>
      <c r="P378" s="3">
        <v>0.89300000000000002</v>
      </c>
      <c r="Q378" s="2">
        <v>0</v>
      </c>
      <c r="R378" s="3">
        <v>0.89300000000000002</v>
      </c>
      <c r="S378" t="s">
        <v>620</v>
      </c>
      <c r="U378" t="s">
        <v>667</v>
      </c>
    </row>
    <row r="379" spans="1:21" x14ac:dyDescent="0.6">
      <c r="A379">
        <v>378</v>
      </c>
      <c r="B379" t="str">
        <f>"2233"</f>
        <v>2233</v>
      </c>
      <c r="C379" t="s">
        <v>461</v>
      </c>
      <c r="D379" s="1">
        <v>42923</v>
      </c>
      <c r="E379">
        <v>95.4</v>
      </c>
      <c r="F379">
        <v>0</v>
      </c>
      <c r="G379" s="2">
        <v>0</v>
      </c>
      <c r="H379">
        <v>2016</v>
      </c>
      <c r="I379">
        <v>5.07</v>
      </c>
      <c r="J379">
        <v>3</v>
      </c>
      <c r="K379">
        <v>0</v>
      </c>
      <c r="L379">
        <v>3</v>
      </c>
      <c r="M379" s="3">
        <v>3.1399999999999997E-2</v>
      </c>
      <c r="N379" s="2">
        <v>0</v>
      </c>
      <c r="O379" s="3">
        <v>3.1399999999999997E-2</v>
      </c>
      <c r="P379" s="3">
        <v>0.59199999999999997</v>
      </c>
      <c r="Q379" s="2">
        <v>0</v>
      </c>
      <c r="R379" s="3">
        <v>0.59199999999999997</v>
      </c>
      <c r="S379" t="s">
        <v>652</v>
      </c>
      <c r="U379" t="s">
        <v>676</v>
      </c>
    </row>
    <row r="380" spans="1:21" x14ac:dyDescent="0.6">
      <c r="A380">
        <v>391</v>
      </c>
      <c r="B380" t="str">
        <f>"3010"</f>
        <v>3010</v>
      </c>
      <c r="C380" t="s">
        <v>475</v>
      </c>
      <c r="D380" s="1">
        <v>42923</v>
      </c>
      <c r="E380">
        <v>50.3</v>
      </c>
      <c r="F380">
        <v>0</v>
      </c>
      <c r="G380" s="2">
        <v>0</v>
      </c>
      <c r="H380">
        <v>2016</v>
      </c>
      <c r="I380">
        <v>4.88</v>
      </c>
      <c r="J380">
        <v>2.7</v>
      </c>
      <c r="K380">
        <v>0</v>
      </c>
      <c r="L380">
        <v>2.7</v>
      </c>
      <c r="M380" s="3">
        <v>5.3699999999999998E-2</v>
      </c>
      <c r="N380" s="2">
        <v>0</v>
      </c>
      <c r="O380" s="3">
        <v>5.3699999999999998E-2</v>
      </c>
      <c r="P380" s="3">
        <v>0.55300000000000005</v>
      </c>
      <c r="Q380" s="2">
        <v>0</v>
      </c>
      <c r="R380" s="3">
        <v>0.55300000000000005</v>
      </c>
      <c r="S380" t="s">
        <v>610</v>
      </c>
      <c r="U380" t="s">
        <v>611</v>
      </c>
    </row>
    <row r="381" spans="1:21" x14ac:dyDescent="0.6">
      <c r="A381">
        <v>37</v>
      </c>
      <c r="B381" t="str">
        <f>"2397"</f>
        <v>2397</v>
      </c>
      <c r="C381" t="s">
        <v>77</v>
      </c>
      <c r="D381" s="1">
        <v>42923</v>
      </c>
      <c r="E381">
        <v>53.5</v>
      </c>
      <c r="F381">
        <v>0</v>
      </c>
      <c r="G381" s="2">
        <v>0</v>
      </c>
      <c r="H381">
        <v>2016</v>
      </c>
      <c r="I381">
        <v>3.13</v>
      </c>
      <c r="J381">
        <v>2.85</v>
      </c>
      <c r="K381">
        <v>0</v>
      </c>
      <c r="L381">
        <v>2.85</v>
      </c>
      <c r="M381" s="3">
        <v>5.33E-2</v>
      </c>
      <c r="N381" s="2">
        <v>0</v>
      </c>
      <c r="O381" s="3">
        <v>5.33E-2</v>
      </c>
      <c r="P381" s="2">
        <v>0.91</v>
      </c>
      <c r="Q381" s="2">
        <v>0</v>
      </c>
      <c r="R381" s="2">
        <v>0.91</v>
      </c>
      <c r="S381" t="s">
        <v>597</v>
      </c>
      <c r="U381" t="s">
        <v>601</v>
      </c>
    </row>
    <row r="382" spans="1:21" x14ac:dyDescent="0.6">
      <c r="A382">
        <v>381</v>
      </c>
      <c r="B382" t="str">
        <f>"3023"</f>
        <v>3023</v>
      </c>
      <c r="C382" t="s">
        <v>465</v>
      </c>
      <c r="D382" s="1">
        <v>42923</v>
      </c>
      <c r="E382">
        <v>71.099999999999994</v>
      </c>
      <c r="F382">
        <v>-1</v>
      </c>
      <c r="G382" s="3">
        <v>-1.3899999999999999E-2</v>
      </c>
      <c r="H382">
        <v>2016</v>
      </c>
      <c r="I382">
        <v>4.53</v>
      </c>
      <c r="J382">
        <v>3.1</v>
      </c>
      <c r="K382">
        <v>0.3</v>
      </c>
      <c r="L382">
        <v>3.4</v>
      </c>
      <c r="M382" s="3">
        <v>4.36E-2</v>
      </c>
      <c r="N382" s="3">
        <v>4.1999999999999997E-3</v>
      </c>
      <c r="O382" s="3">
        <v>4.7800000000000002E-2</v>
      </c>
      <c r="P382" s="3">
        <v>0.68400000000000005</v>
      </c>
      <c r="Q382" s="3">
        <v>6.6199999999999995E-2</v>
      </c>
      <c r="R382" s="3">
        <v>0.751</v>
      </c>
      <c r="S382" t="s">
        <v>639</v>
      </c>
      <c r="T382" t="s">
        <v>639</v>
      </c>
      <c r="U382" t="s">
        <v>645</v>
      </c>
    </row>
    <row r="383" spans="1:21" x14ac:dyDescent="0.6">
      <c r="A383">
        <v>382</v>
      </c>
      <c r="B383" t="str">
        <f>"2431"</f>
        <v>2431</v>
      </c>
      <c r="C383" t="s">
        <v>466</v>
      </c>
      <c r="D383" s="1">
        <v>42923</v>
      </c>
      <c r="E383">
        <v>14.8</v>
      </c>
      <c r="F383">
        <v>-0.25</v>
      </c>
      <c r="G383" s="3">
        <v>-1.66E-2</v>
      </c>
      <c r="H383">
        <v>2016</v>
      </c>
      <c r="I383">
        <v>0.32</v>
      </c>
      <c r="J383">
        <v>0.27</v>
      </c>
      <c r="K383">
        <v>0</v>
      </c>
      <c r="L383">
        <v>0.27</v>
      </c>
      <c r="M383" s="3">
        <v>1.8200000000000001E-2</v>
      </c>
      <c r="N383" s="2">
        <v>0</v>
      </c>
      <c r="O383" s="3">
        <v>1.8200000000000001E-2</v>
      </c>
      <c r="P383" s="3">
        <v>0.84399999999999997</v>
      </c>
      <c r="Q383" s="2">
        <v>0</v>
      </c>
      <c r="R383" s="3">
        <v>0.84399999999999997</v>
      </c>
      <c r="S383" t="s">
        <v>629</v>
      </c>
      <c r="U383" t="s">
        <v>631</v>
      </c>
    </row>
    <row r="384" spans="1:21" x14ac:dyDescent="0.6">
      <c r="A384">
        <v>61</v>
      </c>
      <c r="B384" t="str">
        <f>"2546"</f>
        <v>2546</v>
      </c>
      <c r="C384" t="s">
        <v>115</v>
      </c>
      <c r="D384" s="1">
        <v>42923</v>
      </c>
      <c r="E384">
        <v>18.8</v>
      </c>
      <c r="F384">
        <v>0</v>
      </c>
      <c r="G384" s="2">
        <v>0</v>
      </c>
      <c r="H384">
        <v>2016</v>
      </c>
      <c r="I384">
        <v>1.27</v>
      </c>
      <c r="J384">
        <v>1</v>
      </c>
      <c r="K384">
        <v>0</v>
      </c>
      <c r="L384">
        <v>1</v>
      </c>
      <c r="M384" s="3">
        <v>5.3199999999999997E-2</v>
      </c>
      <c r="N384" s="2">
        <v>0</v>
      </c>
      <c r="O384" s="3">
        <v>5.3199999999999997E-2</v>
      </c>
      <c r="P384" s="3">
        <v>0.78700000000000003</v>
      </c>
      <c r="Q384" s="2">
        <v>0</v>
      </c>
      <c r="R384" s="3">
        <v>0.78700000000000003</v>
      </c>
      <c r="S384" t="s">
        <v>629</v>
      </c>
      <c r="U384" t="s">
        <v>631</v>
      </c>
    </row>
    <row r="385" spans="1:21" x14ac:dyDescent="0.6">
      <c r="A385">
        <v>384</v>
      </c>
      <c r="B385" t="str">
        <f>"4163"</f>
        <v>4163</v>
      </c>
      <c r="C385" t="s">
        <v>468</v>
      </c>
      <c r="D385" s="1">
        <v>42923</v>
      </c>
      <c r="E385">
        <v>115.5</v>
      </c>
      <c r="F385">
        <v>-2</v>
      </c>
      <c r="G385" s="3">
        <v>-1.7000000000000001E-2</v>
      </c>
      <c r="H385">
        <v>2016</v>
      </c>
      <c r="I385">
        <v>7.31</v>
      </c>
      <c r="J385">
        <v>4.5</v>
      </c>
      <c r="K385">
        <v>0</v>
      </c>
      <c r="L385">
        <v>4.5</v>
      </c>
      <c r="M385" s="3">
        <v>3.9E-2</v>
      </c>
      <c r="N385" s="2">
        <v>0</v>
      </c>
      <c r="O385" s="3">
        <v>3.9E-2</v>
      </c>
      <c r="P385" s="3">
        <v>0.61599999999999999</v>
      </c>
      <c r="Q385" s="2">
        <v>0</v>
      </c>
      <c r="R385" s="3">
        <v>0.61599999999999999</v>
      </c>
      <c r="S385" t="s">
        <v>636</v>
      </c>
      <c r="U385" t="s">
        <v>599</v>
      </c>
    </row>
    <row r="386" spans="1:21" x14ac:dyDescent="0.6">
      <c r="A386">
        <v>275</v>
      </c>
      <c r="B386" t="str">
        <f>"8083"</f>
        <v>8083</v>
      </c>
      <c r="C386" t="s">
        <v>355</v>
      </c>
      <c r="D386" s="1">
        <v>42923</v>
      </c>
      <c r="E386">
        <v>146.5</v>
      </c>
      <c r="F386">
        <v>-3.5</v>
      </c>
      <c r="G386" s="3">
        <v>-2.3300000000000001E-2</v>
      </c>
      <c r="H386">
        <v>2016</v>
      </c>
      <c r="I386">
        <v>8.8699999999999992</v>
      </c>
      <c r="J386">
        <v>7.8</v>
      </c>
      <c r="K386">
        <v>0</v>
      </c>
      <c r="L386">
        <v>7.8</v>
      </c>
      <c r="M386" s="3">
        <v>5.3199999999999997E-2</v>
      </c>
      <c r="N386" s="2">
        <v>0</v>
      </c>
      <c r="O386" s="3">
        <v>5.3199999999999997E-2</v>
      </c>
      <c r="P386" s="3">
        <v>0.879</v>
      </c>
      <c r="Q386" s="2">
        <v>0</v>
      </c>
      <c r="R386" s="3">
        <v>0.879</v>
      </c>
      <c r="S386" t="s">
        <v>628</v>
      </c>
      <c r="U386" t="s">
        <v>605</v>
      </c>
    </row>
    <row r="387" spans="1:21" x14ac:dyDescent="0.6">
      <c r="A387">
        <v>264</v>
      </c>
      <c r="B387" t="str">
        <f>"6179"</f>
        <v>6179</v>
      </c>
      <c r="C387" t="s">
        <v>344</v>
      </c>
      <c r="D387" s="1">
        <v>42923</v>
      </c>
      <c r="E387">
        <v>49</v>
      </c>
      <c r="F387">
        <v>0.55000000000000004</v>
      </c>
      <c r="G387" s="3">
        <v>1.14E-2</v>
      </c>
      <c r="H387">
        <v>2016</v>
      </c>
      <c r="I387">
        <v>3</v>
      </c>
      <c r="J387">
        <v>2.6</v>
      </c>
      <c r="K387">
        <v>0</v>
      </c>
      <c r="L387">
        <v>2.6</v>
      </c>
      <c r="M387" s="3">
        <v>5.3100000000000001E-2</v>
      </c>
      <c r="N387" s="2">
        <v>0</v>
      </c>
      <c r="O387" s="3">
        <v>5.3100000000000001E-2</v>
      </c>
      <c r="P387" s="3">
        <v>0.86699999999999999</v>
      </c>
      <c r="Q387" s="2">
        <v>0</v>
      </c>
      <c r="R387" s="3">
        <v>0.86699999999999999</v>
      </c>
      <c r="S387" t="s">
        <v>641</v>
      </c>
      <c r="U387" t="s">
        <v>607</v>
      </c>
    </row>
    <row r="388" spans="1:21" x14ac:dyDescent="0.6">
      <c r="A388">
        <v>311</v>
      </c>
      <c r="B388" t="str">
        <f>"8923"</f>
        <v>8923</v>
      </c>
      <c r="C388" t="s">
        <v>393</v>
      </c>
      <c r="D388" s="1">
        <v>42923</v>
      </c>
      <c r="E388">
        <v>16</v>
      </c>
      <c r="F388">
        <v>0</v>
      </c>
      <c r="G388" s="2">
        <v>0</v>
      </c>
      <c r="H388">
        <v>2016</v>
      </c>
      <c r="I388">
        <v>0.96</v>
      </c>
      <c r="J388">
        <v>0.85</v>
      </c>
      <c r="K388">
        <v>0</v>
      </c>
      <c r="L388">
        <v>0.85</v>
      </c>
      <c r="M388" s="3">
        <v>5.3100000000000001E-2</v>
      </c>
      <c r="N388" s="2">
        <v>0</v>
      </c>
      <c r="O388" s="3">
        <v>5.3100000000000001E-2</v>
      </c>
      <c r="P388" s="3">
        <v>0.88500000000000001</v>
      </c>
      <c r="Q388" s="2">
        <v>0</v>
      </c>
      <c r="R388" s="3">
        <v>0.88500000000000001</v>
      </c>
      <c r="S388" t="s">
        <v>600</v>
      </c>
      <c r="U388" t="s">
        <v>604</v>
      </c>
    </row>
    <row r="389" spans="1:21" x14ac:dyDescent="0.6">
      <c r="A389">
        <v>388</v>
      </c>
      <c r="B389" t="str">
        <f>"4950"</f>
        <v>4950</v>
      </c>
      <c r="C389" t="s">
        <v>472</v>
      </c>
      <c r="D389" s="1">
        <v>42923</v>
      </c>
      <c r="E389">
        <v>19.3</v>
      </c>
      <c r="F389">
        <v>0.05</v>
      </c>
      <c r="G389" s="3">
        <v>2.5999999999999999E-3</v>
      </c>
      <c r="H389">
        <v>2016</v>
      </c>
      <c r="I389">
        <v>0.25</v>
      </c>
      <c r="J389">
        <v>0.52</v>
      </c>
      <c r="K389">
        <v>0</v>
      </c>
      <c r="L389">
        <v>0.52</v>
      </c>
      <c r="M389" s="3">
        <v>2.6800000000000001E-2</v>
      </c>
      <c r="N389" s="2">
        <v>0</v>
      </c>
      <c r="O389" s="3">
        <v>2.6800000000000001E-2</v>
      </c>
      <c r="P389" s="2">
        <v>2.08</v>
      </c>
      <c r="Q389" s="2">
        <v>0</v>
      </c>
      <c r="R389" s="2">
        <v>2.08</v>
      </c>
      <c r="S389" t="s">
        <v>675</v>
      </c>
      <c r="U389" t="s">
        <v>623</v>
      </c>
    </row>
    <row r="390" spans="1:21" x14ac:dyDescent="0.6">
      <c r="A390">
        <v>389</v>
      </c>
      <c r="B390" t="str">
        <f>"8473"</f>
        <v>8473</v>
      </c>
      <c r="C390" t="s">
        <v>473</v>
      </c>
      <c r="D390" s="1">
        <v>42923</v>
      </c>
      <c r="E390">
        <v>61.8</v>
      </c>
      <c r="F390">
        <v>0.1</v>
      </c>
      <c r="G390" s="3">
        <v>1.6000000000000001E-3</v>
      </c>
      <c r="H390">
        <v>2016</v>
      </c>
      <c r="I390">
        <v>3.03</v>
      </c>
      <c r="J390">
        <v>3</v>
      </c>
      <c r="K390">
        <v>0</v>
      </c>
      <c r="L390">
        <v>3</v>
      </c>
      <c r="M390" s="3">
        <v>4.8500000000000001E-2</v>
      </c>
      <c r="N390" s="2">
        <v>0</v>
      </c>
      <c r="O390" s="3">
        <v>4.8500000000000001E-2</v>
      </c>
      <c r="P390" s="2">
        <v>0.99</v>
      </c>
      <c r="Q390" s="2">
        <v>0</v>
      </c>
      <c r="R390" s="2">
        <v>0.99</v>
      </c>
      <c r="S390" t="s">
        <v>595</v>
      </c>
      <c r="U390" t="s">
        <v>641</v>
      </c>
    </row>
    <row r="391" spans="1:21" x14ac:dyDescent="0.6">
      <c r="A391">
        <v>390</v>
      </c>
      <c r="B391" t="str">
        <f>"4919"</f>
        <v>4919</v>
      </c>
      <c r="C391" t="s">
        <v>474</v>
      </c>
      <c r="D391" s="1">
        <v>42923</v>
      </c>
      <c r="E391">
        <v>46.35</v>
      </c>
      <c r="F391">
        <v>0.15</v>
      </c>
      <c r="G391" s="3">
        <v>3.2000000000000002E-3</v>
      </c>
      <c r="H391">
        <v>2016</v>
      </c>
      <c r="I391">
        <v>2.2599999999999998</v>
      </c>
      <c r="J391">
        <v>1.8</v>
      </c>
      <c r="K391">
        <v>0</v>
      </c>
      <c r="L391">
        <v>1.8</v>
      </c>
      <c r="M391" s="3">
        <v>3.8800000000000001E-2</v>
      </c>
      <c r="N391" s="2">
        <v>0</v>
      </c>
      <c r="O391" s="3">
        <v>3.8800000000000001E-2</v>
      </c>
      <c r="P391" s="3">
        <v>0.79600000000000004</v>
      </c>
      <c r="Q391" s="2">
        <v>0</v>
      </c>
      <c r="R391" s="3">
        <v>0.79600000000000004</v>
      </c>
      <c r="S391" t="s">
        <v>599</v>
      </c>
      <c r="U391" t="s">
        <v>619</v>
      </c>
    </row>
    <row r="392" spans="1:21" x14ac:dyDescent="0.6">
      <c r="A392">
        <v>454</v>
      </c>
      <c r="B392" t="str">
        <f>"2382"</f>
        <v>2382</v>
      </c>
      <c r="C392" t="s">
        <v>544</v>
      </c>
      <c r="D392" s="1">
        <v>42923</v>
      </c>
      <c r="E392">
        <v>71.8</v>
      </c>
      <c r="F392">
        <v>0.2</v>
      </c>
      <c r="G392" s="3">
        <v>2.8E-3</v>
      </c>
      <c r="H392">
        <v>2016</v>
      </c>
      <c r="I392">
        <v>4.62</v>
      </c>
      <c r="J392">
        <v>3.8</v>
      </c>
      <c r="K392">
        <v>0</v>
      </c>
      <c r="L392">
        <v>3.8</v>
      </c>
      <c r="M392" s="3">
        <v>5.2900000000000003E-2</v>
      </c>
      <c r="N392" s="2">
        <v>0</v>
      </c>
      <c r="O392" s="3">
        <v>5.2900000000000003E-2</v>
      </c>
      <c r="P392" s="3">
        <v>0.82199999999999995</v>
      </c>
      <c r="Q392" s="2">
        <v>0</v>
      </c>
      <c r="R392" s="3">
        <v>0.82199999999999995</v>
      </c>
      <c r="S392" t="s">
        <v>629</v>
      </c>
      <c r="U392" t="s">
        <v>631</v>
      </c>
    </row>
    <row r="393" spans="1:21" x14ac:dyDescent="0.6">
      <c r="A393">
        <v>308</v>
      </c>
      <c r="B393" t="str">
        <f>"2204"</f>
        <v>2204</v>
      </c>
      <c r="C393" t="s">
        <v>390</v>
      </c>
      <c r="D393" s="1">
        <v>42923</v>
      </c>
      <c r="E393">
        <v>28.4</v>
      </c>
      <c r="F393">
        <v>-0.15</v>
      </c>
      <c r="G393" s="3">
        <v>-5.3E-3</v>
      </c>
      <c r="H393">
        <v>2016</v>
      </c>
      <c r="I393">
        <v>2.3199999999999998</v>
      </c>
      <c r="J393">
        <v>1.5</v>
      </c>
      <c r="K393">
        <v>0</v>
      </c>
      <c r="L393">
        <v>1.5</v>
      </c>
      <c r="M393" s="3">
        <v>5.28E-2</v>
      </c>
      <c r="N393" s="2">
        <v>0</v>
      </c>
      <c r="O393" s="3">
        <v>5.28E-2</v>
      </c>
      <c r="P393" s="3">
        <v>0.64700000000000002</v>
      </c>
      <c r="Q393" s="2">
        <v>0</v>
      </c>
      <c r="R393" s="3">
        <v>0.64700000000000002</v>
      </c>
      <c r="S393" t="s">
        <v>598</v>
      </c>
      <c r="U393" t="s">
        <v>639</v>
      </c>
    </row>
    <row r="394" spans="1:21" x14ac:dyDescent="0.6">
      <c r="A394">
        <v>371</v>
      </c>
      <c r="B394" t="str">
        <f>"3444"</f>
        <v>3444</v>
      </c>
      <c r="C394" t="s">
        <v>454</v>
      </c>
      <c r="D394" s="1">
        <v>42923</v>
      </c>
      <c r="E394">
        <v>18.95</v>
      </c>
      <c r="F394">
        <v>-0.05</v>
      </c>
      <c r="G394" s="3">
        <v>-2.5999999999999999E-3</v>
      </c>
      <c r="H394">
        <v>2016</v>
      </c>
      <c r="I394">
        <v>1.1100000000000001</v>
      </c>
      <c r="J394">
        <v>1</v>
      </c>
      <c r="K394">
        <v>0</v>
      </c>
      <c r="L394">
        <v>1</v>
      </c>
      <c r="M394" s="3">
        <v>5.28E-2</v>
      </c>
      <c r="N394" s="2">
        <v>0</v>
      </c>
      <c r="O394" s="3">
        <v>5.28E-2</v>
      </c>
      <c r="P394" s="3">
        <v>0.90100000000000002</v>
      </c>
      <c r="Q394" s="2">
        <v>0</v>
      </c>
      <c r="R394" s="3">
        <v>0.90100000000000002</v>
      </c>
      <c r="S394" t="s">
        <v>640</v>
      </c>
      <c r="U394" t="s">
        <v>614</v>
      </c>
    </row>
    <row r="395" spans="1:21" x14ac:dyDescent="0.6">
      <c r="A395">
        <v>419</v>
      </c>
      <c r="B395" t="str">
        <f>"3484"</f>
        <v>3484</v>
      </c>
      <c r="C395" t="s">
        <v>506</v>
      </c>
      <c r="D395" s="1">
        <v>42923</v>
      </c>
      <c r="E395">
        <v>39.700000000000003</v>
      </c>
      <c r="F395">
        <v>-0.2</v>
      </c>
      <c r="G395" s="3">
        <v>-5.0000000000000001E-3</v>
      </c>
      <c r="H395">
        <v>2016</v>
      </c>
      <c r="I395">
        <v>3.04</v>
      </c>
      <c r="J395">
        <v>2.1</v>
      </c>
      <c r="K395">
        <v>0.1</v>
      </c>
      <c r="L395">
        <v>2.2000000000000002</v>
      </c>
      <c r="M395" s="3">
        <v>5.28E-2</v>
      </c>
      <c r="N395" s="3">
        <v>2.5000000000000001E-3</v>
      </c>
      <c r="O395" s="3">
        <v>5.5399999999999998E-2</v>
      </c>
      <c r="P395" s="3">
        <v>0.69099999999999995</v>
      </c>
      <c r="Q395" s="3">
        <v>3.2899999999999999E-2</v>
      </c>
      <c r="R395" s="3">
        <v>0.72399999999999998</v>
      </c>
      <c r="S395" t="s">
        <v>605</v>
      </c>
      <c r="T395" t="s">
        <v>605</v>
      </c>
      <c r="U395" t="s">
        <v>618</v>
      </c>
    </row>
    <row r="396" spans="1:21" x14ac:dyDescent="0.6">
      <c r="A396">
        <v>395</v>
      </c>
      <c r="B396" t="str">
        <f>"8921"</f>
        <v>8921</v>
      </c>
      <c r="C396" t="s">
        <v>480</v>
      </c>
      <c r="D396" s="1">
        <v>42923</v>
      </c>
      <c r="E396">
        <v>15.35</v>
      </c>
      <c r="F396">
        <v>0.65</v>
      </c>
      <c r="G396" s="3">
        <v>4.4200000000000003E-2</v>
      </c>
      <c r="H396">
        <v>2016</v>
      </c>
      <c r="I396">
        <v>0.85</v>
      </c>
      <c r="J396">
        <v>0.76</v>
      </c>
      <c r="K396">
        <v>0</v>
      </c>
      <c r="L396">
        <v>0.76</v>
      </c>
      <c r="M396" s="3">
        <v>4.9500000000000002E-2</v>
      </c>
      <c r="N396" s="2">
        <v>0</v>
      </c>
      <c r="O396" s="3">
        <v>4.9500000000000002E-2</v>
      </c>
      <c r="P396" s="3">
        <v>0.89400000000000002</v>
      </c>
      <c r="Q396" s="2">
        <v>0</v>
      </c>
      <c r="R396" s="3">
        <v>0.89400000000000002</v>
      </c>
      <c r="S396" t="s">
        <v>643</v>
      </c>
      <c r="U396" t="s">
        <v>616</v>
      </c>
    </row>
    <row r="397" spans="1:21" x14ac:dyDescent="0.6">
      <c r="A397">
        <v>130</v>
      </c>
      <c r="B397" t="str">
        <f>"2450"</f>
        <v>2450</v>
      </c>
      <c r="C397" t="s">
        <v>196</v>
      </c>
      <c r="D397" s="1">
        <v>42923</v>
      </c>
      <c r="E397">
        <v>56.9</v>
      </c>
      <c r="F397">
        <v>0.1</v>
      </c>
      <c r="G397" s="3">
        <v>1.8E-3</v>
      </c>
      <c r="H397">
        <v>2016</v>
      </c>
      <c r="I397">
        <v>3.17</v>
      </c>
      <c r="J397">
        <v>3</v>
      </c>
      <c r="K397">
        <v>0</v>
      </c>
      <c r="L397">
        <v>3</v>
      </c>
      <c r="M397" s="3">
        <v>5.2699999999999997E-2</v>
      </c>
      <c r="N397" s="2">
        <v>0</v>
      </c>
      <c r="O397" s="3">
        <v>5.2699999999999997E-2</v>
      </c>
      <c r="P397" s="3">
        <v>0.94599999999999995</v>
      </c>
      <c r="Q397" s="2">
        <v>0</v>
      </c>
      <c r="R397" s="3">
        <v>0.94599999999999995</v>
      </c>
      <c r="S397" t="s">
        <v>622</v>
      </c>
      <c r="U397" t="s">
        <v>651</v>
      </c>
    </row>
    <row r="398" spans="1:21" x14ac:dyDescent="0.6">
      <c r="A398">
        <v>380</v>
      </c>
      <c r="B398" t="str">
        <f>"3588"</f>
        <v>3588</v>
      </c>
      <c r="C398" t="s">
        <v>464</v>
      </c>
      <c r="D398" s="1">
        <v>42923</v>
      </c>
      <c r="E398">
        <v>28.65</v>
      </c>
      <c r="F398">
        <v>-0.05</v>
      </c>
      <c r="G398" s="3">
        <v>-1.6999999999999999E-3</v>
      </c>
      <c r="H398">
        <v>2016</v>
      </c>
      <c r="I398">
        <v>2.15</v>
      </c>
      <c r="J398">
        <v>1.5</v>
      </c>
      <c r="K398">
        <v>0</v>
      </c>
      <c r="L398">
        <v>1.5</v>
      </c>
      <c r="M398" s="3">
        <v>5.2400000000000002E-2</v>
      </c>
      <c r="N398" s="2">
        <v>0</v>
      </c>
      <c r="O398" s="3">
        <v>5.2400000000000002E-2</v>
      </c>
      <c r="P398" s="3">
        <v>0.69799999999999995</v>
      </c>
      <c r="Q398" s="2">
        <v>0</v>
      </c>
      <c r="R398" s="3">
        <v>0.69799999999999995</v>
      </c>
      <c r="S398" t="s">
        <v>599</v>
      </c>
      <c r="U398" t="s">
        <v>621</v>
      </c>
    </row>
    <row r="399" spans="1:21" x14ac:dyDescent="0.6">
      <c r="A399">
        <v>270</v>
      </c>
      <c r="B399" t="str">
        <f>"1410"</f>
        <v>1410</v>
      </c>
      <c r="C399" t="s">
        <v>350</v>
      </c>
      <c r="D399" s="1">
        <v>42923</v>
      </c>
      <c r="E399">
        <v>24.85</v>
      </c>
      <c r="F399">
        <v>0.05</v>
      </c>
      <c r="G399" s="3">
        <v>2E-3</v>
      </c>
      <c r="H399">
        <v>2016</v>
      </c>
      <c r="I399">
        <v>1.64</v>
      </c>
      <c r="J399">
        <v>1.3</v>
      </c>
      <c r="K399">
        <v>0</v>
      </c>
      <c r="L399">
        <v>1.3</v>
      </c>
      <c r="M399" s="3">
        <v>5.2299999999999999E-2</v>
      </c>
      <c r="N399" s="2">
        <v>0</v>
      </c>
      <c r="O399" s="3">
        <v>5.2299999999999999E-2</v>
      </c>
      <c r="P399" s="3">
        <v>0.79300000000000004</v>
      </c>
      <c r="Q399" s="2">
        <v>0</v>
      </c>
      <c r="R399" s="3">
        <v>0.79300000000000004</v>
      </c>
      <c r="S399" t="s">
        <v>641</v>
      </c>
      <c r="U399" t="s">
        <v>637</v>
      </c>
    </row>
    <row r="400" spans="1:21" x14ac:dyDescent="0.6">
      <c r="A400">
        <v>392</v>
      </c>
      <c r="B400" t="str">
        <f>"5512"</f>
        <v>5512</v>
      </c>
      <c r="C400" t="s">
        <v>476</v>
      </c>
      <c r="D400" s="1">
        <v>42923</v>
      </c>
      <c r="E400">
        <v>9.69</v>
      </c>
      <c r="F400">
        <v>-0.11</v>
      </c>
      <c r="G400" s="3">
        <v>-1.12E-2</v>
      </c>
      <c r="H400">
        <v>2016</v>
      </c>
      <c r="I400">
        <v>0.19</v>
      </c>
      <c r="J400">
        <v>0.51</v>
      </c>
      <c r="K400">
        <v>0</v>
      </c>
      <c r="L400">
        <v>0.51</v>
      </c>
      <c r="M400" s="3">
        <v>5.2299999999999999E-2</v>
      </c>
      <c r="N400" s="2">
        <v>0</v>
      </c>
      <c r="O400" s="3">
        <v>5.2299999999999999E-2</v>
      </c>
      <c r="P400" s="2">
        <v>2.68</v>
      </c>
      <c r="Q400" s="2">
        <v>0</v>
      </c>
      <c r="R400" s="2">
        <v>2.68</v>
      </c>
      <c r="S400" t="s">
        <v>613</v>
      </c>
      <c r="U400" t="s">
        <v>605</v>
      </c>
    </row>
    <row r="401" spans="1:21" x14ac:dyDescent="0.6">
      <c r="A401">
        <v>400</v>
      </c>
      <c r="B401" t="str">
        <f>"8410"</f>
        <v>8410</v>
      </c>
      <c r="C401" t="s">
        <v>486</v>
      </c>
      <c r="D401" s="1">
        <v>42923</v>
      </c>
      <c r="E401">
        <v>29.3</v>
      </c>
      <c r="F401">
        <v>0.2</v>
      </c>
      <c r="G401" s="3">
        <v>6.8999999999999999E-3</v>
      </c>
      <c r="H401">
        <v>2016</v>
      </c>
      <c r="I401">
        <v>-0.18</v>
      </c>
      <c r="J401">
        <v>0.3</v>
      </c>
      <c r="K401">
        <v>0</v>
      </c>
      <c r="L401">
        <v>0.3</v>
      </c>
      <c r="M401" s="3">
        <v>1.0200000000000001E-2</v>
      </c>
      <c r="N401" s="2">
        <v>0</v>
      </c>
      <c r="O401" s="3">
        <v>1.0200000000000001E-2</v>
      </c>
      <c r="P401" s="2">
        <v>-1.67</v>
      </c>
      <c r="Q401" s="2">
        <v>0</v>
      </c>
      <c r="R401" s="2">
        <v>-1.67</v>
      </c>
      <c r="S401" t="s">
        <v>620</v>
      </c>
      <c r="U401" t="s">
        <v>667</v>
      </c>
    </row>
    <row r="402" spans="1:21" x14ac:dyDescent="0.6">
      <c r="A402">
        <v>114</v>
      </c>
      <c r="B402" t="str">
        <f>"8032"</f>
        <v>8032</v>
      </c>
      <c r="C402" t="s">
        <v>178</v>
      </c>
      <c r="D402" s="1">
        <v>42923</v>
      </c>
      <c r="E402">
        <v>24.95</v>
      </c>
      <c r="F402">
        <v>-0.25</v>
      </c>
      <c r="G402" s="3">
        <v>-9.9000000000000008E-3</v>
      </c>
      <c r="H402">
        <v>2016</v>
      </c>
      <c r="I402">
        <v>2.58</v>
      </c>
      <c r="J402">
        <v>1.3</v>
      </c>
      <c r="K402">
        <v>0</v>
      </c>
      <c r="L402">
        <v>1.3</v>
      </c>
      <c r="M402" s="3">
        <v>5.21E-2</v>
      </c>
      <c r="N402" s="2">
        <v>0</v>
      </c>
      <c r="O402" s="3">
        <v>5.21E-2</v>
      </c>
      <c r="P402" s="3">
        <v>0.504</v>
      </c>
      <c r="Q402" s="2">
        <v>0</v>
      </c>
      <c r="R402" s="3">
        <v>0.504</v>
      </c>
      <c r="S402" t="s">
        <v>598</v>
      </c>
      <c r="U402" t="s">
        <v>599</v>
      </c>
    </row>
    <row r="403" spans="1:21" x14ac:dyDescent="0.6">
      <c r="A403">
        <v>205</v>
      </c>
      <c r="B403" t="str">
        <f>"3029"</f>
        <v>3029</v>
      </c>
      <c r="C403" t="s">
        <v>284</v>
      </c>
      <c r="D403" s="1">
        <v>42923</v>
      </c>
      <c r="E403">
        <v>19.2</v>
      </c>
      <c r="F403">
        <v>0.15</v>
      </c>
      <c r="G403" s="3">
        <v>7.9000000000000008E-3</v>
      </c>
      <c r="H403">
        <v>2016</v>
      </c>
      <c r="I403">
        <v>1.65</v>
      </c>
      <c r="J403">
        <v>1</v>
      </c>
      <c r="K403">
        <v>0</v>
      </c>
      <c r="L403">
        <v>1</v>
      </c>
      <c r="M403" s="3">
        <v>5.21E-2</v>
      </c>
      <c r="N403" s="2">
        <v>0</v>
      </c>
      <c r="O403" s="3">
        <v>5.21E-2</v>
      </c>
      <c r="P403" s="3">
        <v>0.60599999999999998</v>
      </c>
      <c r="Q403" s="2">
        <v>0</v>
      </c>
      <c r="R403" s="3">
        <v>0.60599999999999998</v>
      </c>
      <c r="S403" t="s">
        <v>620</v>
      </c>
      <c r="U403" t="s">
        <v>645</v>
      </c>
    </row>
    <row r="404" spans="1:21" x14ac:dyDescent="0.6">
      <c r="A404">
        <v>240</v>
      </c>
      <c r="B404" t="str">
        <f>"8042"</f>
        <v>8042</v>
      </c>
      <c r="C404" t="s">
        <v>319</v>
      </c>
      <c r="D404" s="1">
        <v>42923</v>
      </c>
      <c r="E404">
        <v>57.8</v>
      </c>
      <c r="F404">
        <v>-0.3</v>
      </c>
      <c r="G404" s="3">
        <v>-5.1999999999999998E-3</v>
      </c>
      <c r="H404">
        <v>2016</v>
      </c>
      <c r="I404">
        <v>4.0599999999999996</v>
      </c>
      <c r="J404">
        <v>3</v>
      </c>
      <c r="K404">
        <v>0</v>
      </c>
      <c r="L404">
        <v>3</v>
      </c>
      <c r="M404" s="3">
        <v>5.1900000000000002E-2</v>
      </c>
      <c r="N404" s="2">
        <v>0</v>
      </c>
      <c r="O404" s="3">
        <v>5.1900000000000002E-2</v>
      </c>
      <c r="P404" s="3">
        <v>0.73899999999999999</v>
      </c>
      <c r="Q404" s="2">
        <v>0</v>
      </c>
      <c r="R404" s="3">
        <v>0.73899999999999999</v>
      </c>
      <c r="S404" t="s">
        <v>640</v>
      </c>
      <c r="U404" t="s">
        <v>607</v>
      </c>
    </row>
    <row r="405" spans="1:21" x14ac:dyDescent="0.6">
      <c r="A405">
        <v>404</v>
      </c>
      <c r="B405" t="str">
        <f>"3489"</f>
        <v>3489</v>
      </c>
      <c r="C405" t="s">
        <v>490</v>
      </c>
      <c r="D405" s="1">
        <v>42923</v>
      </c>
      <c r="E405">
        <v>9.8000000000000007</v>
      </c>
      <c r="F405">
        <v>-0.02</v>
      </c>
      <c r="G405" s="3">
        <v>-2E-3</v>
      </c>
      <c r="H405">
        <v>2016</v>
      </c>
      <c r="I405">
        <v>-0.84</v>
      </c>
      <c r="J405">
        <v>0</v>
      </c>
      <c r="K405">
        <v>0</v>
      </c>
      <c r="L405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</row>
    <row r="406" spans="1:21" x14ac:dyDescent="0.6">
      <c r="A406">
        <v>405</v>
      </c>
      <c r="B406" t="str">
        <f>"6449"</f>
        <v>6449</v>
      </c>
      <c r="C406" t="s">
        <v>491</v>
      </c>
      <c r="D406" s="1">
        <v>42923</v>
      </c>
      <c r="E406">
        <v>35.299999999999997</v>
      </c>
      <c r="F406">
        <v>-0.25</v>
      </c>
      <c r="G406" s="3">
        <v>-7.0000000000000001E-3</v>
      </c>
      <c r="H406">
        <v>2016</v>
      </c>
      <c r="I406">
        <v>2.87</v>
      </c>
      <c r="J406">
        <v>1.6</v>
      </c>
      <c r="K406">
        <v>0</v>
      </c>
      <c r="L406">
        <v>1.6</v>
      </c>
      <c r="M406" s="3">
        <v>4.53E-2</v>
      </c>
      <c r="N406" s="2">
        <v>0</v>
      </c>
      <c r="O406" s="3">
        <v>4.53E-2</v>
      </c>
      <c r="P406" s="3">
        <v>0.55800000000000005</v>
      </c>
      <c r="Q406" s="2">
        <v>0</v>
      </c>
      <c r="R406" s="3">
        <v>0.55800000000000005</v>
      </c>
      <c r="S406" t="s">
        <v>613</v>
      </c>
      <c r="U406" t="s">
        <v>603</v>
      </c>
    </row>
    <row r="407" spans="1:21" x14ac:dyDescent="0.6">
      <c r="A407">
        <v>406</v>
      </c>
      <c r="B407" t="str">
        <f>"8488"</f>
        <v>8488</v>
      </c>
      <c r="C407" t="s">
        <v>492</v>
      </c>
      <c r="D407" s="1">
        <v>42923</v>
      </c>
      <c r="E407">
        <v>39.25</v>
      </c>
      <c r="F407">
        <v>0.05</v>
      </c>
      <c r="G407" s="3">
        <v>1.2999999999999999E-3</v>
      </c>
      <c r="H407">
        <v>2016</v>
      </c>
      <c r="I407">
        <v>3.6</v>
      </c>
      <c r="J407">
        <v>0.5</v>
      </c>
      <c r="K407">
        <v>0</v>
      </c>
      <c r="L407">
        <v>0.5</v>
      </c>
      <c r="M407" s="3">
        <v>1.2699999999999999E-2</v>
      </c>
      <c r="N407" s="2">
        <v>0</v>
      </c>
      <c r="O407" s="3">
        <v>1.2699999999999999E-2</v>
      </c>
      <c r="P407" s="3">
        <v>0.13900000000000001</v>
      </c>
      <c r="Q407" s="2">
        <v>0</v>
      </c>
      <c r="R407" s="3">
        <v>0.13900000000000001</v>
      </c>
    </row>
    <row r="408" spans="1:21" x14ac:dyDescent="0.6">
      <c r="A408">
        <v>407</v>
      </c>
      <c r="B408" t="str">
        <f>"2534"</f>
        <v>2534</v>
      </c>
      <c r="C408" t="s">
        <v>493</v>
      </c>
      <c r="D408" s="1">
        <v>42923</v>
      </c>
      <c r="E408">
        <v>19.649999999999999</v>
      </c>
      <c r="F408">
        <v>-0.05</v>
      </c>
      <c r="G408" s="3">
        <v>-2.5000000000000001E-3</v>
      </c>
      <c r="H408">
        <v>2016</v>
      </c>
      <c r="I408">
        <v>0.68</v>
      </c>
      <c r="J408">
        <v>0.5</v>
      </c>
      <c r="K408">
        <v>0</v>
      </c>
      <c r="L408">
        <v>0.5</v>
      </c>
      <c r="M408" s="3">
        <v>2.5399999999999999E-2</v>
      </c>
      <c r="N408" s="2">
        <v>0</v>
      </c>
      <c r="O408" s="3">
        <v>2.5399999999999999E-2</v>
      </c>
      <c r="P408" s="3">
        <v>0.73499999999999999</v>
      </c>
      <c r="Q408" s="2">
        <v>0</v>
      </c>
      <c r="R408" s="3">
        <v>0.73499999999999999</v>
      </c>
      <c r="S408" t="s">
        <v>642</v>
      </c>
      <c r="U408" t="s">
        <v>667</v>
      </c>
    </row>
    <row r="409" spans="1:21" x14ac:dyDescent="0.6">
      <c r="A409">
        <v>385</v>
      </c>
      <c r="B409" t="str">
        <f>"8039"</f>
        <v>8039</v>
      </c>
      <c r="C409" t="s">
        <v>469</v>
      </c>
      <c r="D409" s="1">
        <v>42923</v>
      </c>
      <c r="E409">
        <v>38.5</v>
      </c>
      <c r="F409">
        <v>-0.25</v>
      </c>
      <c r="G409" s="3">
        <v>-6.4999999999999997E-3</v>
      </c>
      <c r="H409">
        <v>2016</v>
      </c>
      <c r="I409">
        <v>3.61</v>
      </c>
      <c r="J409">
        <v>2</v>
      </c>
      <c r="K409">
        <v>0.2</v>
      </c>
      <c r="L409">
        <v>2.2000000000000002</v>
      </c>
      <c r="M409" s="3">
        <v>5.1900000000000002E-2</v>
      </c>
      <c r="N409" s="3">
        <v>5.1999999999999998E-3</v>
      </c>
      <c r="O409" s="3">
        <v>5.7099999999999998E-2</v>
      </c>
      <c r="P409" s="3">
        <v>0.55400000000000005</v>
      </c>
      <c r="Q409" s="3">
        <v>5.5399999999999998E-2</v>
      </c>
      <c r="R409" s="3">
        <v>0.60899999999999999</v>
      </c>
      <c r="S409" t="s">
        <v>614</v>
      </c>
      <c r="T409" t="s">
        <v>614</v>
      </c>
      <c r="U409" t="s">
        <v>609</v>
      </c>
    </row>
    <row r="410" spans="1:21" x14ac:dyDescent="0.6">
      <c r="A410">
        <v>387</v>
      </c>
      <c r="B410" t="str">
        <f>"6125"</f>
        <v>6125</v>
      </c>
      <c r="C410" t="s">
        <v>471</v>
      </c>
      <c r="D410" s="1">
        <v>42923</v>
      </c>
      <c r="E410">
        <v>9.6300000000000008</v>
      </c>
      <c r="F410">
        <v>0</v>
      </c>
      <c r="G410" s="2">
        <v>0</v>
      </c>
      <c r="H410">
        <v>2016</v>
      </c>
      <c r="I410">
        <v>0.3</v>
      </c>
      <c r="J410">
        <v>0.5</v>
      </c>
      <c r="K410">
        <v>0</v>
      </c>
      <c r="L410">
        <v>0.5</v>
      </c>
      <c r="M410" s="3">
        <v>5.1900000000000002E-2</v>
      </c>
      <c r="N410" s="2">
        <v>0</v>
      </c>
      <c r="O410" s="3">
        <v>5.1900000000000002E-2</v>
      </c>
      <c r="P410" s="2">
        <v>1.67</v>
      </c>
      <c r="Q410" s="2">
        <v>0</v>
      </c>
      <c r="R410" s="2">
        <v>1.67</v>
      </c>
      <c r="S410" t="s">
        <v>604</v>
      </c>
    </row>
    <row r="411" spans="1:21" x14ac:dyDescent="0.6">
      <c r="A411">
        <v>410</v>
      </c>
      <c r="B411" t="str">
        <f>"3021"</f>
        <v>3021</v>
      </c>
      <c r="C411" t="s">
        <v>497</v>
      </c>
      <c r="D411" s="1">
        <v>42923</v>
      </c>
      <c r="E411">
        <v>13.8</v>
      </c>
      <c r="F411">
        <v>0</v>
      </c>
      <c r="G411" s="2">
        <v>0</v>
      </c>
      <c r="H411">
        <v>2016</v>
      </c>
      <c r="I411">
        <v>0.82</v>
      </c>
      <c r="J411">
        <v>0</v>
      </c>
      <c r="K411">
        <v>0</v>
      </c>
      <c r="L411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</row>
    <row r="412" spans="1:21" x14ac:dyDescent="0.6">
      <c r="A412">
        <v>393</v>
      </c>
      <c r="B412" t="str">
        <f>"4938"</f>
        <v>4938</v>
      </c>
      <c r="C412" t="s">
        <v>477</v>
      </c>
      <c r="D412" s="1">
        <v>42923</v>
      </c>
      <c r="E412">
        <v>96.9</v>
      </c>
      <c r="F412">
        <v>-1.3</v>
      </c>
      <c r="G412" s="3">
        <v>-1.32E-2</v>
      </c>
      <c r="H412">
        <v>2016</v>
      </c>
      <c r="I412">
        <v>9.23</v>
      </c>
      <c r="J412">
        <v>5.03</v>
      </c>
      <c r="K412">
        <v>0</v>
      </c>
      <c r="L412">
        <v>5.03</v>
      </c>
      <c r="M412" s="3">
        <v>5.1900000000000002E-2</v>
      </c>
      <c r="N412" s="2">
        <v>0</v>
      </c>
      <c r="O412" s="3">
        <v>5.1900000000000002E-2</v>
      </c>
      <c r="P412" s="3">
        <v>0.54500000000000004</v>
      </c>
      <c r="Q412" s="2">
        <v>0</v>
      </c>
      <c r="R412" s="3">
        <v>0.54500000000000004</v>
      </c>
      <c r="S412" t="s">
        <v>675</v>
      </c>
      <c r="U412" t="s">
        <v>631</v>
      </c>
    </row>
    <row r="413" spans="1:21" x14ac:dyDescent="0.6">
      <c r="A413">
        <v>268</v>
      </c>
      <c r="B413" t="str">
        <f>"2357"</f>
        <v>2357</v>
      </c>
      <c r="C413" t="s">
        <v>348</v>
      </c>
      <c r="D413" s="1">
        <v>42923</v>
      </c>
      <c r="E413">
        <v>290</v>
      </c>
      <c r="F413">
        <v>0</v>
      </c>
      <c r="G413" s="2">
        <v>0</v>
      </c>
      <c r="H413">
        <v>2016</v>
      </c>
      <c r="I413">
        <v>23.02</v>
      </c>
      <c r="J413">
        <v>15</v>
      </c>
      <c r="K413">
        <v>0</v>
      </c>
      <c r="L413">
        <v>15</v>
      </c>
      <c r="M413" s="3">
        <v>5.1700000000000003E-2</v>
      </c>
      <c r="N413" s="2">
        <v>0</v>
      </c>
      <c r="O413" s="3">
        <v>5.1700000000000003E-2</v>
      </c>
      <c r="P413" s="3">
        <v>0.65200000000000002</v>
      </c>
      <c r="Q413" s="2">
        <v>0</v>
      </c>
      <c r="R413" s="3">
        <v>0.65200000000000002</v>
      </c>
      <c r="S413" t="s">
        <v>605</v>
      </c>
      <c r="U413" t="s">
        <v>623</v>
      </c>
    </row>
    <row r="414" spans="1:21" x14ac:dyDescent="0.6">
      <c r="A414">
        <v>261</v>
      </c>
      <c r="B414" t="str">
        <f>"2643"</f>
        <v>2643</v>
      </c>
      <c r="C414" t="s">
        <v>341</v>
      </c>
      <c r="D414" s="1">
        <v>42923</v>
      </c>
      <c r="E414">
        <v>38.85</v>
      </c>
      <c r="F414">
        <v>-0.25</v>
      </c>
      <c r="G414" s="3">
        <v>-6.4000000000000003E-3</v>
      </c>
      <c r="H414">
        <v>2016</v>
      </c>
      <c r="I414">
        <v>4.08</v>
      </c>
      <c r="J414">
        <v>2</v>
      </c>
      <c r="K414">
        <v>0</v>
      </c>
      <c r="L414">
        <v>2</v>
      </c>
      <c r="M414" s="3">
        <v>5.1499999999999997E-2</v>
      </c>
      <c r="N414" s="2">
        <v>0</v>
      </c>
      <c r="O414" s="3">
        <v>5.1499999999999997E-2</v>
      </c>
      <c r="P414" s="2">
        <v>0.49</v>
      </c>
      <c r="Q414" s="2">
        <v>0</v>
      </c>
      <c r="R414" s="2">
        <v>0.49</v>
      </c>
      <c r="S414" t="s">
        <v>631</v>
      </c>
      <c r="U414" t="s">
        <v>667</v>
      </c>
    </row>
    <row r="415" spans="1:21" x14ac:dyDescent="0.6">
      <c r="A415">
        <v>414</v>
      </c>
      <c r="B415" t="str">
        <f>"5258"</f>
        <v>5258</v>
      </c>
      <c r="C415" t="s">
        <v>501</v>
      </c>
      <c r="D415" s="1">
        <v>42923</v>
      </c>
      <c r="E415">
        <v>39.549999999999997</v>
      </c>
      <c r="F415">
        <v>-0.7</v>
      </c>
      <c r="G415" s="3">
        <v>-1.7399999999999999E-2</v>
      </c>
      <c r="H415">
        <v>2016</v>
      </c>
      <c r="I415">
        <v>1.55</v>
      </c>
      <c r="J415">
        <v>0.5</v>
      </c>
      <c r="K415">
        <v>0.5</v>
      </c>
      <c r="L415">
        <v>1</v>
      </c>
      <c r="M415" s="3">
        <v>1.26E-2</v>
      </c>
      <c r="N415" s="3">
        <v>1.26E-2</v>
      </c>
      <c r="O415" s="3">
        <v>2.53E-2</v>
      </c>
      <c r="P415" s="3">
        <v>0.32300000000000001</v>
      </c>
      <c r="Q415" s="3">
        <v>0.32300000000000001</v>
      </c>
      <c r="R415" s="3">
        <v>0.64500000000000002</v>
      </c>
      <c r="S415" t="s">
        <v>616</v>
      </c>
      <c r="T415" t="s">
        <v>616</v>
      </c>
      <c r="U415" t="s">
        <v>667</v>
      </c>
    </row>
    <row r="416" spans="1:21" x14ac:dyDescent="0.6">
      <c r="A416">
        <v>415</v>
      </c>
      <c r="B416" t="str">
        <f>"2423"</f>
        <v>2423</v>
      </c>
      <c r="C416" t="s">
        <v>502</v>
      </c>
      <c r="D416" s="1">
        <v>42923</v>
      </c>
      <c r="E416">
        <v>23.75</v>
      </c>
      <c r="F416">
        <v>0.05</v>
      </c>
      <c r="G416" s="3">
        <v>2.0999999999999999E-3</v>
      </c>
      <c r="H416">
        <v>2016</v>
      </c>
      <c r="I416">
        <v>1.68</v>
      </c>
      <c r="J416">
        <v>0.7</v>
      </c>
      <c r="K416">
        <v>0.5</v>
      </c>
      <c r="L416">
        <v>1.2</v>
      </c>
      <c r="M416" s="3">
        <v>2.9499999999999998E-2</v>
      </c>
      <c r="N416" s="3">
        <v>2.1100000000000001E-2</v>
      </c>
      <c r="O416" s="3">
        <v>5.0500000000000003E-2</v>
      </c>
      <c r="P416" s="3">
        <v>0.41699999999999998</v>
      </c>
      <c r="Q416" s="3">
        <v>0.29799999999999999</v>
      </c>
      <c r="R416" s="3">
        <v>0.71399999999999997</v>
      </c>
      <c r="S416" t="s">
        <v>623</v>
      </c>
      <c r="T416" t="s">
        <v>623</v>
      </c>
      <c r="U416" t="s">
        <v>679</v>
      </c>
    </row>
    <row r="417" spans="1:21" x14ac:dyDescent="0.6">
      <c r="A417">
        <v>416</v>
      </c>
      <c r="B417" t="str">
        <f>"2421"</f>
        <v>2421</v>
      </c>
      <c r="C417" t="s">
        <v>503</v>
      </c>
      <c r="D417" s="1">
        <v>42923</v>
      </c>
      <c r="E417">
        <v>39.6</v>
      </c>
      <c r="F417">
        <v>-0.1</v>
      </c>
      <c r="G417" s="3">
        <v>-2.5000000000000001E-3</v>
      </c>
      <c r="H417">
        <v>2016</v>
      </c>
      <c r="I417">
        <v>1.77</v>
      </c>
      <c r="J417">
        <v>1.5</v>
      </c>
      <c r="K417">
        <v>0</v>
      </c>
      <c r="L417">
        <v>1.5</v>
      </c>
      <c r="M417" s="3">
        <v>3.7900000000000003E-2</v>
      </c>
      <c r="N417" s="2">
        <v>0</v>
      </c>
      <c r="O417" s="3">
        <v>3.7900000000000003E-2</v>
      </c>
      <c r="P417" s="3">
        <v>0.84799999999999998</v>
      </c>
      <c r="Q417" s="2">
        <v>0</v>
      </c>
      <c r="R417" s="3">
        <v>0.84799999999999998</v>
      </c>
      <c r="S417" t="s">
        <v>656</v>
      </c>
      <c r="U417" t="s">
        <v>640</v>
      </c>
    </row>
    <row r="418" spans="1:21" x14ac:dyDescent="0.6">
      <c r="A418">
        <v>94</v>
      </c>
      <c r="B418" t="str">
        <f>"3338"</f>
        <v>3338</v>
      </c>
      <c r="C418" t="s">
        <v>157</v>
      </c>
      <c r="D418" s="1">
        <v>42923</v>
      </c>
      <c r="E418">
        <v>29.5</v>
      </c>
      <c r="F418">
        <v>-0.25</v>
      </c>
      <c r="G418" s="3">
        <v>-8.3999999999999995E-3</v>
      </c>
      <c r="H418">
        <v>2016</v>
      </c>
      <c r="I418">
        <v>1.9</v>
      </c>
      <c r="J418">
        <v>1.51</v>
      </c>
      <c r="K418">
        <v>0</v>
      </c>
      <c r="L418">
        <v>1.51</v>
      </c>
      <c r="M418" s="3">
        <v>5.1200000000000002E-2</v>
      </c>
      <c r="N418" s="2">
        <v>0</v>
      </c>
      <c r="O418" s="3">
        <v>5.1200000000000002E-2</v>
      </c>
      <c r="P418" s="3">
        <v>0.79500000000000004</v>
      </c>
      <c r="Q418" s="2">
        <v>0</v>
      </c>
      <c r="R418" s="3">
        <v>0.79500000000000004</v>
      </c>
      <c r="S418" t="s">
        <v>628</v>
      </c>
      <c r="U418" t="s">
        <v>603</v>
      </c>
    </row>
    <row r="419" spans="1:21" x14ac:dyDescent="0.6">
      <c r="A419">
        <v>310</v>
      </c>
      <c r="B419" t="str">
        <f>"1817"</f>
        <v>1817</v>
      </c>
      <c r="C419" t="s">
        <v>392</v>
      </c>
      <c r="D419" s="1">
        <v>42923</v>
      </c>
      <c r="E419">
        <v>39.1</v>
      </c>
      <c r="F419">
        <v>-0.25</v>
      </c>
      <c r="G419" s="3">
        <v>-6.4000000000000003E-3</v>
      </c>
      <c r="H419">
        <v>2016</v>
      </c>
      <c r="I419">
        <v>3.18</v>
      </c>
      <c r="J419">
        <v>2</v>
      </c>
      <c r="K419">
        <v>0</v>
      </c>
      <c r="L419">
        <v>2</v>
      </c>
      <c r="M419" s="3">
        <v>5.1200000000000002E-2</v>
      </c>
      <c r="N419" s="2">
        <v>0</v>
      </c>
      <c r="O419" s="3">
        <v>5.1200000000000002E-2</v>
      </c>
      <c r="P419" s="3">
        <v>0.629</v>
      </c>
      <c r="Q419" s="2">
        <v>0</v>
      </c>
      <c r="R419" s="3">
        <v>0.629</v>
      </c>
      <c r="S419" t="s">
        <v>616</v>
      </c>
      <c r="U419" t="s">
        <v>618</v>
      </c>
    </row>
    <row r="420" spans="1:21" x14ac:dyDescent="0.6">
      <c r="A420">
        <v>366</v>
      </c>
      <c r="B420" t="str">
        <f>"6196"</f>
        <v>6196</v>
      </c>
      <c r="C420" t="s">
        <v>449</v>
      </c>
      <c r="D420" s="1">
        <v>42923</v>
      </c>
      <c r="E420">
        <v>39.1</v>
      </c>
      <c r="F420">
        <v>-0.1</v>
      </c>
      <c r="G420" s="3">
        <v>-2.5999999999999999E-3</v>
      </c>
      <c r="H420">
        <v>2016</v>
      </c>
      <c r="I420">
        <v>2.78</v>
      </c>
      <c r="J420">
        <v>2</v>
      </c>
      <c r="K420">
        <v>0</v>
      </c>
      <c r="L420">
        <v>2</v>
      </c>
      <c r="M420" s="3">
        <v>5.1200000000000002E-2</v>
      </c>
      <c r="N420" s="2">
        <v>0</v>
      </c>
      <c r="O420" s="3">
        <v>5.1200000000000002E-2</v>
      </c>
      <c r="P420" s="3">
        <v>0.71899999999999997</v>
      </c>
      <c r="Q420" s="2">
        <v>0</v>
      </c>
      <c r="R420" s="3">
        <v>0.71899999999999997</v>
      </c>
      <c r="S420" t="s">
        <v>604</v>
      </c>
      <c r="U420" t="s">
        <v>608</v>
      </c>
    </row>
    <row r="421" spans="1:21" x14ac:dyDescent="0.6">
      <c r="A421">
        <v>420</v>
      </c>
      <c r="B421" t="str">
        <f>"9937"</f>
        <v>9937</v>
      </c>
      <c r="C421" t="s">
        <v>507</v>
      </c>
      <c r="D421" s="1">
        <v>42923</v>
      </c>
      <c r="E421">
        <v>39.700000000000003</v>
      </c>
      <c r="F421">
        <v>-0.25</v>
      </c>
      <c r="G421" s="3">
        <v>-6.3E-3</v>
      </c>
      <c r="H421">
        <v>2016</v>
      </c>
      <c r="I421">
        <v>1.59</v>
      </c>
      <c r="J421">
        <v>1.4</v>
      </c>
      <c r="K421">
        <v>0</v>
      </c>
      <c r="L421">
        <v>1.4</v>
      </c>
      <c r="M421" s="3">
        <v>3.5299999999999998E-2</v>
      </c>
      <c r="N421" s="2">
        <v>0</v>
      </c>
      <c r="O421" s="3">
        <v>3.5299999999999998E-2</v>
      </c>
      <c r="P421" s="2">
        <v>0.88</v>
      </c>
      <c r="Q421" s="2">
        <v>0</v>
      </c>
      <c r="R421" s="2">
        <v>0.88</v>
      </c>
      <c r="S421" t="s">
        <v>617</v>
      </c>
      <c r="U421" t="s">
        <v>651</v>
      </c>
    </row>
    <row r="422" spans="1:21" x14ac:dyDescent="0.6">
      <c r="A422">
        <v>329</v>
      </c>
      <c r="B422" t="str">
        <f>"4933"</f>
        <v>4933</v>
      </c>
      <c r="C422" t="s">
        <v>411</v>
      </c>
      <c r="D422" s="1">
        <v>42923</v>
      </c>
      <c r="E422">
        <v>24.45</v>
      </c>
      <c r="F422">
        <v>-0.3</v>
      </c>
      <c r="G422" s="3">
        <v>-1.21E-2</v>
      </c>
      <c r="H422">
        <v>2016</v>
      </c>
      <c r="I422">
        <v>2.2400000000000002</v>
      </c>
      <c r="J422">
        <v>1.25</v>
      </c>
      <c r="K422">
        <v>0</v>
      </c>
      <c r="L422">
        <v>1.25</v>
      </c>
      <c r="M422" s="3">
        <v>5.11E-2</v>
      </c>
      <c r="N422" s="2">
        <v>0</v>
      </c>
      <c r="O422" s="3">
        <v>5.11E-2</v>
      </c>
      <c r="P422" s="3">
        <v>0.55800000000000005</v>
      </c>
      <c r="Q422" s="2">
        <v>0</v>
      </c>
      <c r="R422" s="3">
        <v>0.55800000000000005</v>
      </c>
      <c r="S422" t="s">
        <v>620</v>
      </c>
      <c r="U422" t="s">
        <v>682</v>
      </c>
    </row>
    <row r="423" spans="1:21" x14ac:dyDescent="0.6">
      <c r="A423">
        <v>422</v>
      </c>
      <c r="B423" t="str">
        <f>"8114"</f>
        <v>8114</v>
      </c>
      <c r="C423" t="s">
        <v>509</v>
      </c>
      <c r="D423" s="1">
        <v>42923</v>
      </c>
      <c r="E423">
        <v>159</v>
      </c>
      <c r="F423">
        <v>-6</v>
      </c>
      <c r="G423" s="3">
        <v>-3.6400000000000002E-2</v>
      </c>
      <c r="H423">
        <v>2016</v>
      </c>
      <c r="I423">
        <v>9.1199999999999992</v>
      </c>
      <c r="J423">
        <v>7.75</v>
      </c>
      <c r="K423">
        <v>0.25</v>
      </c>
      <c r="L423">
        <v>8</v>
      </c>
      <c r="M423" s="3">
        <v>4.87E-2</v>
      </c>
      <c r="N423" s="3">
        <v>1.6000000000000001E-3</v>
      </c>
      <c r="O423" s="3">
        <v>5.0299999999999997E-2</v>
      </c>
      <c r="P423" s="2">
        <v>0.85</v>
      </c>
      <c r="Q423" s="3">
        <v>2.7400000000000001E-2</v>
      </c>
      <c r="R423" s="3">
        <v>0.877</v>
      </c>
      <c r="S423" t="s">
        <v>644</v>
      </c>
      <c r="T423" t="s">
        <v>644</v>
      </c>
      <c r="U423" t="s">
        <v>612</v>
      </c>
    </row>
    <row r="424" spans="1:21" x14ac:dyDescent="0.6">
      <c r="A424">
        <v>352</v>
      </c>
      <c r="B424" t="str">
        <f>"3454"</f>
        <v>3454</v>
      </c>
      <c r="C424" t="s">
        <v>435</v>
      </c>
      <c r="D424" s="1">
        <v>42923</v>
      </c>
      <c r="E424">
        <v>88.1</v>
      </c>
      <c r="F424">
        <v>1.2</v>
      </c>
      <c r="G424" s="3">
        <v>1.38E-2</v>
      </c>
      <c r="H424">
        <v>2016</v>
      </c>
      <c r="I424">
        <v>6.2</v>
      </c>
      <c r="J424">
        <v>4.5</v>
      </c>
      <c r="K424">
        <v>0.35</v>
      </c>
      <c r="L424">
        <v>4.8499999999999996</v>
      </c>
      <c r="M424" s="3">
        <v>5.11E-2</v>
      </c>
      <c r="N424" s="3">
        <v>4.0000000000000001E-3</v>
      </c>
      <c r="O424" s="3">
        <v>5.5100000000000003E-2</v>
      </c>
      <c r="P424" s="3">
        <v>0.72599999999999998</v>
      </c>
      <c r="Q424" s="3">
        <v>5.6500000000000002E-2</v>
      </c>
      <c r="R424" s="3">
        <v>0.78200000000000003</v>
      </c>
      <c r="S424" t="s">
        <v>675</v>
      </c>
      <c r="T424" t="s">
        <v>675</v>
      </c>
      <c r="U424" t="s">
        <v>620</v>
      </c>
    </row>
    <row r="425" spans="1:21" x14ac:dyDescent="0.6">
      <c r="A425">
        <v>424</v>
      </c>
      <c r="B425" t="str">
        <f>"8930"</f>
        <v>8930</v>
      </c>
      <c r="C425" t="s">
        <v>511</v>
      </c>
      <c r="D425" s="1">
        <v>42923</v>
      </c>
      <c r="E425">
        <v>13.95</v>
      </c>
      <c r="F425">
        <v>0</v>
      </c>
      <c r="G425" s="2">
        <v>0</v>
      </c>
      <c r="H425">
        <v>2016</v>
      </c>
      <c r="I425">
        <v>-0.46</v>
      </c>
      <c r="J425">
        <v>0</v>
      </c>
      <c r="K425">
        <v>0</v>
      </c>
      <c r="L425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</row>
    <row r="426" spans="1:21" x14ac:dyDescent="0.6">
      <c r="A426">
        <v>425</v>
      </c>
      <c r="B426" t="str">
        <f>"2891"</f>
        <v>2891</v>
      </c>
      <c r="C426" t="s">
        <v>512</v>
      </c>
      <c r="D426" s="1">
        <v>42923</v>
      </c>
      <c r="E426">
        <v>19.95</v>
      </c>
      <c r="F426">
        <v>-0.2</v>
      </c>
      <c r="G426" s="3">
        <v>-9.9000000000000008E-3</v>
      </c>
      <c r="H426">
        <v>2016</v>
      </c>
      <c r="I426">
        <v>2.1</v>
      </c>
      <c r="J426">
        <v>0.81</v>
      </c>
      <c r="K426">
        <v>0.8</v>
      </c>
      <c r="L426">
        <v>1.61</v>
      </c>
      <c r="M426" s="3">
        <v>4.0599999999999997E-2</v>
      </c>
      <c r="N426" s="3">
        <v>4.0099999999999997E-2</v>
      </c>
      <c r="O426" s="3">
        <v>8.0699999999999994E-2</v>
      </c>
      <c r="P426" s="3">
        <v>0.38600000000000001</v>
      </c>
      <c r="Q426" s="3">
        <v>0.38100000000000001</v>
      </c>
      <c r="R426" s="3">
        <v>0.76700000000000002</v>
      </c>
      <c r="S426" t="s">
        <v>603</v>
      </c>
      <c r="T426" t="s">
        <v>686</v>
      </c>
    </row>
    <row r="427" spans="1:21" x14ac:dyDescent="0.6">
      <c r="A427">
        <v>462</v>
      </c>
      <c r="B427" t="str">
        <f>"3094"</f>
        <v>3094</v>
      </c>
      <c r="C427" t="s">
        <v>553</v>
      </c>
      <c r="D427" s="1">
        <v>42923</v>
      </c>
      <c r="E427">
        <v>22.7</v>
      </c>
      <c r="F427">
        <v>-0.15</v>
      </c>
      <c r="G427" s="3">
        <v>-6.6E-3</v>
      </c>
      <c r="H427">
        <v>2016</v>
      </c>
      <c r="I427">
        <v>1.01</v>
      </c>
      <c r="J427">
        <v>1.1599999999999999</v>
      </c>
      <c r="K427">
        <v>0</v>
      </c>
      <c r="L427">
        <v>1.1599999999999999</v>
      </c>
      <c r="M427" s="3">
        <v>5.11E-2</v>
      </c>
      <c r="N427" s="2">
        <v>0</v>
      </c>
      <c r="O427" s="3">
        <v>5.11E-2</v>
      </c>
      <c r="P427" s="2">
        <v>1.1499999999999999</v>
      </c>
      <c r="Q427" s="2">
        <v>0</v>
      </c>
      <c r="R427" s="2">
        <v>1.1499999999999999</v>
      </c>
      <c r="S427" t="s">
        <v>633</v>
      </c>
      <c r="U427" t="s">
        <v>603</v>
      </c>
    </row>
    <row r="428" spans="1:21" x14ac:dyDescent="0.6">
      <c r="A428">
        <v>427</v>
      </c>
      <c r="B428" t="str">
        <f>"5007"</f>
        <v>5007</v>
      </c>
      <c r="C428" t="s">
        <v>515</v>
      </c>
      <c r="D428" s="1">
        <v>42923</v>
      </c>
      <c r="E428">
        <v>50</v>
      </c>
      <c r="F428">
        <v>-0.1</v>
      </c>
      <c r="G428" s="3">
        <v>-2E-3</v>
      </c>
      <c r="H428">
        <v>2016</v>
      </c>
      <c r="I428">
        <v>3.03</v>
      </c>
      <c r="J428">
        <v>2</v>
      </c>
      <c r="K428">
        <v>0</v>
      </c>
      <c r="L428">
        <v>2</v>
      </c>
      <c r="M428" s="2">
        <v>0.04</v>
      </c>
      <c r="N428" s="2">
        <v>0</v>
      </c>
      <c r="O428" s="2">
        <v>0.04</v>
      </c>
      <c r="P428" s="2">
        <v>0.66</v>
      </c>
      <c r="Q428" s="2">
        <v>0</v>
      </c>
      <c r="R428" s="2">
        <v>0.66</v>
      </c>
      <c r="S428" t="s">
        <v>646</v>
      </c>
      <c r="U428" t="s">
        <v>602</v>
      </c>
    </row>
    <row r="429" spans="1:21" x14ac:dyDescent="0.6">
      <c r="A429">
        <v>428</v>
      </c>
      <c r="B429" t="str">
        <f>"1474"</f>
        <v>1474</v>
      </c>
      <c r="C429" t="s">
        <v>516</v>
      </c>
      <c r="D429" s="1">
        <v>42923</v>
      </c>
      <c r="E429">
        <v>12</v>
      </c>
      <c r="F429">
        <v>-0.05</v>
      </c>
      <c r="G429" s="3">
        <v>-4.1000000000000003E-3</v>
      </c>
      <c r="H429">
        <v>2016</v>
      </c>
      <c r="I429">
        <v>0.7</v>
      </c>
      <c r="J429">
        <v>0.5</v>
      </c>
      <c r="K429">
        <v>0</v>
      </c>
      <c r="L429">
        <v>0.5</v>
      </c>
      <c r="M429" s="3">
        <v>4.1700000000000001E-2</v>
      </c>
      <c r="N429" s="2">
        <v>0</v>
      </c>
      <c r="O429" s="3">
        <v>4.1700000000000001E-2</v>
      </c>
      <c r="P429" s="3">
        <v>0.71399999999999997</v>
      </c>
      <c r="Q429" s="2">
        <v>0</v>
      </c>
      <c r="R429" s="3">
        <v>0.71399999999999997</v>
      </c>
      <c r="S429" t="s">
        <v>600</v>
      </c>
      <c r="U429" t="s">
        <v>603</v>
      </c>
    </row>
    <row r="430" spans="1:21" x14ac:dyDescent="0.6">
      <c r="A430">
        <v>429</v>
      </c>
      <c r="B430" t="str">
        <f>"9933"</f>
        <v>9933</v>
      </c>
      <c r="C430" t="s">
        <v>517</v>
      </c>
      <c r="D430" s="1">
        <v>42923</v>
      </c>
      <c r="E430">
        <v>52.1</v>
      </c>
      <c r="F430">
        <v>-0.4</v>
      </c>
      <c r="G430" s="3">
        <v>-7.6E-3</v>
      </c>
      <c r="H430">
        <v>2016</v>
      </c>
      <c r="I430">
        <v>2.69</v>
      </c>
      <c r="J430">
        <v>2.4</v>
      </c>
      <c r="K430">
        <v>0</v>
      </c>
      <c r="L430">
        <v>2.4</v>
      </c>
      <c r="M430" s="3">
        <v>4.5999999999999999E-2</v>
      </c>
      <c r="N430" s="2">
        <v>0</v>
      </c>
      <c r="O430" s="3">
        <v>4.5999999999999999E-2</v>
      </c>
      <c r="P430" s="3">
        <v>0.89200000000000002</v>
      </c>
      <c r="Q430" s="2">
        <v>0</v>
      </c>
      <c r="R430" s="3">
        <v>0.89200000000000002</v>
      </c>
      <c r="S430" t="s">
        <v>634</v>
      </c>
      <c r="U430" t="s">
        <v>614</v>
      </c>
    </row>
    <row r="431" spans="1:21" x14ac:dyDescent="0.6">
      <c r="A431">
        <v>430</v>
      </c>
      <c r="B431" t="str">
        <f>"3617"</f>
        <v>3617</v>
      </c>
      <c r="C431" t="s">
        <v>518</v>
      </c>
      <c r="D431" s="1">
        <v>42923</v>
      </c>
      <c r="E431">
        <v>95.2</v>
      </c>
      <c r="F431">
        <v>-0.1</v>
      </c>
      <c r="G431" s="3">
        <v>-1E-3</v>
      </c>
      <c r="H431">
        <v>2016</v>
      </c>
      <c r="I431">
        <v>7.45</v>
      </c>
      <c r="J431">
        <v>4.5</v>
      </c>
      <c r="K431">
        <v>0</v>
      </c>
      <c r="L431">
        <v>4.5</v>
      </c>
      <c r="M431" s="3">
        <v>4.7300000000000002E-2</v>
      </c>
      <c r="N431" s="2">
        <v>0</v>
      </c>
      <c r="O431" s="3">
        <v>4.7300000000000002E-2</v>
      </c>
      <c r="P431" s="3">
        <v>0.60399999999999998</v>
      </c>
      <c r="Q431" s="2">
        <v>0</v>
      </c>
      <c r="R431" s="3">
        <v>0.60399999999999998</v>
      </c>
      <c r="S431" t="s">
        <v>624</v>
      </c>
      <c r="U431" t="s">
        <v>675</v>
      </c>
    </row>
    <row r="432" spans="1:21" x14ac:dyDescent="0.6">
      <c r="A432">
        <v>431</v>
      </c>
      <c r="B432" t="str">
        <f>"2456"</f>
        <v>2456</v>
      </c>
      <c r="C432" t="s">
        <v>519</v>
      </c>
      <c r="D432" s="1">
        <v>42923</v>
      </c>
      <c r="E432">
        <v>80.2</v>
      </c>
      <c r="F432">
        <v>1.6</v>
      </c>
      <c r="G432" s="3">
        <v>2.0400000000000001E-2</v>
      </c>
      <c r="H432">
        <v>2016</v>
      </c>
      <c r="I432">
        <v>4.41</v>
      </c>
      <c r="J432">
        <v>3.2</v>
      </c>
      <c r="K432">
        <v>0</v>
      </c>
      <c r="L432">
        <v>3.2</v>
      </c>
      <c r="M432" s="3">
        <v>3.9899999999999998E-2</v>
      </c>
      <c r="N432" s="2">
        <v>0</v>
      </c>
      <c r="O432" s="3">
        <v>3.9899999999999998E-2</v>
      </c>
      <c r="P432" s="3">
        <v>0.72599999999999998</v>
      </c>
      <c r="Q432" s="2">
        <v>0</v>
      </c>
      <c r="R432" s="3">
        <v>0.72599999999999998</v>
      </c>
      <c r="S432" t="s">
        <v>628</v>
      </c>
      <c r="U432" t="s">
        <v>603</v>
      </c>
    </row>
    <row r="433" spans="1:21" x14ac:dyDescent="0.6">
      <c r="A433">
        <v>109</v>
      </c>
      <c r="B433" t="str">
        <f>"8070"</f>
        <v>8070</v>
      </c>
      <c r="C433" t="s">
        <v>172</v>
      </c>
      <c r="D433" s="1">
        <v>42923</v>
      </c>
      <c r="E433">
        <v>137.5</v>
      </c>
      <c r="F433">
        <v>5</v>
      </c>
      <c r="G433" s="3">
        <v>3.7699999999999997E-2</v>
      </c>
      <c r="H433">
        <v>2016</v>
      </c>
      <c r="I433">
        <v>13.57</v>
      </c>
      <c r="J433">
        <v>7</v>
      </c>
      <c r="K433">
        <v>0</v>
      </c>
      <c r="L433">
        <v>7</v>
      </c>
      <c r="M433" s="3">
        <v>5.0900000000000001E-2</v>
      </c>
      <c r="N433" s="2">
        <v>0</v>
      </c>
      <c r="O433" s="3">
        <v>5.0900000000000001E-2</v>
      </c>
      <c r="P433" s="3">
        <v>0.51600000000000001</v>
      </c>
      <c r="Q433" s="2">
        <v>0</v>
      </c>
      <c r="R433" s="3">
        <v>0.51600000000000001</v>
      </c>
      <c r="S433" t="s">
        <v>661</v>
      </c>
      <c r="U433" t="s">
        <v>596</v>
      </c>
    </row>
    <row r="434" spans="1:21" x14ac:dyDescent="0.6">
      <c r="A434">
        <v>189</v>
      </c>
      <c r="B434" t="str">
        <f>"9927"</f>
        <v>9927</v>
      </c>
      <c r="C434" t="s">
        <v>266</v>
      </c>
      <c r="D434" s="1">
        <v>42923</v>
      </c>
      <c r="E434">
        <v>39.299999999999997</v>
      </c>
      <c r="F434">
        <v>-0.1</v>
      </c>
      <c r="G434" s="3">
        <v>-2.5000000000000001E-3</v>
      </c>
      <c r="H434">
        <v>2016</v>
      </c>
      <c r="I434">
        <v>2.4</v>
      </c>
      <c r="J434">
        <v>2</v>
      </c>
      <c r="K434">
        <v>0</v>
      </c>
      <c r="L434">
        <v>2</v>
      </c>
      <c r="M434" s="3">
        <v>5.0900000000000001E-2</v>
      </c>
      <c r="N434" s="2">
        <v>0</v>
      </c>
      <c r="O434" s="3">
        <v>5.0900000000000001E-2</v>
      </c>
      <c r="P434" s="3">
        <v>0.83299999999999996</v>
      </c>
      <c r="Q434" s="2">
        <v>0</v>
      </c>
      <c r="R434" s="3">
        <v>0.83299999999999996</v>
      </c>
      <c r="S434" t="s">
        <v>649</v>
      </c>
      <c r="U434" t="s">
        <v>626</v>
      </c>
    </row>
    <row r="435" spans="1:21" x14ac:dyDescent="0.6">
      <c r="A435">
        <v>434</v>
      </c>
      <c r="B435" t="str">
        <f>"6160"</f>
        <v>6160</v>
      </c>
      <c r="C435" t="s">
        <v>522</v>
      </c>
      <c r="D435" s="1">
        <v>42923</v>
      </c>
      <c r="E435">
        <v>20.100000000000001</v>
      </c>
      <c r="F435">
        <v>0.2</v>
      </c>
      <c r="G435" s="3">
        <v>1.01E-2</v>
      </c>
      <c r="H435">
        <v>2016</v>
      </c>
      <c r="I435">
        <v>0.6</v>
      </c>
      <c r="J435">
        <v>1</v>
      </c>
      <c r="K435">
        <v>0</v>
      </c>
      <c r="L435">
        <v>1</v>
      </c>
      <c r="M435" s="3">
        <v>4.9799999999999997E-2</v>
      </c>
      <c r="N435" s="2">
        <v>0</v>
      </c>
      <c r="O435" s="3">
        <v>4.9799999999999997E-2</v>
      </c>
      <c r="P435" s="2">
        <v>1.67</v>
      </c>
      <c r="Q435" s="2">
        <v>0</v>
      </c>
      <c r="R435" s="2">
        <v>1.67</v>
      </c>
      <c r="S435" t="s">
        <v>641</v>
      </c>
      <c r="U435" t="s">
        <v>605</v>
      </c>
    </row>
    <row r="436" spans="1:21" x14ac:dyDescent="0.6">
      <c r="A436">
        <v>435</v>
      </c>
      <c r="B436" t="str">
        <f>"1737"</f>
        <v>1737</v>
      </c>
      <c r="C436" t="s">
        <v>524</v>
      </c>
      <c r="D436" s="1">
        <v>42923</v>
      </c>
      <c r="E436">
        <v>30.2</v>
      </c>
      <c r="F436">
        <v>-0.1</v>
      </c>
      <c r="G436" s="3">
        <v>-3.3E-3</v>
      </c>
      <c r="H436">
        <v>2016</v>
      </c>
      <c r="I436">
        <v>1.34</v>
      </c>
      <c r="J436">
        <v>1.1200000000000001</v>
      </c>
      <c r="K436">
        <v>0</v>
      </c>
      <c r="L436">
        <v>1.1200000000000001</v>
      </c>
      <c r="M436" s="3">
        <v>3.7100000000000001E-2</v>
      </c>
      <c r="N436" s="2">
        <v>0</v>
      </c>
      <c r="O436" s="3">
        <v>3.7100000000000001E-2</v>
      </c>
      <c r="P436" s="3">
        <v>0.83599999999999997</v>
      </c>
      <c r="Q436" s="2">
        <v>0</v>
      </c>
      <c r="R436" s="3">
        <v>0.83599999999999997</v>
      </c>
      <c r="S436" t="s">
        <v>664</v>
      </c>
      <c r="U436" t="s">
        <v>609</v>
      </c>
    </row>
    <row r="437" spans="1:21" x14ac:dyDescent="0.6">
      <c r="A437">
        <v>408</v>
      </c>
      <c r="B437" t="str">
        <f>"0056"</f>
        <v>0056</v>
      </c>
      <c r="C437" t="s">
        <v>494</v>
      </c>
      <c r="D437" s="1">
        <v>42923</v>
      </c>
      <c r="E437">
        <v>25.56</v>
      </c>
      <c r="F437">
        <v>-0.08</v>
      </c>
      <c r="G437" s="3">
        <v>-3.0999999999999999E-3</v>
      </c>
      <c r="H437">
        <v>2016</v>
      </c>
      <c r="J437">
        <v>1.3</v>
      </c>
      <c r="K437">
        <v>0</v>
      </c>
      <c r="L437">
        <v>1.3</v>
      </c>
      <c r="M437" s="3">
        <v>5.0900000000000001E-2</v>
      </c>
      <c r="N437" s="2">
        <v>0</v>
      </c>
      <c r="O437" s="3">
        <v>5.0900000000000001E-2</v>
      </c>
      <c r="S437" t="s">
        <v>685</v>
      </c>
    </row>
    <row r="438" spans="1:21" x14ac:dyDescent="0.6">
      <c r="A438">
        <v>437</v>
      </c>
      <c r="B438" t="str">
        <f>"3058"</f>
        <v>3058</v>
      </c>
      <c r="C438" t="s">
        <v>527</v>
      </c>
      <c r="D438" s="1">
        <v>42923</v>
      </c>
      <c r="E438">
        <v>10.1</v>
      </c>
      <c r="F438">
        <v>-0.15</v>
      </c>
      <c r="G438" s="3">
        <v>-1.46E-2</v>
      </c>
      <c r="H438">
        <v>2016</v>
      </c>
      <c r="I438">
        <v>0.09</v>
      </c>
      <c r="J438">
        <v>0.5</v>
      </c>
      <c r="K438">
        <v>0</v>
      </c>
      <c r="L438">
        <v>0.5</v>
      </c>
      <c r="M438" s="3">
        <v>4.9500000000000002E-2</v>
      </c>
      <c r="N438" s="2">
        <v>0</v>
      </c>
      <c r="O438" s="3">
        <v>4.9500000000000002E-2</v>
      </c>
      <c r="P438" s="2">
        <v>5.56</v>
      </c>
      <c r="Q438" s="2">
        <v>0</v>
      </c>
      <c r="R438" s="2">
        <v>5.56</v>
      </c>
      <c r="S438" t="s">
        <v>622</v>
      </c>
      <c r="U438" t="s">
        <v>631</v>
      </c>
    </row>
    <row r="439" spans="1:21" x14ac:dyDescent="0.6">
      <c r="A439">
        <v>438</v>
      </c>
      <c r="B439" t="str">
        <f>"1592"</f>
        <v>1592</v>
      </c>
      <c r="C439" t="s">
        <v>528</v>
      </c>
      <c r="D439" s="1">
        <v>42923</v>
      </c>
      <c r="E439">
        <v>44.5</v>
      </c>
      <c r="F439">
        <v>0</v>
      </c>
      <c r="G439" s="2">
        <v>0</v>
      </c>
      <c r="H439">
        <v>2016</v>
      </c>
      <c r="I439">
        <v>1.91</v>
      </c>
      <c r="J439">
        <v>1</v>
      </c>
      <c r="K439">
        <v>0</v>
      </c>
      <c r="L439">
        <v>1</v>
      </c>
      <c r="M439" s="3">
        <v>2.2499999999999999E-2</v>
      </c>
      <c r="N439" s="2">
        <v>0</v>
      </c>
      <c r="O439" s="3">
        <v>2.2499999999999999E-2</v>
      </c>
      <c r="P439" s="3">
        <v>0.52400000000000002</v>
      </c>
      <c r="Q439" s="2">
        <v>0</v>
      </c>
      <c r="R439" s="3">
        <v>0.52400000000000002</v>
      </c>
      <c r="S439" t="s">
        <v>624</v>
      </c>
      <c r="U439" t="s">
        <v>629</v>
      </c>
    </row>
    <row r="440" spans="1:21" x14ac:dyDescent="0.6">
      <c r="A440">
        <v>439</v>
      </c>
      <c r="B440" t="str">
        <f>"4906"</f>
        <v>4906</v>
      </c>
      <c r="C440" t="s">
        <v>529</v>
      </c>
      <c r="D440" s="1">
        <v>42923</v>
      </c>
      <c r="E440">
        <v>29.6</v>
      </c>
      <c r="F440">
        <v>-0.1</v>
      </c>
      <c r="G440" s="3">
        <v>-3.3999999999999998E-3</v>
      </c>
      <c r="H440">
        <v>2016</v>
      </c>
      <c r="I440">
        <v>0.69</v>
      </c>
      <c r="J440">
        <v>0.6</v>
      </c>
      <c r="K440">
        <v>0</v>
      </c>
      <c r="L440">
        <v>0.6</v>
      </c>
      <c r="M440" s="3">
        <v>2.0299999999999999E-2</v>
      </c>
      <c r="N440" s="2">
        <v>0</v>
      </c>
      <c r="O440" s="3">
        <v>2.0299999999999999E-2</v>
      </c>
      <c r="P440" s="2">
        <v>0.87</v>
      </c>
      <c r="Q440" s="2">
        <v>0</v>
      </c>
      <c r="R440" s="2">
        <v>0.87</v>
      </c>
      <c r="S440" t="s">
        <v>634</v>
      </c>
      <c r="U440" t="s">
        <v>614</v>
      </c>
    </row>
    <row r="441" spans="1:21" x14ac:dyDescent="0.6">
      <c r="A441">
        <v>440</v>
      </c>
      <c r="B441" t="str">
        <f>"5312"</f>
        <v>5312</v>
      </c>
      <c r="C441" t="s">
        <v>530</v>
      </c>
      <c r="D441" s="1">
        <v>42923</v>
      </c>
      <c r="E441">
        <v>73</v>
      </c>
      <c r="F441">
        <v>-0.4</v>
      </c>
      <c r="G441" s="3">
        <v>-5.4000000000000003E-3</v>
      </c>
      <c r="H441">
        <v>2016</v>
      </c>
      <c r="I441">
        <v>6.22</v>
      </c>
      <c r="J441">
        <v>3.6</v>
      </c>
      <c r="K441">
        <v>0</v>
      </c>
      <c r="L441">
        <v>3.6</v>
      </c>
      <c r="M441" s="3">
        <v>4.9299999999999997E-2</v>
      </c>
      <c r="N441" s="2">
        <v>0</v>
      </c>
      <c r="O441" s="3">
        <v>4.9299999999999997E-2</v>
      </c>
      <c r="P441" s="3">
        <v>0.57899999999999996</v>
      </c>
      <c r="Q441" s="2">
        <v>0</v>
      </c>
      <c r="R441" s="3">
        <v>0.57899999999999996</v>
      </c>
      <c r="S441" t="s">
        <v>617</v>
      </c>
      <c r="U441" t="s">
        <v>631</v>
      </c>
    </row>
    <row r="442" spans="1:21" x14ac:dyDescent="0.6">
      <c r="A442">
        <v>55</v>
      </c>
      <c r="B442" t="str">
        <f>"2535"</f>
        <v>2535</v>
      </c>
      <c r="C442" t="s">
        <v>106</v>
      </c>
      <c r="D442" s="1">
        <v>42923</v>
      </c>
      <c r="E442">
        <v>19.7</v>
      </c>
      <c r="F442">
        <v>-0.05</v>
      </c>
      <c r="G442" s="3">
        <v>-2.5000000000000001E-3</v>
      </c>
      <c r="H442">
        <v>2016</v>
      </c>
      <c r="I442">
        <v>1.58</v>
      </c>
      <c r="J442">
        <v>1</v>
      </c>
      <c r="K442">
        <v>0</v>
      </c>
      <c r="L442">
        <v>1</v>
      </c>
      <c r="M442" s="3">
        <v>5.0799999999999998E-2</v>
      </c>
      <c r="N442" s="2">
        <v>0</v>
      </c>
      <c r="O442" s="3">
        <v>5.0799999999999998E-2</v>
      </c>
      <c r="P442" s="3">
        <v>0.63300000000000001</v>
      </c>
      <c r="Q442" s="2">
        <v>0</v>
      </c>
      <c r="R442" s="3">
        <v>0.63300000000000001</v>
      </c>
      <c r="S442" t="s">
        <v>648</v>
      </c>
    </row>
    <row r="443" spans="1:21" x14ac:dyDescent="0.6">
      <c r="A443">
        <v>442</v>
      </c>
      <c r="B443" t="str">
        <f>"6229"</f>
        <v>6229</v>
      </c>
      <c r="C443" t="s">
        <v>532</v>
      </c>
      <c r="D443" s="1">
        <v>42923</v>
      </c>
      <c r="E443">
        <v>13.6</v>
      </c>
      <c r="F443">
        <v>-0.1</v>
      </c>
      <c r="G443" s="3">
        <v>-7.3000000000000001E-3</v>
      </c>
      <c r="H443">
        <v>2016</v>
      </c>
      <c r="I443">
        <v>0.05</v>
      </c>
      <c r="J443">
        <v>0.04</v>
      </c>
      <c r="K443">
        <v>0</v>
      </c>
      <c r="L443">
        <v>0.04</v>
      </c>
      <c r="M443" s="3">
        <v>2.8999999999999998E-3</v>
      </c>
      <c r="N443" s="2">
        <v>0</v>
      </c>
      <c r="O443" s="3">
        <v>2.8999999999999998E-3</v>
      </c>
      <c r="P443" s="2">
        <v>0.8</v>
      </c>
      <c r="Q443" s="2">
        <v>0</v>
      </c>
      <c r="R443" s="2">
        <v>0.8</v>
      </c>
      <c r="S443" t="s">
        <v>648</v>
      </c>
      <c r="U443" t="s">
        <v>603</v>
      </c>
    </row>
    <row r="444" spans="1:21" x14ac:dyDescent="0.6">
      <c r="A444">
        <v>443</v>
      </c>
      <c r="B444" t="str">
        <f>"1301"</f>
        <v>1301</v>
      </c>
      <c r="C444" t="s">
        <v>533</v>
      </c>
      <c r="D444" s="1">
        <v>42923</v>
      </c>
      <c r="E444">
        <v>93.4</v>
      </c>
      <c r="F444">
        <v>-0.5</v>
      </c>
      <c r="G444" s="3">
        <v>-5.3E-3</v>
      </c>
      <c r="H444">
        <v>2016</v>
      </c>
      <c r="I444">
        <v>4.8499999999999996</v>
      </c>
      <c r="J444">
        <v>3.6</v>
      </c>
      <c r="K444">
        <v>0</v>
      </c>
      <c r="L444">
        <v>3.6</v>
      </c>
      <c r="M444" s="3">
        <v>3.85E-2</v>
      </c>
      <c r="N444" s="2">
        <v>0</v>
      </c>
      <c r="O444" s="3">
        <v>3.85E-2</v>
      </c>
      <c r="P444" s="3">
        <v>0.74199999999999999</v>
      </c>
      <c r="Q444" s="2">
        <v>0</v>
      </c>
      <c r="R444" s="3">
        <v>0.74199999999999999</v>
      </c>
      <c r="S444" t="s">
        <v>602</v>
      </c>
      <c r="U444" t="s">
        <v>637</v>
      </c>
    </row>
    <row r="445" spans="1:21" x14ac:dyDescent="0.6">
      <c r="A445">
        <v>444</v>
      </c>
      <c r="B445" t="str">
        <f>"4755"</f>
        <v>4755</v>
      </c>
      <c r="C445" t="s">
        <v>534</v>
      </c>
      <c r="D445" s="1">
        <v>42923</v>
      </c>
      <c r="E445">
        <v>32.549999999999997</v>
      </c>
      <c r="F445">
        <v>-0.2</v>
      </c>
      <c r="G445" s="3">
        <v>-6.1000000000000004E-3</v>
      </c>
      <c r="H445">
        <v>2016</v>
      </c>
      <c r="I445">
        <v>2.27</v>
      </c>
      <c r="J445">
        <v>1</v>
      </c>
      <c r="K445">
        <v>0</v>
      </c>
      <c r="L445">
        <v>1</v>
      </c>
      <c r="M445" s="3">
        <v>3.0700000000000002E-2</v>
      </c>
      <c r="N445" s="2">
        <v>0</v>
      </c>
      <c r="O445" s="3">
        <v>3.0700000000000002E-2</v>
      </c>
      <c r="P445" s="2">
        <v>0.44</v>
      </c>
      <c r="Q445" s="2">
        <v>0</v>
      </c>
      <c r="R445" s="2">
        <v>0.44</v>
      </c>
      <c r="S445" t="s">
        <v>640</v>
      </c>
      <c r="U445" t="s">
        <v>605</v>
      </c>
    </row>
    <row r="446" spans="1:21" x14ac:dyDescent="0.6">
      <c r="A446">
        <v>445</v>
      </c>
      <c r="B446" t="str">
        <f>"1513"</f>
        <v>1513</v>
      </c>
      <c r="C446" t="s">
        <v>535</v>
      </c>
      <c r="D446" s="1">
        <v>42923</v>
      </c>
      <c r="E446">
        <v>20.350000000000001</v>
      </c>
      <c r="F446">
        <v>-0.6</v>
      </c>
      <c r="G446" s="3">
        <v>-2.86E-2</v>
      </c>
      <c r="H446">
        <v>2016</v>
      </c>
      <c r="I446">
        <v>1.34</v>
      </c>
      <c r="J446">
        <v>1</v>
      </c>
      <c r="K446">
        <v>0</v>
      </c>
      <c r="L446">
        <v>1</v>
      </c>
      <c r="M446" s="3">
        <v>4.9099999999999998E-2</v>
      </c>
      <c r="N446" s="2">
        <v>0</v>
      </c>
      <c r="O446" s="3">
        <v>4.9099999999999998E-2</v>
      </c>
      <c r="P446" s="3">
        <v>0.746</v>
      </c>
      <c r="Q446" s="2">
        <v>0</v>
      </c>
      <c r="R446" s="3">
        <v>0.746</v>
      </c>
      <c r="S446" t="s">
        <v>650</v>
      </c>
      <c r="U446" t="s">
        <v>645</v>
      </c>
    </row>
    <row r="447" spans="1:21" x14ac:dyDescent="0.6">
      <c r="A447">
        <v>409</v>
      </c>
      <c r="B447" t="str">
        <f>"1722"</f>
        <v>1722</v>
      </c>
      <c r="C447" t="s">
        <v>496</v>
      </c>
      <c r="D447" s="1">
        <v>42923</v>
      </c>
      <c r="E447">
        <v>41.3</v>
      </c>
      <c r="F447">
        <v>-0.3</v>
      </c>
      <c r="G447" s="3">
        <v>-7.1999999999999998E-3</v>
      </c>
      <c r="H447">
        <v>2016</v>
      </c>
      <c r="I447">
        <v>2.48</v>
      </c>
      <c r="J447">
        <v>2.1</v>
      </c>
      <c r="K447">
        <v>0</v>
      </c>
      <c r="L447">
        <v>2.1</v>
      </c>
      <c r="M447" s="3">
        <v>5.0799999999999998E-2</v>
      </c>
      <c r="N447" s="2">
        <v>0</v>
      </c>
      <c r="O447" s="3">
        <v>5.0799999999999998E-2</v>
      </c>
      <c r="P447" s="3">
        <v>0.84699999999999998</v>
      </c>
      <c r="Q447" s="2">
        <v>0</v>
      </c>
      <c r="R447" s="3">
        <v>0.84699999999999998</v>
      </c>
      <c r="S447" t="s">
        <v>664</v>
      </c>
      <c r="U447" t="s">
        <v>621</v>
      </c>
    </row>
    <row r="448" spans="1:21" x14ac:dyDescent="0.6">
      <c r="A448">
        <v>447</v>
      </c>
      <c r="B448" t="str">
        <f>"3031"</f>
        <v>3031</v>
      </c>
      <c r="C448" t="s">
        <v>537</v>
      </c>
      <c r="D448" s="1">
        <v>42923</v>
      </c>
      <c r="E448">
        <v>16.3</v>
      </c>
      <c r="F448">
        <v>-0.2</v>
      </c>
      <c r="G448" s="3">
        <v>-1.21E-2</v>
      </c>
      <c r="H448">
        <v>2016</v>
      </c>
      <c r="I448">
        <v>-7.0000000000000007E-2</v>
      </c>
      <c r="J448">
        <v>7.0000000000000007E-2</v>
      </c>
      <c r="K448">
        <v>0</v>
      </c>
      <c r="L448">
        <v>7.0000000000000007E-2</v>
      </c>
      <c r="M448" s="3">
        <v>4.3E-3</v>
      </c>
      <c r="N448" s="2">
        <v>0</v>
      </c>
      <c r="O448" s="3">
        <v>4.3E-3</v>
      </c>
      <c r="P448" s="2">
        <v>-1</v>
      </c>
      <c r="Q448" s="2">
        <v>0</v>
      </c>
      <c r="R448" s="2">
        <v>-1</v>
      </c>
      <c r="S448" t="s">
        <v>605</v>
      </c>
      <c r="U448" t="s">
        <v>618</v>
      </c>
    </row>
    <row r="449" spans="1:21" x14ac:dyDescent="0.6">
      <c r="A449">
        <v>448</v>
      </c>
      <c r="B449" t="str">
        <f>"8349"</f>
        <v>8349</v>
      </c>
      <c r="C449" t="s">
        <v>538</v>
      </c>
      <c r="D449" s="1">
        <v>42923</v>
      </c>
      <c r="E449">
        <v>104</v>
      </c>
      <c r="F449">
        <v>-2.5</v>
      </c>
      <c r="G449" s="3">
        <v>-2.35E-2</v>
      </c>
      <c r="H449">
        <v>2016</v>
      </c>
      <c r="I449">
        <v>5.41</v>
      </c>
      <c r="J449">
        <v>4</v>
      </c>
      <c r="K449">
        <v>0</v>
      </c>
      <c r="L449">
        <v>4</v>
      </c>
      <c r="M449" s="3">
        <v>3.85E-2</v>
      </c>
      <c r="N449" s="2">
        <v>0</v>
      </c>
      <c r="O449" s="3">
        <v>3.85E-2</v>
      </c>
      <c r="P449" s="3">
        <v>0.73899999999999999</v>
      </c>
      <c r="Q449" s="2">
        <v>0</v>
      </c>
      <c r="R449" s="3">
        <v>0.73899999999999999</v>
      </c>
      <c r="S449" t="s">
        <v>606</v>
      </c>
      <c r="U449" t="s">
        <v>669</v>
      </c>
    </row>
    <row r="450" spans="1:21" x14ac:dyDescent="0.6">
      <c r="A450">
        <v>449</v>
      </c>
      <c r="B450" t="str">
        <f>"6271"</f>
        <v>6271</v>
      </c>
      <c r="C450" t="s">
        <v>539</v>
      </c>
      <c r="D450" s="1">
        <v>42923</v>
      </c>
      <c r="E450">
        <v>122.5</v>
      </c>
      <c r="F450">
        <v>-2.5</v>
      </c>
      <c r="G450" s="2">
        <v>-0.02</v>
      </c>
      <c r="H450">
        <v>2016</v>
      </c>
      <c r="I450">
        <v>6.39</v>
      </c>
      <c r="J450">
        <v>6</v>
      </c>
      <c r="K450">
        <v>0</v>
      </c>
      <c r="L450">
        <v>6</v>
      </c>
      <c r="M450" s="3">
        <v>4.9000000000000002E-2</v>
      </c>
      <c r="N450" s="2">
        <v>0</v>
      </c>
      <c r="O450" s="3">
        <v>4.9000000000000002E-2</v>
      </c>
      <c r="P450" s="3">
        <v>0.93899999999999995</v>
      </c>
      <c r="Q450" s="2">
        <v>0</v>
      </c>
      <c r="R450" s="3">
        <v>0.93899999999999995</v>
      </c>
      <c r="S450" t="s">
        <v>610</v>
      </c>
      <c r="U450" t="s">
        <v>623</v>
      </c>
    </row>
    <row r="451" spans="1:21" x14ac:dyDescent="0.6">
      <c r="A451">
        <v>450</v>
      </c>
      <c r="B451" t="str">
        <f>"3045"</f>
        <v>3045</v>
      </c>
      <c r="C451" t="s">
        <v>540</v>
      </c>
      <c r="D451" s="1">
        <v>42923</v>
      </c>
      <c r="E451">
        <v>114.5</v>
      </c>
      <c r="F451">
        <v>-0.5</v>
      </c>
      <c r="G451" s="3">
        <v>-4.3E-3</v>
      </c>
      <c r="H451">
        <v>2016</v>
      </c>
      <c r="I451">
        <v>5.76</v>
      </c>
      <c r="J451">
        <v>5.6</v>
      </c>
      <c r="K451">
        <v>0</v>
      </c>
      <c r="L451">
        <v>5.6</v>
      </c>
      <c r="M451" s="3">
        <v>4.8899999999999999E-2</v>
      </c>
      <c r="N451" s="2">
        <v>0</v>
      </c>
      <c r="O451" s="3">
        <v>4.8899999999999999E-2</v>
      </c>
      <c r="P451" s="3">
        <v>0.97199999999999998</v>
      </c>
      <c r="Q451" s="2">
        <v>0</v>
      </c>
      <c r="R451" s="3">
        <v>0.97199999999999998</v>
      </c>
      <c r="S451" t="s">
        <v>597</v>
      </c>
      <c r="U451" t="s">
        <v>598</v>
      </c>
    </row>
    <row r="452" spans="1:21" x14ac:dyDescent="0.6">
      <c r="A452">
        <v>451</v>
      </c>
      <c r="B452" t="str">
        <f>"4506"</f>
        <v>4506</v>
      </c>
      <c r="C452" t="s">
        <v>541</v>
      </c>
      <c r="D452" s="1">
        <v>42923</v>
      </c>
      <c r="E452">
        <v>45</v>
      </c>
      <c r="F452">
        <v>0</v>
      </c>
      <c r="G452" s="2">
        <v>0</v>
      </c>
      <c r="H452">
        <v>2016</v>
      </c>
      <c r="I452">
        <v>2.4700000000000002</v>
      </c>
      <c r="J452">
        <v>1.7</v>
      </c>
      <c r="K452">
        <v>0</v>
      </c>
      <c r="L452">
        <v>1.7</v>
      </c>
      <c r="M452" s="3">
        <v>3.78E-2</v>
      </c>
      <c r="N452" s="2">
        <v>0</v>
      </c>
      <c r="O452" s="3">
        <v>3.78E-2</v>
      </c>
      <c r="P452" s="3">
        <v>0.68799999999999994</v>
      </c>
      <c r="Q452" s="2">
        <v>0</v>
      </c>
      <c r="R452" s="3">
        <v>0.68799999999999994</v>
      </c>
      <c r="S452" t="s">
        <v>598</v>
      </c>
      <c r="U452" t="s">
        <v>599</v>
      </c>
    </row>
    <row r="453" spans="1:21" x14ac:dyDescent="0.6">
      <c r="A453">
        <v>232</v>
      </c>
      <c r="B453" t="str">
        <f>"4942"</f>
        <v>4942</v>
      </c>
      <c r="C453" t="s">
        <v>311</v>
      </c>
      <c r="D453" s="1">
        <v>42923</v>
      </c>
      <c r="E453">
        <v>24.8</v>
      </c>
      <c r="F453">
        <v>0</v>
      </c>
      <c r="G453" s="2">
        <v>0</v>
      </c>
      <c r="H453">
        <v>2016</v>
      </c>
      <c r="I453">
        <v>-3.49</v>
      </c>
      <c r="J453">
        <v>1.26</v>
      </c>
      <c r="K453">
        <v>0</v>
      </c>
      <c r="L453">
        <v>1.26</v>
      </c>
      <c r="M453" s="3">
        <v>5.0700000000000002E-2</v>
      </c>
      <c r="N453" s="2">
        <v>0</v>
      </c>
      <c r="O453" s="3">
        <v>5.0700000000000002E-2</v>
      </c>
      <c r="P453" s="3">
        <v>-0.36099999999999999</v>
      </c>
      <c r="Q453" s="2">
        <v>0</v>
      </c>
      <c r="R453" s="3">
        <v>-0.36099999999999999</v>
      </c>
      <c r="S453" t="s">
        <v>620</v>
      </c>
      <c r="U453" t="s">
        <v>632</v>
      </c>
    </row>
    <row r="454" spans="1:21" x14ac:dyDescent="0.6">
      <c r="A454">
        <v>453</v>
      </c>
      <c r="B454" t="str">
        <f>"1721"</f>
        <v>1721</v>
      </c>
      <c r="C454" t="s">
        <v>543</v>
      </c>
      <c r="D454" s="1">
        <v>42923</v>
      </c>
      <c r="E454">
        <v>14.35</v>
      </c>
      <c r="F454">
        <v>-0.1</v>
      </c>
      <c r="G454" s="3">
        <v>-6.8999999999999999E-3</v>
      </c>
      <c r="H454">
        <v>2016</v>
      </c>
      <c r="I454">
        <v>0.71</v>
      </c>
      <c r="J454">
        <v>0</v>
      </c>
      <c r="K454">
        <v>0</v>
      </c>
      <c r="L454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1:21" x14ac:dyDescent="0.6">
      <c r="A455">
        <v>411</v>
      </c>
      <c r="B455" t="str">
        <f>"5206"</f>
        <v>5206</v>
      </c>
      <c r="C455" t="s">
        <v>498</v>
      </c>
      <c r="D455" s="1">
        <v>42923</v>
      </c>
      <c r="E455">
        <v>9.8699999999999992</v>
      </c>
      <c r="F455">
        <v>-0.03</v>
      </c>
      <c r="G455" s="3">
        <v>-3.0000000000000001E-3</v>
      </c>
      <c r="H455">
        <v>2016</v>
      </c>
      <c r="I455">
        <v>2.75</v>
      </c>
      <c r="J455">
        <v>0.5</v>
      </c>
      <c r="K455">
        <v>0</v>
      </c>
      <c r="L455">
        <v>0.5</v>
      </c>
      <c r="M455" s="3">
        <v>5.0700000000000002E-2</v>
      </c>
      <c r="N455" s="2">
        <v>0</v>
      </c>
      <c r="O455" s="3">
        <v>5.0700000000000002E-2</v>
      </c>
      <c r="P455" s="3">
        <v>0.182</v>
      </c>
      <c r="Q455" s="2">
        <v>0</v>
      </c>
      <c r="R455" s="3">
        <v>0.182</v>
      </c>
      <c r="S455" t="s">
        <v>596</v>
      </c>
      <c r="U455" t="s">
        <v>644</v>
      </c>
    </row>
    <row r="456" spans="1:21" x14ac:dyDescent="0.6">
      <c r="A456">
        <v>455</v>
      </c>
      <c r="B456" t="str">
        <f>"1726"</f>
        <v>1726</v>
      </c>
      <c r="C456" t="s">
        <v>545</v>
      </c>
      <c r="D456" s="1">
        <v>42923</v>
      </c>
      <c r="E456">
        <v>82.1</v>
      </c>
      <c r="F456">
        <v>-0.5</v>
      </c>
      <c r="G456" s="3">
        <v>-6.1000000000000004E-3</v>
      </c>
      <c r="H456">
        <v>2016</v>
      </c>
      <c r="I456">
        <v>5.8</v>
      </c>
      <c r="J456">
        <v>3.8</v>
      </c>
      <c r="K456">
        <v>0</v>
      </c>
      <c r="L456">
        <v>3.8</v>
      </c>
      <c r="M456" s="3">
        <v>4.6300000000000001E-2</v>
      </c>
      <c r="N456" s="2">
        <v>0</v>
      </c>
      <c r="O456" s="3">
        <v>4.6300000000000001E-2</v>
      </c>
      <c r="P456" s="3">
        <v>0.65500000000000003</v>
      </c>
      <c r="Q456" s="2">
        <v>0</v>
      </c>
      <c r="R456" s="3">
        <v>0.65500000000000003</v>
      </c>
      <c r="S456" t="s">
        <v>611</v>
      </c>
      <c r="U456" t="s">
        <v>609</v>
      </c>
    </row>
    <row r="457" spans="1:21" x14ac:dyDescent="0.6">
      <c r="A457">
        <v>235</v>
      </c>
      <c r="B457" t="str">
        <f>"8271"</f>
        <v>8271</v>
      </c>
      <c r="C457" t="s">
        <v>314</v>
      </c>
      <c r="D457" s="1">
        <v>42923</v>
      </c>
      <c r="E457">
        <v>39.75</v>
      </c>
      <c r="F457">
        <v>-0.25</v>
      </c>
      <c r="G457" s="3">
        <v>-6.1999999999999998E-3</v>
      </c>
      <c r="H457">
        <v>2016</v>
      </c>
      <c r="I457">
        <v>1.53</v>
      </c>
      <c r="J457">
        <v>2.0099999999999998</v>
      </c>
      <c r="K457">
        <v>0</v>
      </c>
      <c r="L457">
        <v>2.0099999999999998</v>
      </c>
      <c r="M457" s="3">
        <v>5.0599999999999999E-2</v>
      </c>
      <c r="N457" s="2">
        <v>0</v>
      </c>
      <c r="O457" s="3">
        <v>5.0599999999999999E-2</v>
      </c>
      <c r="P457" s="2">
        <v>1.31</v>
      </c>
      <c r="Q457" s="2">
        <v>0</v>
      </c>
      <c r="R457" s="2">
        <v>1.31</v>
      </c>
      <c r="S457" t="s">
        <v>597</v>
      </c>
      <c r="U457" t="s">
        <v>603</v>
      </c>
    </row>
    <row r="458" spans="1:21" x14ac:dyDescent="0.6">
      <c r="A458">
        <v>457</v>
      </c>
      <c r="B458" t="str">
        <f>"6508"</f>
        <v>6508</v>
      </c>
      <c r="C458" t="s">
        <v>547</v>
      </c>
      <c r="D458" s="1">
        <v>42923</v>
      </c>
      <c r="E458">
        <v>26.7</v>
      </c>
      <c r="F458">
        <v>-0.1</v>
      </c>
      <c r="G458" s="3">
        <v>-3.7000000000000002E-3</v>
      </c>
      <c r="H458">
        <v>2016</v>
      </c>
      <c r="I458">
        <v>2.0699999999999998</v>
      </c>
      <c r="J458">
        <v>1.3</v>
      </c>
      <c r="K458">
        <v>0.2</v>
      </c>
      <c r="L458">
        <v>1.5</v>
      </c>
      <c r="M458" s="3">
        <v>4.87E-2</v>
      </c>
      <c r="N458" s="3">
        <v>7.4999999999999997E-3</v>
      </c>
      <c r="O458" s="3">
        <v>5.62E-2</v>
      </c>
      <c r="P458" s="3">
        <v>0.628</v>
      </c>
      <c r="Q458" s="3">
        <v>9.6600000000000005E-2</v>
      </c>
      <c r="R458" s="3">
        <v>0.72499999999999998</v>
      </c>
      <c r="S458" t="s">
        <v>650</v>
      </c>
      <c r="T458" t="s">
        <v>650</v>
      </c>
      <c r="U458" t="s">
        <v>676</v>
      </c>
    </row>
    <row r="459" spans="1:21" x14ac:dyDescent="0.6">
      <c r="A459">
        <v>458</v>
      </c>
      <c r="B459" t="str">
        <f>"5102"</f>
        <v>5102</v>
      </c>
      <c r="C459" t="s">
        <v>549</v>
      </c>
      <c r="D459" s="1">
        <v>42923</v>
      </c>
      <c r="E459">
        <v>14.4</v>
      </c>
      <c r="F459">
        <v>0</v>
      </c>
      <c r="G459" s="2">
        <v>0</v>
      </c>
      <c r="H459">
        <v>2016</v>
      </c>
      <c r="I459">
        <v>0.83</v>
      </c>
      <c r="J459">
        <v>0.7</v>
      </c>
      <c r="K459">
        <v>0</v>
      </c>
      <c r="L459">
        <v>0.7</v>
      </c>
      <c r="M459" s="3">
        <v>4.8599999999999997E-2</v>
      </c>
      <c r="N459" s="2">
        <v>0</v>
      </c>
      <c r="O459" s="3">
        <v>4.8599999999999997E-2</v>
      </c>
      <c r="P459" s="3">
        <v>0.84299999999999997</v>
      </c>
      <c r="Q459" s="2">
        <v>0</v>
      </c>
      <c r="R459" s="3">
        <v>0.84299999999999997</v>
      </c>
      <c r="S459" t="s">
        <v>662</v>
      </c>
      <c r="U459" t="s">
        <v>599</v>
      </c>
    </row>
    <row r="460" spans="1:21" x14ac:dyDescent="0.6">
      <c r="A460">
        <v>459</v>
      </c>
      <c r="B460" t="str">
        <f>"2838"</f>
        <v>2838</v>
      </c>
      <c r="C460" t="s">
        <v>550</v>
      </c>
      <c r="D460" s="1">
        <v>42923</v>
      </c>
      <c r="E460">
        <v>9.27</v>
      </c>
      <c r="F460">
        <v>-0.01</v>
      </c>
      <c r="G460" s="3">
        <v>-1.1000000000000001E-3</v>
      </c>
      <c r="H460">
        <v>2016</v>
      </c>
      <c r="I460">
        <v>1.2</v>
      </c>
      <c r="J460">
        <v>0.4</v>
      </c>
      <c r="K460">
        <v>0</v>
      </c>
      <c r="L460">
        <v>0.4</v>
      </c>
      <c r="M460" s="3">
        <v>4.3099999999999999E-2</v>
      </c>
      <c r="N460" s="2">
        <v>0</v>
      </c>
      <c r="O460" s="3">
        <v>4.3099999999999999E-2</v>
      </c>
      <c r="P460" s="3">
        <v>0.33300000000000002</v>
      </c>
      <c r="Q460" s="2">
        <v>0</v>
      </c>
      <c r="R460" s="3">
        <v>0.33300000000000002</v>
      </c>
      <c r="S460" t="s">
        <v>613</v>
      </c>
      <c r="U460" t="s">
        <v>605</v>
      </c>
    </row>
    <row r="461" spans="1:21" x14ac:dyDescent="0.6">
      <c r="A461">
        <v>412</v>
      </c>
      <c r="B461" t="str">
        <f>"9925"</f>
        <v>9925</v>
      </c>
      <c r="C461" t="s">
        <v>499</v>
      </c>
      <c r="D461" s="1">
        <v>42923</v>
      </c>
      <c r="E461">
        <v>39.5</v>
      </c>
      <c r="F461">
        <v>-0.05</v>
      </c>
      <c r="G461" s="3">
        <v>-1.2999999999999999E-3</v>
      </c>
      <c r="H461">
        <v>2016</v>
      </c>
      <c r="I461">
        <v>2.81</v>
      </c>
      <c r="J461">
        <v>2</v>
      </c>
      <c r="K461">
        <v>0</v>
      </c>
      <c r="L461">
        <v>2</v>
      </c>
      <c r="M461" s="3">
        <v>5.0599999999999999E-2</v>
      </c>
      <c r="N461" s="2">
        <v>0</v>
      </c>
      <c r="O461" s="3">
        <v>5.0599999999999999E-2</v>
      </c>
      <c r="P461" s="3">
        <v>0.71199999999999997</v>
      </c>
      <c r="Q461" s="2">
        <v>0</v>
      </c>
      <c r="R461" s="3">
        <v>0.71199999999999997</v>
      </c>
      <c r="S461" t="s">
        <v>634</v>
      </c>
      <c r="U461" t="s">
        <v>620</v>
      </c>
    </row>
    <row r="462" spans="1:21" x14ac:dyDescent="0.6">
      <c r="A462">
        <v>461</v>
      </c>
      <c r="B462" t="str">
        <f>"6112"</f>
        <v>6112</v>
      </c>
      <c r="C462" t="s">
        <v>552</v>
      </c>
      <c r="D462" s="1">
        <v>42923</v>
      </c>
      <c r="E462">
        <v>30.9</v>
      </c>
      <c r="F462">
        <v>0.05</v>
      </c>
      <c r="G462" s="3">
        <v>1.6000000000000001E-3</v>
      </c>
      <c r="H462">
        <v>2016</v>
      </c>
      <c r="I462">
        <v>2.4500000000000002</v>
      </c>
      <c r="J462">
        <v>1.5</v>
      </c>
      <c r="K462">
        <v>0.5</v>
      </c>
      <c r="L462">
        <v>2</v>
      </c>
      <c r="M462" s="3">
        <v>4.8500000000000001E-2</v>
      </c>
      <c r="N462" s="3">
        <v>1.6199999999999999E-2</v>
      </c>
      <c r="O462" s="3">
        <v>6.4699999999999994E-2</v>
      </c>
      <c r="P462" s="3">
        <v>0.61199999999999999</v>
      </c>
      <c r="Q462" s="3">
        <v>0.20399999999999999</v>
      </c>
      <c r="R462" s="3">
        <v>0.81599999999999995</v>
      </c>
      <c r="S462" t="s">
        <v>643</v>
      </c>
      <c r="T462" t="s">
        <v>643</v>
      </c>
      <c r="U462" t="s">
        <v>611</v>
      </c>
    </row>
    <row r="463" spans="1:21" x14ac:dyDescent="0.6">
      <c r="A463">
        <v>399</v>
      </c>
      <c r="B463" t="str">
        <f>"2926"</f>
        <v>2926</v>
      </c>
      <c r="C463" t="s">
        <v>485</v>
      </c>
      <c r="D463" s="1">
        <v>42923</v>
      </c>
      <c r="E463">
        <v>150</v>
      </c>
      <c r="F463">
        <v>0</v>
      </c>
      <c r="G463" s="2">
        <v>0</v>
      </c>
      <c r="H463">
        <v>2016</v>
      </c>
      <c r="I463">
        <v>9.1199999999999992</v>
      </c>
      <c r="J463">
        <v>7.58</v>
      </c>
      <c r="K463">
        <v>0.5</v>
      </c>
      <c r="L463">
        <v>8.08</v>
      </c>
      <c r="M463" s="3">
        <v>5.0500000000000003E-2</v>
      </c>
      <c r="N463" s="3">
        <v>3.3E-3</v>
      </c>
      <c r="O463" s="3">
        <v>5.3900000000000003E-2</v>
      </c>
      <c r="P463" s="3">
        <v>0.83099999999999996</v>
      </c>
      <c r="Q463" s="3">
        <v>5.4800000000000001E-2</v>
      </c>
      <c r="R463" s="3">
        <v>0.88600000000000001</v>
      </c>
      <c r="S463" t="s">
        <v>634</v>
      </c>
      <c r="T463" t="s">
        <v>634</v>
      </c>
      <c r="U463" t="s">
        <v>625</v>
      </c>
    </row>
    <row r="464" spans="1:21" x14ac:dyDescent="0.6">
      <c r="A464">
        <v>80</v>
      </c>
      <c r="B464" t="str">
        <f>"8049"</f>
        <v>8049</v>
      </c>
      <c r="C464" t="s">
        <v>141</v>
      </c>
      <c r="D464" s="1">
        <v>42923</v>
      </c>
      <c r="E464">
        <v>16.850000000000001</v>
      </c>
      <c r="F464">
        <v>-0.15</v>
      </c>
      <c r="G464" s="3">
        <v>-8.8000000000000005E-3</v>
      </c>
      <c r="H464">
        <v>2016</v>
      </c>
      <c r="I464">
        <v>1.1100000000000001</v>
      </c>
      <c r="J464">
        <v>0.85</v>
      </c>
      <c r="K464">
        <v>0</v>
      </c>
      <c r="L464">
        <v>0.85</v>
      </c>
      <c r="M464" s="3">
        <v>5.04E-2</v>
      </c>
      <c r="N464" s="2">
        <v>0</v>
      </c>
      <c r="O464" s="3">
        <v>5.04E-2</v>
      </c>
      <c r="P464" s="3">
        <v>0.76600000000000001</v>
      </c>
      <c r="Q464" s="2">
        <v>0</v>
      </c>
      <c r="R464" s="3">
        <v>0.76600000000000001</v>
      </c>
      <c r="S464" t="s">
        <v>617</v>
      </c>
      <c r="U464" t="s">
        <v>623</v>
      </c>
    </row>
    <row r="465" spans="1:21" x14ac:dyDescent="0.6">
      <c r="A465">
        <v>464</v>
      </c>
      <c r="B465" t="str">
        <f>"1231"</f>
        <v>1231</v>
      </c>
      <c r="C465" t="s">
        <v>555</v>
      </c>
      <c r="D465" s="1">
        <v>42923</v>
      </c>
      <c r="E465">
        <v>36.15</v>
      </c>
      <c r="F465">
        <v>0</v>
      </c>
      <c r="G465" s="2">
        <v>0</v>
      </c>
      <c r="H465">
        <v>2016</v>
      </c>
      <c r="I465">
        <v>2.41</v>
      </c>
      <c r="J465">
        <v>1.32</v>
      </c>
      <c r="K465">
        <v>0.33</v>
      </c>
      <c r="L465">
        <v>1.65</v>
      </c>
      <c r="M465" s="3">
        <v>3.6499999999999998E-2</v>
      </c>
      <c r="N465" s="3">
        <v>9.1000000000000004E-3</v>
      </c>
      <c r="O465" s="3">
        <v>4.5600000000000002E-2</v>
      </c>
      <c r="P465" s="3">
        <v>0.54800000000000004</v>
      </c>
      <c r="Q465" s="3">
        <v>0.13700000000000001</v>
      </c>
      <c r="R465" s="3">
        <v>0.68500000000000005</v>
      </c>
      <c r="S465" t="s">
        <v>651</v>
      </c>
      <c r="T465" t="s">
        <v>651</v>
      </c>
      <c r="U465" t="s">
        <v>632</v>
      </c>
    </row>
    <row r="466" spans="1:21" x14ac:dyDescent="0.6">
      <c r="A466">
        <v>465</v>
      </c>
      <c r="B466" t="str">
        <f>"1727"</f>
        <v>1727</v>
      </c>
      <c r="C466" t="s">
        <v>556</v>
      </c>
      <c r="D466" s="1">
        <v>42923</v>
      </c>
      <c r="E466">
        <v>12.4</v>
      </c>
      <c r="F466">
        <v>-0.2</v>
      </c>
      <c r="G466" s="3">
        <v>-1.5900000000000001E-2</v>
      </c>
      <c r="H466">
        <v>2016</v>
      </c>
      <c r="I466">
        <v>0.9</v>
      </c>
      <c r="J466">
        <v>0.5</v>
      </c>
      <c r="K466">
        <v>0</v>
      </c>
      <c r="L466">
        <v>0.5</v>
      </c>
      <c r="M466" s="3">
        <v>4.0300000000000002E-2</v>
      </c>
      <c r="N466" s="2">
        <v>0</v>
      </c>
      <c r="O466" s="3">
        <v>4.0300000000000002E-2</v>
      </c>
      <c r="P466" s="3">
        <v>0.55600000000000005</v>
      </c>
      <c r="Q466" s="2">
        <v>0</v>
      </c>
      <c r="R466" s="3">
        <v>0.55600000000000005</v>
      </c>
      <c r="S466" t="s">
        <v>600</v>
      </c>
      <c r="U466" t="s">
        <v>637</v>
      </c>
    </row>
    <row r="467" spans="1:21" x14ac:dyDescent="0.6">
      <c r="A467">
        <v>466</v>
      </c>
      <c r="B467" t="str">
        <f>"1104"</f>
        <v>1104</v>
      </c>
      <c r="C467" t="s">
        <v>557</v>
      </c>
      <c r="D467" s="1">
        <v>42923</v>
      </c>
      <c r="E467">
        <v>24.9</v>
      </c>
      <c r="F467">
        <v>-0.1</v>
      </c>
      <c r="G467" s="3">
        <v>-4.0000000000000001E-3</v>
      </c>
      <c r="H467">
        <v>2016</v>
      </c>
      <c r="I467">
        <v>2.2200000000000002</v>
      </c>
      <c r="J467">
        <v>1</v>
      </c>
      <c r="K467">
        <v>0.1</v>
      </c>
      <c r="L467">
        <v>1.1000000000000001</v>
      </c>
      <c r="M467" s="3">
        <v>4.02E-2</v>
      </c>
      <c r="N467" s="3">
        <v>4.0000000000000001E-3</v>
      </c>
      <c r="O467" s="3">
        <v>4.4200000000000003E-2</v>
      </c>
      <c r="P467" s="2">
        <v>0.45</v>
      </c>
      <c r="Q467" s="3">
        <v>4.4999999999999998E-2</v>
      </c>
      <c r="R467" s="3">
        <v>0.496</v>
      </c>
      <c r="S467" t="s">
        <v>610</v>
      </c>
      <c r="T467" t="s">
        <v>610</v>
      </c>
      <c r="U467" t="s">
        <v>631</v>
      </c>
    </row>
    <row r="468" spans="1:21" x14ac:dyDescent="0.6">
      <c r="A468">
        <v>467</v>
      </c>
      <c r="B468" t="str">
        <f>"6204"</f>
        <v>6204</v>
      </c>
      <c r="C468" t="s">
        <v>558</v>
      </c>
      <c r="D468" s="1">
        <v>42923</v>
      </c>
      <c r="E468">
        <v>20.75</v>
      </c>
      <c r="F468">
        <v>-0.05</v>
      </c>
      <c r="G468" s="3">
        <v>-2.3999999999999998E-3</v>
      </c>
      <c r="H468">
        <v>2016</v>
      </c>
      <c r="I468">
        <v>1.1000000000000001</v>
      </c>
      <c r="J468">
        <v>0.7</v>
      </c>
      <c r="K468">
        <v>0</v>
      </c>
      <c r="L468">
        <v>0.7</v>
      </c>
      <c r="M468" s="3">
        <v>3.3700000000000001E-2</v>
      </c>
      <c r="N468" s="2">
        <v>0</v>
      </c>
      <c r="O468" s="3">
        <v>3.3700000000000001E-2</v>
      </c>
      <c r="P468" s="3">
        <v>0.63600000000000001</v>
      </c>
      <c r="Q468" s="2">
        <v>0</v>
      </c>
      <c r="R468" s="3">
        <v>0.63600000000000001</v>
      </c>
      <c r="S468" t="s">
        <v>618</v>
      </c>
      <c r="U468" t="s">
        <v>626</v>
      </c>
    </row>
    <row r="469" spans="1:21" x14ac:dyDescent="0.6">
      <c r="A469">
        <v>468</v>
      </c>
      <c r="B469" t="str">
        <f>"2221"</f>
        <v>2221</v>
      </c>
      <c r="C469" t="s">
        <v>560</v>
      </c>
      <c r="D469" s="1">
        <v>42923</v>
      </c>
      <c r="E469">
        <v>27</v>
      </c>
      <c r="F469">
        <v>-0.7</v>
      </c>
      <c r="G469" s="3">
        <v>-2.53E-2</v>
      </c>
      <c r="H469">
        <v>2016</v>
      </c>
      <c r="I469">
        <v>1.64</v>
      </c>
      <c r="J469">
        <v>1.01</v>
      </c>
      <c r="K469">
        <v>0</v>
      </c>
      <c r="L469">
        <v>1.01</v>
      </c>
      <c r="M469" s="3">
        <v>3.7499999999999999E-2</v>
      </c>
      <c r="N469" s="2">
        <v>0</v>
      </c>
      <c r="O469" s="3">
        <v>3.7499999999999999E-2</v>
      </c>
      <c r="P469" s="3">
        <v>0.61599999999999999</v>
      </c>
      <c r="Q469" s="2">
        <v>0</v>
      </c>
      <c r="R469" s="3">
        <v>0.61599999999999999</v>
      </c>
      <c r="S469" t="s">
        <v>631</v>
      </c>
      <c r="U469" t="s">
        <v>609</v>
      </c>
    </row>
    <row r="470" spans="1:21" x14ac:dyDescent="0.6">
      <c r="A470">
        <v>469</v>
      </c>
      <c r="B470" t="str">
        <f>"4977"</f>
        <v>4977</v>
      </c>
      <c r="C470" t="s">
        <v>562</v>
      </c>
      <c r="D470" s="1">
        <v>42923</v>
      </c>
      <c r="E470">
        <v>99.8</v>
      </c>
      <c r="F470">
        <v>-0.7</v>
      </c>
      <c r="G470" s="3">
        <v>-7.0000000000000001E-3</v>
      </c>
      <c r="H470">
        <v>2016</v>
      </c>
      <c r="I470">
        <v>5.1100000000000003</v>
      </c>
      <c r="J470">
        <v>4</v>
      </c>
      <c r="K470">
        <v>0.7</v>
      </c>
      <c r="L470">
        <v>4.7</v>
      </c>
      <c r="M470" s="3">
        <v>4.0099999999999997E-2</v>
      </c>
      <c r="N470" s="3">
        <v>7.0000000000000001E-3</v>
      </c>
      <c r="O470" s="3">
        <v>4.7100000000000003E-2</v>
      </c>
      <c r="P470" s="3">
        <v>0.78300000000000003</v>
      </c>
      <c r="Q470" s="3">
        <v>0.13700000000000001</v>
      </c>
      <c r="R470" s="2">
        <v>0.92</v>
      </c>
      <c r="S470" t="s">
        <v>595</v>
      </c>
      <c r="T470" t="s">
        <v>595</v>
      </c>
      <c r="U470" t="s">
        <v>604</v>
      </c>
    </row>
    <row r="471" spans="1:21" x14ac:dyDescent="0.6">
      <c r="A471">
        <v>470</v>
      </c>
      <c r="B471" t="str">
        <f>"4736"</f>
        <v>4736</v>
      </c>
      <c r="C471" t="s">
        <v>563</v>
      </c>
      <c r="D471" s="1">
        <v>42923</v>
      </c>
      <c r="E471">
        <v>104</v>
      </c>
      <c r="F471">
        <v>-1.5</v>
      </c>
      <c r="G471" s="3">
        <v>-1.4200000000000001E-2</v>
      </c>
      <c r="H471">
        <v>2016</v>
      </c>
      <c r="I471">
        <v>6.45</v>
      </c>
      <c r="J471">
        <v>5</v>
      </c>
      <c r="K471">
        <v>0.5</v>
      </c>
      <c r="L471">
        <v>5.5</v>
      </c>
      <c r="M471" s="3">
        <v>4.8099999999999997E-2</v>
      </c>
      <c r="N471" s="3">
        <v>4.7999999999999996E-3</v>
      </c>
      <c r="O471" s="3">
        <v>5.2900000000000003E-2</v>
      </c>
      <c r="P471" s="3">
        <v>0.77500000000000002</v>
      </c>
      <c r="Q471" s="3">
        <v>7.7499999999999999E-2</v>
      </c>
      <c r="R471" s="3">
        <v>0.85299999999999998</v>
      </c>
      <c r="S471" t="s">
        <v>616</v>
      </c>
      <c r="T471" t="s">
        <v>616</v>
      </c>
      <c r="U471" t="s">
        <v>618</v>
      </c>
    </row>
    <row r="472" spans="1:21" x14ac:dyDescent="0.6">
      <c r="A472">
        <v>471</v>
      </c>
      <c r="B472" t="str">
        <f>"1528"</f>
        <v>1528</v>
      </c>
      <c r="C472" t="s">
        <v>564</v>
      </c>
      <c r="D472" s="1">
        <v>42923</v>
      </c>
      <c r="E472">
        <v>10.4</v>
      </c>
      <c r="F472">
        <v>0.05</v>
      </c>
      <c r="G472" s="3">
        <v>4.7999999999999996E-3</v>
      </c>
      <c r="H472">
        <v>2016</v>
      </c>
      <c r="I472">
        <v>-0.24</v>
      </c>
      <c r="J472">
        <v>0.1</v>
      </c>
      <c r="K472">
        <v>0</v>
      </c>
      <c r="L472">
        <v>0.1</v>
      </c>
      <c r="M472" s="3">
        <v>9.5999999999999992E-3</v>
      </c>
      <c r="N472" s="2">
        <v>0</v>
      </c>
      <c r="O472" s="3">
        <v>9.5999999999999992E-3</v>
      </c>
      <c r="P472" s="3">
        <v>-0.41699999999999998</v>
      </c>
      <c r="Q472" s="2">
        <v>0</v>
      </c>
      <c r="R472" s="3">
        <v>-0.41699999999999998</v>
      </c>
      <c r="S472" t="s">
        <v>635</v>
      </c>
      <c r="U472" t="s">
        <v>598</v>
      </c>
    </row>
    <row r="473" spans="1:21" x14ac:dyDescent="0.6">
      <c r="A473">
        <v>418</v>
      </c>
      <c r="B473" t="str">
        <f>"3285"</f>
        <v>3285</v>
      </c>
      <c r="C473" t="s">
        <v>505</v>
      </c>
      <c r="D473" s="1">
        <v>42923</v>
      </c>
      <c r="E473">
        <v>19.850000000000001</v>
      </c>
      <c r="F473">
        <v>0.05</v>
      </c>
      <c r="G473" s="3">
        <v>2.5000000000000001E-3</v>
      </c>
      <c r="H473">
        <v>2016</v>
      </c>
      <c r="I473">
        <v>1.33</v>
      </c>
      <c r="J473">
        <v>1</v>
      </c>
      <c r="K473">
        <v>0</v>
      </c>
      <c r="L473">
        <v>1</v>
      </c>
      <c r="M473" s="3">
        <v>5.04E-2</v>
      </c>
      <c r="N473" s="2">
        <v>0</v>
      </c>
      <c r="O473" s="3">
        <v>5.04E-2</v>
      </c>
      <c r="P473" s="3">
        <v>0.752</v>
      </c>
      <c r="Q473" s="2">
        <v>0</v>
      </c>
      <c r="R473" s="3">
        <v>0.752</v>
      </c>
      <c r="S473" t="s">
        <v>620</v>
      </c>
      <c r="U473" t="s">
        <v>679</v>
      </c>
    </row>
    <row r="474" spans="1:21" x14ac:dyDescent="0.6">
      <c r="A474">
        <v>473</v>
      </c>
      <c r="B474" t="str">
        <f>"9942"</f>
        <v>9942</v>
      </c>
      <c r="C474" t="s">
        <v>566</v>
      </c>
      <c r="D474" s="1">
        <v>42923</v>
      </c>
      <c r="E474">
        <v>83.2</v>
      </c>
      <c r="F474">
        <v>1</v>
      </c>
      <c r="G474" s="3">
        <v>1.2200000000000001E-2</v>
      </c>
      <c r="H474">
        <v>2016</v>
      </c>
      <c r="I474">
        <v>5.09</v>
      </c>
      <c r="J474">
        <v>4</v>
      </c>
      <c r="K474">
        <v>0</v>
      </c>
      <c r="L474">
        <v>4</v>
      </c>
      <c r="M474" s="3">
        <v>4.8099999999999997E-2</v>
      </c>
      <c r="N474" s="2">
        <v>0</v>
      </c>
      <c r="O474" s="3">
        <v>4.8099999999999997E-2</v>
      </c>
      <c r="P474" s="3">
        <v>0.78600000000000003</v>
      </c>
      <c r="Q474" s="2">
        <v>0</v>
      </c>
      <c r="R474" s="3">
        <v>0.78600000000000003</v>
      </c>
      <c r="S474" t="s">
        <v>617</v>
      </c>
      <c r="U474" t="s">
        <v>642</v>
      </c>
    </row>
    <row r="475" spans="1:21" x14ac:dyDescent="0.6">
      <c r="A475">
        <v>474</v>
      </c>
      <c r="B475" t="str">
        <f>"3032"</f>
        <v>3032</v>
      </c>
      <c r="C475" t="s">
        <v>567</v>
      </c>
      <c r="D475" s="1">
        <v>42923</v>
      </c>
      <c r="E475">
        <v>45.8</v>
      </c>
      <c r="F475">
        <v>-0.9</v>
      </c>
      <c r="G475" s="3">
        <v>-1.9300000000000001E-2</v>
      </c>
      <c r="H475">
        <v>2016</v>
      </c>
      <c r="I475">
        <v>2.62</v>
      </c>
      <c r="J475">
        <v>2</v>
      </c>
      <c r="K475">
        <v>0</v>
      </c>
      <c r="L475">
        <v>2</v>
      </c>
      <c r="M475" s="3">
        <v>4.3700000000000003E-2</v>
      </c>
      <c r="N475" s="2">
        <v>0</v>
      </c>
      <c r="O475" s="3">
        <v>4.3700000000000003E-2</v>
      </c>
      <c r="P475" s="3">
        <v>0.76300000000000001</v>
      </c>
      <c r="Q475" s="2">
        <v>0</v>
      </c>
      <c r="R475" s="3">
        <v>0.76300000000000001</v>
      </c>
      <c r="S475" t="s">
        <v>643</v>
      </c>
      <c r="U475" t="s">
        <v>666</v>
      </c>
    </row>
    <row r="476" spans="1:21" x14ac:dyDescent="0.6">
      <c r="A476">
        <v>475</v>
      </c>
      <c r="B476" t="str">
        <f>"1580"</f>
        <v>1580</v>
      </c>
      <c r="C476" t="s">
        <v>568</v>
      </c>
      <c r="D476" s="1">
        <v>42923</v>
      </c>
      <c r="E476">
        <v>177</v>
      </c>
      <c r="F476">
        <v>-0.5</v>
      </c>
      <c r="G476" s="3">
        <v>-2.8E-3</v>
      </c>
      <c r="H476">
        <v>2016</v>
      </c>
      <c r="I476">
        <v>9.7200000000000006</v>
      </c>
      <c r="J476">
        <v>7</v>
      </c>
      <c r="K476">
        <v>0</v>
      </c>
      <c r="L476">
        <v>7</v>
      </c>
      <c r="M476" s="3">
        <v>3.95E-2</v>
      </c>
      <c r="N476" s="2">
        <v>0</v>
      </c>
      <c r="O476" s="3">
        <v>3.95E-2</v>
      </c>
      <c r="P476" s="2">
        <v>0.72</v>
      </c>
      <c r="Q476" s="2">
        <v>0</v>
      </c>
      <c r="R476" s="2">
        <v>0.72</v>
      </c>
      <c r="S476" t="s">
        <v>599</v>
      </c>
      <c r="U476" t="s">
        <v>671</v>
      </c>
    </row>
    <row r="477" spans="1:21" x14ac:dyDescent="0.6">
      <c r="A477">
        <v>476</v>
      </c>
      <c r="B477" t="str">
        <f>"1434"</f>
        <v>1434</v>
      </c>
      <c r="C477" t="s">
        <v>569</v>
      </c>
      <c r="D477" s="1">
        <v>42923</v>
      </c>
      <c r="E477">
        <v>31.25</v>
      </c>
      <c r="F477">
        <v>0.05</v>
      </c>
      <c r="G477" s="3">
        <v>1.6000000000000001E-3</v>
      </c>
      <c r="H477">
        <v>2016</v>
      </c>
      <c r="I477">
        <v>1.68</v>
      </c>
      <c r="J477">
        <v>1.2</v>
      </c>
      <c r="K477">
        <v>0</v>
      </c>
      <c r="L477">
        <v>1.2</v>
      </c>
      <c r="M477" s="3">
        <v>3.8399999999999997E-2</v>
      </c>
      <c r="N477" s="2">
        <v>0</v>
      </c>
      <c r="O477" s="3">
        <v>3.8399999999999997E-2</v>
      </c>
      <c r="P477" s="3">
        <v>0.71399999999999997</v>
      </c>
      <c r="Q477" s="2">
        <v>0</v>
      </c>
      <c r="R477" s="3">
        <v>0.71399999999999997</v>
      </c>
      <c r="S477" t="s">
        <v>634</v>
      </c>
      <c r="U477" t="s">
        <v>614</v>
      </c>
    </row>
    <row r="478" spans="1:21" x14ac:dyDescent="0.6">
      <c r="A478">
        <v>477</v>
      </c>
      <c r="B478" t="str">
        <f>"8287"</f>
        <v>8287</v>
      </c>
      <c r="C478" t="s">
        <v>570</v>
      </c>
      <c r="D478" s="1">
        <v>42923</v>
      </c>
      <c r="E478">
        <v>16.7</v>
      </c>
      <c r="F478">
        <v>-0.15</v>
      </c>
      <c r="G478" s="3">
        <v>-8.8999999999999999E-3</v>
      </c>
      <c r="H478">
        <v>2016</v>
      </c>
      <c r="I478">
        <v>1.71</v>
      </c>
      <c r="J478">
        <v>0.6</v>
      </c>
      <c r="K478">
        <v>0.4</v>
      </c>
      <c r="L478">
        <v>1</v>
      </c>
      <c r="M478" s="3">
        <v>3.5900000000000001E-2</v>
      </c>
      <c r="N478" s="3">
        <v>2.4E-2</v>
      </c>
      <c r="O478" s="3">
        <v>5.9900000000000002E-2</v>
      </c>
      <c r="P478" s="3">
        <v>0.35099999999999998</v>
      </c>
      <c r="Q478" s="3">
        <v>0.23400000000000001</v>
      </c>
      <c r="R478" s="3">
        <v>0.58499999999999996</v>
      </c>
      <c r="S478" t="s">
        <v>636</v>
      </c>
      <c r="T478" t="s">
        <v>636</v>
      </c>
      <c r="U478" t="s">
        <v>614</v>
      </c>
    </row>
    <row r="479" spans="1:21" x14ac:dyDescent="0.6">
      <c r="A479">
        <v>478</v>
      </c>
      <c r="B479" t="str">
        <f>"4904"</f>
        <v>4904</v>
      </c>
      <c r="C479" t="s">
        <v>571</v>
      </c>
      <c r="D479" s="1">
        <v>42923</v>
      </c>
      <c r="E479">
        <v>78.3</v>
      </c>
      <c r="F479">
        <v>-0.3</v>
      </c>
      <c r="G479" s="3">
        <v>-3.8E-3</v>
      </c>
      <c r="H479">
        <v>2016</v>
      </c>
      <c r="I479">
        <v>3.52</v>
      </c>
      <c r="J479">
        <v>3.75</v>
      </c>
      <c r="K479">
        <v>0</v>
      </c>
      <c r="L479">
        <v>3.75</v>
      </c>
      <c r="M479" s="3">
        <v>4.7899999999999998E-2</v>
      </c>
      <c r="N479" s="2">
        <v>0</v>
      </c>
      <c r="O479" s="3">
        <v>4.7899999999999998E-2</v>
      </c>
      <c r="P479" s="2">
        <v>1.07</v>
      </c>
      <c r="Q479" s="2">
        <v>0</v>
      </c>
      <c r="R479" s="2">
        <v>1.07</v>
      </c>
      <c r="S479" t="s">
        <v>662</v>
      </c>
      <c r="U479" t="s">
        <v>605</v>
      </c>
    </row>
    <row r="480" spans="1:21" x14ac:dyDescent="0.6">
      <c r="A480">
        <v>143</v>
      </c>
      <c r="B480" t="str">
        <f>"3130"</f>
        <v>3130</v>
      </c>
      <c r="C480" t="s">
        <v>211</v>
      </c>
      <c r="D480" s="1">
        <v>42923</v>
      </c>
      <c r="E480">
        <v>159</v>
      </c>
      <c r="F480">
        <v>-0.5</v>
      </c>
      <c r="G480" s="3">
        <v>-3.0999999999999999E-3</v>
      </c>
      <c r="H480">
        <v>2016</v>
      </c>
      <c r="I480">
        <v>9.99</v>
      </c>
      <c r="J480">
        <v>8</v>
      </c>
      <c r="K480">
        <v>0</v>
      </c>
      <c r="L480">
        <v>8</v>
      </c>
      <c r="M480" s="3">
        <v>5.0299999999999997E-2</v>
      </c>
      <c r="N480" s="2">
        <v>0</v>
      </c>
      <c r="O480" s="3">
        <v>5.0299999999999997E-2</v>
      </c>
      <c r="P480" s="3">
        <v>0.80100000000000005</v>
      </c>
      <c r="Q480" s="2">
        <v>0</v>
      </c>
      <c r="R480" s="3">
        <v>0.80100000000000005</v>
      </c>
      <c r="S480" t="s">
        <v>598</v>
      </c>
      <c r="U480" t="s">
        <v>611</v>
      </c>
    </row>
    <row r="481" spans="1:21" x14ac:dyDescent="0.6">
      <c r="A481">
        <v>480</v>
      </c>
      <c r="B481" t="str">
        <f>"3163"</f>
        <v>3163</v>
      </c>
      <c r="C481" t="s">
        <v>573</v>
      </c>
      <c r="D481" s="1">
        <v>42923</v>
      </c>
      <c r="E481">
        <v>45.95</v>
      </c>
      <c r="F481">
        <v>-0.45</v>
      </c>
      <c r="G481" s="3">
        <v>-9.7000000000000003E-3</v>
      </c>
      <c r="H481">
        <v>2016</v>
      </c>
      <c r="I481">
        <v>-0.97</v>
      </c>
      <c r="J481">
        <v>0</v>
      </c>
      <c r="K481">
        <v>0</v>
      </c>
      <c r="L481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</row>
    <row r="482" spans="1:21" x14ac:dyDescent="0.6">
      <c r="A482">
        <v>481</v>
      </c>
      <c r="B482" t="str">
        <f>"1514"</f>
        <v>1514</v>
      </c>
      <c r="C482" t="s">
        <v>574</v>
      </c>
      <c r="D482" s="1">
        <v>42923</v>
      </c>
      <c r="E482">
        <v>10.45</v>
      </c>
      <c r="F482">
        <v>0.05</v>
      </c>
      <c r="G482" s="3">
        <v>4.7999999999999996E-3</v>
      </c>
      <c r="H482">
        <v>2016</v>
      </c>
      <c r="I482">
        <v>0.59</v>
      </c>
      <c r="J482">
        <v>0.48</v>
      </c>
      <c r="K482">
        <v>0</v>
      </c>
      <c r="L482">
        <v>0.48</v>
      </c>
      <c r="M482" s="3">
        <v>4.5900000000000003E-2</v>
      </c>
      <c r="N482" s="2">
        <v>0</v>
      </c>
      <c r="O482" s="3">
        <v>4.5900000000000003E-2</v>
      </c>
      <c r="P482" s="3">
        <v>0.81399999999999995</v>
      </c>
      <c r="Q482" s="2">
        <v>0</v>
      </c>
      <c r="R482" s="3">
        <v>0.81399999999999995</v>
      </c>
      <c r="S482" t="s">
        <v>655</v>
      </c>
      <c r="U482" t="s">
        <v>659</v>
      </c>
    </row>
    <row r="483" spans="1:21" x14ac:dyDescent="0.6">
      <c r="A483">
        <v>482</v>
      </c>
      <c r="B483" t="str">
        <f>"2809"</f>
        <v>2809</v>
      </c>
      <c r="C483" t="s">
        <v>575</v>
      </c>
      <c r="D483" s="1">
        <v>42923</v>
      </c>
      <c r="E483">
        <v>31.35</v>
      </c>
      <c r="F483">
        <v>-0.9</v>
      </c>
      <c r="G483" s="3">
        <v>-2.7900000000000001E-2</v>
      </c>
      <c r="H483">
        <v>2016</v>
      </c>
      <c r="I483">
        <v>3.09</v>
      </c>
      <c r="J483">
        <v>0.5</v>
      </c>
      <c r="K483">
        <v>0</v>
      </c>
      <c r="L483">
        <v>0.5</v>
      </c>
      <c r="M483" s="3">
        <v>1.5900000000000001E-2</v>
      </c>
      <c r="N483" s="2">
        <v>0</v>
      </c>
      <c r="O483" s="3">
        <v>1.5900000000000001E-2</v>
      </c>
      <c r="P483" s="3">
        <v>0.16200000000000001</v>
      </c>
      <c r="Q483" s="2">
        <v>0</v>
      </c>
      <c r="R483" s="3">
        <v>0.16200000000000001</v>
      </c>
      <c r="S483" t="s">
        <v>654</v>
      </c>
      <c r="U483" t="s">
        <v>596</v>
      </c>
    </row>
    <row r="484" spans="1:21" x14ac:dyDescent="0.6">
      <c r="A484">
        <v>483</v>
      </c>
      <c r="B484" t="str">
        <f>"6187"</f>
        <v>6187</v>
      </c>
      <c r="C484" t="s">
        <v>576</v>
      </c>
      <c r="D484" s="1">
        <v>42923</v>
      </c>
      <c r="E484">
        <v>62.7</v>
      </c>
      <c r="F484">
        <v>0.9</v>
      </c>
      <c r="G484" s="3">
        <v>1.46E-2</v>
      </c>
      <c r="H484">
        <v>2016</v>
      </c>
      <c r="I484">
        <v>2.76</v>
      </c>
      <c r="J484">
        <v>2.0299999999999998</v>
      </c>
      <c r="K484">
        <v>0</v>
      </c>
      <c r="L484">
        <v>2.0299999999999998</v>
      </c>
      <c r="M484" s="3">
        <v>3.2300000000000002E-2</v>
      </c>
      <c r="N484" s="2">
        <v>0</v>
      </c>
      <c r="O484" s="3">
        <v>3.2300000000000002E-2</v>
      </c>
      <c r="P484" s="3">
        <v>0.73599999999999999</v>
      </c>
      <c r="Q484" s="2">
        <v>0</v>
      </c>
      <c r="R484" s="3">
        <v>0.73599999999999999</v>
      </c>
      <c r="S484" t="s">
        <v>634</v>
      </c>
      <c r="U484" t="s">
        <v>611</v>
      </c>
    </row>
    <row r="485" spans="1:21" x14ac:dyDescent="0.6">
      <c r="A485">
        <v>314</v>
      </c>
      <c r="B485" t="str">
        <f>"2481"</f>
        <v>2481</v>
      </c>
      <c r="C485" t="s">
        <v>396</v>
      </c>
      <c r="D485" s="1">
        <v>42923</v>
      </c>
      <c r="E485">
        <v>17.8</v>
      </c>
      <c r="F485">
        <v>-0.1</v>
      </c>
      <c r="G485" s="3">
        <v>-5.5999999999999999E-3</v>
      </c>
      <c r="H485">
        <v>2016</v>
      </c>
      <c r="I485">
        <v>1.2</v>
      </c>
      <c r="J485">
        <v>0.9</v>
      </c>
      <c r="K485">
        <v>0</v>
      </c>
      <c r="L485">
        <v>0.9</v>
      </c>
      <c r="M485" s="3">
        <v>5.0299999999999997E-2</v>
      </c>
      <c r="N485" s="2">
        <v>0</v>
      </c>
      <c r="O485" s="3">
        <v>5.0299999999999997E-2</v>
      </c>
      <c r="P485" s="2">
        <v>0.75</v>
      </c>
      <c r="Q485" s="2">
        <v>0</v>
      </c>
      <c r="R485" s="2">
        <v>0.75</v>
      </c>
      <c r="S485" t="s">
        <v>640</v>
      </c>
      <c r="U485" t="s">
        <v>605</v>
      </c>
    </row>
    <row r="486" spans="1:21" x14ac:dyDescent="0.6">
      <c r="A486">
        <v>485</v>
      </c>
      <c r="B486" t="str">
        <f>"2439"</f>
        <v>2439</v>
      </c>
      <c r="C486" t="s">
        <v>578</v>
      </c>
      <c r="D486" s="1">
        <v>42923</v>
      </c>
      <c r="E486">
        <v>186.5</v>
      </c>
      <c r="F486">
        <v>-1</v>
      </c>
      <c r="G486" s="3">
        <v>-5.3E-3</v>
      </c>
      <c r="H486">
        <v>2016</v>
      </c>
      <c r="I486">
        <v>3.48</v>
      </c>
      <c r="J486">
        <v>3.24</v>
      </c>
      <c r="K486">
        <v>0</v>
      </c>
      <c r="L486">
        <v>3.24</v>
      </c>
      <c r="M486" s="3">
        <v>1.7399999999999999E-2</v>
      </c>
      <c r="N486" s="2">
        <v>0</v>
      </c>
      <c r="O486" s="3">
        <v>1.7399999999999999E-2</v>
      </c>
      <c r="P486" s="3">
        <v>0.93100000000000005</v>
      </c>
      <c r="Q486" s="2">
        <v>0</v>
      </c>
      <c r="R486" s="3">
        <v>0.93100000000000005</v>
      </c>
      <c r="S486" t="s">
        <v>605</v>
      </c>
      <c r="U486" t="s">
        <v>639</v>
      </c>
    </row>
    <row r="487" spans="1:21" x14ac:dyDescent="0.6">
      <c r="A487">
        <v>403</v>
      </c>
      <c r="B487" t="str">
        <f>"3221"</f>
        <v>3221</v>
      </c>
      <c r="C487" t="s">
        <v>489</v>
      </c>
      <c r="D487" s="1">
        <v>42923</v>
      </c>
      <c r="E487">
        <v>19.600000000000001</v>
      </c>
      <c r="F487">
        <v>-0.35</v>
      </c>
      <c r="G487" s="3">
        <v>-1.7500000000000002E-2</v>
      </c>
      <c r="H487">
        <v>2016</v>
      </c>
      <c r="I487">
        <v>1.25</v>
      </c>
      <c r="J487">
        <v>0.99</v>
      </c>
      <c r="K487">
        <v>0</v>
      </c>
      <c r="L487">
        <v>0.99</v>
      </c>
      <c r="M487" s="3">
        <v>5.0299999999999997E-2</v>
      </c>
      <c r="N487" s="2">
        <v>0</v>
      </c>
      <c r="O487" s="3">
        <v>5.0299999999999997E-2</v>
      </c>
      <c r="P487" s="3">
        <v>0.79200000000000004</v>
      </c>
      <c r="Q487" s="2">
        <v>0</v>
      </c>
      <c r="R487" s="3">
        <v>0.79200000000000004</v>
      </c>
      <c r="S487" t="s">
        <v>675</v>
      </c>
      <c r="U487" t="s">
        <v>649</v>
      </c>
    </row>
    <row r="488" spans="1:21" x14ac:dyDescent="0.6">
      <c r="A488">
        <v>487</v>
      </c>
      <c r="B488" t="str">
        <f>"3527"</f>
        <v>3527</v>
      </c>
      <c r="C488" t="s">
        <v>580</v>
      </c>
      <c r="D488" s="1">
        <v>42923</v>
      </c>
      <c r="E488">
        <v>73.900000000000006</v>
      </c>
      <c r="F488">
        <v>0.1</v>
      </c>
      <c r="G488" s="3">
        <v>1.4E-3</v>
      </c>
      <c r="H488">
        <v>2016</v>
      </c>
      <c r="I488">
        <v>3.51</v>
      </c>
      <c r="J488">
        <v>3.5</v>
      </c>
      <c r="K488">
        <v>0</v>
      </c>
      <c r="L488">
        <v>3.5</v>
      </c>
      <c r="M488" s="3">
        <v>4.7399999999999998E-2</v>
      </c>
      <c r="N488" s="2">
        <v>0</v>
      </c>
      <c r="O488" s="3">
        <v>4.7399999999999998E-2</v>
      </c>
      <c r="P488" s="3">
        <v>0.997</v>
      </c>
      <c r="Q488" s="2">
        <v>0</v>
      </c>
      <c r="R488" s="3">
        <v>0.997</v>
      </c>
      <c r="S488" t="s">
        <v>611</v>
      </c>
      <c r="U488" t="s">
        <v>606</v>
      </c>
    </row>
    <row r="489" spans="1:21" x14ac:dyDescent="0.6">
      <c r="A489">
        <v>488</v>
      </c>
      <c r="B489" t="str">
        <f>"3450"</f>
        <v>3450</v>
      </c>
      <c r="C489" t="s">
        <v>581</v>
      </c>
      <c r="D489" s="1">
        <v>42923</v>
      </c>
      <c r="E489">
        <v>137.5</v>
      </c>
      <c r="F489">
        <v>0</v>
      </c>
      <c r="G489" s="2">
        <v>0</v>
      </c>
      <c r="H489">
        <v>2016</v>
      </c>
      <c r="I489">
        <v>12.46</v>
      </c>
      <c r="J489">
        <v>6.5</v>
      </c>
      <c r="K489">
        <v>2</v>
      </c>
      <c r="L489">
        <v>8.5</v>
      </c>
      <c r="M489" s="3">
        <v>4.7300000000000002E-2</v>
      </c>
      <c r="N489" s="3">
        <v>1.4500000000000001E-2</v>
      </c>
      <c r="O489" s="3">
        <v>6.1800000000000001E-2</v>
      </c>
      <c r="P489" s="3">
        <v>0.52200000000000002</v>
      </c>
      <c r="Q489" s="2">
        <v>0.16</v>
      </c>
      <c r="R489" s="3">
        <v>0.68200000000000005</v>
      </c>
      <c r="S489" t="s">
        <v>662</v>
      </c>
      <c r="T489" t="s">
        <v>662</v>
      </c>
      <c r="U489" t="s">
        <v>630</v>
      </c>
    </row>
    <row r="490" spans="1:21" x14ac:dyDescent="0.6">
      <c r="A490">
        <v>489</v>
      </c>
      <c r="B490" t="str">
        <f>"1527"</f>
        <v>1527</v>
      </c>
      <c r="C490" t="s">
        <v>582</v>
      </c>
      <c r="D490" s="1">
        <v>42923</v>
      </c>
      <c r="E490">
        <v>86.8</v>
      </c>
      <c r="F490">
        <v>-0.8</v>
      </c>
      <c r="G490" s="3">
        <v>-9.1000000000000004E-3</v>
      </c>
      <c r="H490">
        <v>2016</v>
      </c>
      <c r="I490">
        <v>6.75</v>
      </c>
      <c r="J490">
        <v>3.3</v>
      </c>
      <c r="K490">
        <v>0</v>
      </c>
      <c r="L490">
        <v>3.3</v>
      </c>
      <c r="M490" s="3">
        <v>3.7999999999999999E-2</v>
      </c>
      <c r="N490" s="2">
        <v>0</v>
      </c>
      <c r="O490" s="3">
        <v>3.7999999999999999E-2</v>
      </c>
      <c r="P490" s="3">
        <v>0.48899999999999999</v>
      </c>
      <c r="Q490" s="2">
        <v>0</v>
      </c>
      <c r="R490" s="3">
        <v>0.48899999999999999</v>
      </c>
      <c r="S490" t="s">
        <v>614</v>
      </c>
      <c r="U490" t="s">
        <v>667</v>
      </c>
    </row>
    <row r="491" spans="1:21" x14ac:dyDescent="0.6">
      <c r="A491">
        <v>490</v>
      </c>
      <c r="B491" t="str">
        <f>"1312"</f>
        <v>1312</v>
      </c>
      <c r="C491" t="s">
        <v>583</v>
      </c>
      <c r="D491" s="1">
        <v>42923</v>
      </c>
      <c r="E491">
        <v>21.2</v>
      </c>
      <c r="F491">
        <v>-0.3</v>
      </c>
      <c r="G491" s="3">
        <v>-1.4E-2</v>
      </c>
      <c r="H491">
        <v>2016</v>
      </c>
      <c r="I491">
        <v>1.62</v>
      </c>
      <c r="J491">
        <v>0.8</v>
      </c>
      <c r="K491">
        <v>0</v>
      </c>
      <c r="L491">
        <v>0.8</v>
      </c>
      <c r="M491" s="3">
        <v>3.7699999999999997E-2</v>
      </c>
      <c r="N491" s="2">
        <v>0</v>
      </c>
      <c r="O491" s="3">
        <v>3.7699999999999997E-2</v>
      </c>
      <c r="P491" s="3">
        <v>0.49399999999999999</v>
      </c>
      <c r="Q491" s="2">
        <v>0</v>
      </c>
      <c r="R491" s="3">
        <v>0.49399999999999999</v>
      </c>
      <c r="S491" t="s">
        <v>641</v>
      </c>
      <c r="U491" t="s">
        <v>599</v>
      </c>
    </row>
    <row r="492" spans="1:21" x14ac:dyDescent="0.6">
      <c r="A492">
        <v>421</v>
      </c>
      <c r="B492" t="str">
        <f>"4535"</f>
        <v>4535</v>
      </c>
      <c r="C492" t="s">
        <v>508</v>
      </c>
      <c r="D492" s="1">
        <v>42923</v>
      </c>
      <c r="E492">
        <v>44.7</v>
      </c>
      <c r="F492">
        <v>-0.25</v>
      </c>
      <c r="G492" s="3">
        <v>-5.5999999999999999E-3</v>
      </c>
      <c r="H492">
        <v>2016</v>
      </c>
      <c r="I492">
        <v>3.32</v>
      </c>
      <c r="J492">
        <v>2.25</v>
      </c>
      <c r="K492">
        <v>0</v>
      </c>
      <c r="L492">
        <v>2.25</v>
      </c>
      <c r="M492" s="3">
        <v>5.0299999999999997E-2</v>
      </c>
      <c r="N492" s="2">
        <v>0</v>
      </c>
      <c r="O492" s="3">
        <v>5.0299999999999997E-2</v>
      </c>
      <c r="P492" s="3">
        <v>0.67800000000000005</v>
      </c>
      <c r="Q492" s="2">
        <v>0</v>
      </c>
      <c r="R492" s="3">
        <v>0.67800000000000005</v>
      </c>
      <c r="S492" t="s">
        <v>628</v>
      </c>
      <c r="U492" t="s">
        <v>604</v>
      </c>
    </row>
    <row r="493" spans="1:21" x14ac:dyDescent="0.6">
      <c r="A493">
        <v>492</v>
      </c>
      <c r="B493" t="str">
        <f>"2908"</f>
        <v>2908</v>
      </c>
      <c r="C493" t="s">
        <v>586</v>
      </c>
      <c r="D493" s="1">
        <v>42923</v>
      </c>
      <c r="E493">
        <v>22.95</v>
      </c>
      <c r="F493">
        <v>0.25</v>
      </c>
      <c r="G493" s="3">
        <v>1.0999999999999999E-2</v>
      </c>
      <c r="H493">
        <v>2016</v>
      </c>
      <c r="I493">
        <v>1.32</v>
      </c>
      <c r="J493">
        <v>0.95</v>
      </c>
      <c r="K493">
        <v>0</v>
      </c>
      <c r="L493">
        <v>0.95</v>
      </c>
      <c r="M493" s="3">
        <v>4.1399999999999999E-2</v>
      </c>
      <c r="N493" s="2">
        <v>0</v>
      </c>
      <c r="O493" s="3">
        <v>4.1399999999999999E-2</v>
      </c>
      <c r="P493" s="2">
        <v>0.72</v>
      </c>
      <c r="Q493" s="2">
        <v>0</v>
      </c>
      <c r="R493" s="2">
        <v>0.72</v>
      </c>
      <c r="S493" t="s">
        <v>636</v>
      </c>
      <c r="U493" t="s">
        <v>637</v>
      </c>
    </row>
    <row r="494" spans="1:21" x14ac:dyDescent="0.6">
      <c r="A494">
        <v>493</v>
      </c>
      <c r="B494" t="str">
        <f>"3047"</f>
        <v>3047</v>
      </c>
      <c r="C494" t="s">
        <v>587</v>
      </c>
      <c r="D494" s="1">
        <v>42923</v>
      </c>
      <c r="E494">
        <v>10.65</v>
      </c>
      <c r="F494">
        <v>-0.15</v>
      </c>
      <c r="G494" s="3">
        <v>-1.3899999999999999E-2</v>
      </c>
      <c r="H494">
        <v>2016</v>
      </c>
      <c r="I494">
        <v>0.77</v>
      </c>
      <c r="J494">
        <v>0.5</v>
      </c>
      <c r="K494">
        <v>0</v>
      </c>
      <c r="L494">
        <v>0.5</v>
      </c>
      <c r="M494" s="3">
        <v>4.6899999999999997E-2</v>
      </c>
      <c r="N494" s="2">
        <v>0</v>
      </c>
      <c r="O494" s="3">
        <v>4.6899999999999997E-2</v>
      </c>
      <c r="P494" s="3">
        <v>0.64900000000000002</v>
      </c>
      <c r="Q494" s="2">
        <v>0</v>
      </c>
      <c r="R494" s="3">
        <v>0.64900000000000002</v>
      </c>
      <c r="S494" t="s">
        <v>613</v>
      </c>
      <c r="U494" t="s">
        <v>622</v>
      </c>
    </row>
    <row r="495" spans="1:21" x14ac:dyDescent="0.6">
      <c r="A495">
        <v>285</v>
      </c>
      <c r="B495" t="s">
        <v>366</v>
      </c>
      <c r="C495" t="s">
        <v>367</v>
      </c>
      <c r="D495" s="1">
        <v>42923</v>
      </c>
      <c r="E495">
        <v>27.9</v>
      </c>
      <c r="F495">
        <v>0.05</v>
      </c>
      <c r="G495" s="3">
        <v>1.8E-3</v>
      </c>
      <c r="H495">
        <v>2016</v>
      </c>
      <c r="J495">
        <v>1.4</v>
      </c>
      <c r="K495">
        <v>0</v>
      </c>
      <c r="L495">
        <v>1.4</v>
      </c>
      <c r="M495" s="3">
        <v>5.0200000000000002E-2</v>
      </c>
      <c r="N495" s="2">
        <v>0</v>
      </c>
      <c r="O495" s="3">
        <v>5.0200000000000002E-2</v>
      </c>
      <c r="S495" t="s">
        <v>641</v>
      </c>
      <c r="U495" t="s">
        <v>599</v>
      </c>
    </row>
    <row r="496" spans="1:21" x14ac:dyDescent="0.6">
      <c r="A496">
        <v>495</v>
      </c>
      <c r="B496" t="str">
        <f>"4953"</f>
        <v>4953</v>
      </c>
      <c r="C496" t="s">
        <v>589</v>
      </c>
      <c r="D496" s="1">
        <v>42923</v>
      </c>
      <c r="E496">
        <v>23.5</v>
      </c>
      <c r="F496">
        <v>-0.15</v>
      </c>
      <c r="G496" s="3">
        <v>-6.3E-3</v>
      </c>
      <c r="H496">
        <v>2016</v>
      </c>
      <c r="I496">
        <v>0.36</v>
      </c>
      <c r="J496">
        <v>1.02</v>
      </c>
      <c r="K496">
        <v>0</v>
      </c>
      <c r="L496">
        <v>1.02</v>
      </c>
      <c r="M496" s="3">
        <v>4.36E-2</v>
      </c>
      <c r="N496" s="2">
        <v>0</v>
      </c>
      <c r="O496" s="3">
        <v>4.36E-2</v>
      </c>
      <c r="P496" s="2">
        <v>2.83</v>
      </c>
      <c r="Q496" s="2">
        <v>0</v>
      </c>
      <c r="R496" s="2">
        <v>2.83</v>
      </c>
      <c r="S496" t="s">
        <v>669</v>
      </c>
      <c r="U496" t="s">
        <v>688</v>
      </c>
    </row>
    <row r="497" spans="1:21" x14ac:dyDescent="0.6">
      <c r="A497">
        <v>496</v>
      </c>
      <c r="B497" t="str">
        <f>"2852"</f>
        <v>2852</v>
      </c>
      <c r="C497" t="s">
        <v>590</v>
      </c>
      <c r="D497" s="1">
        <v>42923</v>
      </c>
      <c r="E497">
        <v>13.9</v>
      </c>
      <c r="F497">
        <v>0</v>
      </c>
      <c r="G497" s="2">
        <v>0</v>
      </c>
      <c r="H497">
        <v>2016</v>
      </c>
      <c r="I497">
        <v>0.65</v>
      </c>
      <c r="J497">
        <v>0</v>
      </c>
      <c r="K497">
        <v>0</v>
      </c>
      <c r="L497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</row>
    <row r="498" spans="1:21" x14ac:dyDescent="0.6">
      <c r="A498">
        <v>497</v>
      </c>
      <c r="B498" t="str">
        <f>"3611"</f>
        <v>3611</v>
      </c>
      <c r="C498" t="s">
        <v>591</v>
      </c>
      <c r="D498" s="1">
        <v>42923</v>
      </c>
      <c r="E498">
        <v>214</v>
      </c>
      <c r="F498">
        <v>1.5</v>
      </c>
      <c r="G498" s="3">
        <v>7.1000000000000004E-3</v>
      </c>
      <c r="H498">
        <v>2016</v>
      </c>
      <c r="I498">
        <v>15.14</v>
      </c>
      <c r="J498">
        <v>10</v>
      </c>
      <c r="K498">
        <v>0</v>
      </c>
      <c r="L498">
        <v>10</v>
      </c>
      <c r="M498" s="3">
        <v>4.6699999999999998E-2</v>
      </c>
      <c r="N498" s="2">
        <v>0</v>
      </c>
      <c r="O498" s="3">
        <v>4.6699999999999998E-2</v>
      </c>
      <c r="P498" s="2">
        <v>0.66</v>
      </c>
      <c r="Q498" s="2">
        <v>0</v>
      </c>
      <c r="R498" s="2">
        <v>0.66</v>
      </c>
      <c r="S498" t="s">
        <v>662</v>
      </c>
      <c r="U498" t="s">
        <v>637</v>
      </c>
    </row>
    <row r="499" spans="1:21" x14ac:dyDescent="0.6">
      <c r="A499">
        <v>498</v>
      </c>
      <c r="B499" t="str">
        <f>"6143"</f>
        <v>6143</v>
      </c>
      <c r="C499" t="s">
        <v>592</v>
      </c>
      <c r="D499" s="1">
        <v>42923</v>
      </c>
      <c r="E499">
        <v>64.3</v>
      </c>
      <c r="F499">
        <v>-0.2</v>
      </c>
      <c r="G499" s="3">
        <v>-3.0999999999999999E-3</v>
      </c>
      <c r="H499">
        <v>2016</v>
      </c>
      <c r="I499">
        <v>6.04</v>
      </c>
      <c r="J499">
        <v>2</v>
      </c>
      <c r="K499">
        <v>0</v>
      </c>
      <c r="L499">
        <v>2</v>
      </c>
      <c r="M499" s="3">
        <v>3.1099999999999999E-2</v>
      </c>
      <c r="N499" s="2">
        <v>0</v>
      </c>
      <c r="O499" s="3">
        <v>3.1099999999999999E-2</v>
      </c>
      <c r="P499" s="3">
        <v>0.33100000000000002</v>
      </c>
      <c r="Q499" s="2">
        <v>0</v>
      </c>
      <c r="R499" s="3">
        <v>0.33100000000000002</v>
      </c>
      <c r="S499" t="s">
        <v>607</v>
      </c>
      <c r="U499" t="s">
        <v>623</v>
      </c>
    </row>
    <row r="500" spans="1:21" x14ac:dyDescent="0.6">
      <c r="A500">
        <v>499</v>
      </c>
      <c r="B500" t="str">
        <f>"5536"</f>
        <v>5536</v>
      </c>
      <c r="C500" t="s">
        <v>593</v>
      </c>
      <c r="D500" s="1">
        <v>42923</v>
      </c>
      <c r="E500">
        <v>172</v>
      </c>
      <c r="F500">
        <v>4</v>
      </c>
      <c r="G500" s="3">
        <v>2.3800000000000002E-2</v>
      </c>
      <c r="H500">
        <v>2016</v>
      </c>
      <c r="I500">
        <v>9.02</v>
      </c>
      <c r="J500">
        <v>6</v>
      </c>
      <c r="K500">
        <v>0</v>
      </c>
      <c r="L500">
        <v>6</v>
      </c>
      <c r="M500" s="3">
        <v>3.49E-2</v>
      </c>
      <c r="N500" s="2">
        <v>0</v>
      </c>
      <c r="O500" s="3">
        <v>3.49E-2</v>
      </c>
      <c r="P500" s="3">
        <v>0.66500000000000004</v>
      </c>
      <c r="Q500" s="2">
        <v>0</v>
      </c>
      <c r="R500" s="3">
        <v>0.66500000000000004</v>
      </c>
      <c r="S500" t="s">
        <v>642</v>
      </c>
      <c r="U500" t="s">
        <v>609</v>
      </c>
    </row>
    <row r="501" spans="1:21" x14ac:dyDescent="0.6">
      <c r="A501">
        <v>379</v>
      </c>
      <c r="B501" t="str">
        <f>"4104"</f>
        <v>4104</v>
      </c>
      <c r="C501" t="s">
        <v>462</v>
      </c>
      <c r="D501" s="1">
        <v>42923</v>
      </c>
      <c r="E501">
        <v>47.7</v>
      </c>
      <c r="F501">
        <v>-0.85</v>
      </c>
      <c r="G501" s="3">
        <v>-1.7500000000000002E-2</v>
      </c>
      <c r="H501">
        <v>2016</v>
      </c>
      <c r="I501">
        <v>3.27</v>
      </c>
      <c r="J501">
        <v>2.39</v>
      </c>
      <c r="K501">
        <v>0</v>
      </c>
      <c r="L501">
        <v>2.39</v>
      </c>
      <c r="M501" s="3">
        <v>5.0200000000000002E-2</v>
      </c>
      <c r="N501" s="2">
        <v>0</v>
      </c>
      <c r="O501" s="3">
        <v>5.0200000000000002E-2</v>
      </c>
      <c r="P501" s="3">
        <v>0.73099999999999998</v>
      </c>
      <c r="Q501" s="2">
        <v>0</v>
      </c>
      <c r="R501" s="3">
        <v>0.73099999999999998</v>
      </c>
      <c r="S501" t="s">
        <v>655</v>
      </c>
      <c r="U501" t="s">
        <v>623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pane xSplit="3" ySplit="1" topLeftCell="K438" activePane="bottomRight" state="frozen"/>
      <selection pane="topRight" activeCell="D1" sqref="D1"/>
      <selection pane="bottomLeft" activeCell="A2" sqref="A2"/>
      <selection pane="bottomRight" activeCell="B446" sqref="B446"/>
    </sheetView>
  </sheetViews>
  <sheetFormatPr defaultRowHeight="16.5" x14ac:dyDescent="0.6"/>
  <cols>
    <col min="1" max="1" width="5.15625" bestFit="1" customWidth="1"/>
    <col min="2" max="2" width="6.3671875" bestFit="1" customWidth="1"/>
    <col min="3" max="3" width="11.578125" bestFit="1" customWidth="1"/>
    <col min="4" max="4" width="9.3671875" bestFit="1" customWidth="1"/>
    <col min="5" max="5" width="5.9453125" bestFit="1" customWidth="1"/>
    <col min="6" max="7" width="7.26171875" bestFit="1" customWidth="1"/>
    <col min="8" max="8" width="13.7890625" bestFit="1" customWidth="1"/>
    <col min="9" max="9" width="8.578125" bestFit="1" customWidth="1"/>
    <col min="10" max="12" width="9.3671875" bestFit="1" customWidth="1"/>
    <col min="13" max="17" width="11.578125" bestFit="1" customWidth="1"/>
    <col min="18" max="18" width="13.7890625" bestFit="1" customWidth="1"/>
    <col min="19" max="20" width="11.578125" bestFit="1" customWidth="1"/>
    <col min="21" max="21" width="15.9453125" bestFit="1" customWidth="1"/>
  </cols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6">
      <c r="A2">
        <v>216</v>
      </c>
      <c r="B2" t="str">
        <f>"5508"</f>
        <v>5508</v>
      </c>
      <c r="C2" t="s">
        <v>295</v>
      </c>
      <c r="D2" s="1">
        <v>42923</v>
      </c>
      <c r="E2">
        <v>29.2</v>
      </c>
      <c r="F2">
        <v>-0.35</v>
      </c>
      <c r="G2" s="3">
        <v>-1.18E-2</v>
      </c>
      <c r="H2">
        <v>2015</v>
      </c>
      <c r="I2">
        <v>9</v>
      </c>
      <c r="J2">
        <v>6.11</v>
      </c>
      <c r="K2">
        <v>2</v>
      </c>
      <c r="L2">
        <v>8.11</v>
      </c>
      <c r="M2" s="3">
        <v>0.20899999999999999</v>
      </c>
      <c r="N2" s="3">
        <v>6.8500000000000005E-2</v>
      </c>
      <c r="O2" s="3">
        <v>0.27800000000000002</v>
      </c>
      <c r="P2" s="3">
        <v>0.67900000000000005</v>
      </c>
      <c r="Q2" s="3">
        <v>0.222</v>
      </c>
      <c r="R2" s="3">
        <v>0.90100000000000002</v>
      </c>
      <c r="S2" t="s">
        <v>759</v>
      </c>
      <c r="T2" t="s">
        <v>759</v>
      </c>
      <c r="U2" t="s">
        <v>700</v>
      </c>
    </row>
    <row r="3" spans="1:21" x14ac:dyDescent="0.6">
      <c r="A3">
        <v>11</v>
      </c>
      <c r="B3" t="str">
        <f>"2597"</f>
        <v>2597</v>
      </c>
      <c r="C3" t="s">
        <v>37</v>
      </c>
      <c r="D3" s="1">
        <v>42923</v>
      </c>
      <c r="E3">
        <v>39.799999999999997</v>
      </c>
      <c r="F3">
        <v>-0.3</v>
      </c>
      <c r="G3" s="3">
        <v>-7.4999999999999997E-3</v>
      </c>
      <c r="H3">
        <v>2015</v>
      </c>
      <c r="I3">
        <v>8.3800000000000008</v>
      </c>
      <c r="J3">
        <v>7.5</v>
      </c>
      <c r="K3">
        <v>0</v>
      </c>
      <c r="L3">
        <v>7.5</v>
      </c>
      <c r="M3" s="3">
        <v>0.188</v>
      </c>
      <c r="N3" s="2">
        <v>0</v>
      </c>
      <c r="O3" s="3">
        <v>0.188</v>
      </c>
      <c r="P3" s="3">
        <v>0.89500000000000002</v>
      </c>
      <c r="Q3" s="2">
        <v>0</v>
      </c>
      <c r="R3" s="3">
        <v>0.89500000000000002</v>
      </c>
      <c r="S3" t="s">
        <v>704</v>
      </c>
      <c r="U3" t="s">
        <v>690</v>
      </c>
    </row>
    <row r="4" spans="1:21" x14ac:dyDescent="0.6">
      <c r="A4">
        <v>178</v>
      </c>
      <c r="B4" t="str">
        <f>"6023"</f>
        <v>6023</v>
      </c>
      <c r="C4" t="s">
        <v>254</v>
      </c>
      <c r="D4" s="1">
        <v>42923</v>
      </c>
      <c r="E4">
        <v>38.35</v>
      </c>
      <c r="F4">
        <v>0.25</v>
      </c>
      <c r="G4" s="3">
        <v>6.6E-3</v>
      </c>
      <c r="H4">
        <v>2015</v>
      </c>
      <c r="I4">
        <v>3.75</v>
      </c>
      <c r="J4">
        <v>6.94</v>
      </c>
      <c r="K4">
        <v>0</v>
      </c>
      <c r="L4">
        <v>6.94</v>
      </c>
      <c r="M4" s="3">
        <v>0.18099999999999999</v>
      </c>
      <c r="N4" s="2">
        <v>0</v>
      </c>
      <c r="O4" s="3">
        <v>0.18099999999999999</v>
      </c>
      <c r="P4" s="2">
        <v>1.85</v>
      </c>
      <c r="Q4" s="2">
        <v>0</v>
      </c>
      <c r="R4" s="2">
        <v>1.85</v>
      </c>
      <c r="S4" t="s">
        <v>704</v>
      </c>
    </row>
    <row r="5" spans="1:21" x14ac:dyDescent="0.6">
      <c r="A5">
        <v>303</v>
      </c>
      <c r="B5" t="str">
        <f>"4545"</f>
        <v>4545</v>
      </c>
      <c r="C5" t="s">
        <v>385</v>
      </c>
      <c r="D5" s="1">
        <v>42923</v>
      </c>
      <c r="E5">
        <v>39.85</v>
      </c>
      <c r="F5">
        <v>-0.3</v>
      </c>
      <c r="G5" s="3">
        <v>-7.4999999999999997E-3</v>
      </c>
      <c r="H5">
        <v>2015</v>
      </c>
      <c r="I5">
        <v>8.01</v>
      </c>
      <c r="J5">
        <v>6.2</v>
      </c>
      <c r="K5">
        <v>1</v>
      </c>
      <c r="L5">
        <v>7.2</v>
      </c>
      <c r="M5" s="3">
        <v>0.156</v>
      </c>
      <c r="N5" s="3">
        <v>2.5100000000000001E-2</v>
      </c>
      <c r="O5" s="3">
        <v>0.18099999999999999</v>
      </c>
      <c r="P5" s="3">
        <v>0.77400000000000002</v>
      </c>
      <c r="Q5" s="3">
        <v>0.125</v>
      </c>
      <c r="R5" s="3">
        <v>0.89900000000000002</v>
      </c>
      <c r="S5" t="s">
        <v>748</v>
      </c>
      <c r="T5" t="s">
        <v>748</v>
      </c>
      <c r="U5" t="s">
        <v>721</v>
      </c>
    </row>
    <row r="6" spans="1:21" x14ac:dyDescent="0.6">
      <c r="A6">
        <v>99</v>
      </c>
      <c r="B6" t="str">
        <f>"6177"</f>
        <v>6177</v>
      </c>
      <c r="C6" t="s">
        <v>162</v>
      </c>
      <c r="D6" s="1">
        <v>42923</v>
      </c>
      <c r="E6">
        <v>26.85</v>
      </c>
      <c r="F6">
        <v>0.25</v>
      </c>
      <c r="G6" s="3">
        <v>9.4000000000000004E-3</v>
      </c>
      <c r="H6">
        <v>2015</v>
      </c>
      <c r="I6">
        <v>9.02</v>
      </c>
      <c r="J6">
        <v>4</v>
      </c>
      <c r="K6">
        <v>1.2</v>
      </c>
      <c r="L6">
        <v>5.19</v>
      </c>
      <c r="M6" s="3">
        <v>0.14899999999999999</v>
      </c>
      <c r="N6" s="3">
        <v>4.4600000000000001E-2</v>
      </c>
      <c r="O6" s="3">
        <v>0.19400000000000001</v>
      </c>
      <c r="P6" s="3">
        <v>0.44400000000000001</v>
      </c>
      <c r="Q6" s="3">
        <v>0.13300000000000001</v>
      </c>
      <c r="R6" s="3">
        <v>0.57499999999999996</v>
      </c>
      <c r="S6" t="s">
        <v>722</v>
      </c>
      <c r="T6" t="s">
        <v>722</v>
      </c>
      <c r="U6" t="s">
        <v>762</v>
      </c>
    </row>
    <row r="7" spans="1:21" x14ac:dyDescent="0.6">
      <c r="A7">
        <v>356</v>
      </c>
      <c r="B7" t="str">
        <f>"3607"</f>
        <v>3607</v>
      </c>
      <c r="C7" t="s">
        <v>439</v>
      </c>
      <c r="D7" s="1">
        <v>42923</v>
      </c>
      <c r="E7">
        <v>27.9</v>
      </c>
      <c r="F7">
        <v>-0.25</v>
      </c>
      <c r="G7" s="3">
        <v>-8.8999999999999999E-3</v>
      </c>
      <c r="H7">
        <v>2015</v>
      </c>
      <c r="I7">
        <v>6.05</v>
      </c>
      <c r="J7">
        <v>4.1500000000000004</v>
      </c>
      <c r="K7">
        <v>0</v>
      </c>
      <c r="L7">
        <v>4.1500000000000004</v>
      </c>
      <c r="M7" s="3">
        <v>0.14899999999999999</v>
      </c>
      <c r="N7" s="2">
        <v>0</v>
      </c>
      <c r="O7" s="3">
        <v>0.14899999999999999</v>
      </c>
      <c r="P7" s="3">
        <v>0.68600000000000005</v>
      </c>
      <c r="Q7" s="2">
        <v>0</v>
      </c>
      <c r="R7" s="3">
        <v>0.68600000000000005</v>
      </c>
      <c r="S7" t="s">
        <v>728</v>
      </c>
      <c r="U7" t="s">
        <v>763</v>
      </c>
    </row>
    <row r="8" spans="1:21" x14ac:dyDescent="0.6">
      <c r="A8">
        <v>77</v>
      </c>
      <c r="B8" t="str">
        <f>"3211"</f>
        <v>3211</v>
      </c>
      <c r="C8" t="s">
        <v>137</v>
      </c>
      <c r="D8" s="1">
        <v>42923</v>
      </c>
      <c r="E8">
        <v>38.549999999999997</v>
      </c>
      <c r="F8">
        <v>-0.55000000000000004</v>
      </c>
      <c r="G8" s="3">
        <v>-1.41E-2</v>
      </c>
      <c r="H8">
        <v>2015</v>
      </c>
      <c r="I8">
        <v>6.09</v>
      </c>
      <c r="J8">
        <v>5</v>
      </c>
      <c r="K8">
        <v>0</v>
      </c>
      <c r="L8">
        <v>5</v>
      </c>
      <c r="M8" s="2">
        <v>0.13</v>
      </c>
      <c r="N8" s="2">
        <v>0</v>
      </c>
      <c r="O8" s="2">
        <v>0.13</v>
      </c>
      <c r="P8" s="3">
        <v>0.82099999999999995</v>
      </c>
      <c r="Q8" s="2">
        <v>0</v>
      </c>
      <c r="R8" s="3">
        <v>0.82099999999999995</v>
      </c>
      <c r="S8" t="s">
        <v>708</v>
      </c>
      <c r="U8" t="s">
        <v>758</v>
      </c>
    </row>
    <row r="9" spans="1:21" x14ac:dyDescent="0.6">
      <c r="A9">
        <v>31</v>
      </c>
      <c r="B9" t="str">
        <f>"5356"</f>
        <v>5356</v>
      </c>
      <c r="C9" t="s">
        <v>66</v>
      </c>
      <c r="D9" s="1">
        <v>42923</v>
      </c>
      <c r="E9">
        <v>45.5</v>
      </c>
      <c r="F9">
        <v>-0.5</v>
      </c>
      <c r="G9" s="3">
        <v>-1.09E-2</v>
      </c>
      <c r="H9">
        <v>2015</v>
      </c>
      <c r="I9">
        <v>11.45</v>
      </c>
      <c r="J9">
        <v>5.5</v>
      </c>
      <c r="K9">
        <v>0</v>
      </c>
      <c r="L9">
        <v>5.5</v>
      </c>
      <c r="M9" s="3">
        <v>0.121</v>
      </c>
      <c r="N9" s="2">
        <v>0</v>
      </c>
      <c r="O9" s="3">
        <v>0.121</v>
      </c>
      <c r="P9" s="2">
        <v>0.48</v>
      </c>
      <c r="Q9" s="2">
        <v>0</v>
      </c>
      <c r="R9" s="2">
        <v>0.48</v>
      </c>
      <c r="S9" t="s">
        <v>692</v>
      </c>
      <c r="U9" t="s">
        <v>727</v>
      </c>
    </row>
    <row r="10" spans="1:21" x14ac:dyDescent="0.6">
      <c r="A10">
        <v>13</v>
      </c>
      <c r="B10" t="str">
        <f>"5015"</f>
        <v>5015</v>
      </c>
      <c r="C10" t="s">
        <v>41</v>
      </c>
      <c r="D10" s="1">
        <v>42923</v>
      </c>
      <c r="E10">
        <v>25</v>
      </c>
      <c r="F10">
        <v>-0.25</v>
      </c>
      <c r="G10" s="3">
        <v>-9.9000000000000008E-3</v>
      </c>
      <c r="H10">
        <v>2015</v>
      </c>
      <c r="I10">
        <v>3.72</v>
      </c>
      <c r="J10">
        <v>3</v>
      </c>
      <c r="K10">
        <v>0</v>
      </c>
      <c r="L10">
        <v>3</v>
      </c>
      <c r="M10" s="2">
        <v>0.12</v>
      </c>
      <c r="N10" s="2">
        <v>0</v>
      </c>
      <c r="O10" s="2">
        <v>0.12</v>
      </c>
      <c r="P10" s="3">
        <v>0.80600000000000005</v>
      </c>
      <c r="Q10" s="2">
        <v>0</v>
      </c>
      <c r="R10" s="3">
        <v>0.80600000000000005</v>
      </c>
      <c r="S10" t="s">
        <v>698</v>
      </c>
      <c r="U10" t="s">
        <v>695</v>
      </c>
    </row>
    <row r="11" spans="1:21" x14ac:dyDescent="0.6">
      <c r="A11">
        <v>234</v>
      </c>
      <c r="B11" t="str">
        <f>"8463"</f>
        <v>8463</v>
      </c>
      <c r="C11" t="s">
        <v>313</v>
      </c>
      <c r="D11" s="1">
        <v>42923</v>
      </c>
      <c r="E11">
        <v>18.2</v>
      </c>
      <c r="F11">
        <v>-0.1</v>
      </c>
      <c r="G11" s="3">
        <v>-5.4999999999999997E-3</v>
      </c>
      <c r="H11">
        <v>2015</v>
      </c>
      <c r="I11">
        <v>3.19</v>
      </c>
      <c r="J11">
        <v>2.16</v>
      </c>
      <c r="K11">
        <v>0</v>
      </c>
      <c r="L11">
        <v>2.16</v>
      </c>
      <c r="M11" s="3">
        <v>0.11899999999999999</v>
      </c>
      <c r="N11" s="2">
        <v>0</v>
      </c>
      <c r="O11" s="3">
        <v>0.11899999999999999</v>
      </c>
      <c r="P11" s="3">
        <v>0.67700000000000005</v>
      </c>
      <c r="Q11" s="2">
        <v>0</v>
      </c>
      <c r="R11" s="3">
        <v>0.67700000000000005</v>
      </c>
      <c r="S11" t="s">
        <v>774</v>
      </c>
      <c r="U11" t="s">
        <v>773</v>
      </c>
    </row>
    <row r="12" spans="1:21" x14ac:dyDescent="0.6">
      <c r="A12">
        <v>383</v>
      </c>
      <c r="B12" t="str">
        <f>"5489"</f>
        <v>5489</v>
      </c>
      <c r="C12" t="s">
        <v>467</v>
      </c>
      <c r="D12" s="1">
        <v>42923</v>
      </c>
      <c r="E12">
        <v>34.6</v>
      </c>
      <c r="F12">
        <v>0.05</v>
      </c>
      <c r="G12" s="3">
        <v>1.4E-3</v>
      </c>
      <c r="H12">
        <v>2015</v>
      </c>
      <c r="I12">
        <v>5.78</v>
      </c>
      <c r="J12">
        <v>4.08</v>
      </c>
      <c r="K12">
        <v>0</v>
      </c>
      <c r="L12">
        <v>4.08</v>
      </c>
      <c r="M12" s="3">
        <v>0.11799999999999999</v>
      </c>
      <c r="N12" s="2">
        <v>0</v>
      </c>
      <c r="O12" s="3">
        <v>0.11799999999999999</v>
      </c>
      <c r="P12" s="3">
        <v>0.70599999999999996</v>
      </c>
      <c r="Q12" s="2">
        <v>0</v>
      </c>
      <c r="R12" s="3">
        <v>0.70599999999999996</v>
      </c>
      <c r="S12" t="s">
        <v>733</v>
      </c>
      <c r="U12" t="s">
        <v>705</v>
      </c>
    </row>
    <row r="13" spans="1:21" x14ac:dyDescent="0.6">
      <c r="A13">
        <v>417</v>
      </c>
      <c r="B13" t="str">
        <f>"8213"</f>
        <v>8213</v>
      </c>
      <c r="C13" t="s">
        <v>504</v>
      </c>
      <c r="D13" s="1">
        <v>42923</v>
      </c>
      <c r="E13">
        <v>29.75</v>
      </c>
      <c r="F13">
        <v>0.05</v>
      </c>
      <c r="G13" s="3">
        <v>1.6999999999999999E-3</v>
      </c>
      <c r="H13">
        <v>2015</v>
      </c>
      <c r="I13">
        <v>5.82</v>
      </c>
      <c r="J13">
        <v>3.5</v>
      </c>
      <c r="K13">
        <v>0</v>
      </c>
      <c r="L13">
        <v>3.5</v>
      </c>
      <c r="M13" s="3">
        <v>0.11799999999999999</v>
      </c>
      <c r="N13" s="2">
        <v>0</v>
      </c>
      <c r="O13" s="3">
        <v>0.11799999999999999</v>
      </c>
      <c r="P13" s="3">
        <v>0.60099999999999998</v>
      </c>
      <c r="Q13" s="2">
        <v>0</v>
      </c>
      <c r="R13" s="3">
        <v>0.60099999999999998</v>
      </c>
      <c r="S13" t="s">
        <v>710</v>
      </c>
      <c r="U13" t="s">
        <v>715</v>
      </c>
    </row>
    <row r="14" spans="1:21" x14ac:dyDescent="0.6">
      <c r="A14">
        <v>53</v>
      </c>
      <c r="B14" t="str">
        <f>"3030"</f>
        <v>3030</v>
      </c>
      <c r="C14" t="s">
        <v>102</v>
      </c>
      <c r="D14" s="1">
        <v>42923</v>
      </c>
      <c r="E14">
        <v>36.9</v>
      </c>
      <c r="F14">
        <v>-0.25</v>
      </c>
      <c r="G14" s="3">
        <v>-6.7000000000000002E-3</v>
      </c>
      <c r="H14">
        <v>2015</v>
      </c>
      <c r="I14">
        <v>5.34</v>
      </c>
      <c r="J14">
        <v>4.3</v>
      </c>
      <c r="K14">
        <v>0</v>
      </c>
      <c r="L14">
        <v>4.3</v>
      </c>
      <c r="M14" s="3">
        <v>0.11600000000000001</v>
      </c>
      <c r="N14" s="2">
        <v>0</v>
      </c>
      <c r="O14" s="3">
        <v>0.11600000000000001</v>
      </c>
      <c r="P14" s="3">
        <v>0.80500000000000005</v>
      </c>
      <c r="Q14" s="2">
        <v>0</v>
      </c>
      <c r="R14" s="3">
        <v>0.80500000000000005</v>
      </c>
      <c r="S14" t="s">
        <v>742</v>
      </c>
      <c r="U14" t="s">
        <v>725</v>
      </c>
    </row>
    <row r="15" spans="1:21" x14ac:dyDescent="0.6">
      <c r="A15">
        <v>165</v>
      </c>
      <c r="B15" t="str">
        <f>"6203"</f>
        <v>6203</v>
      </c>
      <c r="C15" t="s">
        <v>237</v>
      </c>
      <c r="D15" s="1">
        <v>42923</v>
      </c>
      <c r="E15">
        <v>30.3</v>
      </c>
      <c r="F15">
        <v>0.1</v>
      </c>
      <c r="G15" s="3">
        <v>3.3E-3</v>
      </c>
      <c r="H15">
        <v>2015</v>
      </c>
      <c r="I15">
        <v>4.38</v>
      </c>
      <c r="J15">
        <v>3.5</v>
      </c>
      <c r="K15">
        <v>0</v>
      </c>
      <c r="L15">
        <v>3.5</v>
      </c>
      <c r="M15" s="3">
        <v>0.11600000000000001</v>
      </c>
      <c r="N15" s="2">
        <v>0</v>
      </c>
      <c r="O15" s="3">
        <v>0.11600000000000001</v>
      </c>
      <c r="P15" s="3">
        <v>0.79900000000000004</v>
      </c>
      <c r="Q15" s="2">
        <v>0</v>
      </c>
      <c r="R15" s="3">
        <v>0.79900000000000004</v>
      </c>
      <c r="S15" t="s">
        <v>699</v>
      </c>
      <c r="U15" t="s">
        <v>722</v>
      </c>
    </row>
    <row r="16" spans="1:21" x14ac:dyDescent="0.6">
      <c r="A16">
        <v>353</v>
      </c>
      <c r="B16" t="str">
        <f>"5603"</f>
        <v>5603</v>
      </c>
      <c r="C16" t="s">
        <v>436</v>
      </c>
      <c r="D16" s="1">
        <v>42923</v>
      </c>
      <c r="E16">
        <v>13</v>
      </c>
      <c r="F16">
        <v>-0.05</v>
      </c>
      <c r="G16" s="3">
        <v>-3.8E-3</v>
      </c>
      <c r="H16">
        <v>2015</v>
      </c>
      <c r="I16">
        <v>2.76</v>
      </c>
      <c r="J16">
        <v>1.5</v>
      </c>
      <c r="K16">
        <v>0.5</v>
      </c>
      <c r="L16">
        <v>2</v>
      </c>
      <c r="M16" s="3">
        <v>0.115</v>
      </c>
      <c r="N16" s="3">
        <v>3.85E-2</v>
      </c>
      <c r="O16" s="3">
        <v>0.154</v>
      </c>
      <c r="P16" s="3">
        <v>0.54400000000000004</v>
      </c>
      <c r="Q16" s="3">
        <v>0.18099999999999999</v>
      </c>
      <c r="R16" s="3">
        <v>0.72499999999999998</v>
      </c>
      <c r="S16" t="s">
        <v>760</v>
      </c>
      <c r="T16" t="s">
        <v>760</v>
      </c>
      <c r="U16" t="s">
        <v>722</v>
      </c>
    </row>
    <row r="17" spans="1:21" x14ac:dyDescent="0.6">
      <c r="A17">
        <v>297</v>
      </c>
      <c r="B17" t="str">
        <f>"6298"</f>
        <v>6298</v>
      </c>
      <c r="C17" t="s">
        <v>379</v>
      </c>
      <c r="D17" s="1">
        <v>42923</v>
      </c>
      <c r="E17">
        <v>17.600000000000001</v>
      </c>
      <c r="F17">
        <v>-0.2</v>
      </c>
      <c r="G17" s="3">
        <v>-1.12E-2</v>
      </c>
      <c r="H17">
        <v>2015</v>
      </c>
      <c r="I17">
        <v>2.21</v>
      </c>
      <c r="J17">
        <v>2</v>
      </c>
      <c r="K17">
        <v>0</v>
      </c>
      <c r="L17">
        <v>2</v>
      </c>
      <c r="M17" s="3">
        <v>0.114</v>
      </c>
      <c r="N17" s="2">
        <v>0</v>
      </c>
      <c r="O17" s="3">
        <v>0.114</v>
      </c>
      <c r="P17" s="3">
        <v>0.90500000000000003</v>
      </c>
      <c r="Q17" s="2">
        <v>0</v>
      </c>
      <c r="R17" s="3">
        <v>0.90500000000000003</v>
      </c>
      <c r="S17" t="s">
        <v>691</v>
      </c>
      <c r="U17" t="s">
        <v>701</v>
      </c>
    </row>
    <row r="18" spans="1:21" x14ac:dyDescent="0.6">
      <c r="A18">
        <v>36</v>
      </c>
      <c r="B18" t="str">
        <f>"2064"</f>
        <v>2064</v>
      </c>
      <c r="C18" t="s">
        <v>76</v>
      </c>
      <c r="D18" s="1">
        <v>42923</v>
      </c>
      <c r="E18">
        <v>17.75</v>
      </c>
      <c r="F18">
        <v>0</v>
      </c>
      <c r="G18" s="2">
        <v>0</v>
      </c>
      <c r="H18">
        <v>2015</v>
      </c>
      <c r="I18">
        <v>2.82</v>
      </c>
      <c r="J18">
        <v>2</v>
      </c>
      <c r="K18">
        <v>0</v>
      </c>
      <c r="L18">
        <v>2</v>
      </c>
      <c r="M18" s="3">
        <v>0.113</v>
      </c>
      <c r="N18" s="2">
        <v>0</v>
      </c>
      <c r="O18" s="3">
        <v>0.113</v>
      </c>
      <c r="P18" s="3">
        <v>0.70899999999999996</v>
      </c>
      <c r="Q18" s="2">
        <v>0</v>
      </c>
      <c r="R18" s="3">
        <v>0.70899999999999996</v>
      </c>
      <c r="S18" t="s">
        <v>732</v>
      </c>
      <c r="U18" t="s">
        <v>724</v>
      </c>
    </row>
    <row r="19" spans="1:21" x14ac:dyDescent="0.6">
      <c r="A19">
        <v>24</v>
      </c>
      <c r="B19" t="str">
        <f>"6186"</f>
        <v>6186</v>
      </c>
      <c r="C19" t="s">
        <v>57</v>
      </c>
      <c r="D19" s="1">
        <v>42923</v>
      </c>
      <c r="E19">
        <v>22.4</v>
      </c>
      <c r="F19">
        <v>0</v>
      </c>
      <c r="G19" s="2">
        <v>0</v>
      </c>
      <c r="H19">
        <v>2015</v>
      </c>
      <c r="I19">
        <v>3.34</v>
      </c>
      <c r="J19">
        <v>2.5</v>
      </c>
      <c r="K19">
        <v>0.5</v>
      </c>
      <c r="L19">
        <v>3</v>
      </c>
      <c r="M19" s="3">
        <v>0.112</v>
      </c>
      <c r="N19" s="3">
        <v>2.23E-2</v>
      </c>
      <c r="O19" s="3">
        <v>0.13400000000000001</v>
      </c>
      <c r="P19" s="3">
        <v>0.748</v>
      </c>
      <c r="Q19" s="2">
        <v>0.15</v>
      </c>
      <c r="R19" s="3">
        <v>0.89800000000000002</v>
      </c>
      <c r="S19" t="s">
        <v>719</v>
      </c>
      <c r="T19" t="s">
        <v>719</v>
      </c>
      <c r="U19" t="s">
        <v>720</v>
      </c>
    </row>
    <row r="20" spans="1:21" x14ac:dyDescent="0.6">
      <c r="A20">
        <v>223</v>
      </c>
      <c r="B20" t="str">
        <f>"3033"</f>
        <v>3033</v>
      </c>
      <c r="C20" t="s">
        <v>302</v>
      </c>
      <c r="D20" s="1">
        <v>42923</v>
      </c>
      <c r="E20">
        <v>17.350000000000001</v>
      </c>
      <c r="F20">
        <v>-0.1</v>
      </c>
      <c r="G20" s="3">
        <v>-5.7000000000000002E-3</v>
      </c>
      <c r="H20">
        <v>2015</v>
      </c>
      <c r="I20">
        <v>1.94</v>
      </c>
      <c r="J20">
        <v>1.94</v>
      </c>
      <c r="K20">
        <v>0</v>
      </c>
      <c r="L20">
        <v>1.94</v>
      </c>
      <c r="M20" s="3">
        <v>0.112</v>
      </c>
      <c r="N20" s="2">
        <v>0</v>
      </c>
      <c r="O20" s="3">
        <v>0.112</v>
      </c>
      <c r="P20" s="2">
        <v>1</v>
      </c>
      <c r="Q20" s="2">
        <v>0</v>
      </c>
      <c r="R20" s="2">
        <v>1</v>
      </c>
      <c r="S20" t="s">
        <v>691</v>
      </c>
      <c r="U20" t="s">
        <v>695</v>
      </c>
    </row>
    <row r="21" spans="1:21" x14ac:dyDescent="0.6">
      <c r="A21">
        <v>28</v>
      </c>
      <c r="B21" t="str">
        <f>"2538"</f>
        <v>2538</v>
      </c>
      <c r="C21" t="s">
        <v>62</v>
      </c>
      <c r="D21" s="1">
        <v>42923</v>
      </c>
      <c r="E21">
        <v>11.3</v>
      </c>
      <c r="F21">
        <v>0</v>
      </c>
      <c r="G21" s="2">
        <v>0</v>
      </c>
      <c r="H21">
        <v>2015</v>
      </c>
      <c r="I21">
        <v>3.18</v>
      </c>
      <c r="J21">
        <v>1.24</v>
      </c>
      <c r="K21">
        <v>0</v>
      </c>
      <c r="L21">
        <v>1.24</v>
      </c>
      <c r="M21" s="2">
        <v>0.11</v>
      </c>
      <c r="N21" s="2">
        <v>0</v>
      </c>
      <c r="O21" s="2">
        <v>0.11</v>
      </c>
      <c r="P21" s="2">
        <v>0.39</v>
      </c>
      <c r="Q21" s="2">
        <v>0</v>
      </c>
      <c r="R21" s="2">
        <v>0.39</v>
      </c>
      <c r="S21" t="s">
        <v>724</v>
      </c>
      <c r="U21" t="s">
        <v>715</v>
      </c>
    </row>
    <row r="22" spans="1:21" x14ac:dyDescent="0.6">
      <c r="A22">
        <v>68</v>
      </c>
      <c r="B22" t="str">
        <f>"2227"</f>
        <v>2227</v>
      </c>
      <c r="C22" t="s">
        <v>125</v>
      </c>
      <c r="D22" s="1">
        <v>42923</v>
      </c>
      <c r="E22">
        <v>279</v>
      </c>
      <c r="F22">
        <v>-1.5</v>
      </c>
      <c r="G22" s="3">
        <v>-5.3E-3</v>
      </c>
      <c r="H22">
        <v>2015</v>
      </c>
      <c r="I22">
        <v>21.75</v>
      </c>
      <c r="J22">
        <v>30</v>
      </c>
      <c r="K22">
        <v>0</v>
      </c>
      <c r="L22">
        <v>30</v>
      </c>
      <c r="M22" s="3">
        <v>0.108</v>
      </c>
      <c r="N22" s="2">
        <v>0</v>
      </c>
      <c r="O22" s="3">
        <v>0.108</v>
      </c>
      <c r="P22" s="2">
        <v>1.38</v>
      </c>
      <c r="Q22" s="2">
        <v>0</v>
      </c>
      <c r="R22" s="2">
        <v>1.38</v>
      </c>
      <c r="S22" t="s">
        <v>753</v>
      </c>
      <c r="U22" t="s">
        <v>693</v>
      </c>
    </row>
    <row r="23" spans="1:21" x14ac:dyDescent="0.6">
      <c r="A23">
        <v>160</v>
      </c>
      <c r="B23" t="str">
        <f>"6261"</f>
        <v>6261</v>
      </c>
      <c r="C23" t="s">
        <v>230</v>
      </c>
      <c r="D23" s="1">
        <v>42923</v>
      </c>
      <c r="E23">
        <v>46.6</v>
      </c>
      <c r="F23">
        <v>0.3</v>
      </c>
      <c r="G23" s="3">
        <v>6.4999999999999997E-3</v>
      </c>
      <c r="H23">
        <v>2015</v>
      </c>
      <c r="I23">
        <v>6.04</v>
      </c>
      <c r="J23">
        <v>5</v>
      </c>
      <c r="K23">
        <v>0.1</v>
      </c>
      <c r="L23">
        <v>5.0999999999999996</v>
      </c>
      <c r="M23" s="3">
        <v>0.107</v>
      </c>
      <c r="N23" s="3">
        <v>2.0999999999999999E-3</v>
      </c>
      <c r="O23" s="3">
        <v>0.109</v>
      </c>
      <c r="P23" s="3">
        <v>0.82799999999999996</v>
      </c>
      <c r="Q23" s="3">
        <v>1.66E-2</v>
      </c>
      <c r="R23" s="3">
        <v>0.84399999999999997</v>
      </c>
      <c r="S23" t="s">
        <v>699</v>
      </c>
      <c r="T23" t="s">
        <v>699</v>
      </c>
      <c r="U23" t="s">
        <v>719</v>
      </c>
    </row>
    <row r="24" spans="1:21" x14ac:dyDescent="0.6">
      <c r="A24">
        <v>92</v>
      </c>
      <c r="B24" t="str">
        <f>"6189"</f>
        <v>6189</v>
      </c>
      <c r="C24" t="s">
        <v>155</v>
      </c>
      <c r="D24" s="1">
        <v>42923</v>
      </c>
      <c r="E24">
        <v>30.75</v>
      </c>
      <c r="F24">
        <v>-0.15</v>
      </c>
      <c r="G24" s="3">
        <v>-4.8999999999999998E-3</v>
      </c>
      <c r="H24">
        <v>2015</v>
      </c>
      <c r="I24">
        <v>3.48</v>
      </c>
      <c r="J24">
        <v>3.2</v>
      </c>
      <c r="K24">
        <v>0</v>
      </c>
      <c r="L24">
        <v>3.2</v>
      </c>
      <c r="M24" s="3">
        <v>0.104</v>
      </c>
      <c r="N24" s="2">
        <v>0</v>
      </c>
      <c r="O24" s="3">
        <v>0.104</v>
      </c>
      <c r="P24" s="2">
        <v>0.92</v>
      </c>
      <c r="Q24" s="2">
        <v>0</v>
      </c>
      <c r="R24" s="2">
        <v>0.92</v>
      </c>
      <c r="S24" t="s">
        <v>728</v>
      </c>
      <c r="U24" t="s">
        <v>705</v>
      </c>
    </row>
    <row r="25" spans="1:21" x14ac:dyDescent="0.6">
      <c r="A25">
        <v>247</v>
      </c>
      <c r="B25" t="str">
        <f>"5251"</f>
        <v>5251</v>
      </c>
      <c r="C25" t="s">
        <v>326</v>
      </c>
      <c r="D25" s="1">
        <v>42923</v>
      </c>
      <c r="E25">
        <v>33.6</v>
      </c>
      <c r="F25">
        <v>-1</v>
      </c>
      <c r="G25" s="3">
        <v>-2.8899999999999999E-2</v>
      </c>
      <c r="H25">
        <v>2015</v>
      </c>
      <c r="I25">
        <v>4.01</v>
      </c>
      <c r="J25">
        <v>3.49</v>
      </c>
      <c r="K25">
        <v>0</v>
      </c>
      <c r="L25">
        <v>3.49</v>
      </c>
      <c r="M25" s="3">
        <v>0.104</v>
      </c>
      <c r="N25" s="2">
        <v>0</v>
      </c>
      <c r="O25" s="3">
        <v>0.104</v>
      </c>
      <c r="P25" s="2">
        <v>0.87</v>
      </c>
      <c r="Q25" s="2">
        <v>0</v>
      </c>
      <c r="R25" s="2">
        <v>0.87</v>
      </c>
      <c r="S25" t="s">
        <v>756</v>
      </c>
      <c r="U25" t="s">
        <v>709</v>
      </c>
    </row>
    <row r="26" spans="1:21" x14ac:dyDescent="0.6">
      <c r="A26">
        <v>145</v>
      </c>
      <c r="B26" t="str">
        <f>"8472"</f>
        <v>8472</v>
      </c>
      <c r="C26" t="s">
        <v>213</v>
      </c>
      <c r="D26" s="1">
        <v>42923</v>
      </c>
      <c r="E26">
        <v>40.9</v>
      </c>
      <c r="F26">
        <v>0.05</v>
      </c>
      <c r="G26" s="3">
        <v>1.1999999999999999E-3</v>
      </c>
      <c r="H26">
        <v>2015</v>
      </c>
      <c r="I26">
        <v>4.84</v>
      </c>
      <c r="J26">
        <v>4.2</v>
      </c>
      <c r="K26">
        <v>0</v>
      </c>
      <c r="L26">
        <v>4.2</v>
      </c>
      <c r="M26" s="3">
        <v>0.10299999999999999</v>
      </c>
      <c r="N26" s="2">
        <v>0</v>
      </c>
      <c r="O26" s="3">
        <v>0.10299999999999999</v>
      </c>
      <c r="P26" s="3">
        <v>0.86799999999999999</v>
      </c>
      <c r="Q26" s="2">
        <v>0</v>
      </c>
      <c r="R26" s="3">
        <v>0.86799999999999999</v>
      </c>
      <c r="S26" t="s">
        <v>744</v>
      </c>
      <c r="U26" t="s">
        <v>695</v>
      </c>
    </row>
    <row r="27" spans="1:21" x14ac:dyDescent="0.6">
      <c r="A27">
        <v>38</v>
      </c>
      <c r="B27" t="str">
        <f>"2493"</f>
        <v>2493</v>
      </c>
      <c r="C27" t="s">
        <v>79</v>
      </c>
      <c r="D27" s="1">
        <v>42923</v>
      </c>
      <c r="E27">
        <v>27.35</v>
      </c>
      <c r="F27">
        <v>0</v>
      </c>
      <c r="G27" s="2">
        <v>0</v>
      </c>
      <c r="H27">
        <v>2015</v>
      </c>
      <c r="I27">
        <v>3.28</v>
      </c>
      <c r="J27">
        <v>2.8</v>
      </c>
      <c r="K27">
        <v>0</v>
      </c>
      <c r="L27">
        <v>2.8</v>
      </c>
      <c r="M27" s="3">
        <v>0.10199999999999999</v>
      </c>
      <c r="N27" s="2">
        <v>0</v>
      </c>
      <c r="O27" s="3">
        <v>0.10199999999999999</v>
      </c>
      <c r="P27" s="3">
        <v>0.85399999999999998</v>
      </c>
      <c r="Q27" s="2">
        <v>0</v>
      </c>
      <c r="R27" s="3">
        <v>0.85399999999999998</v>
      </c>
      <c r="S27" t="s">
        <v>734</v>
      </c>
      <c r="U27" t="s">
        <v>735</v>
      </c>
    </row>
    <row r="28" spans="1:21" x14ac:dyDescent="0.6">
      <c r="A28">
        <v>88</v>
      </c>
      <c r="B28" t="str">
        <f>"6104"</f>
        <v>6104</v>
      </c>
      <c r="C28" t="s">
        <v>151</v>
      </c>
      <c r="D28" s="1">
        <v>42923</v>
      </c>
      <c r="E28">
        <v>39.65</v>
      </c>
      <c r="F28">
        <v>0</v>
      </c>
      <c r="G28" s="2">
        <v>0</v>
      </c>
      <c r="H28">
        <v>2015</v>
      </c>
      <c r="I28">
        <v>4.8899999999999997</v>
      </c>
      <c r="J28">
        <v>4</v>
      </c>
      <c r="K28">
        <v>0</v>
      </c>
      <c r="L28">
        <v>4</v>
      </c>
      <c r="M28" s="3">
        <v>0.10100000000000001</v>
      </c>
      <c r="N28" s="2">
        <v>0</v>
      </c>
      <c r="O28" s="3">
        <v>0.10100000000000001</v>
      </c>
      <c r="P28" s="3">
        <v>0.81799999999999995</v>
      </c>
      <c r="Q28" s="2">
        <v>0</v>
      </c>
      <c r="R28" s="3">
        <v>0.81799999999999995</v>
      </c>
      <c r="S28" t="s">
        <v>729</v>
      </c>
      <c r="U28" t="s">
        <v>760</v>
      </c>
    </row>
    <row r="29" spans="1:21" x14ac:dyDescent="0.6">
      <c r="A29">
        <v>347</v>
      </c>
      <c r="B29" t="str">
        <f>"2520"</f>
        <v>2520</v>
      </c>
      <c r="C29" t="s">
        <v>429</v>
      </c>
      <c r="D29" s="1">
        <v>42923</v>
      </c>
      <c r="E29">
        <v>20.350000000000001</v>
      </c>
      <c r="F29">
        <v>0.1</v>
      </c>
      <c r="G29" s="3">
        <v>4.8999999999999998E-3</v>
      </c>
      <c r="H29">
        <v>2015</v>
      </c>
      <c r="I29">
        <v>5.82</v>
      </c>
      <c r="J29">
        <v>2</v>
      </c>
      <c r="K29">
        <v>0</v>
      </c>
      <c r="L29">
        <v>2</v>
      </c>
      <c r="M29" s="3">
        <v>9.8299999999999998E-2</v>
      </c>
      <c r="N29" s="2">
        <v>0</v>
      </c>
      <c r="O29" s="3">
        <v>9.8299999999999998E-2</v>
      </c>
      <c r="P29" s="3">
        <v>0.34399999999999997</v>
      </c>
      <c r="Q29" s="2">
        <v>0</v>
      </c>
      <c r="R29" s="3">
        <v>0.34399999999999997</v>
      </c>
      <c r="S29" t="s">
        <v>750</v>
      </c>
      <c r="U29" t="s">
        <v>726</v>
      </c>
    </row>
    <row r="30" spans="1:21" x14ac:dyDescent="0.6">
      <c r="A30">
        <v>446</v>
      </c>
      <c r="B30" t="str">
        <f>"6210"</f>
        <v>6210</v>
      </c>
      <c r="C30" t="s">
        <v>536</v>
      </c>
      <c r="D30" s="1">
        <v>42923</v>
      </c>
      <c r="E30">
        <v>40.700000000000003</v>
      </c>
      <c r="F30">
        <v>-0.25</v>
      </c>
      <c r="G30" s="3">
        <v>-6.1000000000000004E-3</v>
      </c>
      <c r="H30">
        <v>2015</v>
      </c>
      <c r="I30">
        <v>5.77</v>
      </c>
      <c r="J30">
        <v>4</v>
      </c>
      <c r="K30">
        <v>0</v>
      </c>
      <c r="L30">
        <v>4</v>
      </c>
      <c r="M30" s="3">
        <v>9.8299999999999998E-2</v>
      </c>
      <c r="N30" s="2">
        <v>0</v>
      </c>
      <c r="O30" s="3">
        <v>9.8299999999999998E-2</v>
      </c>
      <c r="P30" s="3">
        <v>0.69299999999999995</v>
      </c>
      <c r="Q30" s="2">
        <v>0</v>
      </c>
      <c r="R30" s="3">
        <v>0.69299999999999995</v>
      </c>
      <c r="S30" t="s">
        <v>711</v>
      </c>
      <c r="U30" t="s">
        <v>730</v>
      </c>
    </row>
    <row r="31" spans="1:21" x14ac:dyDescent="0.6">
      <c r="A31">
        <v>35</v>
      </c>
      <c r="B31" t="str">
        <f>"6136"</f>
        <v>6136</v>
      </c>
      <c r="C31" t="s">
        <v>74</v>
      </c>
      <c r="D31" s="1">
        <v>42923</v>
      </c>
      <c r="E31">
        <v>23.6</v>
      </c>
      <c r="F31">
        <v>-0.1</v>
      </c>
      <c r="G31" s="3">
        <v>-4.1999999999999997E-3</v>
      </c>
      <c r="H31">
        <v>2015</v>
      </c>
      <c r="I31">
        <v>2.0099999999999998</v>
      </c>
      <c r="J31">
        <v>2.31</v>
      </c>
      <c r="K31">
        <v>0</v>
      </c>
      <c r="L31">
        <v>2.31</v>
      </c>
      <c r="M31" s="3">
        <v>9.7900000000000001E-2</v>
      </c>
      <c r="N31" s="2">
        <v>0</v>
      </c>
      <c r="O31" s="3">
        <v>9.7900000000000001E-2</v>
      </c>
      <c r="P31" s="2">
        <v>1.1499999999999999</v>
      </c>
      <c r="Q31" s="2">
        <v>0</v>
      </c>
      <c r="R31" s="2">
        <v>1.1499999999999999</v>
      </c>
      <c r="S31" t="s">
        <v>710</v>
      </c>
      <c r="U31" t="s">
        <v>729</v>
      </c>
    </row>
    <row r="32" spans="1:21" x14ac:dyDescent="0.6">
      <c r="A32">
        <v>39</v>
      </c>
      <c r="B32" t="str">
        <f>"2420"</f>
        <v>2420</v>
      </c>
      <c r="C32" t="s">
        <v>81</v>
      </c>
      <c r="D32" s="1">
        <v>42923</v>
      </c>
      <c r="E32">
        <v>35.9</v>
      </c>
      <c r="F32">
        <v>-0.1</v>
      </c>
      <c r="G32" s="3">
        <v>-2.8E-3</v>
      </c>
      <c r="H32">
        <v>2015</v>
      </c>
      <c r="I32">
        <v>3.84</v>
      </c>
      <c r="J32">
        <v>3.5</v>
      </c>
      <c r="K32">
        <v>0</v>
      </c>
      <c r="L32">
        <v>3.5</v>
      </c>
      <c r="M32" s="3">
        <v>9.7500000000000003E-2</v>
      </c>
      <c r="N32" s="2">
        <v>0</v>
      </c>
      <c r="O32" s="3">
        <v>9.7500000000000003E-2</v>
      </c>
      <c r="P32" s="3">
        <v>0.91200000000000003</v>
      </c>
      <c r="Q32" s="2">
        <v>0</v>
      </c>
      <c r="R32" s="3">
        <v>0.91200000000000003</v>
      </c>
      <c r="S32" t="s">
        <v>736</v>
      </c>
      <c r="U32" t="s">
        <v>695</v>
      </c>
    </row>
    <row r="33" spans="1:21" x14ac:dyDescent="0.6">
      <c r="A33">
        <v>16</v>
      </c>
      <c r="B33" t="str">
        <f>"5522"</f>
        <v>5522</v>
      </c>
      <c r="C33" t="s">
        <v>46</v>
      </c>
      <c r="D33" s="1">
        <v>42923</v>
      </c>
      <c r="E33">
        <v>39</v>
      </c>
      <c r="F33">
        <v>0</v>
      </c>
      <c r="G33" s="2">
        <v>0</v>
      </c>
      <c r="H33">
        <v>2015</v>
      </c>
      <c r="I33">
        <v>5.99</v>
      </c>
      <c r="J33">
        <v>3.8</v>
      </c>
      <c r="K33">
        <v>0</v>
      </c>
      <c r="L33">
        <v>3.8</v>
      </c>
      <c r="M33" s="3">
        <v>9.74E-2</v>
      </c>
      <c r="N33" s="2">
        <v>0</v>
      </c>
      <c r="O33" s="3">
        <v>9.74E-2</v>
      </c>
      <c r="P33" s="3">
        <v>0.63400000000000001</v>
      </c>
      <c r="Q33" s="2">
        <v>0</v>
      </c>
      <c r="R33" s="3">
        <v>0.63400000000000001</v>
      </c>
      <c r="S33" t="s">
        <v>698</v>
      </c>
      <c r="U33" t="s">
        <v>695</v>
      </c>
    </row>
    <row r="34" spans="1:21" x14ac:dyDescent="0.6">
      <c r="A34">
        <v>175</v>
      </c>
      <c r="B34" t="str">
        <f>"1540"</f>
        <v>1540</v>
      </c>
      <c r="C34" t="s">
        <v>249</v>
      </c>
      <c r="D34" s="1">
        <v>42923</v>
      </c>
      <c r="E34">
        <v>15.4</v>
      </c>
      <c r="F34">
        <v>0.1</v>
      </c>
      <c r="G34" s="3">
        <v>6.4999999999999997E-3</v>
      </c>
      <c r="H34">
        <v>2015</v>
      </c>
      <c r="I34">
        <v>2.5</v>
      </c>
      <c r="J34">
        <v>1.5</v>
      </c>
      <c r="K34">
        <v>0</v>
      </c>
      <c r="L34">
        <v>1.5</v>
      </c>
      <c r="M34" s="3">
        <v>9.74E-2</v>
      </c>
      <c r="N34" s="2">
        <v>0</v>
      </c>
      <c r="O34" s="3">
        <v>9.74E-2</v>
      </c>
      <c r="P34" s="2">
        <v>0.6</v>
      </c>
      <c r="Q34" s="2">
        <v>0</v>
      </c>
      <c r="R34" s="2">
        <v>0.6</v>
      </c>
      <c r="S34" t="s">
        <v>736</v>
      </c>
      <c r="U34" t="s">
        <v>760</v>
      </c>
    </row>
    <row r="35" spans="1:21" x14ac:dyDescent="0.6">
      <c r="A35">
        <v>396</v>
      </c>
      <c r="B35" t="str">
        <f>"3693"</f>
        <v>3693</v>
      </c>
      <c r="C35" t="s">
        <v>482</v>
      </c>
      <c r="D35" s="1">
        <v>42923</v>
      </c>
      <c r="E35">
        <v>58.5</v>
      </c>
      <c r="F35">
        <v>5.3</v>
      </c>
      <c r="G35" s="3">
        <v>9.9599999999999994E-2</v>
      </c>
      <c r="H35">
        <v>2015</v>
      </c>
      <c r="I35">
        <v>9.5299999999999994</v>
      </c>
      <c r="J35">
        <v>5.66</v>
      </c>
      <c r="K35">
        <v>0</v>
      </c>
      <c r="L35">
        <v>5.66</v>
      </c>
      <c r="M35" s="3">
        <v>9.6699999999999994E-2</v>
      </c>
      <c r="N35" s="2">
        <v>0</v>
      </c>
      <c r="O35" s="3">
        <v>9.6699999999999994E-2</v>
      </c>
      <c r="P35" s="3">
        <v>0.59399999999999997</v>
      </c>
      <c r="Q35" s="2">
        <v>0</v>
      </c>
      <c r="R35" s="3">
        <v>0.59399999999999997</v>
      </c>
      <c r="S35" t="s">
        <v>726</v>
      </c>
      <c r="U35" t="s">
        <v>778</v>
      </c>
    </row>
    <row r="36" spans="1:21" x14ac:dyDescent="0.6">
      <c r="A36">
        <v>147</v>
      </c>
      <c r="B36" t="str">
        <f>"4987"</f>
        <v>4987</v>
      </c>
      <c r="C36" t="s">
        <v>215</v>
      </c>
      <c r="D36" s="1">
        <v>42923</v>
      </c>
      <c r="E36">
        <v>51.8</v>
      </c>
      <c r="F36">
        <v>0.3</v>
      </c>
      <c r="G36" s="3">
        <v>5.7999999999999996E-3</v>
      </c>
      <c r="H36">
        <v>2015</v>
      </c>
      <c r="I36">
        <v>7.52</v>
      </c>
      <c r="J36">
        <v>5</v>
      </c>
      <c r="K36">
        <v>0.5</v>
      </c>
      <c r="L36">
        <v>5.5</v>
      </c>
      <c r="M36" s="3">
        <v>9.6500000000000002E-2</v>
      </c>
      <c r="N36" s="3">
        <v>9.7000000000000003E-3</v>
      </c>
      <c r="O36" s="3">
        <v>0.106</v>
      </c>
      <c r="P36" s="3">
        <v>0.66500000000000004</v>
      </c>
      <c r="Q36" s="3">
        <v>6.6500000000000004E-2</v>
      </c>
      <c r="R36" s="3">
        <v>0.73099999999999998</v>
      </c>
      <c r="S36" t="s">
        <v>758</v>
      </c>
      <c r="T36" t="s">
        <v>758</v>
      </c>
      <c r="U36" t="s">
        <v>760</v>
      </c>
    </row>
    <row r="37" spans="1:21" x14ac:dyDescent="0.6">
      <c r="A37">
        <v>279</v>
      </c>
      <c r="B37" t="str">
        <f>"4432"</f>
        <v>4432</v>
      </c>
      <c r="C37" t="s">
        <v>359</v>
      </c>
      <c r="D37" s="1">
        <v>42923</v>
      </c>
      <c r="E37">
        <v>41.5</v>
      </c>
      <c r="F37">
        <v>-0.2</v>
      </c>
      <c r="G37" s="3">
        <v>-4.7999999999999996E-3</v>
      </c>
      <c r="H37">
        <v>2015</v>
      </c>
      <c r="I37">
        <v>5.54</v>
      </c>
      <c r="J37">
        <v>4</v>
      </c>
      <c r="K37">
        <v>0.5</v>
      </c>
      <c r="L37">
        <v>4.5</v>
      </c>
      <c r="M37" s="3">
        <v>9.64E-2</v>
      </c>
      <c r="N37" s="3">
        <v>1.2E-2</v>
      </c>
      <c r="O37" s="3">
        <v>0.108</v>
      </c>
      <c r="P37" s="3">
        <v>0.72199999999999998</v>
      </c>
      <c r="Q37" s="3">
        <v>9.0300000000000005E-2</v>
      </c>
      <c r="R37" s="3">
        <v>0.81200000000000006</v>
      </c>
      <c r="S37" t="s">
        <v>711</v>
      </c>
      <c r="T37" t="s">
        <v>711</v>
      </c>
      <c r="U37" t="s">
        <v>730</v>
      </c>
    </row>
    <row r="38" spans="1:21" x14ac:dyDescent="0.6">
      <c r="A38">
        <v>363</v>
      </c>
      <c r="B38" t="str">
        <f>"5471"</f>
        <v>5471</v>
      </c>
      <c r="C38" t="s">
        <v>446</v>
      </c>
      <c r="D38" s="1">
        <v>42923</v>
      </c>
      <c r="E38">
        <v>33.700000000000003</v>
      </c>
      <c r="F38">
        <v>-0.2</v>
      </c>
      <c r="G38" s="3">
        <v>-5.8999999999999999E-3</v>
      </c>
      <c r="H38">
        <v>2015</v>
      </c>
      <c r="I38">
        <v>3.12</v>
      </c>
      <c r="J38">
        <v>3.2</v>
      </c>
      <c r="K38">
        <v>0</v>
      </c>
      <c r="L38">
        <v>3.2</v>
      </c>
      <c r="M38" s="3">
        <v>9.5000000000000001E-2</v>
      </c>
      <c r="N38" s="2">
        <v>0</v>
      </c>
      <c r="O38" s="3">
        <v>9.5000000000000001E-2</v>
      </c>
      <c r="P38" s="2">
        <v>1.03</v>
      </c>
      <c r="Q38" s="2">
        <v>0</v>
      </c>
      <c r="R38" s="2">
        <v>1.03</v>
      </c>
      <c r="S38" t="s">
        <v>694</v>
      </c>
      <c r="U38" t="s">
        <v>745</v>
      </c>
    </row>
    <row r="39" spans="1:21" x14ac:dyDescent="0.6">
      <c r="A39">
        <v>397</v>
      </c>
      <c r="B39" t="str">
        <f>"6432"</f>
        <v>6432</v>
      </c>
      <c r="C39" t="s">
        <v>483</v>
      </c>
      <c r="D39" s="1">
        <v>42923</v>
      </c>
      <c r="E39">
        <v>19.5</v>
      </c>
      <c r="F39">
        <v>0.05</v>
      </c>
      <c r="G39" s="3">
        <v>2.5999999999999999E-3</v>
      </c>
      <c r="H39">
        <v>2015</v>
      </c>
      <c r="I39">
        <v>3.38</v>
      </c>
      <c r="J39">
        <v>1.85</v>
      </c>
      <c r="K39">
        <v>0</v>
      </c>
      <c r="L39">
        <v>1.85</v>
      </c>
      <c r="M39" s="3">
        <v>9.5000000000000001E-2</v>
      </c>
      <c r="N39" s="2">
        <v>0</v>
      </c>
      <c r="O39" s="3">
        <v>9.5000000000000001E-2</v>
      </c>
      <c r="P39" s="3">
        <v>0.54700000000000004</v>
      </c>
      <c r="Q39" s="2">
        <v>0</v>
      </c>
      <c r="R39" s="3">
        <v>0.54700000000000004</v>
      </c>
      <c r="S39" t="s">
        <v>750</v>
      </c>
      <c r="U39" t="s">
        <v>749</v>
      </c>
    </row>
    <row r="40" spans="1:21" x14ac:dyDescent="0.6">
      <c r="A40">
        <v>121</v>
      </c>
      <c r="B40" t="str">
        <f>"3628"</f>
        <v>3628</v>
      </c>
      <c r="C40" t="s">
        <v>186</v>
      </c>
      <c r="D40" s="1">
        <v>42923</v>
      </c>
      <c r="E40">
        <v>42.3</v>
      </c>
      <c r="F40">
        <v>-0.5</v>
      </c>
      <c r="G40" s="3">
        <v>-1.17E-2</v>
      </c>
      <c r="H40">
        <v>2015</v>
      </c>
      <c r="I40">
        <v>4.71</v>
      </c>
      <c r="J40">
        <v>4</v>
      </c>
      <c r="K40">
        <v>0</v>
      </c>
      <c r="L40">
        <v>4</v>
      </c>
      <c r="M40" s="3">
        <v>9.4600000000000004E-2</v>
      </c>
      <c r="N40" s="2">
        <v>0</v>
      </c>
      <c r="O40" s="3">
        <v>9.4600000000000004E-2</v>
      </c>
      <c r="P40" s="3">
        <v>0.84899999999999998</v>
      </c>
      <c r="Q40" s="2">
        <v>0</v>
      </c>
      <c r="R40" s="3">
        <v>0.84899999999999998</v>
      </c>
      <c r="S40" t="s">
        <v>692</v>
      </c>
      <c r="U40" t="s">
        <v>747</v>
      </c>
    </row>
    <row r="41" spans="1:21" x14ac:dyDescent="0.6">
      <c r="A41">
        <v>9</v>
      </c>
      <c r="B41" t="str">
        <f>"2545"</f>
        <v>2545</v>
      </c>
      <c r="C41" t="s">
        <v>33</v>
      </c>
      <c r="D41" s="1">
        <v>42923</v>
      </c>
      <c r="E41">
        <v>42.4</v>
      </c>
      <c r="F41">
        <v>0.15</v>
      </c>
      <c r="G41" s="3">
        <v>3.5999999999999999E-3</v>
      </c>
      <c r="H41">
        <v>2015</v>
      </c>
      <c r="I41">
        <v>5.6</v>
      </c>
      <c r="J41">
        <v>4</v>
      </c>
      <c r="K41">
        <v>0</v>
      </c>
      <c r="L41">
        <v>4</v>
      </c>
      <c r="M41" s="3">
        <v>9.4299999999999995E-2</v>
      </c>
      <c r="N41" s="2">
        <v>0</v>
      </c>
      <c r="O41" s="3">
        <v>9.4299999999999995E-2</v>
      </c>
      <c r="P41" s="3">
        <v>0.71399999999999997</v>
      </c>
      <c r="Q41" s="2">
        <v>0</v>
      </c>
      <c r="R41" s="3">
        <v>0.71399999999999997</v>
      </c>
      <c r="S41" t="s">
        <v>691</v>
      </c>
      <c r="U41" t="s">
        <v>701</v>
      </c>
    </row>
    <row r="42" spans="1:21" x14ac:dyDescent="0.6">
      <c r="A42">
        <v>125</v>
      </c>
      <c r="B42" t="str">
        <f>"2024"</f>
        <v>2024</v>
      </c>
      <c r="C42" t="s">
        <v>191</v>
      </c>
      <c r="D42" s="1">
        <v>42923</v>
      </c>
      <c r="E42">
        <v>8.5</v>
      </c>
      <c r="F42">
        <v>-0.06</v>
      </c>
      <c r="G42" s="3">
        <v>-7.0000000000000001E-3</v>
      </c>
      <c r="H42">
        <v>2015</v>
      </c>
      <c r="I42">
        <v>1.26</v>
      </c>
      <c r="J42">
        <v>0.8</v>
      </c>
      <c r="K42">
        <v>0</v>
      </c>
      <c r="L42">
        <v>0.8</v>
      </c>
      <c r="M42" s="3">
        <v>9.4100000000000003E-2</v>
      </c>
      <c r="N42" s="2">
        <v>0</v>
      </c>
      <c r="O42" s="3">
        <v>9.4100000000000003E-2</v>
      </c>
      <c r="P42" s="3">
        <v>0.63500000000000001</v>
      </c>
      <c r="Q42" s="2">
        <v>0</v>
      </c>
      <c r="R42" s="3">
        <v>0.63500000000000001</v>
      </c>
      <c r="S42" t="s">
        <v>710</v>
      </c>
      <c r="U42" t="s">
        <v>695</v>
      </c>
    </row>
    <row r="43" spans="1:21" x14ac:dyDescent="0.6">
      <c r="A43">
        <v>292</v>
      </c>
      <c r="B43" t="str">
        <f>"8103"</f>
        <v>8103</v>
      </c>
      <c r="C43" t="s">
        <v>374</v>
      </c>
      <c r="D43" s="1">
        <v>42923</v>
      </c>
      <c r="E43">
        <v>31.5</v>
      </c>
      <c r="F43">
        <v>-0.2</v>
      </c>
      <c r="G43" s="3">
        <v>-6.3E-3</v>
      </c>
      <c r="H43">
        <v>2015</v>
      </c>
      <c r="I43">
        <v>5.18</v>
      </c>
      <c r="J43">
        <v>2.93</v>
      </c>
      <c r="K43">
        <v>0</v>
      </c>
      <c r="L43">
        <v>2.93</v>
      </c>
      <c r="M43" s="3">
        <v>9.3200000000000005E-2</v>
      </c>
      <c r="N43" s="2">
        <v>0</v>
      </c>
      <c r="O43" s="3">
        <v>9.3200000000000005E-2</v>
      </c>
      <c r="P43" s="3">
        <v>0.56599999999999995</v>
      </c>
      <c r="Q43" s="2">
        <v>0</v>
      </c>
      <c r="R43" s="3">
        <v>0.56599999999999995</v>
      </c>
      <c r="S43" t="s">
        <v>745</v>
      </c>
      <c r="U43" t="s">
        <v>717</v>
      </c>
    </row>
    <row r="44" spans="1:21" x14ac:dyDescent="0.6">
      <c r="A44">
        <v>19</v>
      </c>
      <c r="B44" t="str">
        <f>"5371"</f>
        <v>5371</v>
      </c>
      <c r="C44" t="s">
        <v>50</v>
      </c>
      <c r="D44" s="1">
        <v>42923</v>
      </c>
      <c r="E44">
        <v>37.65</v>
      </c>
      <c r="F44">
        <v>-0.8</v>
      </c>
      <c r="G44" s="3">
        <v>-2.0799999999999999E-2</v>
      </c>
      <c r="H44">
        <v>2015</v>
      </c>
      <c r="I44">
        <v>4.46</v>
      </c>
      <c r="J44">
        <v>3.5</v>
      </c>
      <c r="K44">
        <v>0</v>
      </c>
      <c r="L44">
        <v>3.5</v>
      </c>
      <c r="M44" s="3">
        <v>9.2999999999999999E-2</v>
      </c>
      <c r="N44" s="2">
        <v>0</v>
      </c>
      <c r="O44" s="3">
        <v>9.2999999999999999E-2</v>
      </c>
      <c r="P44" s="3">
        <v>0.78500000000000003</v>
      </c>
      <c r="Q44" s="2">
        <v>0</v>
      </c>
      <c r="R44" s="3">
        <v>0.78500000000000003</v>
      </c>
      <c r="S44" t="s">
        <v>712</v>
      </c>
      <c r="U44" t="s">
        <v>713</v>
      </c>
    </row>
    <row r="45" spans="1:21" x14ac:dyDescent="0.6">
      <c r="A45">
        <v>212</v>
      </c>
      <c r="B45" t="str">
        <f>"8099"</f>
        <v>8099</v>
      </c>
      <c r="C45" t="s">
        <v>291</v>
      </c>
      <c r="D45" s="1">
        <v>42923</v>
      </c>
      <c r="E45">
        <v>18.350000000000001</v>
      </c>
      <c r="F45">
        <v>-0.15</v>
      </c>
      <c r="G45" s="3">
        <v>-8.0999999999999996E-3</v>
      </c>
      <c r="H45">
        <v>2015</v>
      </c>
      <c r="I45">
        <v>1.59</v>
      </c>
      <c r="J45">
        <v>1.7</v>
      </c>
      <c r="K45">
        <v>0</v>
      </c>
      <c r="L45">
        <v>1.7</v>
      </c>
      <c r="M45" s="3">
        <v>9.2600000000000002E-2</v>
      </c>
      <c r="N45" s="2">
        <v>0</v>
      </c>
      <c r="O45" s="3">
        <v>9.2600000000000002E-2</v>
      </c>
      <c r="P45" s="2">
        <v>1.07</v>
      </c>
      <c r="Q45" s="2">
        <v>0</v>
      </c>
      <c r="R45" s="2">
        <v>1.07</v>
      </c>
      <c r="S45" t="s">
        <v>746</v>
      </c>
      <c r="U45" t="s">
        <v>741</v>
      </c>
    </row>
    <row r="46" spans="1:21" x14ac:dyDescent="0.6">
      <c r="A46">
        <v>114</v>
      </c>
      <c r="B46" t="str">
        <f>"8032"</f>
        <v>8032</v>
      </c>
      <c r="C46" t="s">
        <v>178</v>
      </c>
      <c r="D46" s="1">
        <v>42923</v>
      </c>
      <c r="E46">
        <v>24.95</v>
      </c>
      <c r="F46">
        <v>-0.25</v>
      </c>
      <c r="G46" s="3">
        <v>-9.9000000000000008E-3</v>
      </c>
      <c r="H46">
        <v>2015</v>
      </c>
      <c r="I46">
        <v>3.76</v>
      </c>
      <c r="J46">
        <v>2.2999999999999998</v>
      </c>
      <c r="K46">
        <v>0</v>
      </c>
      <c r="L46">
        <v>2.2999999999999998</v>
      </c>
      <c r="M46" s="3">
        <v>9.2200000000000004E-2</v>
      </c>
      <c r="N46" s="2">
        <v>0</v>
      </c>
      <c r="O46" s="3">
        <v>9.2200000000000004E-2</v>
      </c>
      <c r="P46" s="3">
        <v>0.61199999999999999</v>
      </c>
      <c r="Q46" s="2">
        <v>0</v>
      </c>
      <c r="R46" s="3">
        <v>0.61199999999999999</v>
      </c>
      <c r="S46" t="s">
        <v>736</v>
      </c>
      <c r="U46" t="s">
        <v>695</v>
      </c>
    </row>
    <row r="47" spans="1:21" x14ac:dyDescent="0.6">
      <c r="A47">
        <v>362</v>
      </c>
      <c r="B47" t="str">
        <f>"6195"</f>
        <v>6195</v>
      </c>
      <c r="C47" t="s">
        <v>445</v>
      </c>
      <c r="D47" s="1">
        <v>42923</v>
      </c>
      <c r="E47">
        <v>56</v>
      </c>
      <c r="F47">
        <v>-0.2</v>
      </c>
      <c r="G47" s="3">
        <v>-3.5999999999999999E-3</v>
      </c>
      <c r="H47">
        <v>2015</v>
      </c>
      <c r="I47">
        <v>6.11</v>
      </c>
      <c r="J47">
        <v>5.1100000000000003</v>
      </c>
      <c r="K47">
        <v>0</v>
      </c>
      <c r="L47">
        <v>5.1100000000000003</v>
      </c>
      <c r="M47" s="3">
        <v>9.1300000000000006E-2</v>
      </c>
      <c r="N47" s="2">
        <v>0</v>
      </c>
      <c r="O47" s="3">
        <v>9.1300000000000006E-2</v>
      </c>
      <c r="P47" s="3">
        <v>0.83599999999999997</v>
      </c>
      <c r="Q47" s="2">
        <v>0</v>
      </c>
      <c r="R47" s="3">
        <v>0.83599999999999997</v>
      </c>
      <c r="S47" t="s">
        <v>690</v>
      </c>
      <c r="U47" t="s">
        <v>713</v>
      </c>
    </row>
    <row r="48" spans="1:21" x14ac:dyDescent="0.6">
      <c r="A48">
        <v>21</v>
      </c>
      <c r="B48" t="str">
        <f>"5215"</f>
        <v>5215</v>
      </c>
      <c r="C48" t="s">
        <v>53</v>
      </c>
      <c r="D48" s="1">
        <v>42923</v>
      </c>
      <c r="E48">
        <v>32.950000000000003</v>
      </c>
      <c r="F48">
        <v>0.05</v>
      </c>
      <c r="G48" s="3">
        <v>1.5E-3</v>
      </c>
      <c r="H48">
        <v>2015</v>
      </c>
      <c r="I48">
        <v>4.28</v>
      </c>
      <c r="J48">
        <v>3</v>
      </c>
      <c r="K48">
        <v>0</v>
      </c>
      <c r="L48">
        <v>3</v>
      </c>
      <c r="M48" s="3">
        <v>9.0999999999999998E-2</v>
      </c>
      <c r="N48" s="2">
        <v>0</v>
      </c>
      <c r="O48" s="3">
        <v>9.0999999999999998E-2</v>
      </c>
      <c r="P48" s="3">
        <v>0.70099999999999996</v>
      </c>
      <c r="Q48" s="2">
        <v>0</v>
      </c>
      <c r="R48" s="3">
        <v>0.70099999999999996</v>
      </c>
      <c r="S48" t="s">
        <v>714</v>
      </c>
      <c r="U48" t="s">
        <v>715</v>
      </c>
    </row>
    <row r="49" spans="1:21" x14ac:dyDescent="0.6">
      <c r="A49">
        <v>258</v>
      </c>
      <c r="B49" t="str">
        <f>"6185"</f>
        <v>6185</v>
      </c>
      <c r="C49" t="s">
        <v>337</v>
      </c>
      <c r="D49" s="1">
        <v>42923</v>
      </c>
      <c r="E49">
        <v>22</v>
      </c>
      <c r="F49">
        <v>-0.1</v>
      </c>
      <c r="G49" s="3">
        <v>-4.4999999999999997E-3</v>
      </c>
      <c r="H49">
        <v>2015</v>
      </c>
      <c r="I49">
        <v>3.11</v>
      </c>
      <c r="J49">
        <v>2</v>
      </c>
      <c r="K49">
        <v>0.5</v>
      </c>
      <c r="L49">
        <v>2.5</v>
      </c>
      <c r="M49" s="3">
        <v>9.0899999999999995E-2</v>
      </c>
      <c r="N49" s="3">
        <v>2.2700000000000001E-2</v>
      </c>
      <c r="O49" s="3">
        <v>0.114</v>
      </c>
      <c r="P49" s="3">
        <v>0.64300000000000002</v>
      </c>
      <c r="Q49" s="3">
        <v>0.161</v>
      </c>
      <c r="R49" s="3">
        <v>0.80400000000000005</v>
      </c>
      <c r="S49" t="s">
        <v>710</v>
      </c>
      <c r="T49" t="s">
        <v>710</v>
      </c>
      <c r="U49" t="s">
        <v>763</v>
      </c>
    </row>
    <row r="50" spans="1:21" x14ac:dyDescent="0.6">
      <c r="A50">
        <v>227</v>
      </c>
      <c r="B50" t="str">
        <f>"2904"</f>
        <v>2904</v>
      </c>
      <c r="C50" t="s">
        <v>306</v>
      </c>
      <c r="D50" s="1">
        <v>42923</v>
      </c>
      <c r="E50">
        <v>22.2</v>
      </c>
      <c r="F50">
        <v>0.2</v>
      </c>
      <c r="G50" s="3">
        <v>9.1000000000000004E-3</v>
      </c>
      <c r="H50">
        <v>2015</v>
      </c>
      <c r="I50">
        <v>2.2200000000000002</v>
      </c>
      <c r="J50">
        <v>2</v>
      </c>
      <c r="K50">
        <v>0</v>
      </c>
      <c r="L50">
        <v>2</v>
      </c>
      <c r="M50" s="3">
        <v>9.01E-2</v>
      </c>
      <c r="N50" s="2">
        <v>0</v>
      </c>
      <c r="O50" s="3">
        <v>9.01E-2</v>
      </c>
      <c r="P50" s="3">
        <v>0.90100000000000002</v>
      </c>
      <c r="Q50" s="2">
        <v>0</v>
      </c>
      <c r="R50" s="3">
        <v>0.90100000000000002</v>
      </c>
      <c r="S50" t="s">
        <v>710</v>
      </c>
      <c r="U50" t="s">
        <v>715</v>
      </c>
    </row>
    <row r="51" spans="1:21" x14ac:dyDescent="0.6">
      <c r="A51">
        <v>62</v>
      </c>
      <c r="B51" t="str">
        <f>"3028"</f>
        <v>3028</v>
      </c>
      <c r="C51" t="s">
        <v>116</v>
      </c>
      <c r="D51" s="1">
        <v>42923</v>
      </c>
      <c r="E51">
        <v>18.899999999999999</v>
      </c>
      <c r="F51">
        <v>-0.05</v>
      </c>
      <c r="G51" s="3">
        <v>-2.5999999999999999E-3</v>
      </c>
      <c r="H51">
        <v>2015</v>
      </c>
      <c r="I51">
        <v>1.71</v>
      </c>
      <c r="J51">
        <v>1.7</v>
      </c>
      <c r="K51">
        <v>0</v>
      </c>
      <c r="L51">
        <v>1.7</v>
      </c>
      <c r="M51" s="3">
        <v>8.9899999999999994E-2</v>
      </c>
      <c r="N51" s="2">
        <v>0</v>
      </c>
      <c r="O51" s="3">
        <v>8.9899999999999994E-2</v>
      </c>
      <c r="P51" s="3">
        <v>0.99399999999999999</v>
      </c>
      <c r="Q51" s="2">
        <v>0</v>
      </c>
      <c r="R51" s="3">
        <v>0.99399999999999999</v>
      </c>
      <c r="S51" t="s">
        <v>751</v>
      </c>
      <c r="U51" t="s">
        <v>729</v>
      </c>
    </row>
    <row r="52" spans="1:21" x14ac:dyDescent="0.6">
      <c r="A52">
        <v>96</v>
      </c>
      <c r="B52" t="str">
        <f>"8081"</f>
        <v>8081</v>
      </c>
      <c r="C52" t="s">
        <v>159</v>
      </c>
      <c r="D52" s="1">
        <v>42923</v>
      </c>
      <c r="E52">
        <v>67.3</v>
      </c>
      <c r="F52">
        <v>-0.4</v>
      </c>
      <c r="G52" s="3">
        <v>-5.8999999999999999E-3</v>
      </c>
      <c r="H52">
        <v>2015</v>
      </c>
      <c r="I52">
        <v>7.09</v>
      </c>
      <c r="J52">
        <v>6</v>
      </c>
      <c r="K52">
        <v>0</v>
      </c>
      <c r="L52">
        <v>6</v>
      </c>
      <c r="M52" s="3">
        <v>8.9200000000000002E-2</v>
      </c>
      <c r="N52" s="2">
        <v>0</v>
      </c>
      <c r="O52" s="3">
        <v>8.9200000000000002E-2</v>
      </c>
      <c r="P52" s="3">
        <v>0.84599999999999997</v>
      </c>
      <c r="Q52" s="2">
        <v>0</v>
      </c>
      <c r="R52" s="3">
        <v>0.84599999999999997</v>
      </c>
      <c r="S52" t="s">
        <v>751</v>
      </c>
      <c r="U52" t="s">
        <v>755</v>
      </c>
    </row>
    <row r="53" spans="1:21" x14ac:dyDescent="0.6">
      <c r="A53">
        <v>288</v>
      </c>
      <c r="B53" t="str">
        <f>"9188"</f>
        <v>9188</v>
      </c>
      <c r="C53" t="s">
        <v>370</v>
      </c>
      <c r="D53" s="1">
        <v>42923</v>
      </c>
      <c r="E53">
        <v>4.8499999999999996</v>
      </c>
      <c r="F53">
        <v>0</v>
      </c>
      <c r="G53" s="2">
        <v>0</v>
      </c>
      <c r="H53">
        <v>2015</v>
      </c>
      <c r="J53">
        <v>0.42</v>
      </c>
      <c r="K53">
        <v>0</v>
      </c>
      <c r="L53">
        <v>0.42</v>
      </c>
      <c r="M53" s="3">
        <v>8.6099999999999996E-2</v>
      </c>
      <c r="N53" s="2">
        <v>0</v>
      </c>
      <c r="O53" s="3">
        <v>8.6099999999999996E-2</v>
      </c>
      <c r="S53" t="s">
        <v>769</v>
      </c>
    </row>
    <row r="54" spans="1:21" x14ac:dyDescent="0.6">
      <c r="A54">
        <v>23</v>
      </c>
      <c r="B54" t="str">
        <f>"2536"</f>
        <v>2536</v>
      </c>
      <c r="C54" t="s">
        <v>56</v>
      </c>
      <c r="D54" s="1">
        <v>42923</v>
      </c>
      <c r="E54">
        <v>23.3</v>
      </c>
      <c r="F54">
        <v>-0.15</v>
      </c>
      <c r="G54" s="3">
        <v>-6.4000000000000003E-3</v>
      </c>
      <c r="H54">
        <v>2015</v>
      </c>
      <c r="I54">
        <v>3.46</v>
      </c>
      <c r="J54">
        <v>2</v>
      </c>
      <c r="K54">
        <v>0</v>
      </c>
      <c r="L54">
        <v>2</v>
      </c>
      <c r="M54" s="3">
        <v>8.5800000000000001E-2</v>
      </c>
      <c r="N54" s="2">
        <v>0</v>
      </c>
      <c r="O54" s="3">
        <v>8.5800000000000001E-2</v>
      </c>
      <c r="P54" s="3">
        <v>0.57799999999999996</v>
      </c>
      <c r="Q54" s="2">
        <v>0</v>
      </c>
      <c r="R54" s="3">
        <v>0.57799999999999996</v>
      </c>
      <c r="S54" t="s">
        <v>718</v>
      </c>
      <c r="U54" t="s">
        <v>692</v>
      </c>
    </row>
    <row r="55" spans="1:21" x14ac:dyDescent="0.6">
      <c r="A55">
        <v>111</v>
      </c>
      <c r="B55" t="str">
        <f>"8249"</f>
        <v>8249</v>
      </c>
      <c r="C55" t="s">
        <v>175</v>
      </c>
      <c r="D55" s="1">
        <v>42923</v>
      </c>
      <c r="E55">
        <v>22.15</v>
      </c>
      <c r="F55">
        <v>-0.05</v>
      </c>
      <c r="G55" s="3">
        <v>-2.3E-3</v>
      </c>
      <c r="H55">
        <v>2015</v>
      </c>
      <c r="I55">
        <v>2.4300000000000002</v>
      </c>
      <c r="J55">
        <v>1.9</v>
      </c>
      <c r="K55">
        <v>0</v>
      </c>
      <c r="L55">
        <v>1.9</v>
      </c>
      <c r="M55" s="3">
        <v>8.5800000000000001E-2</v>
      </c>
      <c r="N55" s="2">
        <v>0</v>
      </c>
      <c r="O55" s="3">
        <v>8.5800000000000001E-2</v>
      </c>
      <c r="P55" s="3">
        <v>0.78200000000000003</v>
      </c>
      <c r="Q55" s="2">
        <v>0</v>
      </c>
      <c r="R55" s="3">
        <v>0.78200000000000003</v>
      </c>
      <c r="S55" t="s">
        <v>714</v>
      </c>
      <c r="U55" t="s">
        <v>695</v>
      </c>
    </row>
    <row r="56" spans="1:21" x14ac:dyDescent="0.6">
      <c r="A56">
        <v>93</v>
      </c>
      <c r="B56" t="str">
        <f>"6486"</f>
        <v>6486</v>
      </c>
      <c r="C56" t="s">
        <v>156</v>
      </c>
      <c r="D56" s="1">
        <v>42923</v>
      </c>
      <c r="E56">
        <v>46.8</v>
      </c>
      <c r="F56">
        <v>-1.95</v>
      </c>
      <c r="G56" s="2">
        <v>-0.04</v>
      </c>
      <c r="H56">
        <v>2015</v>
      </c>
      <c r="I56">
        <v>4.82</v>
      </c>
      <c r="J56">
        <v>4</v>
      </c>
      <c r="K56">
        <v>0</v>
      </c>
      <c r="L56">
        <v>4</v>
      </c>
      <c r="M56" s="3">
        <v>8.5500000000000007E-2</v>
      </c>
      <c r="N56" s="2">
        <v>0</v>
      </c>
      <c r="O56" s="3">
        <v>8.5500000000000007E-2</v>
      </c>
      <c r="P56" s="2">
        <v>0.83</v>
      </c>
      <c r="Q56" s="2">
        <v>0</v>
      </c>
      <c r="R56" s="2">
        <v>0.83</v>
      </c>
      <c r="S56" t="s">
        <v>724</v>
      </c>
      <c r="U56" t="s">
        <v>695</v>
      </c>
    </row>
    <row r="57" spans="1:21" x14ac:dyDescent="0.6">
      <c r="A57">
        <v>22</v>
      </c>
      <c r="B57" t="str">
        <f>"6292"</f>
        <v>6292</v>
      </c>
      <c r="C57" t="s">
        <v>54</v>
      </c>
      <c r="D57" s="1">
        <v>42923</v>
      </c>
      <c r="E57">
        <v>35.200000000000003</v>
      </c>
      <c r="F57">
        <v>-0.1</v>
      </c>
      <c r="G57" s="3">
        <v>-2.8E-3</v>
      </c>
      <c r="H57">
        <v>2015</v>
      </c>
      <c r="I57">
        <v>3.31</v>
      </c>
      <c r="J57">
        <v>3</v>
      </c>
      <c r="K57">
        <v>0</v>
      </c>
      <c r="L57">
        <v>3</v>
      </c>
      <c r="M57" s="3">
        <v>8.5199999999999998E-2</v>
      </c>
      <c r="N57" s="2">
        <v>0</v>
      </c>
      <c r="O57" s="3">
        <v>8.5199999999999998E-2</v>
      </c>
      <c r="P57" s="3">
        <v>0.90600000000000003</v>
      </c>
      <c r="Q57" s="2">
        <v>0</v>
      </c>
      <c r="R57" s="3">
        <v>0.90600000000000003</v>
      </c>
      <c r="S57" t="s">
        <v>716</v>
      </c>
      <c r="U57" t="s">
        <v>717</v>
      </c>
    </row>
    <row r="58" spans="1:21" x14ac:dyDescent="0.6">
      <c r="A58">
        <v>192</v>
      </c>
      <c r="B58" t="str">
        <f>"8928"</f>
        <v>8928</v>
      </c>
      <c r="C58" t="s">
        <v>269</v>
      </c>
      <c r="D58" s="1">
        <v>42923</v>
      </c>
      <c r="E58">
        <v>23.75</v>
      </c>
      <c r="F58">
        <v>2.15</v>
      </c>
      <c r="G58" s="3">
        <v>9.9500000000000005E-2</v>
      </c>
      <c r="H58">
        <v>2015</v>
      </c>
      <c r="I58">
        <v>4.25</v>
      </c>
      <c r="J58">
        <v>2</v>
      </c>
      <c r="K58">
        <v>0</v>
      </c>
      <c r="L58">
        <v>2</v>
      </c>
      <c r="M58" s="3">
        <v>8.4199999999999997E-2</v>
      </c>
      <c r="N58" s="2">
        <v>0</v>
      </c>
      <c r="O58" s="3">
        <v>8.4199999999999997E-2</v>
      </c>
      <c r="P58" s="3">
        <v>0.47099999999999997</v>
      </c>
      <c r="Q58" s="2">
        <v>0</v>
      </c>
      <c r="R58" s="3">
        <v>0.47099999999999997</v>
      </c>
      <c r="S58" t="s">
        <v>698</v>
      </c>
      <c r="U58" t="s">
        <v>735</v>
      </c>
    </row>
    <row r="59" spans="1:21" x14ac:dyDescent="0.6">
      <c r="A59">
        <v>3</v>
      </c>
      <c r="B59" t="str">
        <f>"2596"</f>
        <v>2596</v>
      </c>
      <c r="C59" t="s">
        <v>25</v>
      </c>
      <c r="D59" s="1">
        <v>42923</v>
      </c>
      <c r="E59">
        <v>17.850000000000001</v>
      </c>
      <c r="F59">
        <v>-0.4</v>
      </c>
      <c r="G59" s="3">
        <v>-2.1899999999999999E-2</v>
      </c>
      <c r="H59">
        <v>2015</v>
      </c>
      <c r="I59">
        <v>2.4300000000000002</v>
      </c>
      <c r="J59">
        <v>1.5</v>
      </c>
      <c r="K59">
        <v>0</v>
      </c>
      <c r="L59">
        <v>1.5</v>
      </c>
      <c r="M59" s="3">
        <v>8.4000000000000005E-2</v>
      </c>
      <c r="N59" s="2">
        <v>0</v>
      </c>
      <c r="O59" s="3">
        <v>8.4000000000000005E-2</v>
      </c>
      <c r="P59" s="3">
        <v>0.61699999999999999</v>
      </c>
      <c r="Q59" s="2">
        <v>0</v>
      </c>
      <c r="R59" s="3">
        <v>0.61699999999999999</v>
      </c>
      <c r="S59" t="s">
        <v>694</v>
      </c>
      <c r="U59" t="s">
        <v>695</v>
      </c>
    </row>
    <row r="60" spans="1:21" x14ac:dyDescent="0.6">
      <c r="A60">
        <v>183</v>
      </c>
      <c r="B60" t="str">
        <f>"2451"</f>
        <v>2451</v>
      </c>
      <c r="C60" t="s">
        <v>259</v>
      </c>
      <c r="D60" s="1">
        <v>42923</v>
      </c>
      <c r="E60">
        <v>93.7</v>
      </c>
      <c r="F60">
        <v>0.2</v>
      </c>
      <c r="G60" s="3">
        <v>2.0999999999999999E-3</v>
      </c>
      <c r="H60">
        <v>2015</v>
      </c>
      <c r="I60">
        <v>8.67</v>
      </c>
      <c r="J60">
        <v>7.8</v>
      </c>
      <c r="K60">
        <v>0</v>
      </c>
      <c r="L60">
        <v>7.8</v>
      </c>
      <c r="M60" s="3">
        <v>8.3199999999999996E-2</v>
      </c>
      <c r="N60" s="2">
        <v>0</v>
      </c>
      <c r="O60" s="3">
        <v>8.3199999999999996E-2</v>
      </c>
      <c r="P60" s="2">
        <v>0.9</v>
      </c>
      <c r="Q60" s="2">
        <v>0</v>
      </c>
      <c r="R60" s="2">
        <v>0.9</v>
      </c>
      <c r="S60" t="s">
        <v>756</v>
      </c>
      <c r="U60" t="s">
        <v>691</v>
      </c>
    </row>
    <row r="61" spans="1:21" x14ac:dyDescent="0.6">
      <c r="A61">
        <v>44</v>
      </c>
      <c r="B61" t="str">
        <f>"5487"</f>
        <v>5487</v>
      </c>
      <c r="C61" t="s">
        <v>90</v>
      </c>
      <c r="D61" s="1">
        <v>42923</v>
      </c>
      <c r="E61">
        <v>24.2</v>
      </c>
      <c r="F61">
        <v>0.35</v>
      </c>
      <c r="G61" s="3">
        <v>1.47E-2</v>
      </c>
      <c r="H61">
        <v>2015</v>
      </c>
      <c r="I61">
        <v>1.86</v>
      </c>
      <c r="J61">
        <v>2</v>
      </c>
      <c r="K61">
        <v>0</v>
      </c>
      <c r="L61">
        <v>2</v>
      </c>
      <c r="M61" s="3">
        <v>8.2600000000000007E-2</v>
      </c>
      <c r="N61" s="2">
        <v>0</v>
      </c>
      <c r="O61" s="3">
        <v>8.2600000000000007E-2</v>
      </c>
      <c r="P61" s="2">
        <v>1.08</v>
      </c>
      <c r="Q61" s="2">
        <v>0</v>
      </c>
      <c r="R61" s="2">
        <v>1.08</v>
      </c>
      <c r="S61" t="s">
        <v>724</v>
      </c>
      <c r="U61" t="s">
        <v>729</v>
      </c>
    </row>
    <row r="62" spans="1:21" x14ac:dyDescent="0.6">
      <c r="A62">
        <v>392</v>
      </c>
      <c r="B62" t="str">
        <f>"5512"</f>
        <v>5512</v>
      </c>
      <c r="C62" t="s">
        <v>476</v>
      </c>
      <c r="D62" s="1">
        <v>42923</v>
      </c>
      <c r="E62">
        <v>9.69</v>
      </c>
      <c r="F62">
        <v>-0.11</v>
      </c>
      <c r="G62" s="3">
        <v>-1.12E-2</v>
      </c>
      <c r="H62">
        <v>2015</v>
      </c>
      <c r="I62">
        <v>1.63</v>
      </c>
      <c r="J62">
        <v>0.8</v>
      </c>
      <c r="K62">
        <v>0</v>
      </c>
      <c r="L62">
        <v>0.8</v>
      </c>
      <c r="M62" s="3">
        <v>8.2600000000000007E-2</v>
      </c>
      <c r="N62" s="2">
        <v>0</v>
      </c>
      <c r="O62" s="3">
        <v>8.2600000000000007E-2</v>
      </c>
      <c r="P62" s="3">
        <v>0.49099999999999999</v>
      </c>
      <c r="Q62" s="2">
        <v>0</v>
      </c>
      <c r="R62" s="3">
        <v>0.49099999999999999</v>
      </c>
      <c r="S62" t="s">
        <v>748</v>
      </c>
      <c r="U62" t="s">
        <v>717</v>
      </c>
    </row>
    <row r="63" spans="1:21" x14ac:dyDescent="0.6">
      <c r="A63">
        <v>329</v>
      </c>
      <c r="B63" t="str">
        <f>"4933"</f>
        <v>4933</v>
      </c>
      <c r="C63" t="s">
        <v>411</v>
      </c>
      <c r="D63" s="1">
        <v>42923</v>
      </c>
      <c r="E63">
        <v>24.45</v>
      </c>
      <c r="F63">
        <v>-0.3</v>
      </c>
      <c r="G63" s="3">
        <v>-1.21E-2</v>
      </c>
      <c r="H63">
        <v>2015</v>
      </c>
      <c r="I63">
        <v>3.04</v>
      </c>
      <c r="J63">
        <v>2.02</v>
      </c>
      <c r="K63">
        <v>0</v>
      </c>
      <c r="L63">
        <v>2.02</v>
      </c>
      <c r="M63" s="3">
        <v>8.2500000000000004E-2</v>
      </c>
      <c r="N63" s="2">
        <v>0</v>
      </c>
      <c r="O63" s="3">
        <v>8.2500000000000004E-2</v>
      </c>
      <c r="P63" s="3">
        <v>0.66400000000000003</v>
      </c>
      <c r="Q63" s="2">
        <v>0</v>
      </c>
      <c r="R63" s="3">
        <v>0.66400000000000003</v>
      </c>
      <c r="S63" t="s">
        <v>761</v>
      </c>
      <c r="U63" t="s">
        <v>703</v>
      </c>
    </row>
    <row r="64" spans="1:21" x14ac:dyDescent="0.6">
      <c r="A64">
        <v>10</v>
      </c>
      <c r="B64" t="str">
        <f>"1808"</f>
        <v>1808</v>
      </c>
      <c r="C64" t="s">
        <v>35</v>
      </c>
      <c r="D64" s="1">
        <v>42923</v>
      </c>
      <c r="E64">
        <v>48.75</v>
      </c>
      <c r="F64">
        <v>-0.3</v>
      </c>
      <c r="G64" s="3">
        <v>-6.1000000000000004E-3</v>
      </c>
      <c r="H64">
        <v>2015</v>
      </c>
      <c r="I64">
        <v>3.73</v>
      </c>
      <c r="J64">
        <v>4.01</v>
      </c>
      <c r="K64">
        <v>0</v>
      </c>
      <c r="L64">
        <v>4.01</v>
      </c>
      <c r="M64" s="3">
        <v>8.2299999999999998E-2</v>
      </c>
      <c r="N64" s="2">
        <v>0</v>
      </c>
      <c r="O64" s="3">
        <v>8.2299999999999998E-2</v>
      </c>
      <c r="P64" s="2">
        <v>1.08</v>
      </c>
      <c r="Q64" s="2">
        <v>0</v>
      </c>
      <c r="R64" s="2">
        <v>1.08</v>
      </c>
      <c r="S64" t="s">
        <v>702</v>
      </c>
      <c r="U64" t="s">
        <v>703</v>
      </c>
    </row>
    <row r="65" spans="1:21" x14ac:dyDescent="0.6">
      <c r="A65">
        <v>152</v>
      </c>
      <c r="B65" t="str">
        <f>"6176"</f>
        <v>6176</v>
      </c>
      <c r="C65" t="s">
        <v>221</v>
      </c>
      <c r="D65" s="1">
        <v>42923</v>
      </c>
      <c r="E65">
        <v>66.900000000000006</v>
      </c>
      <c r="F65">
        <v>-0.6</v>
      </c>
      <c r="G65" s="3">
        <v>-8.8999999999999999E-3</v>
      </c>
      <c r="H65">
        <v>2015</v>
      </c>
      <c r="I65">
        <v>8.01</v>
      </c>
      <c r="J65">
        <v>5.5</v>
      </c>
      <c r="K65">
        <v>0</v>
      </c>
      <c r="L65">
        <v>5.5</v>
      </c>
      <c r="M65" s="3">
        <v>8.2199999999999995E-2</v>
      </c>
      <c r="N65" s="2">
        <v>0</v>
      </c>
      <c r="O65" s="3">
        <v>8.2199999999999995E-2</v>
      </c>
      <c r="P65" s="3">
        <v>0.68700000000000006</v>
      </c>
      <c r="Q65" s="2">
        <v>0</v>
      </c>
      <c r="R65" s="3">
        <v>0.68700000000000006</v>
      </c>
      <c r="S65" t="s">
        <v>736</v>
      </c>
      <c r="U65" t="s">
        <v>752</v>
      </c>
    </row>
    <row r="66" spans="1:21" x14ac:dyDescent="0.6">
      <c r="A66">
        <v>101</v>
      </c>
      <c r="B66" t="str">
        <f>"2034"</f>
        <v>2034</v>
      </c>
      <c r="C66" t="s">
        <v>164</v>
      </c>
      <c r="D66" s="1">
        <v>42923</v>
      </c>
      <c r="E66">
        <v>24.35</v>
      </c>
      <c r="F66">
        <v>-0.2</v>
      </c>
      <c r="G66" s="3">
        <v>-8.0999999999999996E-3</v>
      </c>
      <c r="H66">
        <v>2015</v>
      </c>
      <c r="I66">
        <v>2.66</v>
      </c>
      <c r="J66">
        <v>2</v>
      </c>
      <c r="K66">
        <v>0</v>
      </c>
      <c r="L66">
        <v>2</v>
      </c>
      <c r="M66" s="3">
        <v>8.2100000000000006E-2</v>
      </c>
      <c r="N66" s="2">
        <v>0</v>
      </c>
      <c r="O66" s="3">
        <v>8.2100000000000006E-2</v>
      </c>
      <c r="P66" s="3">
        <v>0.752</v>
      </c>
      <c r="Q66" s="2">
        <v>0</v>
      </c>
      <c r="R66" s="3">
        <v>0.752</v>
      </c>
      <c r="S66" t="s">
        <v>740</v>
      </c>
      <c r="U66" t="s">
        <v>695</v>
      </c>
    </row>
    <row r="67" spans="1:21" x14ac:dyDescent="0.6">
      <c r="A67">
        <v>52</v>
      </c>
      <c r="B67" t="str">
        <f>"6512"</f>
        <v>6512</v>
      </c>
      <c r="C67" t="s">
        <v>101</v>
      </c>
      <c r="D67" s="1">
        <v>42923</v>
      </c>
      <c r="E67">
        <v>28</v>
      </c>
      <c r="F67">
        <v>0</v>
      </c>
      <c r="G67" s="2">
        <v>0</v>
      </c>
      <c r="H67">
        <v>2015</v>
      </c>
      <c r="J67">
        <v>2.29</v>
      </c>
      <c r="K67">
        <v>0.23</v>
      </c>
      <c r="L67">
        <v>2.52</v>
      </c>
      <c r="M67" s="3">
        <v>8.1900000000000001E-2</v>
      </c>
      <c r="N67" s="3">
        <v>8.2000000000000007E-3</v>
      </c>
      <c r="O67" s="3">
        <v>9.01E-2</v>
      </c>
      <c r="S67" t="s">
        <v>741</v>
      </c>
      <c r="T67" t="s">
        <v>741</v>
      </c>
      <c r="U67" t="s">
        <v>707</v>
      </c>
    </row>
    <row r="68" spans="1:21" x14ac:dyDescent="0.6">
      <c r="A68">
        <v>289</v>
      </c>
      <c r="B68" t="str">
        <f>"3034"</f>
        <v>3034</v>
      </c>
      <c r="C68" t="s">
        <v>371</v>
      </c>
      <c r="D68" s="1">
        <v>42923</v>
      </c>
      <c r="E68">
        <v>122.5</v>
      </c>
      <c r="F68">
        <v>-2</v>
      </c>
      <c r="G68" s="3">
        <v>-1.61E-2</v>
      </c>
      <c r="H68">
        <v>2015</v>
      </c>
      <c r="I68">
        <v>11.85</v>
      </c>
      <c r="J68">
        <v>10</v>
      </c>
      <c r="K68">
        <v>0</v>
      </c>
      <c r="L68">
        <v>10</v>
      </c>
      <c r="M68" s="3">
        <v>8.1600000000000006E-2</v>
      </c>
      <c r="N68" s="2">
        <v>0</v>
      </c>
      <c r="O68" s="3">
        <v>8.1600000000000006E-2</v>
      </c>
      <c r="P68" s="3">
        <v>0.84399999999999997</v>
      </c>
      <c r="Q68" s="2">
        <v>0</v>
      </c>
      <c r="R68" s="3">
        <v>0.84399999999999997</v>
      </c>
      <c r="S68" t="s">
        <v>740</v>
      </c>
      <c r="U68" t="s">
        <v>695</v>
      </c>
    </row>
    <row r="69" spans="1:21" x14ac:dyDescent="0.6">
      <c r="A69">
        <v>224</v>
      </c>
      <c r="B69" t="str">
        <f>"2393"</f>
        <v>2393</v>
      </c>
      <c r="C69" t="s">
        <v>303</v>
      </c>
      <c r="D69" s="1">
        <v>42923</v>
      </c>
      <c r="E69">
        <v>48.95</v>
      </c>
      <c r="F69">
        <v>0</v>
      </c>
      <c r="G69" s="2">
        <v>0</v>
      </c>
      <c r="H69">
        <v>2015</v>
      </c>
      <c r="I69">
        <v>5.12</v>
      </c>
      <c r="J69">
        <v>3.99</v>
      </c>
      <c r="K69">
        <v>0</v>
      </c>
      <c r="L69">
        <v>3.99</v>
      </c>
      <c r="M69" s="3">
        <v>8.1500000000000003E-2</v>
      </c>
      <c r="N69" s="2">
        <v>0</v>
      </c>
      <c r="O69" s="3">
        <v>8.1500000000000003E-2</v>
      </c>
      <c r="P69" s="3">
        <v>0.77900000000000003</v>
      </c>
      <c r="Q69" s="2">
        <v>0</v>
      </c>
      <c r="R69" s="3">
        <v>0.77900000000000003</v>
      </c>
      <c r="S69" t="s">
        <v>755</v>
      </c>
      <c r="U69" t="s">
        <v>692</v>
      </c>
    </row>
    <row r="70" spans="1:21" x14ac:dyDescent="0.6">
      <c r="A70">
        <v>219</v>
      </c>
      <c r="B70" t="str">
        <f>"3026"</f>
        <v>3026</v>
      </c>
      <c r="C70" t="s">
        <v>298</v>
      </c>
      <c r="D70" s="1">
        <v>42923</v>
      </c>
      <c r="E70">
        <v>40.6</v>
      </c>
      <c r="F70">
        <v>-0.3</v>
      </c>
      <c r="G70" s="3">
        <v>-7.3000000000000001E-3</v>
      </c>
      <c r="H70">
        <v>2015</v>
      </c>
      <c r="I70">
        <v>4.05</v>
      </c>
      <c r="J70">
        <v>3.29</v>
      </c>
      <c r="K70">
        <v>0</v>
      </c>
      <c r="L70">
        <v>3.29</v>
      </c>
      <c r="M70" s="3">
        <v>8.1000000000000003E-2</v>
      </c>
      <c r="N70" s="2">
        <v>0</v>
      </c>
      <c r="O70" s="3">
        <v>8.1000000000000003E-2</v>
      </c>
      <c r="P70" s="3">
        <v>0.81200000000000006</v>
      </c>
      <c r="Q70" s="2">
        <v>0</v>
      </c>
      <c r="R70" s="3">
        <v>0.81200000000000006</v>
      </c>
      <c r="S70" t="s">
        <v>745</v>
      </c>
      <c r="U70" t="s">
        <v>726</v>
      </c>
    </row>
    <row r="71" spans="1:21" x14ac:dyDescent="0.6">
      <c r="A71">
        <v>151</v>
      </c>
      <c r="B71" t="str">
        <f>"6174"</f>
        <v>6174</v>
      </c>
      <c r="C71" t="s">
        <v>219</v>
      </c>
      <c r="D71" s="1">
        <v>42923</v>
      </c>
      <c r="E71">
        <v>14.85</v>
      </c>
      <c r="F71">
        <v>-0.05</v>
      </c>
      <c r="G71" s="3">
        <v>-3.3999999999999998E-3</v>
      </c>
      <c r="H71">
        <v>2015</v>
      </c>
      <c r="I71">
        <v>1.03</v>
      </c>
      <c r="J71">
        <v>1.2</v>
      </c>
      <c r="K71">
        <v>0</v>
      </c>
      <c r="L71">
        <v>1.2</v>
      </c>
      <c r="M71" s="3">
        <v>8.0799999999999997E-2</v>
      </c>
      <c r="N71" s="2">
        <v>0</v>
      </c>
      <c r="O71" s="3">
        <v>8.0799999999999997E-2</v>
      </c>
      <c r="P71" s="2">
        <v>1.1599999999999999</v>
      </c>
      <c r="Q71" s="2">
        <v>0</v>
      </c>
      <c r="R71" s="2">
        <v>1.1599999999999999</v>
      </c>
      <c r="S71" t="s">
        <v>730</v>
      </c>
      <c r="U71" t="s">
        <v>706</v>
      </c>
    </row>
    <row r="72" spans="1:21" x14ac:dyDescent="0.6">
      <c r="A72">
        <v>137</v>
      </c>
      <c r="B72" t="str">
        <f>"3556"</f>
        <v>3556</v>
      </c>
      <c r="C72" t="s">
        <v>203</v>
      </c>
      <c r="D72" s="1">
        <v>42923</v>
      </c>
      <c r="E72">
        <v>53.7</v>
      </c>
      <c r="F72">
        <v>-0.4</v>
      </c>
      <c r="G72" s="3">
        <v>-7.4000000000000003E-3</v>
      </c>
      <c r="H72">
        <v>2015</v>
      </c>
      <c r="I72">
        <v>4.49</v>
      </c>
      <c r="J72">
        <v>4.3</v>
      </c>
      <c r="K72">
        <v>0.3</v>
      </c>
      <c r="L72">
        <v>4.5999999999999996</v>
      </c>
      <c r="M72" s="3">
        <v>8.0100000000000005E-2</v>
      </c>
      <c r="N72" s="3">
        <v>5.5999999999999999E-3</v>
      </c>
      <c r="O72" s="3">
        <v>8.5699999999999998E-2</v>
      </c>
      <c r="P72" s="3">
        <v>0.95799999999999996</v>
      </c>
      <c r="Q72" s="3">
        <v>6.6799999999999998E-2</v>
      </c>
      <c r="R72" s="2">
        <v>1.02</v>
      </c>
      <c r="S72" t="s">
        <v>713</v>
      </c>
      <c r="T72" t="s">
        <v>713</v>
      </c>
      <c r="U72" t="s">
        <v>761</v>
      </c>
    </row>
    <row r="73" spans="1:21" x14ac:dyDescent="0.6">
      <c r="A73">
        <v>61</v>
      </c>
      <c r="B73" t="str">
        <f>"2546"</f>
        <v>2546</v>
      </c>
      <c r="C73" t="s">
        <v>115</v>
      </c>
      <c r="D73" s="1">
        <v>42923</v>
      </c>
      <c r="E73">
        <v>18.8</v>
      </c>
      <c r="F73">
        <v>0</v>
      </c>
      <c r="G73" s="2">
        <v>0</v>
      </c>
      <c r="H73">
        <v>2015</v>
      </c>
      <c r="I73">
        <v>1.68</v>
      </c>
      <c r="J73">
        <v>1.5</v>
      </c>
      <c r="K73">
        <v>0</v>
      </c>
      <c r="L73">
        <v>1.5</v>
      </c>
      <c r="M73" s="3">
        <v>7.9799999999999996E-2</v>
      </c>
      <c r="N73" s="2">
        <v>0</v>
      </c>
      <c r="O73" s="3">
        <v>7.9799999999999996E-2</v>
      </c>
      <c r="P73" s="3">
        <v>0.89300000000000002</v>
      </c>
      <c r="Q73" s="2">
        <v>0</v>
      </c>
      <c r="R73" s="3">
        <v>0.89300000000000002</v>
      </c>
      <c r="S73" t="s">
        <v>750</v>
      </c>
      <c r="U73" t="s">
        <v>726</v>
      </c>
    </row>
    <row r="74" spans="1:21" x14ac:dyDescent="0.6">
      <c r="A74">
        <v>14</v>
      </c>
      <c r="B74" t="str">
        <f>"2542"</f>
        <v>2542</v>
      </c>
      <c r="C74" t="s">
        <v>42</v>
      </c>
      <c r="D74" s="1">
        <v>42923</v>
      </c>
      <c r="E74">
        <v>50.4</v>
      </c>
      <c r="F74">
        <v>-0.3</v>
      </c>
      <c r="G74" s="3">
        <v>-5.8999999999999999E-3</v>
      </c>
      <c r="H74">
        <v>2015</v>
      </c>
      <c r="I74">
        <v>11.44</v>
      </c>
      <c r="J74">
        <v>4</v>
      </c>
      <c r="K74">
        <v>3</v>
      </c>
      <c r="L74">
        <v>7</v>
      </c>
      <c r="M74" s="3">
        <v>7.9399999999999998E-2</v>
      </c>
      <c r="N74" s="3">
        <v>5.9499999999999997E-2</v>
      </c>
      <c r="O74" s="3">
        <v>0.13900000000000001</v>
      </c>
      <c r="P74" s="2">
        <v>0.35</v>
      </c>
      <c r="Q74" s="3">
        <v>0.26200000000000001</v>
      </c>
      <c r="R74" s="3">
        <v>0.61199999999999999</v>
      </c>
      <c r="S74" t="s">
        <v>706</v>
      </c>
      <c r="T74" t="s">
        <v>706</v>
      </c>
      <c r="U74" t="s">
        <v>707</v>
      </c>
    </row>
    <row r="75" spans="1:21" x14ac:dyDescent="0.6">
      <c r="A75">
        <v>72</v>
      </c>
      <c r="B75" t="str">
        <f>"9943"</f>
        <v>9943</v>
      </c>
      <c r="C75" t="s">
        <v>131</v>
      </c>
      <c r="D75" s="1">
        <v>42923</v>
      </c>
      <c r="E75">
        <v>50.9</v>
      </c>
      <c r="F75">
        <v>0</v>
      </c>
      <c r="G75" s="2">
        <v>0</v>
      </c>
      <c r="H75">
        <v>2015</v>
      </c>
      <c r="I75">
        <v>4.4000000000000004</v>
      </c>
      <c r="J75">
        <v>4</v>
      </c>
      <c r="K75">
        <v>0</v>
      </c>
      <c r="L75">
        <v>4</v>
      </c>
      <c r="M75" s="3">
        <v>7.8600000000000003E-2</v>
      </c>
      <c r="N75" s="2">
        <v>0</v>
      </c>
      <c r="O75" s="3">
        <v>7.8600000000000003E-2</v>
      </c>
      <c r="P75" s="3">
        <v>0.90900000000000003</v>
      </c>
      <c r="Q75" s="2">
        <v>0</v>
      </c>
      <c r="R75" s="3">
        <v>0.90900000000000003</v>
      </c>
      <c r="S75" t="s">
        <v>728</v>
      </c>
      <c r="U75" t="s">
        <v>736</v>
      </c>
    </row>
    <row r="76" spans="1:21" x14ac:dyDescent="0.6">
      <c r="A76">
        <v>73</v>
      </c>
      <c r="B76" t="str">
        <f>"5276"</f>
        <v>5276</v>
      </c>
      <c r="C76" t="s">
        <v>132</v>
      </c>
      <c r="D76" s="1">
        <v>42923</v>
      </c>
      <c r="E76">
        <v>25.5</v>
      </c>
      <c r="F76">
        <v>0</v>
      </c>
      <c r="G76" s="2">
        <v>0</v>
      </c>
      <c r="H76">
        <v>2015</v>
      </c>
      <c r="I76">
        <v>1.94</v>
      </c>
      <c r="J76">
        <v>2</v>
      </c>
      <c r="K76">
        <v>0</v>
      </c>
      <c r="L76">
        <v>2</v>
      </c>
      <c r="M76" s="3">
        <v>7.8399999999999997E-2</v>
      </c>
      <c r="N76" s="2">
        <v>0</v>
      </c>
      <c r="O76" s="3">
        <v>7.8399999999999997E-2</v>
      </c>
      <c r="P76" s="2">
        <v>1.03</v>
      </c>
      <c r="Q76" s="2">
        <v>0</v>
      </c>
      <c r="R76" s="2">
        <v>1.03</v>
      </c>
      <c r="S76" t="s">
        <v>743</v>
      </c>
      <c r="U76" t="s">
        <v>757</v>
      </c>
    </row>
    <row r="77" spans="1:21" x14ac:dyDescent="0.6">
      <c r="A77">
        <v>157</v>
      </c>
      <c r="B77" t="str">
        <f>"6105"</f>
        <v>6105</v>
      </c>
      <c r="C77" t="s">
        <v>227</v>
      </c>
      <c r="D77" s="1">
        <v>42923</v>
      </c>
      <c r="E77">
        <v>44.3</v>
      </c>
      <c r="F77">
        <v>-0.4</v>
      </c>
      <c r="G77" s="3">
        <v>-8.8999999999999999E-3</v>
      </c>
      <c r="H77">
        <v>2015</v>
      </c>
      <c r="I77">
        <v>7.42</v>
      </c>
      <c r="J77">
        <v>3.48</v>
      </c>
      <c r="K77">
        <v>0</v>
      </c>
      <c r="L77">
        <v>3.48</v>
      </c>
      <c r="M77" s="3">
        <v>7.8399999999999997E-2</v>
      </c>
      <c r="N77" s="2">
        <v>0</v>
      </c>
      <c r="O77" s="3">
        <v>7.8399999999999997E-2</v>
      </c>
      <c r="P77" s="3">
        <v>0.46899999999999997</v>
      </c>
      <c r="Q77" s="2">
        <v>0</v>
      </c>
      <c r="R77" s="3">
        <v>0.46899999999999997</v>
      </c>
      <c r="S77" t="s">
        <v>694</v>
      </c>
      <c r="U77" t="s">
        <v>695</v>
      </c>
    </row>
    <row r="78" spans="1:21" x14ac:dyDescent="0.6">
      <c r="A78">
        <v>199</v>
      </c>
      <c r="B78" t="str">
        <f>"3388"</f>
        <v>3388</v>
      </c>
      <c r="C78" t="s">
        <v>277</v>
      </c>
      <c r="D78" s="1">
        <v>42923</v>
      </c>
      <c r="E78">
        <v>63.8</v>
      </c>
      <c r="F78">
        <v>0.7</v>
      </c>
      <c r="G78" s="3">
        <v>1.11E-2</v>
      </c>
      <c r="H78">
        <v>2015</v>
      </c>
      <c r="I78">
        <v>5.14</v>
      </c>
      <c r="J78">
        <v>5</v>
      </c>
      <c r="K78">
        <v>0</v>
      </c>
      <c r="L78">
        <v>5</v>
      </c>
      <c r="M78" s="3">
        <v>7.8399999999999997E-2</v>
      </c>
      <c r="N78" s="2">
        <v>0</v>
      </c>
      <c r="O78" s="3">
        <v>7.8399999999999997E-2</v>
      </c>
      <c r="P78" s="3">
        <v>0.97299999999999998</v>
      </c>
      <c r="Q78" s="2">
        <v>0</v>
      </c>
      <c r="R78" s="3">
        <v>0.97299999999999998</v>
      </c>
      <c r="S78" t="s">
        <v>710</v>
      </c>
      <c r="U78" t="s">
        <v>713</v>
      </c>
    </row>
    <row r="79" spans="1:21" x14ac:dyDescent="0.6">
      <c r="A79">
        <v>276</v>
      </c>
      <c r="B79" t="str">
        <f>"6154"</f>
        <v>6154</v>
      </c>
      <c r="C79" t="s">
        <v>356</v>
      </c>
      <c r="D79" s="1">
        <v>42923</v>
      </c>
      <c r="E79">
        <v>17.25</v>
      </c>
      <c r="F79">
        <v>0</v>
      </c>
      <c r="G79" s="2">
        <v>0</v>
      </c>
      <c r="H79">
        <v>2015</v>
      </c>
      <c r="I79">
        <v>1.55</v>
      </c>
      <c r="J79">
        <v>1.35</v>
      </c>
      <c r="K79">
        <v>0</v>
      </c>
      <c r="L79">
        <v>1.35</v>
      </c>
      <c r="M79" s="3">
        <v>7.8299999999999995E-2</v>
      </c>
      <c r="N79" s="2">
        <v>0</v>
      </c>
      <c r="O79" s="3">
        <v>7.8299999999999995E-2</v>
      </c>
      <c r="P79" s="3">
        <v>0.871</v>
      </c>
      <c r="Q79" s="2">
        <v>0</v>
      </c>
      <c r="R79" s="3">
        <v>0.871</v>
      </c>
      <c r="S79" t="s">
        <v>727</v>
      </c>
      <c r="U79" t="s">
        <v>731</v>
      </c>
    </row>
    <row r="80" spans="1:21" x14ac:dyDescent="0.6">
      <c r="A80">
        <v>75</v>
      </c>
      <c r="B80" t="str">
        <f>"6214"</f>
        <v>6214</v>
      </c>
      <c r="C80" t="s">
        <v>134</v>
      </c>
      <c r="D80" s="1">
        <v>42923</v>
      </c>
      <c r="E80">
        <v>63.9</v>
      </c>
      <c r="F80">
        <v>-0.3</v>
      </c>
      <c r="G80" s="3">
        <v>-4.7000000000000002E-3</v>
      </c>
      <c r="H80">
        <v>2015</v>
      </c>
      <c r="I80">
        <v>3.07</v>
      </c>
      <c r="J80">
        <v>4.9800000000000004</v>
      </c>
      <c r="K80">
        <v>0</v>
      </c>
      <c r="L80">
        <v>4.9800000000000004</v>
      </c>
      <c r="M80" s="3">
        <v>7.7899999999999997E-2</v>
      </c>
      <c r="N80" s="2">
        <v>0</v>
      </c>
      <c r="O80" s="3">
        <v>7.7899999999999997E-2</v>
      </c>
      <c r="P80" s="2">
        <v>1.62</v>
      </c>
      <c r="Q80" s="2">
        <v>0</v>
      </c>
      <c r="R80" s="2">
        <v>1.62</v>
      </c>
      <c r="S80" t="s">
        <v>734</v>
      </c>
      <c r="U80" t="s">
        <v>709</v>
      </c>
    </row>
    <row r="81" spans="1:21" x14ac:dyDescent="0.6">
      <c r="A81">
        <v>385</v>
      </c>
      <c r="B81" t="str">
        <f>"8039"</f>
        <v>8039</v>
      </c>
      <c r="C81" t="s">
        <v>469</v>
      </c>
      <c r="D81" s="1">
        <v>42923</v>
      </c>
      <c r="E81">
        <v>38.5</v>
      </c>
      <c r="F81">
        <v>-0.25</v>
      </c>
      <c r="G81" s="3">
        <v>-6.4999999999999997E-3</v>
      </c>
      <c r="H81">
        <v>2015</v>
      </c>
      <c r="I81">
        <v>4.32</v>
      </c>
      <c r="J81">
        <v>3</v>
      </c>
      <c r="K81">
        <v>0</v>
      </c>
      <c r="L81">
        <v>3</v>
      </c>
      <c r="M81" s="3">
        <v>7.7899999999999997E-2</v>
      </c>
      <c r="N81" s="2">
        <v>0</v>
      </c>
      <c r="O81" s="3">
        <v>7.7899999999999997E-2</v>
      </c>
      <c r="P81" s="3">
        <v>0.69399999999999995</v>
      </c>
      <c r="Q81" s="2">
        <v>0</v>
      </c>
      <c r="R81" s="3">
        <v>0.69399999999999995</v>
      </c>
      <c r="S81" t="s">
        <v>760</v>
      </c>
      <c r="U81" t="s">
        <v>749</v>
      </c>
    </row>
    <row r="82" spans="1:21" x14ac:dyDescent="0.6">
      <c r="A82">
        <v>498</v>
      </c>
      <c r="B82" t="str">
        <f>"6143"</f>
        <v>6143</v>
      </c>
      <c r="C82" t="s">
        <v>592</v>
      </c>
      <c r="D82" s="1">
        <v>42923</v>
      </c>
      <c r="E82">
        <v>64.3</v>
      </c>
      <c r="F82">
        <v>-0.2</v>
      </c>
      <c r="G82" s="3">
        <v>-3.0999999999999999E-3</v>
      </c>
      <c r="H82">
        <v>2015</v>
      </c>
      <c r="I82">
        <v>5.25</v>
      </c>
      <c r="J82">
        <v>5</v>
      </c>
      <c r="K82">
        <v>0</v>
      </c>
      <c r="L82">
        <v>5</v>
      </c>
      <c r="M82" s="3">
        <v>7.7799999999999994E-2</v>
      </c>
      <c r="N82" s="2">
        <v>0</v>
      </c>
      <c r="O82" s="3">
        <v>7.7799999999999994E-2</v>
      </c>
      <c r="P82" s="3">
        <v>0.95199999999999996</v>
      </c>
      <c r="Q82" s="2">
        <v>0</v>
      </c>
      <c r="R82" s="3">
        <v>0.95199999999999996</v>
      </c>
      <c r="S82" t="s">
        <v>750</v>
      </c>
      <c r="U82" t="s">
        <v>721</v>
      </c>
    </row>
    <row r="83" spans="1:21" x14ac:dyDescent="0.6">
      <c r="A83">
        <v>29</v>
      </c>
      <c r="B83" t="str">
        <f>"6115"</f>
        <v>6115</v>
      </c>
      <c r="C83" t="s">
        <v>63</v>
      </c>
      <c r="D83" s="1">
        <v>42923</v>
      </c>
      <c r="E83">
        <v>45.3</v>
      </c>
      <c r="F83">
        <v>-0.5</v>
      </c>
      <c r="G83" s="3">
        <v>-1.09E-2</v>
      </c>
      <c r="H83">
        <v>2015</v>
      </c>
      <c r="I83">
        <v>3.5</v>
      </c>
      <c r="J83">
        <v>3.49</v>
      </c>
      <c r="K83">
        <v>0</v>
      </c>
      <c r="L83">
        <v>3.49</v>
      </c>
      <c r="M83" s="3">
        <v>7.7100000000000002E-2</v>
      </c>
      <c r="N83" s="2">
        <v>0</v>
      </c>
      <c r="O83" s="3">
        <v>7.7100000000000002E-2</v>
      </c>
      <c r="P83" s="3">
        <v>0.997</v>
      </c>
      <c r="Q83" s="2">
        <v>0</v>
      </c>
      <c r="R83" s="3">
        <v>0.997</v>
      </c>
      <c r="S83" t="s">
        <v>725</v>
      </c>
      <c r="U83" t="s">
        <v>713</v>
      </c>
    </row>
    <row r="84" spans="1:21" x14ac:dyDescent="0.6">
      <c r="A84">
        <v>51</v>
      </c>
      <c r="B84" t="str">
        <f>"2489"</f>
        <v>2489</v>
      </c>
      <c r="C84" t="s">
        <v>100</v>
      </c>
      <c r="D84" s="1">
        <v>42923</v>
      </c>
      <c r="E84">
        <v>20.8</v>
      </c>
      <c r="F84">
        <v>-0.05</v>
      </c>
      <c r="G84" s="3">
        <v>-2.3999999999999998E-3</v>
      </c>
      <c r="H84">
        <v>2015</v>
      </c>
      <c r="I84">
        <v>1.01</v>
      </c>
      <c r="J84">
        <v>1.6</v>
      </c>
      <c r="K84">
        <v>0</v>
      </c>
      <c r="L84">
        <v>1.6</v>
      </c>
      <c r="M84" s="3">
        <v>7.6899999999999996E-2</v>
      </c>
      <c r="N84" s="2">
        <v>0</v>
      </c>
      <c r="O84" s="3">
        <v>7.6899999999999996E-2</v>
      </c>
      <c r="P84" s="2">
        <v>1.58</v>
      </c>
      <c r="Q84" s="2">
        <v>0</v>
      </c>
      <c r="R84" s="2">
        <v>1.58</v>
      </c>
      <c r="S84" t="s">
        <v>718</v>
      </c>
      <c r="U84" t="s">
        <v>699</v>
      </c>
    </row>
    <row r="85" spans="1:21" x14ac:dyDescent="0.6">
      <c r="A85">
        <v>82</v>
      </c>
      <c r="B85" t="str">
        <f>"5426"</f>
        <v>5426</v>
      </c>
      <c r="C85" t="s">
        <v>144</v>
      </c>
      <c r="D85" s="1">
        <v>42923</v>
      </c>
      <c r="E85">
        <v>13</v>
      </c>
      <c r="F85">
        <v>-0.05</v>
      </c>
      <c r="G85" s="3">
        <v>-3.8E-3</v>
      </c>
      <c r="H85">
        <v>2015</v>
      </c>
      <c r="I85">
        <v>1.46</v>
      </c>
      <c r="J85">
        <v>1</v>
      </c>
      <c r="K85">
        <v>0</v>
      </c>
      <c r="L85">
        <v>1</v>
      </c>
      <c r="M85" s="3">
        <v>7.6899999999999996E-2</v>
      </c>
      <c r="N85" s="2">
        <v>0</v>
      </c>
      <c r="O85" s="3">
        <v>7.6899999999999996E-2</v>
      </c>
      <c r="P85" s="3">
        <v>0.68500000000000005</v>
      </c>
      <c r="Q85" s="2">
        <v>0</v>
      </c>
      <c r="R85" s="3">
        <v>0.68500000000000005</v>
      </c>
      <c r="S85" t="s">
        <v>736</v>
      </c>
      <c r="U85" t="s">
        <v>721</v>
      </c>
    </row>
    <row r="86" spans="1:21" x14ac:dyDescent="0.6">
      <c r="A86">
        <v>17</v>
      </c>
      <c r="B86" t="str">
        <f>"4952"</f>
        <v>4952</v>
      </c>
      <c r="C86" t="s">
        <v>48</v>
      </c>
      <c r="D86" s="1">
        <v>42923</v>
      </c>
      <c r="E86">
        <v>36.5</v>
      </c>
      <c r="F86">
        <v>-0.15</v>
      </c>
      <c r="G86" s="3">
        <v>-4.1000000000000003E-3</v>
      </c>
      <c r="H86">
        <v>2015</v>
      </c>
      <c r="I86">
        <v>2.86</v>
      </c>
      <c r="J86">
        <v>2.8</v>
      </c>
      <c r="K86">
        <v>0</v>
      </c>
      <c r="L86">
        <v>2.8</v>
      </c>
      <c r="M86" s="3">
        <v>7.6700000000000004E-2</v>
      </c>
      <c r="N86" s="2">
        <v>0</v>
      </c>
      <c r="O86" s="3">
        <v>7.6700000000000004E-2</v>
      </c>
      <c r="P86" s="3">
        <v>0.97899999999999998</v>
      </c>
      <c r="Q86" s="2">
        <v>0</v>
      </c>
      <c r="R86" s="3">
        <v>0.97899999999999998</v>
      </c>
      <c r="S86" t="s">
        <v>710</v>
      </c>
      <c r="U86" t="s">
        <v>711</v>
      </c>
    </row>
    <row r="87" spans="1:21" x14ac:dyDescent="0.6">
      <c r="A87">
        <v>122</v>
      </c>
      <c r="B87" t="str">
        <f>"5410"</f>
        <v>5410</v>
      </c>
      <c r="C87" t="s">
        <v>187</v>
      </c>
      <c r="D87" s="1">
        <v>42923</v>
      </c>
      <c r="E87">
        <v>14.1</v>
      </c>
      <c r="F87">
        <v>0</v>
      </c>
      <c r="G87" s="2">
        <v>0</v>
      </c>
      <c r="H87">
        <v>2015</v>
      </c>
      <c r="I87">
        <v>1.18</v>
      </c>
      <c r="J87">
        <v>1.08</v>
      </c>
      <c r="K87">
        <v>0</v>
      </c>
      <c r="L87">
        <v>1.08</v>
      </c>
      <c r="M87" s="3">
        <v>7.6600000000000001E-2</v>
      </c>
      <c r="N87" s="2">
        <v>0</v>
      </c>
      <c r="O87" s="3">
        <v>7.6600000000000001E-2</v>
      </c>
      <c r="P87" s="3">
        <v>0.91500000000000004</v>
      </c>
      <c r="Q87" s="2">
        <v>0</v>
      </c>
      <c r="R87" s="3">
        <v>0.91500000000000004</v>
      </c>
      <c r="S87" t="s">
        <v>755</v>
      </c>
      <c r="U87" t="s">
        <v>730</v>
      </c>
    </row>
    <row r="88" spans="1:21" x14ac:dyDescent="0.6">
      <c r="A88">
        <v>248</v>
      </c>
      <c r="B88" t="str">
        <f>"6257"</f>
        <v>6257</v>
      </c>
      <c r="C88" t="s">
        <v>327</v>
      </c>
      <c r="D88" s="1">
        <v>42923</v>
      </c>
      <c r="E88">
        <v>27.75</v>
      </c>
      <c r="F88">
        <v>-0.3</v>
      </c>
      <c r="G88" s="3">
        <v>-1.0699999999999999E-2</v>
      </c>
      <c r="H88">
        <v>2015</v>
      </c>
      <c r="I88">
        <v>2.9</v>
      </c>
      <c r="J88">
        <v>2.12</v>
      </c>
      <c r="K88">
        <v>0</v>
      </c>
      <c r="L88">
        <v>2.12</v>
      </c>
      <c r="M88" s="3">
        <v>7.6300000000000007E-2</v>
      </c>
      <c r="N88" s="2">
        <v>0</v>
      </c>
      <c r="O88" s="3">
        <v>7.6300000000000007E-2</v>
      </c>
      <c r="P88" s="3">
        <v>0.73099999999999998</v>
      </c>
      <c r="Q88" s="2">
        <v>0</v>
      </c>
      <c r="R88" s="3">
        <v>0.73099999999999998</v>
      </c>
      <c r="S88" t="s">
        <v>694</v>
      </c>
      <c r="U88" t="s">
        <v>750</v>
      </c>
    </row>
    <row r="89" spans="1:21" x14ac:dyDescent="0.6">
      <c r="A89">
        <v>55</v>
      </c>
      <c r="B89" t="str">
        <f>"2535"</f>
        <v>2535</v>
      </c>
      <c r="C89" t="s">
        <v>106</v>
      </c>
      <c r="D89" s="1">
        <v>42923</v>
      </c>
      <c r="E89">
        <v>19.7</v>
      </c>
      <c r="F89">
        <v>-0.05</v>
      </c>
      <c r="G89" s="3">
        <v>-2.5000000000000001E-3</v>
      </c>
      <c r="H89">
        <v>2015</v>
      </c>
      <c r="I89">
        <v>2.54</v>
      </c>
      <c r="J89">
        <v>1.5</v>
      </c>
      <c r="K89">
        <v>0</v>
      </c>
      <c r="L89">
        <v>1.5</v>
      </c>
      <c r="M89" s="3">
        <v>7.6100000000000001E-2</v>
      </c>
      <c r="N89" s="2">
        <v>0</v>
      </c>
      <c r="O89" s="3">
        <v>7.6100000000000001E-2</v>
      </c>
      <c r="P89" s="3">
        <v>0.59099999999999997</v>
      </c>
      <c r="Q89" s="2">
        <v>0</v>
      </c>
      <c r="R89" s="3">
        <v>0.59099999999999997</v>
      </c>
      <c r="S89" t="s">
        <v>710</v>
      </c>
      <c r="U89" t="s">
        <v>713</v>
      </c>
    </row>
    <row r="90" spans="1:21" x14ac:dyDescent="0.6">
      <c r="A90">
        <v>413</v>
      </c>
      <c r="B90" t="str">
        <f>"9930"</f>
        <v>9930</v>
      </c>
      <c r="C90" t="s">
        <v>500</v>
      </c>
      <c r="D90" s="1">
        <v>42923</v>
      </c>
      <c r="E90">
        <v>55.3</v>
      </c>
      <c r="F90">
        <v>-0.1</v>
      </c>
      <c r="G90" s="3">
        <v>-1.8E-3</v>
      </c>
      <c r="H90">
        <v>2015</v>
      </c>
      <c r="I90">
        <v>4.57</v>
      </c>
      <c r="J90">
        <v>4.2</v>
      </c>
      <c r="K90">
        <v>0</v>
      </c>
      <c r="L90">
        <v>4.2</v>
      </c>
      <c r="M90" s="3">
        <v>7.5899999999999995E-2</v>
      </c>
      <c r="N90" s="2">
        <v>0</v>
      </c>
      <c r="O90" s="3">
        <v>7.5899999999999995E-2</v>
      </c>
      <c r="P90" s="3">
        <v>0.91900000000000004</v>
      </c>
      <c r="Q90" s="2">
        <v>0</v>
      </c>
      <c r="R90" s="3">
        <v>0.91900000000000004</v>
      </c>
      <c r="S90" t="s">
        <v>712</v>
      </c>
      <c r="U90" t="s">
        <v>736</v>
      </c>
    </row>
    <row r="91" spans="1:21" x14ac:dyDescent="0.6">
      <c r="A91">
        <v>202</v>
      </c>
      <c r="B91" t="str">
        <f>"1451"</f>
        <v>1451</v>
      </c>
      <c r="C91" t="s">
        <v>280</v>
      </c>
      <c r="D91" s="1">
        <v>42923</v>
      </c>
      <c r="E91">
        <v>23.95</v>
      </c>
      <c r="F91">
        <v>-0.1</v>
      </c>
      <c r="G91" s="3">
        <v>-4.1999999999999997E-3</v>
      </c>
      <c r="H91">
        <v>2015</v>
      </c>
      <c r="I91">
        <v>1.75</v>
      </c>
      <c r="J91">
        <v>1.8</v>
      </c>
      <c r="K91">
        <v>0</v>
      </c>
      <c r="L91">
        <v>1.8</v>
      </c>
      <c r="M91" s="3">
        <v>7.5200000000000003E-2</v>
      </c>
      <c r="N91" s="2">
        <v>0</v>
      </c>
      <c r="O91" s="3">
        <v>7.5200000000000003E-2</v>
      </c>
      <c r="P91" s="2">
        <v>1.03</v>
      </c>
      <c r="Q91" s="2">
        <v>0</v>
      </c>
      <c r="R91" s="2">
        <v>1.03</v>
      </c>
      <c r="S91" t="s">
        <v>708</v>
      </c>
      <c r="U91" t="s">
        <v>691</v>
      </c>
    </row>
    <row r="92" spans="1:21" x14ac:dyDescent="0.6">
      <c r="A92">
        <v>349</v>
      </c>
      <c r="B92" t="str">
        <f>"6451"</f>
        <v>6451</v>
      </c>
      <c r="C92" t="s">
        <v>431</v>
      </c>
      <c r="D92" s="1">
        <v>42923</v>
      </c>
      <c r="E92">
        <v>99.9</v>
      </c>
      <c r="F92">
        <v>-3.1</v>
      </c>
      <c r="G92" s="3">
        <v>-3.0099999999999998E-2</v>
      </c>
      <c r="H92">
        <v>2015</v>
      </c>
      <c r="I92">
        <v>10.23</v>
      </c>
      <c r="J92">
        <v>7.5</v>
      </c>
      <c r="K92">
        <v>0</v>
      </c>
      <c r="L92">
        <v>7.5</v>
      </c>
      <c r="M92" s="3">
        <v>7.51E-2</v>
      </c>
      <c r="N92" s="2">
        <v>0</v>
      </c>
      <c r="O92" s="3">
        <v>7.51E-2</v>
      </c>
      <c r="P92" s="3">
        <v>0.73299999999999998</v>
      </c>
      <c r="Q92" s="2">
        <v>0</v>
      </c>
      <c r="R92" s="3">
        <v>0.73299999999999998</v>
      </c>
      <c r="S92" t="s">
        <v>765</v>
      </c>
      <c r="U92" t="s">
        <v>735</v>
      </c>
    </row>
    <row r="93" spans="1:21" x14ac:dyDescent="0.6">
      <c r="A93">
        <v>191</v>
      </c>
      <c r="B93" t="str">
        <f>"2433"</f>
        <v>2433</v>
      </c>
      <c r="C93" t="s">
        <v>268</v>
      </c>
      <c r="D93" s="1">
        <v>42923</v>
      </c>
      <c r="E93">
        <v>42.65</v>
      </c>
      <c r="F93">
        <v>0</v>
      </c>
      <c r="G93" s="2">
        <v>0</v>
      </c>
      <c r="H93">
        <v>2015</v>
      </c>
      <c r="I93">
        <v>3.4</v>
      </c>
      <c r="J93">
        <v>3.2</v>
      </c>
      <c r="K93">
        <v>0</v>
      </c>
      <c r="L93">
        <v>3.2</v>
      </c>
      <c r="M93" s="3">
        <v>7.4999999999999997E-2</v>
      </c>
      <c r="N93" s="2">
        <v>0</v>
      </c>
      <c r="O93" s="3">
        <v>7.4999999999999997E-2</v>
      </c>
      <c r="P93" s="3">
        <v>0.94099999999999995</v>
      </c>
      <c r="Q93" s="2">
        <v>0</v>
      </c>
      <c r="R93" s="3">
        <v>0.94099999999999995</v>
      </c>
      <c r="S93" t="s">
        <v>773</v>
      </c>
      <c r="U93" t="s">
        <v>765</v>
      </c>
    </row>
    <row r="94" spans="1:21" x14ac:dyDescent="0.6">
      <c r="A94">
        <v>139</v>
      </c>
      <c r="B94" t="str">
        <f>"3684"</f>
        <v>3684</v>
      </c>
      <c r="C94" t="s">
        <v>206</v>
      </c>
      <c r="D94" s="1">
        <v>42923</v>
      </c>
      <c r="E94">
        <v>36.35</v>
      </c>
      <c r="F94">
        <v>-0.7</v>
      </c>
      <c r="G94" s="3">
        <v>-1.89E-2</v>
      </c>
      <c r="H94">
        <v>2015</v>
      </c>
      <c r="I94">
        <v>3.4</v>
      </c>
      <c r="J94">
        <v>2.7</v>
      </c>
      <c r="K94">
        <v>0.3</v>
      </c>
      <c r="L94">
        <v>3</v>
      </c>
      <c r="M94" s="3">
        <v>7.4300000000000005E-2</v>
      </c>
      <c r="N94" s="3">
        <v>8.3000000000000001E-3</v>
      </c>
      <c r="O94" s="3">
        <v>8.2500000000000004E-2</v>
      </c>
      <c r="P94" s="3">
        <v>0.79400000000000004</v>
      </c>
      <c r="Q94" s="3">
        <v>8.8200000000000001E-2</v>
      </c>
      <c r="R94" s="3">
        <v>0.88200000000000001</v>
      </c>
      <c r="S94" t="s">
        <v>736</v>
      </c>
      <c r="T94" t="s">
        <v>736</v>
      </c>
      <c r="U94" t="s">
        <v>766</v>
      </c>
    </row>
    <row r="95" spans="1:21" x14ac:dyDescent="0.6">
      <c r="A95">
        <v>4</v>
      </c>
      <c r="B95" t="str">
        <f>"3040"</f>
        <v>3040</v>
      </c>
      <c r="C95" t="s">
        <v>27</v>
      </c>
      <c r="D95" s="1">
        <v>42923</v>
      </c>
      <c r="E95">
        <v>40.6</v>
      </c>
      <c r="F95">
        <v>-0.5</v>
      </c>
      <c r="G95" s="3">
        <v>-1.2200000000000001E-2</v>
      </c>
      <c r="H95">
        <v>2015</v>
      </c>
      <c r="I95">
        <v>6.42</v>
      </c>
      <c r="J95">
        <v>3</v>
      </c>
      <c r="K95">
        <v>0</v>
      </c>
      <c r="L95">
        <v>3</v>
      </c>
      <c r="M95" s="3">
        <v>7.3899999999999993E-2</v>
      </c>
      <c r="N95" s="2">
        <v>0</v>
      </c>
      <c r="O95" s="3">
        <v>7.3899999999999993E-2</v>
      </c>
      <c r="P95" s="3">
        <v>0.46700000000000003</v>
      </c>
      <c r="Q95" s="2">
        <v>0</v>
      </c>
      <c r="R95" s="3">
        <v>0.46700000000000003</v>
      </c>
      <c r="S95" t="s">
        <v>696</v>
      </c>
      <c r="U95" t="s">
        <v>697</v>
      </c>
    </row>
    <row r="96" spans="1:21" x14ac:dyDescent="0.6">
      <c r="A96">
        <v>15</v>
      </c>
      <c r="B96" t="str">
        <f>"8426"</f>
        <v>8426</v>
      </c>
      <c r="C96" t="s">
        <v>44</v>
      </c>
      <c r="D96" s="1">
        <v>42923</v>
      </c>
      <c r="E96">
        <v>40.6</v>
      </c>
      <c r="F96">
        <v>-0.35</v>
      </c>
      <c r="G96" s="3">
        <v>-8.5000000000000006E-3</v>
      </c>
      <c r="H96">
        <v>2015</v>
      </c>
      <c r="I96">
        <v>4.05</v>
      </c>
      <c r="J96">
        <v>3</v>
      </c>
      <c r="K96">
        <v>0</v>
      </c>
      <c r="L96">
        <v>3</v>
      </c>
      <c r="M96" s="3">
        <v>7.3899999999999993E-2</v>
      </c>
      <c r="N96" s="2">
        <v>0</v>
      </c>
      <c r="O96" s="3">
        <v>7.3899999999999993E-2</v>
      </c>
      <c r="P96" s="3">
        <v>0.74099999999999999</v>
      </c>
      <c r="Q96" s="2">
        <v>0</v>
      </c>
      <c r="R96" s="3">
        <v>0.74099999999999999</v>
      </c>
      <c r="S96" t="s">
        <v>708</v>
      </c>
      <c r="U96" t="s">
        <v>709</v>
      </c>
    </row>
    <row r="97" spans="1:21" x14ac:dyDescent="0.6">
      <c r="A97">
        <v>256</v>
      </c>
      <c r="B97" t="str">
        <f>"2324"</f>
        <v>2324</v>
      </c>
      <c r="C97" t="s">
        <v>335</v>
      </c>
      <c r="D97" s="1">
        <v>42923</v>
      </c>
      <c r="E97">
        <v>20.3</v>
      </c>
      <c r="F97">
        <v>-0.15</v>
      </c>
      <c r="G97" s="3">
        <v>-7.3000000000000001E-3</v>
      </c>
      <c r="H97">
        <v>2015</v>
      </c>
      <c r="I97">
        <v>1.63</v>
      </c>
      <c r="J97">
        <v>1.5</v>
      </c>
      <c r="K97">
        <v>0</v>
      </c>
      <c r="L97">
        <v>1.5</v>
      </c>
      <c r="M97" s="3">
        <v>7.3899999999999993E-2</v>
      </c>
      <c r="N97" s="2">
        <v>0</v>
      </c>
      <c r="O97" s="3">
        <v>7.3899999999999993E-2</v>
      </c>
      <c r="P97" s="2">
        <v>0.92</v>
      </c>
      <c r="Q97" s="2">
        <v>0</v>
      </c>
      <c r="R97" s="2">
        <v>0.92</v>
      </c>
      <c r="S97" t="s">
        <v>711</v>
      </c>
      <c r="U97" t="s">
        <v>737</v>
      </c>
    </row>
    <row r="98" spans="1:21" x14ac:dyDescent="0.6">
      <c r="A98">
        <v>327</v>
      </c>
      <c r="B98" t="str">
        <f>"3570"</f>
        <v>3570</v>
      </c>
      <c r="C98" t="s">
        <v>409</v>
      </c>
      <c r="D98" s="1">
        <v>42923</v>
      </c>
      <c r="E98">
        <v>54.3</v>
      </c>
      <c r="F98">
        <v>-0.8</v>
      </c>
      <c r="G98" s="3">
        <v>-1.4500000000000001E-2</v>
      </c>
      <c r="H98">
        <v>2015</v>
      </c>
      <c r="I98">
        <v>5.49</v>
      </c>
      <c r="J98">
        <v>4</v>
      </c>
      <c r="K98">
        <v>0</v>
      </c>
      <c r="L98">
        <v>4</v>
      </c>
      <c r="M98" s="3">
        <v>7.3700000000000002E-2</v>
      </c>
      <c r="N98" s="2">
        <v>0</v>
      </c>
      <c r="O98" s="3">
        <v>7.3700000000000002E-2</v>
      </c>
      <c r="P98" s="3">
        <v>0.72899999999999998</v>
      </c>
      <c r="Q98" s="2">
        <v>0</v>
      </c>
      <c r="R98" s="3">
        <v>0.72899999999999998</v>
      </c>
      <c r="S98" t="s">
        <v>760</v>
      </c>
      <c r="U98" t="s">
        <v>739</v>
      </c>
    </row>
    <row r="99" spans="1:21" x14ac:dyDescent="0.6">
      <c r="A99">
        <v>49</v>
      </c>
      <c r="B99" t="str">
        <f>"2471"</f>
        <v>2471</v>
      </c>
      <c r="C99" t="s">
        <v>97</v>
      </c>
      <c r="D99" s="1">
        <v>42923</v>
      </c>
      <c r="E99">
        <v>16.350000000000001</v>
      </c>
      <c r="F99">
        <v>-0.05</v>
      </c>
      <c r="G99" s="3">
        <v>-3.0000000000000001E-3</v>
      </c>
      <c r="H99">
        <v>2015</v>
      </c>
      <c r="I99">
        <v>1.3</v>
      </c>
      <c r="J99">
        <v>1.2</v>
      </c>
      <c r="K99">
        <v>0</v>
      </c>
      <c r="L99">
        <v>1.2</v>
      </c>
      <c r="M99" s="3">
        <v>7.3400000000000007E-2</v>
      </c>
      <c r="N99" s="2">
        <v>0</v>
      </c>
      <c r="O99" s="3">
        <v>7.3400000000000007E-2</v>
      </c>
      <c r="P99" s="3">
        <v>0.92300000000000004</v>
      </c>
      <c r="Q99" s="2">
        <v>0</v>
      </c>
      <c r="R99" s="3">
        <v>0.92300000000000004</v>
      </c>
      <c r="S99" t="s">
        <v>713</v>
      </c>
      <c r="U99" t="s">
        <v>699</v>
      </c>
    </row>
    <row r="100" spans="1:21" x14ac:dyDescent="0.6">
      <c r="A100">
        <v>104</v>
      </c>
      <c r="B100" t="str">
        <f>"2483"</f>
        <v>2483</v>
      </c>
      <c r="C100" t="s">
        <v>167</v>
      </c>
      <c r="D100" s="1">
        <v>42923</v>
      </c>
      <c r="E100">
        <v>17.7</v>
      </c>
      <c r="F100">
        <v>0.1</v>
      </c>
      <c r="G100" s="3">
        <v>5.7000000000000002E-3</v>
      </c>
      <c r="H100">
        <v>2015</v>
      </c>
      <c r="I100">
        <v>1.63</v>
      </c>
      <c r="J100">
        <v>1.3</v>
      </c>
      <c r="K100">
        <v>0</v>
      </c>
      <c r="L100">
        <v>1.3</v>
      </c>
      <c r="M100" s="3">
        <v>7.3400000000000007E-2</v>
      </c>
      <c r="N100" s="2">
        <v>0</v>
      </c>
      <c r="O100" s="3">
        <v>7.3400000000000007E-2</v>
      </c>
      <c r="P100" s="3">
        <v>0.79800000000000004</v>
      </c>
      <c r="Q100" s="2">
        <v>0</v>
      </c>
      <c r="R100" s="3">
        <v>0.79800000000000004</v>
      </c>
      <c r="S100" t="s">
        <v>756</v>
      </c>
      <c r="U100" t="s">
        <v>763</v>
      </c>
    </row>
    <row r="101" spans="1:21" x14ac:dyDescent="0.6">
      <c r="A101">
        <v>423</v>
      </c>
      <c r="B101" t="str">
        <f>"1465"</f>
        <v>1465</v>
      </c>
      <c r="C101" t="s">
        <v>510</v>
      </c>
      <c r="D101" s="1">
        <v>42923</v>
      </c>
      <c r="E101">
        <v>12.95</v>
      </c>
      <c r="F101">
        <v>0.05</v>
      </c>
      <c r="G101" s="3">
        <v>3.8999999999999998E-3</v>
      </c>
      <c r="H101">
        <v>2015</v>
      </c>
      <c r="I101">
        <v>1.05</v>
      </c>
      <c r="J101">
        <v>0.95</v>
      </c>
      <c r="K101">
        <v>0</v>
      </c>
      <c r="L101">
        <v>0.95</v>
      </c>
      <c r="M101" s="3">
        <v>7.3400000000000007E-2</v>
      </c>
      <c r="N101" s="2">
        <v>0</v>
      </c>
      <c r="O101" s="3">
        <v>7.3400000000000007E-2</v>
      </c>
      <c r="P101" s="3">
        <v>0.90500000000000003</v>
      </c>
      <c r="Q101" s="2">
        <v>0</v>
      </c>
      <c r="R101" s="3">
        <v>0.90500000000000003</v>
      </c>
      <c r="S101" t="s">
        <v>761</v>
      </c>
      <c r="U101" t="s">
        <v>719</v>
      </c>
    </row>
    <row r="102" spans="1:21" x14ac:dyDescent="0.6">
      <c r="A102">
        <v>301</v>
      </c>
      <c r="B102" t="str">
        <f>"4999"</f>
        <v>4999</v>
      </c>
      <c r="C102" t="s">
        <v>383</v>
      </c>
      <c r="D102" s="1">
        <v>42923</v>
      </c>
      <c r="E102">
        <v>54.7</v>
      </c>
      <c r="F102">
        <v>-0.5</v>
      </c>
      <c r="G102" s="3">
        <v>-9.1000000000000004E-3</v>
      </c>
      <c r="H102">
        <v>2015</v>
      </c>
      <c r="I102">
        <v>6.74</v>
      </c>
      <c r="J102">
        <v>4</v>
      </c>
      <c r="K102">
        <v>0</v>
      </c>
      <c r="L102">
        <v>4</v>
      </c>
      <c r="M102" s="3">
        <v>7.3099999999999998E-2</v>
      </c>
      <c r="N102" s="2">
        <v>0</v>
      </c>
      <c r="O102" s="3">
        <v>7.3099999999999998E-2</v>
      </c>
      <c r="P102" s="3">
        <v>0.59399999999999997</v>
      </c>
      <c r="Q102" s="2">
        <v>0</v>
      </c>
      <c r="R102" s="3">
        <v>0.59399999999999997</v>
      </c>
      <c r="S102" t="s">
        <v>744</v>
      </c>
      <c r="U102" t="s">
        <v>748</v>
      </c>
    </row>
    <row r="103" spans="1:21" x14ac:dyDescent="0.6">
      <c r="A103">
        <v>343</v>
      </c>
      <c r="B103" t="str">
        <f>"9905"</f>
        <v>9905</v>
      </c>
      <c r="C103" t="s">
        <v>425</v>
      </c>
      <c r="D103" s="1">
        <v>42923</v>
      </c>
      <c r="E103">
        <v>27.65</v>
      </c>
      <c r="F103">
        <v>-0.1</v>
      </c>
      <c r="G103" s="3">
        <v>-3.5999999999999999E-3</v>
      </c>
      <c r="H103">
        <v>2015</v>
      </c>
      <c r="I103">
        <v>2.56</v>
      </c>
      <c r="J103">
        <v>2</v>
      </c>
      <c r="K103">
        <v>0</v>
      </c>
      <c r="L103">
        <v>2</v>
      </c>
      <c r="M103" s="3">
        <v>7.2300000000000003E-2</v>
      </c>
      <c r="N103" s="2">
        <v>0</v>
      </c>
      <c r="O103" s="3">
        <v>7.2300000000000003E-2</v>
      </c>
      <c r="P103" s="3">
        <v>0.78100000000000003</v>
      </c>
      <c r="Q103" s="2">
        <v>0</v>
      </c>
      <c r="R103" s="3">
        <v>0.78100000000000003</v>
      </c>
      <c r="S103" t="s">
        <v>694</v>
      </c>
      <c r="U103" t="s">
        <v>730</v>
      </c>
    </row>
    <row r="104" spans="1:21" x14ac:dyDescent="0.6">
      <c r="A104">
        <v>113</v>
      </c>
      <c r="B104" t="str">
        <f>"6128"</f>
        <v>6128</v>
      </c>
      <c r="C104" t="s">
        <v>177</v>
      </c>
      <c r="D104" s="1">
        <v>42923</v>
      </c>
      <c r="E104">
        <v>38.799999999999997</v>
      </c>
      <c r="F104">
        <v>0.05</v>
      </c>
      <c r="G104" s="3">
        <v>1.2999999999999999E-3</v>
      </c>
      <c r="H104">
        <v>2015</v>
      </c>
      <c r="I104">
        <v>3.08</v>
      </c>
      <c r="J104">
        <v>2.8</v>
      </c>
      <c r="K104">
        <v>0</v>
      </c>
      <c r="L104">
        <v>2.8</v>
      </c>
      <c r="M104" s="3">
        <v>7.22E-2</v>
      </c>
      <c r="N104" s="2">
        <v>0</v>
      </c>
      <c r="O104" s="3">
        <v>7.22E-2</v>
      </c>
      <c r="P104" s="3">
        <v>0.90900000000000003</v>
      </c>
      <c r="Q104" s="2">
        <v>0</v>
      </c>
      <c r="R104" s="3">
        <v>0.90900000000000003</v>
      </c>
      <c r="S104" t="s">
        <v>708</v>
      </c>
      <c r="U104" t="s">
        <v>709</v>
      </c>
    </row>
    <row r="105" spans="1:21" x14ac:dyDescent="0.6">
      <c r="A105">
        <v>241</v>
      </c>
      <c r="B105" t="str">
        <f>"2883"</f>
        <v>2883</v>
      </c>
      <c r="C105" t="s">
        <v>320</v>
      </c>
      <c r="D105" s="1">
        <v>42923</v>
      </c>
      <c r="E105">
        <v>8.33</v>
      </c>
      <c r="F105">
        <v>-0.06</v>
      </c>
      <c r="G105" s="3">
        <v>-7.1999999999999998E-3</v>
      </c>
      <c r="H105">
        <v>2015</v>
      </c>
      <c r="I105">
        <v>0.73</v>
      </c>
      <c r="J105">
        <v>0.6</v>
      </c>
      <c r="K105">
        <v>0</v>
      </c>
      <c r="L105">
        <v>0.6</v>
      </c>
      <c r="M105" s="3">
        <v>7.1999999999999995E-2</v>
      </c>
      <c r="N105" s="2">
        <v>0</v>
      </c>
      <c r="O105" s="3">
        <v>7.1999999999999995E-2</v>
      </c>
      <c r="P105" s="3">
        <v>0.82199999999999995</v>
      </c>
      <c r="Q105" s="2">
        <v>0</v>
      </c>
      <c r="R105" s="3">
        <v>0.82199999999999995</v>
      </c>
      <c r="S105" t="s">
        <v>728</v>
      </c>
      <c r="U105" t="s">
        <v>709</v>
      </c>
    </row>
    <row r="106" spans="1:21" x14ac:dyDescent="0.6">
      <c r="A106">
        <v>140</v>
      </c>
      <c r="B106" t="str">
        <f>"2376"</f>
        <v>2376</v>
      </c>
      <c r="C106" t="s">
        <v>207</v>
      </c>
      <c r="D106" s="1">
        <v>42923</v>
      </c>
      <c r="E106">
        <v>37.9</v>
      </c>
      <c r="F106">
        <v>-0.4</v>
      </c>
      <c r="G106" s="3">
        <v>-1.04E-2</v>
      </c>
      <c r="H106">
        <v>2015</v>
      </c>
      <c r="I106">
        <v>3.82</v>
      </c>
      <c r="J106">
        <v>2.7</v>
      </c>
      <c r="K106">
        <v>0</v>
      </c>
      <c r="L106">
        <v>2.7</v>
      </c>
      <c r="M106" s="3">
        <v>7.1199999999999999E-2</v>
      </c>
      <c r="N106" s="2">
        <v>0</v>
      </c>
      <c r="O106" s="3">
        <v>7.1199999999999999E-2</v>
      </c>
      <c r="P106" s="3">
        <v>0.70699999999999996</v>
      </c>
      <c r="Q106" s="2">
        <v>0</v>
      </c>
      <c r="R106" s="3">
        <v>0.70699999999999996</v>
      </c>
      <c r="S106" t="s">
        <v>757</v>
      </c>
      <c r="U106" t="s">
        <v>748</v>
      </c>
    </row>
    <row r="107" spans="1:21" x14ac:dyDescent="0.6">
      <c r="A107">
        <v>57</v>
      </c>
      <c r="B107" t="str">
        <f>"3299"</f>
        <v>3299</v>
      </c>
      <c r="C107" t="s">
        <v>109</v>
      </c>
      <c r="D107" s="1">
        <v>42923</v>
      </c>
      <c r="E107">
        <v>63.7</v>
      </c>
      <c r="F107">
        <v>-1.7</v>
      </c>
      <c r="G107" s="3">
        <v>-2.5999999999999999E-2</v>
      </c>
      <c r="H107">
        <v>2015</v>
      </c>
      <c r="I107">
        <v>4.71</v>
      </c>
      <c r="J107">
        <v>4.5</v>
      </c>
      <c r="K107">
        <v>0</v>
      </c>
      <c r="L107">
        <v>4.5</v>
      </c>
      <c r="M107" s="3">
        <v>7.0599999999999996E-2</v>
      </c>
      <c r="N107" s="2">
        <v>0</v>
      </c>
      <c r="O107" s="3">
        <v>7.0599999999999996E-2</v>
      </c>
      <c r="P107" s="3">
        <v>0.95499999999999996</v>
      </c>
      <c r="Q107" s="2">
        <v>0</v>
      </c>
      <c r="R107" s="3">
        <v>0.95499999999999996</v>
      </c>
      <c r="S107" t="s">
        <v>744</v>
      </c>
      <c r="U107" t="s">
        <v>745</v>
      </c>
    </row>
    <row r="108" spans="1:21" x14ac:dyDescent="0.6">
      <c r="A108">
        <v>372</v>
      </c>
      <c r="B108" t="str">
        <f>"3416"</f>
        <v>3416</v>
      </c>
      <c r="C108" t="s">
        <v>455</v>
      </c>
      <c r="D108" s="1">
        <v>42923</v>
      </c>
      <c r="E108">
        <v>56.9</v>
      </c>
      <c r="F108">
        <v>-0.4</v>
      </c>
      <c r="G108" s="3">
        <v>-7.0000000000000001E-3</v>
      </c>
      <c r="H108">
        <v>2015</v>
      </c>
      <c r="I108">
        <v>4.12</v>
      </c>
      <c r="J108">
        <v>4</v>
      </c>
      <c r="K108">
        <v>0</v>
      </c>
      <c r="L108">
        <v>4</v>
      </c>
      <c r="M108" s="3">
        <v>7.0300000000000001E-2</v>
      </c>
      <c r="N108" s="2">
        <v>0</v>
      </c>
      <c r="O108" s="3">
        <v>7.0300000000000001E-2</v>
      </c>
      <c r="P108" s="3">
        <v>0.97099999999999997</v>
      </c>
      <c r="Q108" s="2">
        <v>0</v>
      </c>
      <c r="R108" s="3">
        <v>0.97099999999999997</v>
      </c>
      <c r="S108" t="s">
        <v>694</v>
      </c>
      <c r="U108" t="s">
        <v>730</v>
      </c>
    </row>
    <row r="109" spans="1:21" x14ac:dyDescent="0.6">
      <c r="A109">
        <v>179</v>
      </c>
      <c r="B109" t="str">
        <f>"3088"</f>
        <v>3088</v>
      </c>
      <c r="C109" t="s">
        <v>255</v>
      </c>
      <c r="D109" s="1">
        <v>42923</v>
      </c>
      <c r="E109">
        <v>56.8</v>
      </c>
      <c r="F109">
        <v>-0.4</v>
      </c>
      <c r="G109" s="3">
        <v>-7.0000000000000001E-3</v>
      </c>
      <c r="H109">
        <v>2015</v>
      </c>
      <c r="I109">
        <v>4.75</v>
      </c>
      <c r="J109">
        <v>3.99</v>
      </c>
      <c r="K109">
        <v>0</v>
      </c>
      <c r="L109">
        <v>3.99</v>
      </c>
      <c r="M109" s="3">
        <v>7.0199999999999999E-2</v>
      </c>
      <c r="N109" s="2">
        <v>0</v>
      </c>
      <c r="O109" s="3">
        <v>7.0199999999999999E-2</v>
      </c>
      <c r="P109" s="2">
        <v>0.84</v>
      </c>
      <c r="Q109" s="2">
        <v>0</v>
      </c>
      <c r="R109" s="2">
        <v>0.84</v>
      </c>
      <c r="S109" t="s">
        <v>729</v>
      </c>
      <c r="U109" t="s">
        <v>730</v>
      </c>
    </row>
    <row r="110" spans="1:21" x14ac:dyDescent="0.6">
      <c r="A110">
        <v>380</v>
      </c>
      <c r="B110" t="str">
        <f>"3588"</f>
        <v>3588</v>
      </c>
      <c r="C110" t="s">
        <v>464</v>
      </c>
      <c r="D110" s="1">
        <v>42923</v>
      </c>
      <c r="E110">
        <v>28.65</v>
      </c>
      <c r="F110">
        <v>-0.05</v>
      </c>
      <c r="G110" s="3">
        <v>-1.6999999999999999E-3</v>
      </c>
      <c r="H110">
        <v>2015</v>
      </c>
      <c r="I110">
        <v>2.2999999999999998</v>
      </c>
      <c r="J110">
        <v>2.0099999999999998</v>
      </c>
      <c r="K110">
        <v>0</v>
      </c>
      <c r="L110">
        <v>2.0099999999999998</v>
      </c>
      <c r="M110" s="3">
        <v>7.0099999999999996E-2</v>
      </c>
      <c r="N110" s="2">
        <v>0</v>
      </c>
      <c r="O110" s="3">
        <v>7.0099999999999996E-2</v>
      </c>
      <c r="P110" s="3">
        <v>0.874</v>
      </c>
      <c r="Q110" s="2">
        <v>0</v>
      </c>
      <c r="R110" s="3">
        <v>0.874</v>
      </c>
      <c r="S110" t="s">
        <v>753</v>
      </c>
      <c r="U110" t="s">
        <v>747</v>
      </c>
    </row>
    <row r="111" spans="1:21" x14ac:dyDescent="0.6">
      <c r="A111">
        <v>42</v>
      </c>
      <c r="B111" t="str">
        <f>"4973"</f>
        <v>4973</v>
      </c>
      <c r="C111" t="s">
        <v>86</v>
      </c>
      <c r="D111" s="1">
        <v>42923</v>
      </c>
      <c r="E111">
        <v>21.65</v>
      </c>
      <c r="F111">
        <v>-0.25</v>
      </c>
      <c r="G111" s="3">
        <v>-1.14E-2</v>
      </c>
      <c r="H111">
        <v>2015</v>
      </c>
      <c r="I111">
        <v>2.08</v>
      </c>
      <c r="J111">
        <v>1.51</v>
      </c>
      <c r="K111">
        <v>0</v>
      </c>
      <c r="L111">
        <v>1.51</v>
      </c>
      <c r="M111" s="2">
        <v>7.0000000000000007E-2</v>
      </c>
      <c r="N111" s="2">
        <v>0</v>
      </c>
      <c r="O111" s="2">
        <v>7.0000000000000007E-2</v>
      </c>
      <c r="P111" s="3">
        <v>0.72599999999999998</v>
      </c>
      <c r="Q111" s="2">
        <v>0</v>
      </c>
      <c r="R111" s="3">
        <v>0.72599999999999998</v>
      </c>
      <c r="S111" t="s">
        <v>696</v>
      </c>
      <c r="U111" t="s">
        <v>739</v>
      </c>
    </row>
    <row r="112" spans="1:21" x14ac:dyDescent="0.6">
      <c r="A112">
        <v>370</v>
      </c>
      <c r="B112" t="str">
        <f>"3332"</f>
        <v>3332</v>
      </c>
      <c r="C112" t="s">
        <v>453</v>
      </c>
      <c r="D112" s="1">
        <v>42923</v>
      </c>
      <c r="E112">
        <v>37.9</v>
      </c>
      <c r="F112">
        <v>0</v>
      </c>
      <c r="G112" s="2">
        <v>0</v>
      </c>
      <c r="H112">
        <v>2015</v>
      </c>
      <c r="I112">
        <v>3.07</v>
      </c>
      <c r="J112">
        <v>2.65</v>
      </c>
      <c r="K112">
        <v>0</v>
      </c>
      <c r="L112">
        <v>2.65</v>
      </c>
      <c r="M112" s="3">
        <v>6.9900000000000004E-2</v>
      </c>
      <c r="N112" s="2">
        <v>0</v>
      </c>
      <c r="O112" s="3">
        <v>6.9900000000000004E-2</v>
      </c>
      <c r="P112" s="3">
        <v>0.86299999999999999</v>
      </c>
      <c r="Q112" s="2">
        <v>0</v>
      </c>
      <c r="R112" s="3">
        <v>0.86299999999999999</v>
      </c>
      <c r="S112" t="s">
        <v>711</v>
      </c>
      <c r="U112" t="s">
        <v>730</v>
      </c>
    </row>
    <row r="113" spans="1:21" x14ac:dyDescent="0.6">
      <c r="A113">
        <v>374</v>
      </c>
      <c r="B113" t="str">
        <f>"8234"</f>
        <v>8234</v>
      </c>
      <c r="C113" t="s">
        <v>457</v>
      </c>
      <c r="D113" s="1">
        <v>42923</v>
      </c>
      <c r="E113">
        <v>28.55</v>
      </c>
      <c r="F113">
        <v>-0.15</v>
      </c>
      <c r="G113" s="3">
        <v>-5.1999999999999998E-3</v>
      </c>
      <c r="H113">
        <v>2015</v>
      </c>
      <c r="I113">
        <v>3.56</v>
      </c>
      <c r="J113">
        <v>1.99</v>
      </c>
      <c r="K113">
        <v>0</v>
      </c>
      <c r="L113">
        <v>1.99</v>
      </c>
      <c r="M113" s="3">
        <v>6.9699999999999998E-2</v>
      </c>
      <c r="N113" s="2">
        <v>0</v>
      </c>
      <c r="O113" s="3">
        <v>6.9699999999999998E-2</v>
      </c>
      <c r="P113" s="3">
        <v>0.55900000000000005</v>
      </c>
      <c r="Q113" s="2">
        <v>0</v>
      </c>
      <c r="R113" s="3">
        <v>0.55900000000000005</v>
      </c>
      <c r="S113" t="s">
        <v>696</v>
      </c>
      <c r="U113" t="s">
        <v>779</v>
      </c>
    </row>
    <row r="114" spans="1:21" x14ac:dyDescent="0.6">
      <c r="A114">
        <v>78</v>
      </c>
      <c r="B114" t="str">
        <f>"2548"</f>
        <v>2548</v>
      </c>
      <c r="C114" t="s">
        <v>138</v>
      </c>
      <c r="D114" s="1">
        <v>42923</v>
      </c>
      <c r="E114">
        <v>72</v>
      </c>
      <c r="F114">
        <v>-0.3</v>
      </c>
      <c r="G114" s="3">
        <v>-4.1000000000000003E-3</v>
      </c>
      <c r="H114">
        <v>2015</v>
      </c>
      <c r="I114">
        <v>5.08</v>
      </c>
      <c r="J114">
        <v>5</v>
      </c>
      <c r="K114">
        <v>0</v>
      </c>
      <c r="L114">
        <v>5</v>
      </c>
      <c r="M114" s="3">
        <v>6.9400000000000003E-2</v>
      </c>
      <c r="N114" s="2">
        <v>0</v>
      </c>
      <c r="O114" s="3">
        <v>6.9400000000000003E-2</v>
      </c>
      <c r="P114" s="3">
        <v>0.98399999999999999</v>
      </c>
      <c r="Q114" s="2">
        <v>0</v>
      </c>
      <c r="R114" s="3">
        <v>0.98399999999999999</v>
      </c>
      <c r="S114" t="s">
        <v>744</v>
      </c>
      <c r="U114" t="s">
        <v>695</v>
      </c>
    </row>
    <row r="115" spans="1:21" x14ac:dyDescent="0.6">
      <c r="A115">
        <v>491</v>
      </c>
      <c r="B115" t="str">
        <f>"3060"</f>
        <v>3060</v>
      </c>
      <c r="C115" t="s">
        <v>584</v>
      </c>
      <c r="D115" s="1">
        <v>42923</v>
      </c>
      <c r="E115">
        <v>31.8</v>
      </c>
      <c r="F115">
        <v>-0.8</v>
      </c>
      <c r="G115" s="3">
        <v>-2.4500000000000001E-2</v>
      </c>
      <c r="H115">
        <v>2015</v>
      </c>
      <c r="I115">
        <v>4.16</v>
      </c>
      <c r="J115">
        <v>2.2000000000000002</v>
      </c>
      <c r="K115">
        <v>0</v>
      </c>
      <c r="L115">
        <v>2.2000000000000002</v>
      </c>
      <c r="M115" s="3">
        <v>6.9199999999999998E-2</v>
      </c>
      <c r="N115" s="2">
        <v>0</v>
      </c>
      <c r="O115" s="3">
        <v>6.9199999999999998E-2</v>
      </c>
      <c r="P115" s="3">
        <v>0.52900000000000003</v>
      </c>
      <c r="Q115" s="2">
        <v>0</v>
      </c>
      <c r="R115" s="3">
        <v>0.52900000000000003</v>
      </c>
      <c r="S115" t="s">
        <v>750</v>
      </c>
      <c r="U115" t="s">
        <v>717</v>
      </c>
    </row>
    <row r="116" spans="1:21" x14ac:dyDescent="0.6">
      <c r="A116">
        <v>91</v>
      </c>
      <c r="B116" t="str">
        <f>"3528"</f>
        <v>3528</v>
      </c>
      <c r="C116" t="s">
        <v>154</v>
      </c>
      <c r="D116" s="1">
        <v>42923</v>
      </c>
      <c r="E116">
        <v>31.9</v>
      </c>
      <c r="F116">
        <v>-0.1</v>
      </c>
      <c r="G116" s="3">
        <v>-3.0999999999999999E-3</v>
      </c>
      <c r="H116">
        <v>2015</v>
      </c>
      <c r="I116">
        <v>3.19</v>
      </c>
      <c r="J116">
        <v>2.2000000000000002</v>
      </c>
      <c r="K116">
        <v>0.3</v>
      </c>
      <c r="L116">
        <v>2.5</v>
      </c>
      <c r="M116" s="3">
        <v>6.9000000000000006E-2</v>
      </c>
      <c r="N116" s="3">
        <v>9.4000000000000004E-3</v>
      </c>
      <c r="O116" s="3">
        <v>7.8399999999999997E-2</v>
      </c>
      <c r="P116" s="2">
        <v>0.69</v>
      </c>
      <c r="Q116" s="3">
        <v>9.4E-2</v>
      </c>
      <c r="R116" s="3">
        <v>0.78400000000000003</v>
      </c>
      <c r="S116" t="s">
        <v>712</v>
      </c>
      <c r="T116" t="s">
        <v>712</v>
      </c>
      <c r="U116" t="s">
        <v>715</v>
      </c>
    </row>
    <row r="117" spans="1:21" x14ac:dyDescent="0.6">
      <c r="A117">
        <v>200</v>
      </c>
      <c r="B117" t="str">
        <f>"5538"</f>
        <v>5538</v>
      </c>
      <c r="C117" t="s">
        <v>278</v>
      </c>
      <c r="D117" s="1">
        <v>42923</v>
      </c>
      <c r="E117">
        <v>31.9</v>
      </c>
      <c r="F117">
        <v>0.1</v>
      </c>
      <c r="G117" s="3">
        <v>3.0999999999999999E-3</v>
      </c>
      <c r="H117">
        <v>2015</v>
      </c>
      <c r="I117">
        <v>3.05</v>
      </c>
      <c r="J117">
        <v>2.2000000000000002</v>
      </c>
      <c r="K117">
        <v>0</v>
      </c>
      <c r="L117">
        <v>2.2000000000000002</v>
      </c>
      <c r="M117" s="3">
        <v>6.9000000000000006E-2</v>
      </c>
      <c r="N117" s="2">
        <v>0</v>
      </c>
      <c r="O117" s="3">
        <v>6.9000000000000006E-2</v>
      </c>
      <c r="P117" s="3">
        <v>0.72099999999999997</v>
      </c>
      <c r="Q117" s="2">
        <v>0</v>
      </c>
      <c r="R117" s="3">
        <v>0.72099999999999997</v>
      </c>
      <c r="S117" t="s">
        <v>698</v>
      </c>
      <c r="U117" t="s">
        <v>695</v>
      </c>
    </row>
    <row r="118" spans="1:21" x14ac:dyDescent="0.6">
      <c r="A118">
        <v>287</v>
      </c>
      <c r="B118" t="str">
        <f>"2356"</f>
        <v>2356</v>
      </c>
      <c r="C118" t="s">
        <v>369</v>
      </c>
      <c r="D118" s="1">
        <v>42923</v>
      </c>
      <c r="E118">
        <v>25.35</v>
      </c>
      <c r="F118">
        <v>0.15</v>
      </c>
      <c r="G118" s="3">
        <v>6.0000000000000001E-3</v>
      </c>
      <c r="H118">
        <v>2015</v>
      </c>
      <c r="I118">
        <v>1.98</v>
      </c>
      <c r="J118">
        <v>1.75</v>
      </c>
      <c r="K118">
        <v>0</v>
      </c>
      <c r="L118">
        <v>1.75</v>
      </c>
      <c r="M118" s="3">
        <v>6.9000000000000006E-2</v>
      </c>
      <c r="N118" s="2">
        <v>0</v>
      </c>
      <c r="O118" s="3">
        <v>6.9000000000000006E-2</v>
      </c>
      <c r="P118" s="3">
        <v>0.88400000000000001</v>
      </c>
      <c r="Q118" s="2">
        <v>0</v>
      </c>
      <c r="R118" s="3">
        <v>0.88400000000000001</v>
      </c>
      <c r="S118" t="s">
        <v>698</v>
      </c>
      <c r="U118" t="s">
        <v>745</v>
      </c>
    </row>
    <row r="119" spans="1:21" x14ac:dyDescent="0.6">
      <c r="A119">
        <v>436</v>
      </c>
      <c r="B119" t="str">
        <f>"5460"</f>
        <v>5460</v>
      </c>
      <c r="C119" t="s">
        <v>526</v>
      </c>
      <c r="D119" s="1">
        <v>42923</v>
      </c>
      <c r="E119">
        <v>13.1</v>
      </c>
      <c r="F119">
        <v>0.05</v>
      </c>
      <c r="G119" s="3">
        <v>3.8E-3</v>
      </c>
      <c r="H119">
        <v>2015</v>
      </c>
      <c r="I119">
        <v>1.22</v>
      </c>
      <c r="J119">
        <v>0.9</v>
      </c>
      <c r="K119">
        <v>0</v>
      </c>
      <c r="L119">
        <v>0.9</v>
      </c>
      <c r="M119" s="3">
        <v>6.8699999999999997E-2</v>
      </c>
      <c r="N119" s="2">
        <v>0</v>
      </c>
      <c r="O119" s="3">
        <v>6.8699999999999997E-2</v>
      </c>
      <c r="P119" s="3">
        <v>0.73799999999999999</v>
      </c>
      <c r="Q119" s="2">
        <v>0</v>
      </c>
      <c r="R119" s="3">
        <v>0.73799999999999999</v>
      </c>
      <c r="S119" t="s">
        <v>711</v>
      </c>
      <c r="U119" t="s">
        <v>767</v>
      </c>
    </row>
    <row r="120" spans="1:21" x14ac:dyDescent="0.6">
      <c r="A120">
        <v>398</v>
      </c>
      <c r="B120" t="str">
        <f>"8926"</f>
        <v>8926</v>
      </c>
      <c r="C120" t="s">
        <v>484</v>
      </c>
      <c r="D120" s="1">
        <v>42923</v>
      </c>
      <c r="E120">
        <v>23.4</v>
      </c>
      <c r="F120">
        <v>-0.1</v>
      </c>
      <c r="G120" s="3">
        <v>-4.3E-3</v>
      </c>
      <c r="H120">
        <v>2015</v>
      </c>
      <c r="I120">
        <v>2.93</v>
      </c>
      <c r="J120">
        <v>1.6</v>
      </c>
      <c r="K120">
        <v>0</v>
      </c>
      <c r="L120">
        <v>1.6</v>
      </c>
      <c r="M120" s="3">
        <v>6.8400000000000002E-2</v>
      </c>
      <c r="N120" s="2">
        <v>0</v>
      </c>
      <c r="O120" s="3">
        <v>6.8400000000000002E-2</v>
      </c>
      <c r="P120" s="3">
        <v>0.54600000000000004</v>
      </c>
      <c r="Q120" s="2">
        <v>0</v>
      </c>
      <c r="R120" s="3">
        <v>0.54600000000000004</v>
      </c>
      <c r="S120" t="s">
        <v>698</v>
      </c>
      <c r="U120" t="s">
        <v>735</v>
      </c>
    </row>
    <row r="121" spans="1:21" x14ac:dyDescent="0.6">
      <c r="A121">
        <v>134</v>
      </c>
      <c r="B121" t="str">
        <f>"6277"</f>
        <v>6277</v>
      </c>
      <c r="C121" t="s">
        <v>200</v>
      </c>
      <c r="D121" s="1">
        <v>42923</v>
      </c>
      <c r="E121">
        <v>83.5</v>
      </c>
      <c r="F121">
        <v>-0.2</v>
      </c>
      <c r="G121" s="3">
        <v>-2.3999999999999998E-3</v>
      </c>
      <c r="H121">
        <v>2015</v>
      </c>
      <c r="I121">
        <v>6.37</v>
      </c>
      <c r="J121">
        <v>5.7</v>
      </c>
      <c r="K121">
        <v>0</v>
      </c>
      <c r="L121">
        <v>5.7</v>
      </c>
      <c r="M121" s="3">
        <v>6.83E-2</v>
      </c>
      <c r="N121" s="2">
        <v>0</v>
      </c>
      <c r="O121" s="3">
        <v>6.83E-2</v>
      </c>
      <c r="P121" s="3">
        <v>0.89500000000000002</v>
      </c>
      <c r="Q121" s="2">
        <v>0</v>
      </c>
      <c r="R121" s="3">
        <v>0.89500000000000002</v>
      </c>
      <c r="S121" t="s">
        <v>729</v>
      </c>
      <c r="U121" t="s">
        <v>760</v>
      </c>
    </row>
    <row r="122" spans="1:21" x14ac:dyDescent="0.6">
      <c r="A122">
        <v>233</v>
      </c>
      <c r="B122" t="str">
        <f>"6282"</f>
        <v>6282</v>
      </c>
      <c r="C122" t="s">
        <v>312</v>
      </c>
      <c r="D122" s="1">
        <v>42923</v>
      </c>
      <c r="E122">
        <v>23.15</v>
      </c>
      <c r="F122">
        <v>-0.3</v>
      </c>
      <c r="G122" s="3">
        <v>-1.2800000000000001E-2</v>
      </c>
      <c r="H122">
        <v>2015</v>
      </c>
      <c r="I122">
        <v>2.11</v>
      </c>
      <c r="J122">
        <v>1.58</v>
      </c>
      <c r="K122">
        <v>0</v>
      </c>
      <c r="L122">
        <v>1.58</v>
      </c>
      <c r="M122" s="3">
        <v>6.83E-2</v>
      </c>
      <c r="N122" s="2">
        <v>0</v>
      </c>
      <c r="O122" s="3">
        <v>6.83E-2</v>
      </c>
      <c r="P122" s="3">
        <v>0.749</v>
      </c>
      <c r="Q122" s="2">
        <v>0</v>
      </c>
      <c r="R122" s="3">
        <v>0.749</v>
      </c>
      <c r="S122" t="s">
        <v>701</v>
      </c>
      <c r="U122" t="s">
        <v>741</v>
      </c>
    </row>
    <row r="123" spans="1:21" x14ac:dyDescent="0.6">
      <c r="A123">
        <v>269</v>
      </c>
      <c r="B123" t="str">
        <f>"6121"</f>
        <v>6121</v>
      </c>
      <c r="C123" t="s">
        <v>349</v>
      </c>
      <c r="D123" s="1">
        <v>42923</v>
      </c>
      <c r="E123">
        <v>102.5</v>
      </c>
      <c r="F123">
        <v>-1.5</v>
      </c>
      <c r="G123" s="3">
        <v>-1.44E-2</v>
      </c>
      <c r="H123">
        <v>2015</v>
      </c>
      <c r="I123">
        <v>10.98</v>
      </c>
      <c r="J123">
        <v>7</v>
      </c>
      <c r="K123">
        <v>0</v>
      </c>
      <c r="L123">
        <v>7</v>
      </c>
      <c r="M123" s="3">
        <v>6.83E-2</v>
      </c>
      <c r="N123" s="2">
        <v>0</v>
      </c>
      <c r="O123" s="3">
        <v>6.83E-2</v>
      </c>
      <c r="P123" s="3">
        <v>0.63800000000000001</v>
      </c>
      <c r="Q123" s="2">
        <v>0</v>
      </c>
      <c r="R123" s="3">
        <v>0.63800000000000001</v>
      </c>
      <c r="S123" t="s">
        <v>740</v>
      </c>
      <c r="U123" t="s">
        <v>730</v>
      </c>
    </row>
    <row r="124" spans="1:21" x14ac:dyDescent="0.6">
      <c r="A124">
        <v>400</v>
      </c>
      <c r="B124" t="str">
        <f>"8410"</f>
        <v>8410</v>
      </c>
      <c r="C124" t="s">
        <v>486</v>
      </c>
      <c r="D124" s="1">
        <v>42923</v>
      </c>
      <c r="E124">
        <v>29.3</v>
      </c>
      <c r="F124">
        <v>0.2</v>
      </c>
      <c r="G124" s="3">
        <v>6.8999999999999999E-3</v>
      </c>
      <c r="H124">
        <v>2015</v>
      </c>
      <c r="I124">
        <v>5.69</v>
      </c>
      <c r="J124">
        <v>2</v>
      </c>
      <c r="K124">
        <v>0</v>
      </c>
      <c r="L124">
        <v>2</v>
      </c>
      <c r="M124" s="3">
        <v>6.83E-2</v>
      </c>
      <c r="N124" s="2">
        <v>0</v>
      </c>
      <c r="O124" s="3">
        <v>6.83E-2</v>
      </c>
      <c r="P124" s="3">
        <v>0.35199999999999998</v>
      </c>
      <c r="Q124" s="2">
        <v>0</v>
      </c>
      <c r="R124" s="3">
        <v>0.35199999999999998</v>
      </c>
      <c r="S124" t="s">
        <v>753</v>
      </c>
      <c r="U124" t="s">
        <v>739</v>
      </c>
    </row>
    <row r="125" spans="1:21" x14ac:dyDescent="0.6">
      <c r="A125">
        <v>56</v>
      </c>
      <c r="B125" t="str">
        <f>"3305"</f>
        <v>3305</v>
      </c>
      <c r="C125" t="s">
        <v>107</v>
      </c>
      <c r="D125" s="1">
        <v>42923</v>
      </c>
      <c r="E125">
        <v>29.4</v>
      </c>
      <c r="F125">
        <v>0</v>
      </c>
      <c r="G125" s="2">
        <v>0</v>
      </c>
      <c r="H125">
        <v>2015</v>
      </c>
      <c r="I125">
        <v>2.5299999999999998</v>
      </c>
      <c r="J125">
        <v>2</v>
      </c>
      <c r="K125">
        <v>0</v>
      </c>
      <c r="L125">
        <v>2</v>
      </c>
      <c r="M125" s="3">
        <v>6.8000000000000005E-2</v>
      </c>
      <c r="N125" s="2">
        <v>0</v>
      </c>
      <c r="O125" s="3">
        <v>6.8000000000000005E-2</v>
      </c>
      <c r="P125" s="2">
        <v>0.79</v>
      </c>
      <c r="Q125" s="2">
        <v>0</v>
      </c>
      <c r="R125" s="2">
        <v>0.79</v>
      </c>
      <c r="S125" t="s">
        <v>743</v>
      </c>
      <c r="U125" t="s">
        <v>744</v>
      </c>
    </row>
    <row r="126" spans="1:21" x14ac:dyDescent="0.6">
      <c r="A126">
        <v>94</v>
      </c>
      <c r="B126" t="str">
        <f>"3338"</f>
        <v>3338</v>
      </c>
      <c r="C126" t="s">
        <v>157</v>
      </c>
      <c r="D126" s="1">
        <v>42923</v>
      </c>
      <c r="E126">
        <v>29.5</v>
      </c>
      <c r="F126">
        <v>-0.25</v>
      </c>
      <c r="G126" s="3">
        <v>-8.3999999999999995E-3</v>
      </c>
      <c r="H126">
        <v>2015</v>
      </c>
      <c r="I126">
        <v>2.38</v>
      </c>
      <c r="J126">
        <v>2</v>
      </c>
      <c r="K126">
        <v>0</v>
      </c>
      <c r="L126">
        <v>2</v>
      </c>
      <c r="M126" s="3">
        <v>6.7799999999999999E-2</v>
      </c>
      <c r="N126" s="2">
        <v>0</v>
      </c>
      <c r="O126" s="3">
        <v>6.7799999999999999E-2</v>
      </c>
      <c r="P126" s="2">
        <v>0.84</v>
      </c>
      <c r="Q126" s="2">
        <v>0</v>
      </c>
      <c r="R126" s="2">
        <v>0.84</v>
      </c>
      <c r="S126" t="s">
        <v>708</v>
      </c>
      <c r="U126" t="s">
        <v>691</v>
      </c>
    </row>
    <row r="127" spans="1:21" x14ac:dyDescent="0.6">
      <c r="A127">
        <v>132</v>
      </c>
      <c r="B127" t="str">
        <f>"2459"</f>
        <v>2459</v>
      </c>
      <c r="C127" t="s">
        <v>198</v>
      </c>
      <c r="D127" s="1">
        <v>42923</v>
      </c>
      <c r="E127">
        <v>37.25</v>
      </c>
      <c r="F127">
        <v>-0.35</v>
      </c>
      <c r="G127" s="3">
        <v>-9.2999999999999992E-3</v>
      </c>
      <c r="H127">
        <v>2015</v>
      </c>
      <c r="I127">
        <v>3.48</v>
      </c>
      <c r="J127">
        <v>2.5299999999999998</v>
      </c>
      <c r="K127">
        <v>0</v>
      </c>
      <c r="L127">
        <v>2.5299999999999998</v>
      </c>
      <c r="M127" s="3">
        <v>6.7799999999999999E-2</v>
      </c>
      <c r="N127" s="2">
        <v>0</v>
      </c>
      <c r="O127" s="3">
        <v>6.7799999999999999E-2</v>
      </c>
      <c r="P127" s="3">
        <v>0.72699999999999998</v>
      </c>
      <c r="Q127" s="2">
        <v>0</v>
      </c>
      <c r="R127" s="3">
        <v>0.72699999999999998</v>
      </c>
      <c r="S127" t="s">
        <v>728</v>
      </c>
      <c r="U127" t="s">
        <v>753</v>
      </c>
    </row>
    <row r="128" spans="1:21" x14ac:dyDescent="0.6">
      <c r="A128">
        <v>290</v>
      </c>
      <c r="B128" t="str">
        <f>"3558"</f>
        <v>3558</v>
      </c>
      <c r="C128" t="s">
        <v>372</v>
      </c>
      <c r="D128" s="1">
        <v>42923</v>
      </c>
      <c r="E128">
        <v>140</v>
      </c>
      <c r="F128">
        <v>0</v>
      </c>
      <c r="G128" s="2">
        <v>0</v>
      </c>
      <c r="H128">
        <v>2015</v>
      </c>
      <c r="I128">
        <v>12.63</v>
      </c>
      <c r="J128">
        <v>9.49</v>
      </c>
      <c r="K128">
        <v>0</v>
      </c>
      <c r="L128">
        <v>9.49</v>
      </c>
      <c r="M128" s="3">
        <v>6.7799999999999999E-2</v>
      </c>
      <c r="N128" s="2">
        <v>0</v>
      </c>
      <c r="O128" s="3">
        <v>6.7799999999999999E-2</v>
      </c>
      <c r="P128" s="3">
        <v>0.751</v>
      </c>
      <c r="Q128" s="2">
        <v>0</v>
      </c>
      <c r="R128" s="3">
        <v>0.751</v>
      </c>
      <c r="S128" t="s">
        <v>714</v>
      </c>
      <c r="U128" t="s">
        <v>695</v>
      </c>
    </row>
    <row r="129" spans="1:21" x14ac:dyDescent="0.6">
      <c r="A129">
        <v>330</v>
      </c>
      <c r="B129" t="str">
        <f>"8109"</f>
        <v>8109</v>
      </c>
      <c r="C129" t="s">
        <v>412</v>
      </c>
      <c r="D129" s="1">
        <v>42923</v>
      </c>
      <c r="E129">
        <v>63.4</v>
      </c>
      <c r="F129">
        <v>-0.2</v>
      </c>
      <c r="G129" s="3">
        <v>-3.0999999999999999E-3</v>
      </c>
      <c r="H129">
        <v>2015</v>
      </c>
      <c r="I129">
        <v>5.31</v>
      </c>
      <c r="J129">
        <v>4.3</v>
      </c>
      <c r="K129">
        <v>0</v>
      </c>
      <c r="L129">
        <v>4.3</v>
      </c>
      <c r="M129" s="3">
        <v>6.7799999999999999E-2</v>
      </c>
      <c r="N129" s="2">
        <v>0</v>
      </c>
      <c r="O129" s="3">
        <v>6.7799999999999999E-2</v>
      </c>
      <c r="P129" s="2">
        <v>0.81</v>
      </c>
      <c r="Q129" s="2">
        <v>0</v>
      </c>
      <c r="R129" s="2">
        <v>0.81</v>
      </c>
      <c r="S129" t="s">
        <v>690</v>
      </c>
      <c r="U129" t="s">
        <v>711</v>
      </c>
    </row>
    <row r="130" spans="1:21" x14ac:dyDescent="0.6">
      <c r="A130">
        <v>105</v>
      </c>
      <c r="B130" t="str">
        <f>"6224"</f>
        <v>6224</v>
      </c>
      <c r="C130" t="s">
        <v>168</v>
      </c>
      <c r="D130" s="1">
        <v>42923</v>
      </c>
      <c r="E130">
        <v>62.1</v>
      </c>
      <c r="F130">
        <v>-0.3</v>
      </c>
      <c r="G130" s="3">
        <v>-4.7999999999999996E-3</v>
      </c>
      <c r="H130">
        <v>2015</v>
      </c>
      <c r="I130">
        <v>5.01</v>
      </c>
      <c r="J130">
        <v>4.2</v>
      </c>
      <c r="K130">
        <v>0</v>
      </c>
      <c r="L130">
        <v>4.2</v>
      </c>
      <c r="M130" s="3">
        <v>6.7599999999999993E-2</v>
      </c>
      <c r="N130" s="2">
        <v>0</v>
      </c>
      <c r="O130" s="3">
        <v>6.7599999999999993E-2</v>
      </c>
      <c r="P130" s="3">
        <v>0.83799999999999997</v>
      </c>
      <c r="Q130" s="2">
        <v>0</v>
      </c>
      <c r="R130" s="3">
        <v>0.83799999999999997</v>
      </c>
      <c r="S130" t="s">
        <v>724</v>
      </c>
      <c r="U130" t="s">
        <v>713</v>
      </c>
    </row>
    <row r="131" spans="1:21" x14ac:dyDescent="0.6">
      <c r="A131">
        <v>479</v>
      </c>
      <c r="B131" t="str">
        <f>"6155"</f>
        <v>6155</v>
      </c>
      <c r="C131" t="s">
        <v>572</v>
      </c>
      <c r="D131" s="1">
        <v>42923</v>
      </c>
      <c r="E131">
        <v>17.75</v>
      </c>
      <c r="F131">
        <v>-0.25</v>
      </c>
      <c r="G131" s="3">
        <v>-1.3899999999999999E-2</v>
      </c>
      <c r="H131">
        <v>2015</v>
      </c>
      <c r="I131">
        <v>1.45</v>
      </c>
      <c r="J131">
        <v>1.2</v>
      </c>
      <c r="K131">
        <v>0.1</v>
      </c>
      <c r="L131">
        <v>1.3</v>
      </c>
      <c r="M131" s="3">
        <v>6.7599999999999993E-2</v>
      </c>
      <c r="N131" s="3">
        <v>5.5999999999999999E-3</v>
      </c>
      <c r="O131" s="3">
        <v>7.3200000000000001E-2</v>
      </c>
      <c r="P131" s="3">
        <v>0.82799999999999996</v>
      </c>
      <c r="Q131" s="3">
        <v>6.9000000000000006E-2</v>
      </c>
      <c r="R131" s="3">
        <v>0.89700000000000002</v>
      </c>
      <c r="S131" t="s">
        <v>728</v>
      </c>
      <c r="T131" t="s">
        <v>728</v>
      </c>
      <c r="U131" t="s">
        <v>755</v>
      </c>
    </row>
    <row r="132" spans="1:21" x14ac:dyDescent="0.6">
      <c r="A132">
        <v>457</v>
      </c>
      <c r="B132" t="str">
        <f>"6508"</f>
        <v>6508</v>
      </c>
      <c r="C132" t="s">
        <v>547</v>
      </c>
      <c r="D132" s="1">
        <v>42923</v>
      </c>
      <c r="E132">
        <v>26.7</v>
      </c>
      <c r="F132">
        <v>-0.1</v>
      </c>
      <c r="G132" s="3">
        <v>-3.7000000000000002E-3</v>
      </c>
      <c r="H132">
        <v>2015</v>
      </c>
      <c r="I132">
        <v>3.09</v>
      </c>
      <c r="J132">
        <v>1.8</v>
      </c>
      <c r="K132">
        <v>0.2</v>
      </c>
      <c r="L132">
        <v>2</v>
      </c>
      <c r="M132" s="3">
        <v>6.7400000000000002E-2</v>
      </c>
      <c r="N132" s="3">
        <v>7.4999999999999997E-3</v>
      </c>
      <c r="O132" s="3">
        <v>7.4899999999999994E-2</v>
      </c>
      <c r="P132" s="3">
        <v>0.58199999999999996</v>
      </c>
      <c r="Q132" s="3">
        <v>6.4699999999999994E-2</v>
      </c>
      <c r="R132" s="3">
        <v>0.64700000000000002</v>
      </c>
      <c r="S132" t="s">
        <v>716</v>
      </c>
      <c r="T132" t="s">
        <v>716</v>
      </c>
      <c r="U132" t="s">
        <v>723</v>
      </c>
    </row>
    <row r="133" spans="1:21" x14ac:dyDescent="0.6">
      <c r="A133">
        <v>355</v>
      </c>
      <c r="B133" t="str">
        <f>"3036"</f>
        <v>3036</v>
      </c>
      <c r="C133" t="s">
        <v>438</v>
      </c>
      <c r="D133" s="1">
        <v>42923</v>
      </c>
      <c r="E133">
        <v>44.6</v>
      </c>
      <c r="F133">
        <v>-0.35</v>
      </c>
      <c r="G133" s="3">
        <v>-7.7999999999999996E-3</v>
      </c>
      <c r="H133">
        <v>2015</v>
      </c>
      <c r="I133">
        <v>5.18</v>
      </c>
      <c r="J133">
        <v>3</v>
      </c>
      <c r="K133">
        <v>1</v>
      </c>
      <c r="L133">
        <v>4</v>
      </c>
      <c r="M133" s="3">
        <v>6.7299999999999999E-2</v>
      </c>
      <c r="N133" s="3">
        <v>2.24E-2</v>
      </c>
      <c r="O133" s="3">
        <v>8.9700000000000002E-2</v>
      </c>
      <c r="P133" s="3">
        <v>0.57899999999999996</v>
      </c>
      <c r="Q133" s="3">
        <v>0.193</v>
      </c>
      <c r="R133" s="3">
        <v>0.77200000000000002</v>
      </c>
      <c r="S133" t="s">
        <v>715</v>
      </c>
      <c r="T133" t="s">
        <v>786</v>
      </c>
      <c r="U133" t="s">
        <v>717</v>
      </c>
    </row>
    <row r="134" spans="1:21" x14ac:dyDescent="0.6">
      <c r="A134">
        <v>126</v>
      </c>
      <c r="B134" t="str">
        <f>"2480"</f>
        <v>2480</v>
      </c>
      <c r="C134" t="s">
        <v>192</v>
      </c>
      <c r="D134" s="1">
        <v>42923</v>
      </c>
      <c r="E134">
        <v>29.75</v>
      </c>
      <c r="F134">
        <v>-0.1</v>
      </c>
      <c r="G134" s="3">
        <v>-3.3999999999999998E-3</v>
      </c>
      <c r="H134">
        <v>2015</v>
      </c>
      <c r="I134">
        <v>2.0099999999999998</v>
      </c>
      <c r="J134">
        <v>2</v>
      </c>
      <c r="K134">
        <v>0</v>
      </c>
      <c r="L134">
        <v>2</v>
      </c>
      <c r="M134" s="3">
        <v>6.7199999999999996E-2</v>
      </c>
      <c r="N134" s="2">
        <v>0</v>
      </c>
      <c r="O134" s="3">
        <v>6.7199999999999996E-2</v>
      </c>
      <c r="P134" s="3">
        <v>0.995</v>
      </c>
      <c r="Q134" s="2">
        <v>0</v>
      </c>
      <c r="R134" s="3">
        <v>0.995</v>
      </c>
      <c r="S134" t="s">
        <v>694</v>
      </c>
      <c r="U134" t="s">
        <v>730</v>
      </c>
    </row>
    <row r="135" spans="1:21" x14ac:dyDescent="0.6">
      <c r="A135">
        <v>153</v>
      </c>
      <c r="B135" t="str">
        <f>"2114"</f>
        <v>2114</v>
      </c>
      <c r="C135" t="s">
        <v>222</v>
      </c>
      <c r="D135" s="1">
        <v>42923</v>
      </c>
      <c r="E135">
        <v>74.5</v>
      </c>
      <c r="F135">
        <v>0.8</v>
      </c>
      <c r="G135" s="3">
        <v>1.09E-2</v>
      </c>
      <c r="H135">
        <v>2015</v>
      </c>
      <c r="I135">
        <v>7.34</v>
      </c>
      <c r="J135">
        <v>5</v>
      </c>
      <c r="K135">
        <v>0</v>
      </c>
      <c r="L135">
        <v>5</v>
      </c>
      <c r="M135" s="3">
        <v>6.7100000000000007E-2</v>
      </c>
      <c r="N135" s="2">
        <v>0</v>
      </c>
      <c r="O135" s="3">
        <v>6.7100000000000007E-2</v>
      </c>
      <c r="P135" s="3">
        <v>0.68100000000000005</v>
      </c>
      <c r="Q135" s="2">
        <v>0</v>
      </c>
      <c r="R135" s="3">
        <v>0.68100000000000005</v>
      </c>
      <c r="S135" t="s">
        <v>734</v>
      </c>
      <c r="U135" t="s">
        <v>733</v>
      </c>
    </row>
    <row r="136" spans="1:21" x14ac:dyDescent="0.6">
      <c r="A136">
        <v>158</v>
      </c>
      <c r="B136" t="str">
        <f>"6164"</f>
        <v>6164</v>
      </c>
      <c r="C136" t="s">
        <v>228</v>
      </c>
      <c r="D136" s="1">
        <v>42923</v>
      </c>
      <c r="E136">
        <v>12.75</v>
      </c>
      <c r="F136">
        <v>-0.05</v>
      </c>
      <c r="G136" s="3">
        <v>-3.8999999999999998E-3</v>
      </c>
      <c r="H136">
        <v>2015</v>
      </c>
      <c r="I136">
        <v>1.1100000000000001</v>
      </c>
      <c r="J136">
        <v>0.85</v>
      </c>
      <c r="K136">
        <v>0</v>
      </c>
      <c r="L136">
        <v>0.85</v>
      </c>
      <c r="M136" s="3">
        <v>6.6699999999999995E-2</v>
      </c>
      <c r="N136" s="2">
        <v>0</v>
      </c>
      <c r="O136" s="3">
        <v>6.6699999999999995E-2</v>
      </c>
      <c r="P136" s="3">
        <v>0.76600000000000001</v>
      </c>
      <c r="Q136" s="2">
        <v>0</v>
      </c>
      <c r="R136" s="3">
        <v>0.76600000000000001</v>
      </c>
      <c r="S136" t="s">
        <v>708</v>
      </c>
      <c r="U136" t="s">
        <v>691</v>
      </c>
    </row>
    <row r="137" spans="1:21" x14ac:dyDescent="0.6">
      <c r="A137">
        <v>403</v>
      </c>
      <c r="B137" t="str">
        <f>"3221"</f>
        <v>3221</v>
      </c>
      <c r="C137" t="s">
        <v>489</v>
      </c>
      <c r="D137" s="1">
        <v>42923</v>
      </c>
      <c r="E137">
        <v>19.600000000000001</v>
      </c>
      <c r="F137">
        <v>-0.35</v>
      </c>
      <c r="G137" s="3">
        <v>-1.7500000000000002E-2</v>
      </c>
      <c r="H137">
        <v>2015</v>
      </c>
      <c r="I137">
        <v>1.58</v>
      </c>
      <c r="J137">
        <v>1.3</v>
      </c>
      <c r="K137">
        <v>0</v>
      </c>
      <c r="L137">
        <v>1.3</v>
      </c>
      <c r="M137" s="3">
        <v>6.6299999999999998E-2</v>
      </c>
      <c r="N137" s="2">
        <v>0</v>
      </c>
      <c r="O137" s="3">
        <v>6.6299999999999998E-2</v>
      </c>
      <c r="P137" s="3">
        <v>0.82299999999999995</v>
      </c>
      <c r="Q137" s="2">
        <v>0</v>
      </c>
      <c r="R137" s="3">
        <v>0.82299999999999995</v>
      </c>
      <c r="S137" t="s">
        <v>715</v>
      </c>
      <c r="U137" t="s">
        <v>717</v>
      </c>
    </row>
    <row r="138" spans="1:21" x14ac:dyDescent="0.6">
      <c r="A138">
        <v>131</v>
      </c>
      <c r="B138" t="str">
        <f>"1558"</f>
        <v>1558</v>
      </c>
      <c r="C138" t="s">
        <v>197</v>
      </c>
      <c r="D138" s="1">
        <v>42923</v>
      </c>
      <c r="E138">
        <v>136</v>
      </c>
      <c r="F138">
        <v>-0.5</v>
      </c>
      <c r="G138" s="3">
        <v>-3.7000000000000002E-3</v>
      </c>
      <c r="H138">
        <v>2015</v>
      </c>
      <c r="I138">
        <v>13.7</v>
      </c>
      <c r="J138">
        <v>9</v>
      </c>
      <c r="K138">
        <v>0</v>
      </c>
      <c r="L138">
        <v>9</v>
      </c>
      <c r="M138" s="3">
        <v>6.6199999999999995E-2</v>
      </c>
      <c r="N138" s="2">
        <v>0</v>
      </c>
      <c r="O138" s="3">
        <v>6.6199999999999995E-2</v>
      </c>
      <c r="P138" s="3">
        <v>0.65700000000000003</v>
      </c>
      <c r="Q138" s="2">
        <v>0</v>
      </c>
      <c r="R138" s="3">
        <v>0.65700000000000003</v>
      </c>
      <c r="S138" t="s">
        <v>740</v>
      </c>
      <c r="U138" t="s">
        <v>695</v>
      </c>
    </row>
    <row r="139" spans="1:21" x14ac:dyDescent="0.6">
      <c r="A139">
        <v>40</v>
      </c>
      <c r="B139" t="str">
        <f>"6216"</f>
        <v>6216</v>
      </c>
      <c r="C139" t="s">
        <v>83</v>
      </c>
      <c r="D139" s="1">
        <v>42923</v>
      </c>
      <c r="E139">
        <v>32.200000000000003</v>
      </c>
      <c r="F139">
        <v>-0.25</v>
      </c>
      <c r="G139" s="3">
        <v>-7.7000000000000002E-3</v>
      </c>
      <c r="H139">
        <v>2015</v>
      </c>
      <c r="I139">
        <v>2.4300000000000002</v>
      </c>
      <c r="J139">
        <v>2.12</v>
      </c>
      <c r="K139">
        <v>0</v>
      </c>
      <c r="L139">
        <v>2.12</v>
      </c>
      <c r="M139" s="3">
        <v>6.59E-2</v>
      </c>
      <c r="N139" s="2">
        <v>0</v>
      </c>
      <c r="O139" s="3">
        <v>6.59E-2</v>
      </c>
      <c r="P139" s="3">
        <v>0.872</v>
      </c>
      <c r="Q139" s="2">
        <v>0</v>
      </c>
      <c r="R139" s="3">
        <v>0.872</v>
      </c>
      <c r="S139" t="s">
        <v>737</v>
      </c>
      <c r="U139" t="s">
        <v>738</v>
      </c>
    </row>
    <row r="140" spans="1:21" x14ac:dyDescent="0.6">
      <c r="A140">
        <v>46</v>
      </c>
      <c r="B140" t="str">
        <f>"2511"</f>
        <v>2511</v>
      </c>
      <c r="C140" t="s">
        <v>92</v>
      </c>
      <c r="D140" s="1">
        <v>42923</v>
      </c>
      <c r="E140">
        <v>12.15</v>
      </c>
      <c r="F140">
        <v>-0.05</v>
      </c>
      <c r="G140" s="3">
        <v>-4.1000000000000003E-3</v>
      </c>
      <c r="H140">
        <v>2015</v>
      </c>
      <c r="I140">
        <v>1.51</v>
      </c>
      <c r="J140">
        <v>0.8</v>
      </c>
      <c r="K140">
        <v>0</v>
      </c>
      <c r="L140">
        <v>0.8</v>
      </c>
      <c r="M140" s="3">
        <v>6.5799999999999997E-2</v>
      </c>
      <c r="N140" s="2">
        <v>0</v>
      </c>
      <c r="O140" s="3">
        <v>6.5799999999999997E-2</v>
      </c>
      <c r="P140" s="2">
        <v>0.53</v>
      </c>
      <c r="Q140" s="2">
        <v>0</v>
      </c>
      <c r="R140" s="2">
        <v>0.53</v>
      </c>
      <c r="S140" t="s">
        <v>691</v>
      </c>
      <c r="U140" t="s">
        <v>730</v>
      </c>
    </row>
    <row r="141" spans="1:21" x14ac:dyDescent="0.6">
      <c r="A141">
        <v>60</v>
      </c>
      <c r="B141" t="str">
        <f>"8916"</f>
        <v>8916</v>
      </c>
      <c r="C141" t="s">
        <v>113</v>
      </c>
      <c r="D141" s="1">
        <v>42923</v>
      </c>
      <c r="E141">
        <v>45.1</v>
      </c>
      <c r="F141">
        <v>0.1</v>
      </c>
      <c r="G141" s="3">
        <v>2.2000000000000001E-3</v>
      </c>
      <c r="H141">
        <v>2015</v>
      </c>
      <c r="I141">
        <v>4</v>
      </c>
      <c r="J141">
        <v>2.97</v>
      </c>
      <c r="K141">
        <v>0</v>
      </c>
      <c r="L141">
        <v>2.97</v>
      </c>
      <c r="M141" s="3">
        <v>6.5799999999999997E-2</v>
      </c>
      <c r="N141" s="2">
        <v>0</v>
      </c>
      <c r="O141" s="3">
        <v>6.5799999999999997E-2</v>
      </c>
      <c r="P141" s="3">
        <v>0.74199999999999999</v>
      </c>
      <c r="Q141" s="2">
        <v>0</v>
      </c>
      <c r="R141" s="3">
        <v>0.74199999999999999</v>
      </c>
      <c r="S141" t="s">
        <v>748</v>
      </c>
      <c r="U141" t="s">
        <v>749</v>
      </c>
    </row>
    <row r="142" spans="1:21" x14ac:dyDescent="0.6">
      <c r="A142">
        <v>71</v>
      </c>
      <c r="B142" t="str">
        <f>"5438"</f>
        <v>5438</v>
      </c>
      <c r="C142" t="s">
        <v>130</v>
      </c>
      <c r="D142" s="1">
        <v>42923</v>
      </c>
      <c r="E142">
        <v>15.25</v>
      </c>
      <c r="F142">
        <v>0.1</v>
      </c>
      <c r="G142" s="3">
        <v>6.6E-3</v>
      </c>
      <c r="H142">
        <v>2015</v>
      </c>
      <c r="I142">
        <v>1.29</v>
      </c>
      <c r="J142">
        <v>1</v>
      </c>
      <c r="K142">
        <v>0</v>
      </c>
      <c r="L142">
        <v>1</v>
      </c>
      <c r="M142" s="3">
        <v>6.5600000000000006E-2</v>
      </c>
      <c r="N142" s="2">
        <v>0</v>
      </c>
      <c r="O142" s="3">
        <v>6.5600000000000006E-2</v>
      </c>
      <c r="P142" s="3">
        <v>0.77500000000000002</v>
      </c>
      <c r="Q142" s="2">
        <v>0</v>
      </c>
      <c r="R142" s="3">
        <v>0.77500000000000002</v>
      </c>
      <c r="S142" t="s">
        <v>756</v>
      </c>
      <c r="U142" t="s">
        <v>709</v>
      </c>
    </row>
    <row r="143" spans="1:21" x14ac:dyDescent="0.6">
      <c r="A143">
        <v>391</v>
      </c>
      <c r="B143" t="str">
        <f>"3010"</f>
        <v>3010</v>
      </c>
      <c r="C143" t="s">
        <v>475</v>
      </c>
      <c r="D143" s="1">
        <v>42923</v>
      </c>
      <c r="E143">
        <v>50.3</v>
      </c>
      <c r="F143">
        <v>0</v>
      </c>
      <c r="G143" s="2">
        <v>0</v>
      </c>
      <c r="H143">
        <v>2015</v>
      </c>
      <c r="I143">
        <v>5.5</v>
      </c>
      <c r="J143">
        <v>3.3</v>
      </c>
      <c r="K143">
        <v>0</v>
      </c>
      <c r="L143">
        <v>3.3</v>
      </c>
      <c r="M143" s="3">
        <v>6.5600000000000006E-2</v>
      </c>
      <c r="N143" s="2">
        <v>0</v>
      </c>
      <c r="O143" s="3">
        <v>6.5600000000000006E-2</v>
      </c>
      <c r="P143" s="2">
        <v>0.6</v>
      </c>
      <c r="Q143" s="2">
        <v>0</v>
      </c>
      <c r="R143" s="2">
        <v>0.6</v>
      </c>
      <c r="S143" t="s">
        <v>757</v>
      </c>
      <c r="U143" t="s">
        <v>695</v>
      </c>
    </row>
    <row r="144" spans="1:21" x14ac:dyDescent="0.6">
      <c r="A144">
        <v>373</v>
      </c>
      <c r="B144" t="str">
        <f>"6207"</f>
        <v>6207</v>
      </c>
      <c r="C144" t="s">
        <v>456</v>
      </c>
      <c r="D144" s="1">
        <v>42923</v>
      </c>
      <c r="E144">
        <v>28.55</v>
      </c>
      <c r="F144">
        <v>0.25</v>
      </c>
      <c r="G144" s="3">
        <v>8.8000000000000005E-3</v>
      </c>
      <c r="H144">
        <v>2015</v>
      </c>
      <c r="I144">
        <v>2.0299999999999998</v>
      </c>
      <c r="J144">
        <v>1.86</v>
      </c>
      <c r="K144">
        <v>0</v>
      </c>
      <c r="L144">
        <v>1.86</v>
      </c>
      <c r="M144" s="3">
        <v>6.5100000000000005E-2</v>
      </c>
      <c r="N144" s="2">
        <v>0</v>
      </c>
      <c r="O144" s="3">
        <v>6.5100000000000005E-2</v>
      </c>
      <c r="P144" s="3">
        <v>0.91600000000000004</v>
      </c>
      <c r="Q144" s="2">
        <v>0</v>
      </c>
      <c r="R144" s="3">
        <v>0.91600000000000004</v>
      </c>
      <c r="S144" t="s">
        <v>718</v>
      </c>
      <c r="U144" t="s">
        <v>721</v>
      </c>
    </row>
    <row r="145" spans="1:21" x14ac:dyDescent="0.6">
      <c r="A145">
        <v>395</v>
      </c>
      <c r="B145" t="str">
        <f>"8921"</f>
        <v>8921</v>
      </c>
      <c r="C145" t="s">
        <v>480</v>
      </c>
      <c r="D145" s="1">
        <v>42923</v>
      </c>
      <c r="E145">
        <v>15.35</v>
      </c>
      <c r="F145">
        <v>0.65</v>
      </c>
      <c r="G145" s="3">
        <v>4.4200000000000003E-2</v>
      </c>
      <c r="H145">
        <v>2015</v>
      </c>
      <c r="I145">
        <v>1.2</v>
      </c>
      <c r="J145">
        <v>1</v>
      </c>
      <c r="K145">
        <v>0</v>
      </c>
      <c r="L145">
        <v>1</v>
      </c>
      <c r="M145" s="3">
        <v>6.5100000000000005E-2</v>
      </c>
      <c r="N145" s="2">
        <v>0</v>
      </c>
      <c r="O145" s="3">
        <v>6.5100000000000005E-2</v>
      </c>
      <c r="P145" s="3">
        <v>0.83299999999999996</v>
      </c>
      <c r="Q145" s="2">
        <v>0</v>
      </c>
      <c r="R145" s="3">
        <v>0.83299999999999996</v>
      </c>
      <c r="S145" t="s">
        <v>765</v>
      </c>
      <c r="U145" t="s">
        <v>729</v>
      </c>
    </row>
    <row r="146" spans="1:21" x14ac:dyDescent="0.6">
      <c r="A146">
        <v>419</v>
      </c>
      <c r="B146" t="str">
        <f>"3484"</f>
        <v>3484</v>
      </c>
      <c r="C146" t="s">
        <v>506</v>
      </c>
      <c r="D146" s="1">
        <v>42923</v>
      </c>
      <c r="E146">
        <v>39.700000000000003</v>
      </c>
      <c r="F146">
        <v>-0.2</v>
      </c>
      <c r="G146" s="3">
        <v>-5.0000000000000001E-3</v>
      </c>
      <c r="H146">
        <v>2015</v>
      </c>
      <c r="I146">
        <v>3.75</v>
      </c>
      <c r="J146">
        <v>2.59</v>
      </c>
      <c r="K146">
        <v>0.2</v>
      </c>
      <c r="L146">
        <v>2.78</v>
      </c>
      <c r="M146" s="3">
        <v>6.5100000000000005E-2</v>
      </c>
      <c r="N146" s="3">
        <v>5.0000000000000001E-3</v>
      </c>
      <c r="O146" s="3">
        <v>7.0099999999999996E-2</v>
      </c>
      <c r="P146" s="3">
        <v>0.69099999999999995</v>
      </c>
      <c r="Q146" s="3">
        <v>5.33E-2</v>
      </c>
      <c r="R146" s="3">
        <v>0.74099999999999999</v>
      </c>
      <c r="S146" t="s">
        <v>735</v>
      </c>
      <c r="T146" t="s">
        <v>735</v>
      </c>
      <c r="U146" t="s">
        <v>737</v>
      </c>
    </row>
    <row r="147" spans="1:21" x14ac:dyDescent="0.6">
      <c r="A147">
        <v>461</v>
      </c>
      <c r="B147" t="str">
        <f>"6112"</f>
        <v>6112</v>
      </c>
      <c r="C147" t="s">
        <v>552</v>
      </c>
      <c r="D147" s="1">
        <v>42923</v>
      </c>
      <c r="E147">
        <v>30.9</v>
      </c>
      <c r="F147">
        <v>0.05</v>
      </c>
      <c r="G147" s="3">
        <v>1.6000000000000001E-3</v>
      </c>
      <c r="H147">
        <v>2015</v>
      </c>
      <c r="I147">
        <v>2.5</v>
      </c>
      <c r="J147">
        <v>2</v>
      </c>
      <c r="K147">
        <v>0</v>
      </c>
      <c r="L147">
        <v>2</v>
      </c>
      <c r="M147" s="3">
        <v>6.4699999999999994E-2</v>
      </c>
      <c r="N147" s="2">
        <v>0</v>
      </c>
      <c r="O147" s="3">
        <v>6.4699999999999994E-2</v>
      </c>
      <c r="P147" s="2">
        <v>0.8</v>
      </c>
      <c r="Q147" s="2">
        <v>0</v>
      </c>
      <c r="R147" s="2">
        <v>0.8</v>
      </c>
      <c r="S147" t="s">
        <v>765</v>
      </c>
      <c r="U147" t="s">
        <v>759</v>
      </c>
    </row>
    <row r="148" spans="1:21" x14ac:dyDescent="0.6">
      <c r="A148">
        <v>76</v>
      </c>
      <c r="B148" t="str">
        <f>"1582"</f>
        <v>1582</v>
      </c>
      <c r="C148" t="s">
        <v>135</v>
      </c>
      <c r="D148" s="1">
        <v>42923</v>
      </c>
      <c r="E148">
        <v>69.900000000000006</v>
      </c>
      <c r="F148">
        <v>-0.2</v>
      </c>
      <c r="G148" s="3">
        <v>-2.8999999999999998E-3</v>
      </c>
      <c r="H148">
        <v>2015</v>
      </c>
      <c r="I148">
        <v>5.71</v>
      </c>
      <c r="J148">
        <v>4.5</v>
      </c>
      <c r="K148">
        <v>0</v>
      </c>
      <c r="L148">
        <v>4.5</v>
      </c>
      <c r="M148" s="3">
        <v>6.4399999999999999E-2</v>
      </c>
      <c r="N148" s="2">
        <v>0</v>
      </c>
      <c r="O148" s="3">
        <v>6.4399999999999999E-2</v>
      </c>
      <c r="P148" s="3">
        <v>0.78800000000000003</v>
      </c>
      <c r="Q148" s="2">
        <v>0</v>
      </c>
      <c r="R148" s="3">
        <v>0.78800000000000003</v>
      </c>
      <c r="S148" t="s">
        <v>709</v>
      </c>
      <c r="U148" t="s">
        <v>746</v>
      </c>
    </row>
    <row r="149" spans="1:21" x14ac:dyDescent="0.6">
      <c r="A149">
        <v>136</v>
      </c>
      <c r="B149" t="str">
        <f>"2414"</f>
        <v>2414</v>
      </c>
      <c r="C149" t="s">
        <v>202</v>
      </c>
      <c r="D149" s="1">
        <v>42923</v>
      </c>
      <c r="E149">
        <v>18.75</v>
      </c>
      <c r="F149">
        <v>-0.05</v>
      </c>
      <c r="G149" s="3">
        <v>-2.7000000000000001E-3</v>
      </c>
      <c r="H149">
        <v>2015</v>
      </c>
      <c r="I149">
        <v>1.56</v>
      </c>
      <c r="J149">
        <v>1.2</v>
      </c>
      <c r="K149">
        <v>0</v>
      </c>
      <c r="L149">
        <v>1.2</v>
      </c>
      <c r="M149" s="3">
        <v>6.4000000000000001E-2</v>
      </c>
      <c r="N149" s="2">
        <v>0</v>
      </c>
      <c r="O149" s="3">
        <v>6.4000000000000001E-2</v>
      </c>
      <c r="P149" s="3">
        <v>0.76900000000000002</v>
      </c>
      <c r="Q149" s="2">
        <v>0</v>
      </c>
      <c r="R149" s="3">
        <v>0.76900000000000002</v>
      </c>
      <c r="S149" t="s">
        <v>694</v>
      </c>
      <c r="U149" t="s">
        <v>695</v>
      </c>
    </row>
    <row r="150" spans="1:21" x14ac:dyDescent="0.6">
      <c r="A150">
        <v>495</v>
      </c>
      <c r="B150" t="str">
        <f>"4953"</f>
        <v>4953</v>
      </c>
      <c r="C150" t="s">
        <v>589</v>
      </c>
      <c r="D150" s="1">
        <v>42923</v>
      </c>
      <c r="E150">
        <v>23.5</v>
      </c>
      <c r="F150">
        <v>-0.15</v>
      </c>
      <c r="G150" s="3">
        <v>-6.3E-3</v>
      </c>
      <c r="H150">
        <v>2015</v>
      </c>
      <c r="I150">
        <v>2.89</v>
      </c>
      <c r="J150">
        <v>1.5</v>
      </c>
      <c r="K150">
        <v>0.3</v>
      </c>
      <c r="L150">
        <v>1.8</v>
      </c>
      <c r="M150" s="3">
        <v>6.3799999999999996E-2</v>
      </c>
      <c r="N150" s="3">
        <v>1.2800000000000001E-2</v>
      </c>
      <c r="O150" s="3">
        <v>7.6600000000000001E-2</v>
      </c>
      <c r="P150" s="3">
        <v>0.51900000000000002</v>
      </c>
      <c r="Q150" s="3">
        <v>0.104</v>
      </c>
      <c r="R150" s="3">
        <v>0.623</v>
      </c>
      <c r="S150" t="s">
        <v>753</v>
      </c>
      <c r="T150" t="s">
        <v>753</v>
      </c>
      <c r="U150" t="s">
        <v>697</v>
      </c>
    </row>
    <row r="151" spans="1:21" x14ac:dyDescent="0.6">
      <c r="A151">
        <v>187</v>
      </c>
      <c r="B151" t="str">
        <f>"2509"</f>
        <v>2509</v>
      </c>
      <c r="C151" t="s">
        <v>263</v>
      </c>
      <c r="D151" s="1">
        <v>42923</v>
      </c>
      <c r="E151">
        <v>18.850000000000001</v>
      </c>
      <c r="F151">
        <v>0.1</v>
      </c>
      <c r="G151" s="3">
        <v>5.3E-3</v>
      </c>
      <c r="H151">
        <v>2015</v>
      </c>
      <c r="I151">
        <v>-1.34</v>
      </c>
      <c r="J151">
        <v>1.2</v>
      </c>
      <c r="K151">
        <v>0</v>
      </c>
      <c r="L151">
        <v>1.2</v>
      </c>
      <c r="M151" s="3">
        <v>6.3700000000000007E-2</v>
      </c>
      <c r="N151" s="2">
        <v>0</v>
      </c>
      <c r="O151" s="3">
        <v>6.3700000000000007E-2</v>
      </c>
      <c r="P151" s="3">
        <v>-0.89600000000000002</v>
      </c>
      <c r="Q151" s="2">
        <v>0</v>
      </c>
      <c r="R151" s="3">
        <v>-0.89600000000000002</v>
      </c>
      <c r="S151" t="s">
        <v>761</v>
      </c>
      <c r="U151" t="s">
        <v>703</v>
      </c>
    </row>
    <row r="152" spans="1:21" x14ac:dyDescent="0.6">
      <c r="A152">
        <v>188</v>
      </c>
      <c r="B152" t="str">
        <f>"6202"</f>
        <v>6202</v>
      </c>
      <c r="C152" t="s">
        <v>265</v>
      </c>
      <c r="D152" s="1">
        <v>42923</v>
      </c>
      <c r="E152">
        <v>55</v>
      </c>
      <c r="F152">
        <v>-0.4</v>
      </c>
      <c r="G152" s="3">
        <v>-7.1999999999999998E-3</v>
      </c>
      <c r="H152">
        <v>2015</v>
      </c>
      <c r="I152">
        <v>3.5</v>
      </c>
      <c r="J152">
        <v>3.5</v>
      </c>
      <c r="K152">
        <v>0</v>
      </c>
      <c r="L152">
        <v>3.5</v>
      </c>
      <c r="M152" s="3">
        <v>6.3600000000000004E-2</v>
      </c>
      <c r="N152" s="2">
        <v>0</v>
      </c>
      <c r="O152" s="3">
        <v>6.3600000000000004E-2</v>
      </c>
      <c r="P152" s="2">
        <v>1</v>
      </c>
      <c r="Q152" s="2">
        <v>0</v>
      </c>
      <c r="R152" s="2">
        <v>1</v>
      </c>
      <c r="S152" t="s">
        <v>750</v>
      </c>
      <c r="U152" t="s">
        <v>730</v>
      </c>
    </row>
    <row r="153" spans="1:21" x14ac:dyDescent="0.6">
      <c r="A153">
        <v>189</v>
      </c>
      <c r="B153" t="str">
        <f>"9927"</f>
        <v>9927</v>
      </c>
      <c r="C153" t="s">
        <v>266</v>
      </c>
      <c r="D153" s="1">
        <v>42923</v>
      </c>
      <c r="E153">
        <v>39.299999999999997</v>
      </c>
      <c r="F153">
        <v>-0.1</v>
      </c>
      <c r="G153" s="3">
        <v>-2.5000000000000001E-3</v>
      </c>
      <c r="H153">
        <v>2015</v>
      </c>
      <c r="I153">
        <v>3.56</v>
      </c>
      <c r="J153">
        <v>2.5</v>
      </c>
      <c r="K153">
        <v>0</v>
      </c>
      <c r="L153">
        <v>2.5</v>
      </c>
      <c r="M153" s="3">
        <v>6.3600000000000004E-2</v>
      </c>
      <c r="N153" s="2">
        <v>0</v>
      </c>
      <c r="O153" s="3">
        <v>6.3600000000000004E-2</v>
      </c>
      <c r="P153" s="3">
        <v>0.70199999999999996</v>
      </c>
      <c r="Q153" s="2">
        <v>0</v>
      </c>
      <c r="R153" s="3">
        <v>0.70199999999999996</v>
      </c>
      <c r="S153" t="s">
        <v>696</v>
      </c>
      <c r="U153" t="s">
        <v>703</v>
      </c>
    </row>
    <row r="154" spans="1:21" x14ac:dyDescent="0.6">
      <c r="A154">
        <v>190</v>
      </c>
      <c r="B154" t="str">
        <f>"1108"</f>
        <v>1108</v>
      </c>
      <c r="C154" t="s">
        <v>267</v>
      </c>
      <c r="D154" s="1">
        <v>42923</v>
      </c>
      <c r="E154">
        <v>9.4499999999999993</v>
      </c>
      <c r="F154">
        <v>0</v>
      </c>
      <c r="G154" s="2">
        <v>0</v>
      </c>
      <c r="H154">
        <v>2015</v>
      </c>
      <c r="I154">
        <v>0.94</v>
      </c>
      <c r="J154">
        <v>0.6</v>
      </c>
      <c r="K154">
        <v>0</v>
      </c>
      <c r="L154">
        <v>0.6</v>
      </c>
      <c r="M154" s="3">
        <v>6.3500000000000001E-2</v>
      </c>
      <c r="N154" s="2">
        <v>0</v>
      </c>
      <c r="O154" s="3">
        <v>6.3500000000000001E-2</v>
      </c>
      <c r="P154" s="3">
        <v>0.63800000000000001</v>
      </c>
      <c r="Q154" s="2">
        <v>0</v>
      </c>
      <c r="R154" s="3">
        <v>0.63800000000000001</v>
      </c>
      <c r="S154" t="s">
        <v>725</v>
      </c>
      <c r="U154" t="s">
        <v>735</v>
      </c>
    </row>
    <row r="155" spans="1:21" x14ac:dyDescent="0.6">
      <c r="A155">
        <v>237</v>
      </c>
      <c r="B155" t="str">
        <f>"3118"</f>
        <v>3118</v>
      </c>
      <c r="C155" t="s">
        <v>316</v>
      </c>
      <c r="D155" s="1">
        <v>42923</v>
      </c>
      <c r="E155">
        <v>31.55</v>
      </c>
      <c r="F155">
        <v>0.05</v>
      </c>
      <c r="G155" s="3">
        <v>1.6000000000000001E-3</v>
      </c>
      <c r="H155">
        <v>2015</v>
      </c>
      <c r="I155">
        <v>2.37</v>
      </c>
      <c r="J155">
        <v>2</v>
      </c>
      <c r="K155">
        <v>0</v>
      </c>
      <c r="L155">
        <v>2</v>
      </c>
      <c r="M155" s="3">
        <v>6.3399999999999998E-2</v>
      </c>
      <c r="N155" s="2">
        <v>0</v>
      </c>
      <c r="O155" s="3">
        <v>6.3399999999999998E-2</v>
      </c>
      <c r="P155" s="3">
        <v>0.84399999999999997</v>
      </c>
      <c r="Q155" s="2">
        <v>0</v>
      </c>
      <c r="R155" s="3">
        <v>0.84399999999999997</v>
      </c>
      <c r="S155" t="s">
        <v>770</v>
      </c>
      <c r="U155" t="s">
        <v>744</v>
      </c>
    </row>
    <row r="156" spans="1:21" x14ac:dyDescent="0.6">
      <c r="A156">
        <v>133</v>
      </c>
      <c r="B156" t="str">
        <f>"6281"</f>
        <v>6281</v>
      </c>
      <c r="C156" t="s">
        <v>199</v>
      </c>
      <c r="D156" s="1">
        <v>42923</v>
      </c>
      <c r="E156">
        <v>61.8</v>
      </c>
      <c r="F156">
        <v>0.2</v>
      </c>
      <c r="G156" s="3">
        <v>3.2000000000000002E-3</v>
      </c>
      <c r="H156">
        <v>2015</v>
      </c>
      <c r="I156">
        <v>4.3</v>
      </c>
      <c r="J156">
        <v>3.9</v>
      </c>
      <c r="K156">
        <v>0</v>
      </c>
      <c r="L156">
        <v>3.9</v>
      </c>
      <c r="M156" s="3">
        <v>6.3100000000000003E-2</v>
      </c>
      <c r="N156" s="2">
        <v>0</v>
      </c>
      <c r="O156" s="3">
        <v>6.3100000000000003E-2</v>
      </c>
      <c r="P156" s="3">
        <v>0.90700000000000003</v>
      </c>
      <c r="Q156" s="2">
        <v>0</v>
      </c>
      <c r="R156" s="3">
        <v>0.90700000000000003</v>
      </c>
      <c r="S156" t="s">
        <v>724</v>
      </c>
      <c r="U156" t="s">
        <v>691</v>
      </c>
    </row>
    <row r="157" spans="1:21" x14ac:dyDescent="0.6">
      <c r="A157">
        <v>69</v>
      </c>
      <c r="B157" t="str">
        <f>"5016"</f>
        <v>5016</v>
      </c>
      <c r="C157" t="s">
        <v>127</v>
      </c>
      <c r="D157" s="1">
        <v>42923</v>
      </c>
      <c r="E157">
        <v>31.75</v>
      </c>
      <c r="F157">
        <v>-0.15</v>
      </c>
      <c r="G157" s="3">
        <v>-4.7000000000000002E-3</v>
      </c>
      <c r="H157">
        <v>2015</v>
      </c>
      <c r="I157">
        <v>3.02</v>
      </c>
      <c r="J157">
        <v>2</v>
      </c>
      <c r="K157">
        <v>0</v>
      </c>
      <c r="L157">
        <v>2</v>
      </c>
      <c r="M157" s="3">
        <v>6.3E-2</v>
      </c>
      <c r="N157" s="2">
        <v>0</v>
      </c>
      <c r="O157" s="3">
        <v>6.3E-2</v>
      </c>
      <c r="P157" s="3">
        <v>0.66200000000000003</v>
      </c>
      <c r="Q157" s="2">
        <v>0</v>
      </c>
      <c r="R157" s="3">
        <v>0.66200000000000003</v>
      </c>
      <c r="S157" t="s">
        <v>754</v>
      </c>
      <c r="U157" t="s">
        <v>744</v>
      </c>
    </row>
    <row r="158" spans="1:21" x14ac:dyDescent="0.6">
      <c r="A158">
        <v>70</v>
      </c>
      <c r="B158" t="str">
        <f>"6109"</f>
        <v>6109</v>
      </c>
      <c r="C158" t="s">
        <v>129</v>
      </c>
      <c r="D158" s="1">
        <v>42923</v>
      </c>
      <c r="E158">
        <v>12.7</v>
      </c>
      <c r="F158">
        <v>-0.05</v>
      </c>
      <c r="G158" s="3">
        <v>-3.8999999999999998E-3</v>
      </c>
      <c r="H158">
        <v>2015</v>
      </c>
      <c r="I158">
        <v>1.21</v>
      </c>
      <c r="J158">
        <v>0.8</v>
      </c>
      <c r="K158">
        <v>0</v>
      </c>
      <c r="L158">
        <v>0.8</v>
      </c>
      <c r="M158" s="3">
        <v>6.3E-2</v>
      </c>
      <c r="N158" s="2">
        <v>0</v>
      </c>
      <c r="O158" s="3">
        <v>6.3E-2</v>
      </c>
      <c r="P158" s="3">
        <v>0.66100000000000003</v>
      </c>
      <c r="Q158" s="2">
        <v>0</v>
      </c>
      <c r="R158" s="3">
        <v>0.66100000000000003</v>
      </c>
      <c r="S158" t="s">
        <v>690</v>
      </c>
      <c r="U158" t="s">
        <v>755</v>
      </c>
    </row>
    <row r="159" spans="1:21" x14ac:dyDescent="0.6">
      <c r="A159">
        <v>472</v>
      </c>
      <c r="B159" t="str">
        <f>"8289"</f>
        <v>8289</v>
      </c>
      <c r="C159" t="s">
        <v>565</v>
      </c>
      <c r="D159" s="1">
        <v>42923</v>
      </c>
      <c r="E159">
        <v>10.4</v>
      </c>
      <c r="F159">
        <v>-0.05</v>
      </c>
      <c r="G159" s="3">
        <v>-4.7999999999999996E-3</v>
      </c>
      <c r="H159">
        <v>2015</v>
      </c>
      <c r="I159">
        <v>0.9</v>
      </c>
      <c r="J159">
        <v>0.65</v>
      </c>
      <c r="K159">
        <v>0</v>
      </c>
      <c r="L159">
        <v>0.65</v>
      </c>
      <c r="M159" s="3">
        <v>6.3E-2</v>
      </c>
      <c r="N159" s="2">
        <v>0</v>
      </c>
      <c r="O159" s="3">
        <v>6.3E-2</v>
      </c>
      <c r="P159" s="3">
        <v>0.72199999999999998</v>
      </c>
      <c r="Q159" s="2">
        <v>0</v>
      </c>
      <c r="R159" s="3">
        <v>0.72199999999999998</v>
      </c>
      <c r="S159" t="s">
        <v>755</v>
      </c>
      <c r="U159" t="s">
        <v>746</v>
      </c>
    </row>
    <row r="160" spans="1:21" x14ac:dyDescent="0.6">
      <c r="A160">
        <v>210</v>
      </c>
      <c r="B160" t="str">
        <f>"2426"</f>
        <v>2426</v>
      </c>
      <c r="C160" t="s">
        <v>289</v>
      </c>
      <c r="D160" s="1">
        <v>42923</v>
      </c>
      <c r="E160">
        <v>14.3</v>
      </c>
      <c r="F160">
        <v>-0.1</v>
      </c>
      <c r="G160" s="3">
        <v>-6.8999999999999999E-3</v>
      </c>
      <c r="H160">
        <v>2015</v>
      </c>
      <c r="I160">
        <v>1.5</v>
      </c>
      <c r="J160">
        <v>0.9</v>
      </c>
      <c r="K160">
        <v>0</v>
      </c>
      <c r="L160">
        <v>0.9</v>
      </c>
      <c r="M160" s="3">
        <v>6.2899999999999998E-2</v>
      </c>
      <c r="N160" s="2">
        <v>0</v>
      </c>
      <c r="O160" s="3">
        <v>6.2899999999999998E-2</v>
      </c>
      <c r="P160" s="2">
        <v>0.6</v>
      </c>
      <c r="Q160" s="2">
        <v>0</v>
      </c>
      <c r="R160" s="2">
        <v>0.6</v>
      </c>
      <c r="S160" t="s">
        <v>725</v>
      </c>
      <c r="U160" t="s">
        <v>715</v>
      </c>
    </row>
    <row r="161" spans="1:21" x14ac:dyDescent="0.6">
      <c r="A161">
        <v>209</v>
      </c>
      <c r="B161" t="str">
        <f>"2449"</f>
        <v>2449</v>
      </c>
      <c r="C161" t="s">
        <v>288</v>
      </c>
      <c r="D161" s="1">
        <v>42923</v>
      </c>
      <c r="E161">
        <v>28.75</v>
      </c>
      <c r="F161">
        <v>-0.3</v>
      </c>
      <c r="G161" s="3">
        <v>-1.03E-2</v>
      </c>
      <c r="H161">
        <v>2015</v>
      </c>
      <c r="I161">
        <v>2.15</v>
      </c>
      <c r="J161">
        <v>1.8</v>
      </c>
      <c r="K161">
        <v>0</v>
      </c>
      <c r="L161">
        <v>1.8</v>
      </c>
      <c r="M161" s="3">
        <v>6.2600000000000003E-2</v>
      </c>
      <c r="N161" s="2">
        <v>0</v>
      </c>
      <c r="O161" s="3">
        <v>6.2600000000000003E-2</v>
      </c>
      <c r="P161" s="3">
        <v>0.83699999999999997</v>
      </c>
      <c r="Q161" s="2">
        <v>0</v>
      </c>
      <c r="R161" s="3">
        <v>0.83699999999999997</v>
      </c>
      <c r="S161" t="s">
        <v>725</v>
      </c>
      <c r="U161" t="s">
        <v>695</v>
      </c>
    </row>
    <row r="162" spans="1:21" x14ac:dyDescent="0.6">
      <c r="A162">
        <v>208</v>
      </c>
      <c r="B162" t="str">
        <f>"8435"</f>
        <v>8435</v>
      </c>
      <c r="C162" t="s">
        <v>287</v>
      </c>
      <c r="D162" s="1">
        <v>42923</v>
      </c>
      <c r="E162">
        <v>48</v>
      </c>
      <c r="F162">
        <v>0.5</v>
      </c>
      <c r="G162" s="3">
        <v>1.0500000000000001E-2</v>
      </c>
      <c r="H162">
        <v>2015</v>
      </c>
      <c r="I162">
        <v>3.27</v>
      </c>
      <c r="J162">
        <v>3</v>
      </c>
      <c r="K162">
        <v>0.3</v>
      </c>
      <c r="L162">
        <v>3.3</v>
      </c>
      <c r="M162" s="3">
        <v>6.25E-2</v>
      </c>
      <c r="N162" s="3">
        <v>6.1999999999999998E-3</v>
      </c>
      <c r="O162" s="3">
        <v>6.88E-2</v>
      </c>
      <c r="P162" s="3">
        <v>0.91700000000000004</v>
      </c>
      <c r="Q162" s="3">
        <v>9.1700000000000004E-2</v>
      </c>
      <c r="R162" s="2">
        <v>1.01</v>
      </c>
      <c r="S162" t="s">
        <v>754</v>
      </c>
      <c r="T162" t="s">
        <v>754</v>
      </c>
      <c r="U162" t="s">
        <v>755</v>
      </c>
    </row>
    <row r="163" spans="1:21" x14ac:dyDescent="0.6">
      <c r="A163">
        <v>45</v>
      </c>
      <c r="B163" t="str">
        <f>"6538"</f>
        <v>6538</v>
      </c>
      <c r="C163" t="s">
        <v>91</v>
      </c>
      <c r="D163" s="1">
        <v>42923</v>
      </c>
      <c r="E163">
        <v>52.2</v>
      </c>
      <c r="F163">
        <v>-0.2</v>
      </c>
      <c r="G163" s="3">
        <v>-3.8E-3</v>
      </c>
      <c r="H163">
        <v>2015</v>
      </c>
      <c r="J163">
        <v>3.25</v>
      </c>
      <c r="K163">
        <v>0</v>
      </c>
      <c r="L163">
        <v>3.25</v>
      </c>
      <c r="M163" s="3">
        <v>6.2300000000000001E-2</v>
      </c>
      <c r="N163" s="2">
        <v>0</v>
      </c>
      <c r="O163" s="3">
        <v>6.2300000000000001E-2</v>
      </c>
    </row>
    <row r="164" spans="1:21" x14ac:dyDescent="0.6">
      <c r="A164">
        <v>95</v>
      </c>
      <c r="B164" t="str">
        <f>"8424"</f>
        <v>8424</v>
      </c>
      <c r="C164" t="s">
        <v>158</v>
      </c>
      <c r="D164" s="1">
        <v>42923</v>
      </c>
      <c r="E164">
        <v>40.299999999999997</v>
      </c>
      <c r="F164">
        <v>-0.5</v>
      </c>
      <c r="G164" s="3">
        <v>-1.23E-2</v>
      </c>
      <c r="H164">
        <v>2015</v>
      </c>
      <c r="I164">
        <v>4.0199999999999996</v>
      </c>
      <c r="J164">
        <v>2.5</v>
      </c>
      <c r="K164">
        <v>0</v>
      </c>
      <c r="L164">
        <v>2.5</v>
      </c>
      <c r="M164" s="3">
        <v>6.2E-2</v>
      </c>
      <c r="N164" s="2">
        <v>0</v>
      </c>
      <c r="O164" s="3">
        <v>6.2E-2</v>
      </c>
      <c r="P164" s="3">
        <v>0.622</v>
      </c>
      <c r="Q164" s="2">
        <v>0</v>
      </c>
      <c r="R164" s="3">
        <v>0.622</v>
      </c>
      <c r="S164" t="s">
        <v>740</v>
      </c>
      <c r="U164" t="s">
        <v>752</v>
      </c>
    </row>
    <row r="165" spans="1:21" x14ac:dyDescent="0.6">
      <c r="A165">
        <v>214</v>
      </c>
      <c r="B165" t="str">
        <f>"2739"</f>
        <v>2739</v>
      </c>
      <c r="C165" t="s">
        <v>293</v>
      </c>
      <c r="D165" s="1">
        <v>42923</v>
      </c>
      <c r="E165">
        <v>35.5</v>
      </c>
      <c r="F165">
        <v>-0.5</v>
      </c>
      <c r="G165" s="3">
        <v>-1.3899999999999999E-2</v>
      </c>
      <c r="H165">
        <v>2015</v>
      </c>
      <c r="I165">
        <v>2.52</v>
      </c>
      <c r="J165">
        <v>2.2000000000000002</v>
      </c>
      <c r="K165">
        <v>0</v>
      </c>
      <c r="L165">
        <v>2.2000000000000002</v>
      </c>
      <c r="M165" s="3">
        <v>6.2E-2</v>
      </c>
      <c r="N165" s="2">
        <v>0</v>
      </c>
      <c r="O165" s="3">
        <v>6.2E-2</v>
      </c>
      <c r="P165" s="3">
        <v>0.873</v>
      </c>
      <c r="Q165" s="2">
        <v>0</v>
      </c>
      <c r="R165" s="3">
        <v>0.873</v>
      </c>
      <c r="S165" t="s">
        <v>776</v>
      </c>
      <c r="U165" t="s">
        <v>724</v>
      </c>
    </row>
    <row r="166" spans="1:21" x14ac:dyDescent="0.6">
      <c r="A166">
        <v>441</v>
      </c>
      <c r="B166" t="str">
        <f>"1507"</f>
        <v>1507</v>
      </c>
      <c r="C166" t="s">
        <v>531</v>
      </c>
      <c r="D166" s="1">
        <v>42923</v>
      </c>
      <c r="E166">
        <v>48.7</v>
      </c>
      <c r="F166">
        <v>-0.9</v>
      </c>
      <c r="G166" s="3">
        <v>-1.8100000000000002E-2</v>
      </c>
      <c r="H166">
        <v>2015</v>
      </c>
      <c r="I166">
        <v>4.95</v>
      </c>
      <c r="J166">
        <v>3</v>
      </c>
      <c r="K166">
        <v>0</v>
      </c>
      <c r="L166">
        <v>3</v>
      </c>
      <c r="M166" s="3">
        <v>6.1600000000000002E-2</v>
      </c>
      <c r="N166" s="2">
        <v>0</v>
      </c>
      <c r="O166" s="3">
        <v>6.1600000000000002E-2</v>
      </c>
      <c r="P166" s="3">
        <v>0.60599999999999998</v>
      </c>
      <c r="Q166" s="2">
        <v>0</v>
      </c>
      <c r="R166" s="3">
        <v>0.60599999999999998</v>
      </c>
      <c r="S166" t="s">
        <v>751</v>
      </c>
      <c r="U166" t="s">
        <v>729</v>
      </c>
    </row>
    <row r="167" spans="1:21" x14ac:dyDescent="0.6">
      <c r="A167">
        <v>204</v>
      </c>
      <c r="B167" t="str">
        <f>"4138"</f>
        <v>4138</v>
      </c>
      <c r="C167" t="s">
        <v>283</v>
      </c>
      <c r="D167" s="1">
        <v>42923</v>
      </c>
      <c r="E167">
        <v>56.9</v>
      </c>
      <c r="F167">
        <v>-0.4</v>
      </c>
      <c r="G167" s="3">
        <v>-7.0000000000000001E-3</v>
      </c>
      <c r="H167">
        <v>2015</v>
      </c>
      <c r="I167">
        <v>4.0199999999999996</v>
      </c>
      <c r="J167">
        <v>3.5</v>
      </c>
      <c r="K167">
        <v>0</v>
      </c>
      <c r="L167">
        <v>3.5</v>
      </c>
      <c r="M167" s="3">
        <v>6.1499999999999999E-2</v>
      </c>
      <c r="N167" s="2">
        <v>0</v>
      </c>
      <c r="O167" s="3">
        <v>6.1499999999999999E-2</v>
      </c>
      <c r="P167" s="3">
        <v>0.871</v>
      </c>
      <c r="Q167" s="2">
        <v>0</v>
      </c>
      <c r="R167" s="3">
        <v>0.871</v>
      </c>
      <c r="S167" t="s">
        <v>718</v>
      </c>
      <c r="U167" t="s">
        <v>692</v>
      </c>
    </row>
    <row r="168" spans="1:21" x14ac:dyDescent="0.6">
      <c r="A168">
        <v>263</v>
      </c>
      <c r="B168" t="str">
        <f>"3702"</f>
        <v>3702</v>
      </c>
      <c r="C168" t="s">
        <v>343</v>
      </c>
      <c r="D168" s="1">
        <v>42923</v>
      </c>
      <c r="E168">
        <v>40.85</v>
      </c>
      <c r="F168">
        <v>0.1</v>
      </c>
      <c r="G168" s="3">
        <v>2.5000000000000001E-3</v>
      </c>
      <c r="H168">
        <v>2015</v>
      </c>
      <c r="I168">
        <v>3.51</v>
      </c>
      <c r="J168">
        <v>2.5</v>
      </c>
      <c r="K168">
        <v>0</v>
      </c>
      <c r="L168">
        <v>2.5</v>
      </c>
      <c r="M168" s="3">
        <v>6.1199999999999997E-2</v>
      </c>
      <c r="N168" s="2">
        <v>0</v>
      </c>
      <c r="O168" s="3">
        <v>6.1199999999999997E-2</v>
      </c>
      <c r="P168" s="3">
        <v>0.71199999999999997</v>
      </c>
      <c r="Q168" s="2">
        <v>0</v>
      </c>
      <c r="R168" s="3">
        <v>0.71199999999999997</v>
      </c>
      <c r="S168" t="s">
        <v>711</v>
      </c>
      <c r="U168" t="s">
        <v>717</v>
      </c>
    </row>
    <row r="169" spans="1:21" x14ac:dyDescent="0.6">
      <c r="A169">
        <v>348</v>
      </c>
      <c r="B169" t="str">
        <f>"4747"</f>
        <v>4747</v>
      </c>
      <c r="C169" t="s">
        <v>430</v>
      </c>
      <c r="D169" s="1">
        <v>42923</v>
      </c>
      <c r="E169">
        <v>35.15</v>
      </c>
      <c r="F169">
        <v>-0.25</v>
      </c>
      <c r="G169" s="3">
        <v>-7.1000000000000004E-3</v>
      </c>
      <c r="H169">
        <v>2015</v>
      </c>
      <c r="I169">
        <v>2.77</v>
      </c>
      <c r="J169">
        <v>2.15</v>
      </c>
      <c r="K169">
        <v>0</v>
      </c>
      <c r="L169">
        <v>2.15</v>
      </c>
      <c r="M169" s="3">
        <v>6.1199999999999997E-2</v>
      </c>
      <c r="N169" s="2">
        <v>0</v>
      </c>
      <c r="O169" s="3">
        <v>6.1199999999999997E-2</v>
      </c>
      <c r="P169" s="3">
        <v>0.77600000000000002</v>
      </c>
      <c r="Q169" s="2">
        <v>0</v>
      </c>
      <c r="R169" s="3">
        <v>0.77600000000000002</v>
      </c>
      <c r="S169" t="s">
        <v>774</v>
      </c>
      <c r="U169" t="s">
        <v>765</v>
      </c>
    </row>
    <row r="170" spans="1:21" x14ac:dyDescent="0.6">
      <c r="A170">
        <v>318</v>
      </c>
      <c r="B170" t="str">
        <f>"2385"</f>
        <v>2385</v>
      </c>
      <c r="C170" t="s">
        <v>400</v>
      </c>
      <c r="D170" s="1">
        <v>42923</v>
      </c>
      <c r="E170">
        <v>76.2</v>
      </c>
      <c r="F170">
        <v>0.3</v>
      </c>
      <c r="G170" s="3">
        <v>4.0000000000000001E-3</v>
      </c>
      <c r="H170">
        <v>2015</v>
      </c>
      <c r="I170">
        <v>6.22</v>
      </c>
      <c r="J170">
        <v>4.6500000000000004</v>
      </c>
      <c r="K170">
        <v>0.05</v>
      </c>
      <c r="L170">
        <v>4.7</v>
      </c>
      <c r="M170" s="3">
        <v>6.0999999999999999E-2</v>
      </c>
      <c r="N170" s="3">
        <v>6.9999999999999999E-4</v>
      </c>
      <c r="O170" s="3">
        <v>6.1699999999999998E-2</v>
      </c>
      <c r="P170" s="3">
        <v>0.748</v>
      </c>
      <c r="Q170" s="3">
        <v>8.0000000000000002E-3</v>
      </c>
      <c r="R170" s="3">
        <v>0.75600000000000001</v>
      </c>
      <c r="S170" t="s">
        <v>690</v>
      </c>
      <c r="T170" t="s">
        <v>750</v>
      </c>
    </row>
    <row r="171" spans="1:21" x14ac:dyDescent="0.6">
      <c r="A171">
        <v>487</v>
      </c>
      <c r="B171" t="str">
        <f>"3527"</f>
        <v>3527</v>
      </c>
      <c r="C171" t="s">
        <v>580</v>
      </c>
      <c r="D171" s="1">
        <v>42923</v>
      </c>
      <c r="E171">
        <v>73.900000000000006</v>
      </c>
      <c r="F171">
        <v>0.1</v>
      </c>
      <c r="G171" s="3">
        <v>1.4E-3</v>
      </c>
      <c r="H171">
        <v>2015</v>
      </c>
      <c r="I171">
        <v>5.53</v>
      </c>
      <c r="J171">
        <v>4.5</v>
      </c>
      <c r="K171">
        <v>0</v>
      </c>
      <c r="L171">
        <v>4.5</v>
      </c>
      <c r="M171" s="3">
        <v>6.0900000000000003E-2</v>
      </c>
      <c r="N171" s="2">
        <v>0</v>
      </c>
      <c r="O171" s="3">
        <v>6.0900000000000003E-2</v>
      </c>
      <c r="P171" s="3">
        <v>0.81399999999999995</v>
      </c>
      <c r="Q171" s="2">
        <v>0</v>
      </c>
      <c r="R171" s="3">
        <v>0.81399999999999995</v>
      </c>
      <c r="S171" t="s">
        <v>716</v>
      </c>
      <c r="U171" t="s">
        <v>747</v>
      </c>
    </row>
    <row r="172" spans="1:21" x14ac:dyDescent="0.6">
      <c r="A172">
        <v>402</v>
      </c>
      <c r="B172" t="str">
        <f>"6206"</f>
        <v>6206</v>
      </c>
      <c r="C172" t="s">
        <v>488</v>
      </c>
      <c r="D172" s="1">
        <v>42923</v>
      </c>
      <c r="E172">
        <v>97.9</v>
      </c>
      <c r="F172">
        <v>-0.5</v>
      </c>
      <c r="G172" s="3">
        <v>-5.1000000000000004E-3</v>
      </c>
      <c r="H172">
        <v>2015</v>
      </c>
      <c r="I172">
        <v>7.25</v>
      </c>
      <c r="J172">
        <v>5.95</v>
      </c>
      <c r="K172">
        <v>0.5</v>
      </c>
      <c r="L172">
        <v>6.45</v>
      </c>
      <c r="M172" s="3">
        <v>6.08E-2</v>
      </c>
      <c r="N172" s="3">
        <v>5.1000000000000004E-3</v>
      </c>
      <c r="O172" s="3">
        <v>6.59E-2</v>
      </c>
      <c r="P172" s="3">
        <v>0.82099999999999995</v>
      </c>
      <c r="Q172" s="3">
        <v>6.9000000000000006E-2</v>
      </c>
      <c r="R172" s="2">
        <v>0.89</v>
      </c>
      <c r="S172" t="s">
        <v>701</v>
      </c>
      <c r="T172" t="s">
        <v>701</v>
      </c>
      <c r="U172" t="s">
        <v>780</v>
      </c>
    </row>
    <row r="173" spans="1:21" x14ac:dyDescent="0.6">
      <c r="A173">
        <v>129</v>
      </c>
      <c r="B173" t="str">
        <f>"1787"</f>
        <v>1787</v>
      </c>
      <c r="C173" t="s">
        <v>195</v>
      </c>
      <c r="D173" s="1">
        <v>42923</v>
      </c>
      <c r="E173">
        <v>24.7</v>
      </c>
      <c r="F173">
        <v>-0.35</v>
      </c>
      <c r="G173" s="3">
        <v>-1.4E-2</v>
      </c>
      <c r="H173">
        <v>2015</v>
      </c>
      <c r="I173">
        <v>1.69</v>
      </c>
      <c r="J173">
        <v>1.5</v>
      </c>
      <c r="K173">
        <v>0</v>
      </c>
      <c r="L173">
        <v>1.5</v>
      </c>
      <c r="M173" s="3">
        <v>6.0699999999999997E-2</v>
      </c>
      <c r="N173" s="2">
        <v>0</v>
      </c>
      <c r="O173" s="3">
        <v>6.0699999999999997E-2</v>
      </c>
      <c r="P173" s="3">
        <v>0.88800000000000001</v>
      </c>
      <c r="Q173" s="2">
        <v>0</v>
      </c>
      <c r="R173" s="3">
        <v>0.88800000000000001</v>
      </c>
      <c r="S173" t="s">
        <v>744</v>
      </c>
      <c r="U173" t="s">
        <v>746</v>
      </c>
    </row>
    <row r="174" spans="1:21" x14ac:dyDescent="0.6">
      <c r="A174">
        <v>232</v>
      </c>
      <c r="B174" t="str">
        <f>"4942"</f>
        <v>4942</v>
      </c>
      <c r="C174" t="s">
        <v>311</v>
      </c>
      <c r="D174" s="1">
        <v>42923</v>
      </c>
      <c r="E174">
        <v>24.8</v>
      </c>
      <c r="F174">
        <v>0</v>
      </c>
      <c r="G174" s="2">
        <v>0</v>
      </c>
      <c r="H174">
        <v>2015</v>
      </c>
      <c r="I174">
        <v>2.59</v>
      </c>
      <c r="J174">
        <v>1.5</v>
      </c>
      <c r="K174">
        <v>0</v>
      </c>
      <c r="L174">
        <v>1.5</v>
      </c>
      <c r="M174" s="3">
        <v>6.0499999999999998E-2</v>
      </c>
      <c r="N174" s="2">
        <v>0</v>
      </c>
      <c r="O174" s="3">
        <v>6.0499999999999998E-2</v>
      </c>
      <c r="P174" s="3">
        <v>0.57899999999999996</v>
      </c>
      <c r="Q174" s="2">
        <v>0</v>
      </c>
      <c r="R174" s="3">
        <v>0.57899999999999996</v>
      </c>
      <c r="S174" t="s">
        <v>753</v>
      </c>
      <c r="U174" t="s">
        <v>739</v>
      </c>
    </row>
    <row r="175" spans="1:21" x14ac:dyDescent="0.6">
      <c r="A175">
        <v>163</v>
      </c>
      <c r="B175" t="str">
        <f>"3213"</f>
        <v>3213</v>
      </c>
      <c r="C175" t="s">
        <v>235</v>
      </c>
      <c r="D175" s="1">
        <v>42923</v>
      </c>
      <c r="E175">
        <v>51.4</v>
      </c>
      <c r="F175">
        <v>0.4</v>
      </c>
      <c r="G175" s="3">
        <v>7.7999999999999996E-3</v>
      </c>
      <c r="H175">
        <v>2015</v>
      </c>
      <c r="I175">
        <v>3.88</v>
      </c>
      <c r="J175">
        <v>3.1</v>
      </c>
      <c r="K175">
        <v>0</v>
      </c>
      <c r="L175">
        <v>3.1</v>
      </c>
      <c r="M175" s="3">
        <v>6.0299999999999999E-2</v>
      </c>
      <c r="N175" s="2">
        <v>0</v>
      </c>
      <c r="O175" s="3">
        <v>6.0299999999999999E-2</v>
      </c>
      <c r="P175" s="3">
        <v>0.79900000000000004</v>
      </c>
      <c r="Q175" s="2">
        <v>0</v>
      </c>
      <c r="R175" s="3">
        <v>0.79900000000000004</v>
      </c>
      <c r="S175" t="s">
        <v>690</v>
      </c>
      <c r="U175" t="s">
        <v>718</v>
      </c>
    </row>
    <row r="176" spans="1:21" x14ac:dyDescent="0.6">
      <c r="A176">
        <v>296</v>
      </c>
      <c r="B176" t="str">
        <f>"5474"</f>
        <v>5474</v>
      </c>
      <c r="C176" t="s">
        <v>378</v>
      </c>
      <c r="D176" s="1">
        <v>42923</v>
      </c>
      <c r="E176">
        <v>58</v>
      </c>
      <c r="F176">
        <v>0.4</v>
      </c>
      <c r="G176" s="3">
        <v>6.8999999999999999E-3</v>
      </c>
      <c r="H176">
        <v>2015</v>
      </c>
      <c r="I176">
        <v>4.16</v>
      </c>
      <c r="J176">
        <v>3.5</v>
      </c>
      <c r="K176">
        <v>0</v>
      </c>
      <c r="L176">
        <v>3.5</v>
      </c>
      <c r="M176" s="3">
        <v>6.0299999999999999E-2</v>
      </c>
      <c r="N176" s="2">
        <v>0</v>
      </c>
      <c r="O176" s="3">
        <v>6.0299999999999999E-2</v>
      </c>
      <c r="P176" s="3">
        <v>0.84099999999999997</v>
      </c>
      <c r="Q176" s="2">
        <v>0</v>
      </c>
      <c r="R176" s="3">
        <v>0.84099999999999997</v>
      </c>
      <c r="S176" t="s">
        <v>710</v>
      </c>
      <c r="U176" t="s">
        <v>729</v>
      </c>
    </row>
    <row r="177" spans="1:21" x14ac:dyDescent="0.6">
      <c r="A177">
        <v>335</v>
      </c>
      <c r="B177" t="str">
        <f>"6205"</f>
        <v>6205</v>
      </c>
      <c r="C177" t="s">
        <v>417</v>
      </c>
      <c r="D177" s="1">
        <v>42923</v>
      </c>
      <c r="E177">
        <v>36.5</v>
      </c>
      <c r="F177">
        <v>-0.75</v>
      </c>
      <c r="G177" s="3">
        <v>-2.01E-2</v>
      </c>
      <c r="H177">
        <v>2015</v>
      </c>
      <c r="I177">
        <v>3.67</v>
      </c>
      <c r="J177">
        <v>2.2000000000000002</v>
      </c>
      <c r="K177">
        <v>0</v>
      </c>
      <c r="L177">
        <v>2.2000000000000002</v>
      </c>
      <c r="M177" s="3">
        <v>6.0299999999999999E-2</v>
      </c>
      <c r="N177" s="2">
        <v>0</v>
      </c>
      <c r="O177" s="3">
        <v>6.0299999999999999E-2</v>
      </c>
      <c r="P177" s="2">
        <v>0.6</v>
      </c>
      <c r="Q177" s="2">
        <v>0</v>
      </c>
      <c r="R177" s="2">
        <v>0.6</v>
      </c>
      <c r="S177" t="s">
        <v>736</v>
      </c>
      <c r="U177" t="s">
        <v>695</v>
      </c>
    </row>
    <row r="178" spans="1:21" x14ac:dyDescent="0.6">
      <c r="A178">
        <v>238</v>
      </c>
      <c r="B178" t="str">
        <f>"5604"</f>
        <v>5604</v>
      </c>
      <c r="C178" t="s">
        <v>317</v>
      </c>
      <c r="D178" s="1">
        <v>42923</v>
      </c>
      <c r="E178">
        <v>29.9</v>
      </c>
      <c r="F178">
        <v>0.1</v>
      </c>
      <c r="G178" s="3">
        <v>3.3999999999999998E-3</v>
      </c>
      <c r="H178">
        <v>2015</v>
      </c>
      <c r="I178">
        <v>1.19</v>
      </c>
      <c r="J178">
        <v>1.8</v>
      </c>
      <c r="K178">
        <v>0</v>
      </c>
      <c r="L178">
        <v>1.8</v>
      </c>
      <c r="M178" s="3">
        <v>6.0199999999999997E-2</v>
      </c>
      <c r="N178" s="2">
        <v>0</v>
      </c>
      <c r="O178" s="3">
        <v>6.0199999999999997E-2</v>
      </c>
      <c r="P178" s="2">
        <v>1.51</v>
      </c>
      <c r="Q178" s="2">
        <v>0</v>
      </c>
      <c r="R178" s="2">
        <v>1.51</v>
      </c>
      <c r="S178" t="s">
        <v>743</v>
      </c>
      <c r="U178" t="s">
        <v>725</v>
      </c>
    </row>
    <row r="179" spans="1:21" x14ac:dyDescent="0.6">
      <c r="A179">
        <v>123</v>
      </c>
      <c r="B179" t="str">
        <f>"6263"</f>
        <v>6263</v>
      </c>
      <c r="C179" t="s">
        <v>188</v>
      </c>
      <c r="D179" s="1">
        <v>42923</v>
      </c>
      <c r="E179">
        <v>55</v>
      </c>
      <c r="F179">
        <v>0.1</v>
      </c>
      <c r="G179" s="3">
        <v>1.8E-3</v>
      </c>
      <c r="H179">
        <v>2015</v>
      </c>
      <c r="I179">
        <v>4</v>
      </c>
      <c r="J179">
        <v>3.3</v>
      </c>
      <c r="K179">
        <v>0.2</v>
      </c>
      <c r="L179">
        <v>3.5</v>
      </c>
      <c r="M179" s="2">
        <v>0.06</v>
      </c>
      <c r="N179" s="3">
        <v>3.5999999999999999E-3</v>
      </c>
      <c r="O179" s="3">
        <v>6.3600000000000004E-2</v>
      </c>
      <c r="P179" s="3">
        <v>0.82499999999999996</v>
      </c>
      <c r="Q179" s="2">
        <v>0.05</v>
      </c>
      <c r="R179" s="3">
        <v>0.875</v>
      </c>
      <c r="S179" t="s">
        <v>748</v>
      </c>
      <c r="T179" t="s">
        <v>748</v>
      </c>
      <c r="U179" t="s">
        <v>741</v>
      </c>
    </row>
    <row r="180" spans="1:21" x14ac:dyDescent="0.6">
      <c r="A180">
        <v>59</v>
      </c>
      <c r="B180" t="str">
        <f>"3623"</f>
        <v>3623</v>
      </c>
      <c r="C180" t="s">
        <v>112</v>
      </c>
      <c r="D180" s="1">
        <v>42923</v>
      </c>
      <c r="E180">
        <v>50.1</v>
      </c>
      <c r="F180">
        <v>-0.2</v>
      </c>
      <c r="G180" s="3">
        <v>-4.0000000000000001E-3</v>
      </c>
      <c r="H180">
        <v>2015</v>
      </c>
      <c r="I180">
        <v>3.95</v>
      </c>
      <c r="J180">
        <v>3</v>
      </c>
      <c r="K180">
        <v>0</v>
      </c>
      <c r="L180">
        <v>3</v>
      </c>
      <c r="M180" s="3">
        <v>5.9900000000000002E-2</v>
      </c>
      <c r="N180" s="2">
        <v>0</v>
      </c>
      <c r="O180" s="3">
        <v>5.9900000000000002E-2</v>
      </c>
      <c r="P180" s="2">
        <v>0.76</v>
      </c>
      <c r="Q180" s="2">
        <v>0</v>
      </c>
      <c r="R180" s="2">
        <v>0.76</v>
      </c>
      <c r="S180" t="s">
        <v>746</v>
      </c>
      <c r="U180" t="s">
        <v>747</v>
      </c>
    </row>
    <row r="181" spans="1:21" x14ac:dyDescent="0.6">
      <c r="A181">
        <v>74</v>
      </c>
      <c r="B181" t="str">
        <f>"8942"</f>
        <v>8942</v>
      </c>
      <c r="C181" t="s">
        <v>133</v>
      </c>
      <c r="D181" s="1">
        <v>42923</v>
      </c>
      <c r="E181">
        <v>67</v>
      </c>
      <c r="F181">
        <v>-0.3</v>
      </c>
      <c r="G181" s="3">
        <v>-4.4999999999999997E-3</v>
      </c>
      <c r="H181">
        <v>2015</v>
      </c>
      <c r="I181">
        <v>4.5199999999999996</v>
      </c>
      <c r="J181">
        <v>4</v>
      </c>
      <c r="K181">
        <v>0</v>
      </c>
      <c r="L181">
        <v>4</v>
      </c>
      <c r="M181" s="3">
        <v>5.9700000000000003E-2</v>
      </c>
      <c r="N181" s="2">
        <v>0</v>
      </c>
      <c r="O181" s="3">
        <v>5.9700000000000003E-2</v>
      </c>
      <c r="P181" s="3">
        <v>0.88500000000000001</v>
      </c>
      <c r="Q181" s="2">
        <v>0</v>
      </c>
      <c r="R181" s="3">
        <v>0.88500000000000001</v>
      </c>
      <c r="S181" t="s">
        <v>742</v>
      </c>
      <c r="U181" t="s">
        <v>701</v>
      </c>
    </row>
    <row r="182" spans="1:21" x14ac:dyDescent="0.6">
      <c r="A182">
        <v>246</v>
      </c>
      <c r="B182" t="str">
        <f>"3691"</f>
        <v>3691</v>
      </c>
      <c r="C182" t="s">
        <v>325</v>
      </c>
      <c r="D182" s="1">
        <v>42923</v>
      </c>
      <c r="E182">
        <v>251.5</v>
      </c>
      <c r="F182">
        <v>-20</v>
      </c>
      <c r="G182" s="3">
        <v>-7.3700000000000002E-2</v>
      </c>
      <c r="H182">
        <v>2015</v>
      </c>
      <c r="I182">
        <v>24.54</v>
      </c>
      <c r="J182">
        <v>15</v>
      </c>
      <c r="K182">
        <v>0</v>
      </c>
      <c r="L182">
        <v>15</v>
      </c>
      <c r="M182" s="3">
        <v>5.96E-2</v>
      </c>
      <c r="N182" s="2">
        <v>0</v>
      </c>
      <c r="O182" s="3">
        <v>5.96E-2</v>
      </c>
      <c r="P182" s="3">
        <v>0.61099999999999999</v>
      </c>
      <c r="Q182" s="2">
        <v>0</v>
      </c>
      <c r="R182" s="3">
        <v>0.61099999999999999</v>
      </c>
      <c r="S182" t="s">
        <v>724</v>
      </c>
      <c r="U182" t="s">
        <v>729</v>
      </c>
    </row>
    <row r="183" spans="1:21" x14ac:dyDescent="0.6">
      <c r="A183">
        <v>332</v>
      </c>
      <c r="B183" t="str">
        <f>"4909"</f>
        <v>4909</v>
      </c>
      <c r="C183" t="s">
        <v>414</v>
      </c>
      <c r="D183" s="1">
        <v>42923</v>
      </c>
      <c r="E183">
        <v>21.8</v>
      </c>
      <c r="F183">
        <v>-0.15</v>
      </c>
      <c r="G183" s="3">
        <v>-6.7999999999999996E-3</v>
      </c>
      <c r="H183">
        <v>2015</v>
      </c>
      <c r="I183">
        <v>3.04</v>
      </c>
      <c r="J183">
        <v>1.3</v>
      </c>
      <c r="K183">
        <v>0</v>
      </c>
      <c r="L183">
        <v>1.3</v>
      </c>
      <c r="M183" s="3">
        <v>5.96E-2</v>
      </c>
      <c r="N183" s="2">
        <v>0</v>
      </c>
      <c r="O183" s="3">
        <v>5.96E-2</v>
      </c>
      <c r="P183" s="3">
        <v>0.42799999999999999</v>
      </c>
      <c r="Q183" s="2">
        <v>0</v>
      </c>
      <c r="R183" s="3">
        <v>0.42799999999999999</v>
      </c>
      <c r="S183" t="s">
        <v>694</v>
      </c>
      <c r="U183" t="s">
        <v>695</v>
      </c>
    </row>
    <row r="184" spans="1:21" x14ac:dyDescent="0.6">
      <c r="A184">
        <v>110</v>
      </c>
      <c r="B184" t="str">
        <f>"4527"</f>
        <v>4527</v>
      </c>
      <c r="C184" t="s">
        <v>173</v>
      </c>
      <c r="D184" s="1">
        <v>42923</v>
      </c>
      <c r="E184">
        <v>30.3</v>
      </c>
      <c r="F184">
        <v>-1.65</v>
      </c>
      <c r="G184" s="3">
        <v>-5.16E-2</v>
      </c>
      <c r="H184">
        <v>2015</v>
      </c>
      <c r="I184">
        <v>2.34</v>
      </c>
      <c r="J184">
        <v>1.8</v>
      </c>
      <c r="K184">
        <v>0</v>
      </c>
      <c r="L184">
        <v>1.8</v>
      </c>
      <c r="M184" s="3">
        <v>5.9400000000000001E-2</v>
      </c>
      <c r="N184" s="2">
        <v>0</v>
      </c>
      <c r="O184" s="3">
        <v>5.9400000000000001E-2</v>
      </c>
      <c r="P184" s="3">
        <v>0.76900000000000002</v>
      </c>
      <c r="Q184" s="2">
        <v>0</v>
      </c>
      <c r="R184" s="3">
        <v>0.76900000000000002</v>
      </c>
      <c r="S184" t="s">
        <v>765</v>
      </c>
      <c r="U184" t="s">
        <v>735</v>
      </c>
    </row>
    <row r="185" spans="1:21" x14ac:dyDescent="0.6">
      <c r="A185">
        <v>445</v>
      </c>
      <c r="B185" t="str">
        <f>"1513"</f>
        <v>1513</v>
      </c>
      <c r="C185" t="s">
        <v>535</v>
      </c>
      <c r="D185" s="1">
        <v>42923</v>
      </c>
      <c r="E185">
        <v>20.350000000000001</v>
      </c>
      <c r="F185">
        <v>-0.6</v>
      </c>
      <c r="G185" s="3">
        <v>-2.86E-2</v>
      </c>
      <c r="H185">
        <v>2015</v>
      </c>
      <c r="I185">
        <v>1.5</v>
      </c>
      <c r="J185">
        <v>1.2</v>
      </c>
      <c r="K185">
        <v>0</v>
      </c>
      <c r="L185">
        <v>1.2</v>
      </c>
      <c r="M185" s="3">
        <v>5.8999999999999997E-2</v>
      </c>
      <c r="N185" s="2">
        <v>0</v>
      </c>
      <c r="O185" s="3">
        <v>5.8999999999999997E-2</v>
      </c>
      <c r="P185" s="2">
        <v>0.8</v>
      </c>
      <c r="Q185" s="2">
        <v>0</v>
      </c>
      <c r="R185" s="2">
        <v>0.8</v>
      </c>
      <c r="S185" t="s">
        <v>721</v>
      </c>
      <c r="U185" t="s">
        <v>697</v>
      </c>
    </row>
    <row r="186" spans="1:21" x14ac:dyDescent="0.6">
      <c r="A186">
        <v>268</v>
      </c>
      <c r="B186" t="str">
        <f>"2357"</f>
        <v>2357</v>
      </c>
      <c r="C186" t="s">
        <v>348</v>
      </c>
      <c r="D186" s="1">
        <v>42923</v>
      </c>
      <c r="E186">
        <v>290</v>
      </c>
      <c r="F186">
        <v>0</v>
      </c>
      <c r="G186" s="2">
        <v>0</v>
      </c>
      <c r="H186">
        <v>2015</v>
      </c>
      <c r="I186">
        <v>26.21</v>
      </c>
      <c r="J186">
        <v>17</v>
      </c>
      <c r="K186">
        <v>0</v>
      </c>
      <c r="L186">
        <v>17</v>
      </c>
      <c r="M186" s="3">
        <v>5.8599999999999999E-2</v>
      </c>
      <c r="N186" s="2">
        <v>0</v>
      </c>
      <c r="O186" s="3">
        <v>5.8599999999999999E-2</v>
      </c>
      <c r="P186" s="3">
        <v>0.64900000000000002</v>
      </c>
      <c r="Q186" s="2">
        <v>0</v>
      </c>
      <c r="R186" s="3">
        <v>0.64900000000000002</v>
      </c>
      <c r="S186" t="s">
        <v>759</v>
      </c>
      <c r="U186" t="s">
        <v>696</v>
      </c>
    </row>
    <row r="187" spans="1:21" x14ac:dyDescent="0.6">
      <c r="A187">
        <v>154</v>
      </c>
      <c r="B187" t="str">
        <f>"4532"</f>
        <v>4532</v>
      </c>
      <c r="C187" t="s">
        <v>223</v>
      </c>
      <c r="D187" s="1">
        <v>42923</v>
      </c>
      <c r="E187">
        <v>34.299999999999997</v>
      </c>
      <c r="F187">
        <v>-0.35</v>
      </c>
      <c r="G187" s="3">
        <v>-1.01E-2</v>
      </c>
      <c r="H187">
        <v>2015</v>
      </c>
      <c r="I187">
        <v>2.2999999999999998</v>
      </c>
      <c r="J187">
        <v>2</v>
      </c>
      <c r="K187">
        <v>0</v>
      </c>
      <c r="L187">
        <v>2</v>
      </c>
      <c r="M187" s="3">
        <v>5.8299999999999998E-2</v>
      </c>
      <c r="N187" s="2">
        <v>0</v>
      </c>
      <c r="O187" s="3">
        <v>5.8299999999999998E-2</v>
      </c>
      <c r="P187" s="2">
        <v>0.87</v>
      </c>
      <c r="Q187" s="2">
        <v>0</v>
      </c>
      <c r="R187" s="2">
        <v>0.87</v>
      </c>
      <c r="S187" t="s">
        <v>757</v>
      </c>
      <c r="U187" t="s">
        <v>711</v>
      </c>
    </row>
    <row r="188" spans="1:21" x14ac:dyDescent="0.6">
      <c r="A188">
        <v>389</v>
      </c>
      <c r="B188" t="str">
        <f>"8473"</f>
        <v>8473</v>
      </c>
      <c r="C188" t="s">
        <v>473</v>
      </c>
      <c r="D188" s="1">
        <v>42923</v>
      </c>
      <c r="E188">
        <v>61.8</v>
      </c>
      <c r="F188">
        <v>0.1</v>
      </c>
      <c r="G188" s="3">
        <v>1.6000000000000001E-3</v>
      </c>
      <c r="H188">
        <v>2015</v>
      </c>
      <c r="I188">
        <v>2.83</v>
      </c>
      <c r="J188">
        <v>3.6</v>
      </c>
      <c r="K188">
        <v>0</v>
      </c>
      <c r="L188">
        <v>3.6</v>
      </c>
      <c r="M188" s="3">
        <v>5.8299999999999998E-2</v>
      </c>
      <c r="N188" s="2">
        <v>0</v>
      </c>
      <c r="O188" s="3">
        <v>5.8299999999999998E-2</v>
      </c>
      <c r="P188" s="2">
        <v>1.27</v>
      </c>
      <c r="Q188" s="2">
        <v>0</v>
      </c>
      <c r="R188" s="2">
        <v>1.27</v>
      </c>
      <c r="S188" t="s">
        <v>725</v>
      </c>
      <c r="U188" t="s">
        <v>729</v>
      </c>
    </row>
    <row r="189" spans="1:21" x14ac:dyDescent="0.6">
      <c r="A189">
        <v>273</v>
      </c>
      <c r="B189" t="str">
        <f>"2020"</f>
        <v>2020</v>
      </c>
      <c r="C189" t="s">
        <v>353</v>
      </c>
      <c r="D189" s="1">
        <v>42923</v>
      </c>
      <c r="E189">
        <v>13.75</v>
      </c>
      <c r="F189">
        <v>-0.05</v>
      </c>
      <c r="G189" s="3">
        <v>-3.5999999999999999E-3</v>
      </c>
      <c r="H189">
        <v>2015</v>
      </c>
      <c r="I189">
        <v>0.92</v>
      </c>
      <c r="J189">
        <v>0.8</v>
      </c>
      <c r="K189">
        <v>0</v>
      </c>
      <c r="L189">
        <v>0.8</v>
      </c>
      <c r="M189" s="3">
        <v>5.8200000000000002E-2</v>
      </c>
      <c r="N189" s="2">
        <v>0</v>
      </c>
      <c r="O189" s="3">
        <v>5.8200000000000002E-2</v>
      </c>
      <c r="P189" s="2">
        <v>0.87</v>
      </c>
      <c r="Q189" s="2">
        <v>0</v>
      </c>
      <c r="R189" s="2">
        <v>0.87</v>
      </c>
      <c r="S189" t="s">
        <v>765</v>
      </c>
      <c r="U189" t="s">
        <v>715</v>
      </c>
    </row>
    <row r="190" spans="1:21" x14ac:dyDescent="0.6">
      <c r="A190">
        <v>167</v>
      </c>
      <c r="B190" t="str">
        <f>"2476"</f>
        <v>2476</v>
      </c>
      <c r="C190" t="s">
        <v>239</v>
      </c>
      <c r="D190" s="1">
        <v>42923</v>
      </c>
      <c r="E190">
        <v>25.8</v>
      </c>
      <c r="F190">
        <v>0</v>
      </c>
      <c r="G190" s="2">
        <v>0</v>
      </c>
      <c r="H190">
        <v>2015</v>
      </c>
      <c r="I190">
        <v>1.74</v>
      </c>
      <c r="J190">
        <v>1.5</v>
      </c>
      <c r="K190">
        <v>0</v>
      </c>
      <c r="L190">
        <v>1.5</v>
      </c>
      <c r="M190" s="3">
        <v>5.8099999999999999E-2</v>
      </c>
      <c r="N190" s="2">
        <v>0</v>
      </c>
      <c r="O190" s="3">
        <v>5.8099999999999999E-2</v>
      </c>
      <c r="P190" s="3">
        <v>0.86199999999999999</v>
      </c>
      <c r="Q190" s="2">
        <v>0</v>
      </c>
      <c r="R190" s="3">
        <v>0.86199999999999999</v>
      </c>
      <c r="S190" t="s">
        <v>745</v>
      </c>
      <c r="U190" t="s">
        <v>717</v>
      </c>
    </row>
    <row r="191" spans="1:21" x14ac:dyDescent="0.6">
      <c r="A191">
        <v>433</v>
      </c>
      <c r="B191" t="str">
        <f>"2707"</f>
        <v>2707</v>
      </c>
      <c r="C191" t="s">
        <v>521</v>
      </c>
      <c r="D191" s="1">
        <v>42923</v>
      </c>
      <c r="E191">
        <v>164</v>
      </c>
      <c r="F191">
        <v>-1</v>
      </c>
      <c r="G191" s="3">
        <v>-6.1000000000000004E-3</v>
      </c>
      <c r="H191">
        <v>2015</v>
      </c>
      <c r="I191">
        <v>9.6</v>
      </c>
      <c r="J191">
        <v>9.51</v>
      </c>
      <c r="K191">
        <v>0.84</v>
      </c>
      <c r="L191">
        <v>10.35</v>
      </c>
      <c r="M191" s="3">
        <v>5.8000000000000003E-2</v>
      </c>
      <c r="N191" s="3">
        <v>5.1000000000000004E-3</v>
      </c>
      <c r="O191" s="3">
        <v>6.3100000000000003E-2</v>
      </c>
      <c r="P191" s="3">
        <v>0.99099999999999999</v>
      </c>
      <c r="Q191" s="3">
        <v>8.7499999999999994E-2</v>
      </c>
      <c r="R191" s="2">
        <v>1.08</v>
      </c>
      <c r="S191" t="s">
        <v>757</v>
      </c>
      <c r="T191" t="s">
        <v>766</v>
      </c>
      <c r="U191" t="s">
        <v>718</v>
      </c>
    </row>
    <row r="192" spans="1:21" x14ac:dyDescent="0.6">
      <c r="A192">
        <v>34</v>
      </c>
      <c r="B192" t="str">
        <f>"5534"</f>
        <v>5534</v>
      </c>
      <c r="C192" t="s">
        <v>72</v>
      </c>
      <c r="D192" s="1">
        <v>42923</v>
      </c>
      <c r="E192">
        <v>69.5</v>
      </c>
      <c r="F192">
        <v>-0.3</v>
      </c>
      <c r="G192" s="3">
        <v>-4.3E-3</v>
      </c>
      <c r="H192">
        <v>2015</v>
      </c>
      <c r="I192">
        <v>7.22</v>
      </c>
      <c r="J192">
        <v>4</v>
      </c>
      <c r="K192">
        <v>0.5</v>
      </c>
      <c r="L192">
        <v>4.5</v>
      </c>
      <c r="M192" s="3">
        <v>5.7599999999999998E-2</v>
      </c>
      <c r="N192" s="3">
        <v>7.1999999999999998E-3</v>
      </c>
      <c r="O192" s="3">
        <v>6.4699999999999994E-2</v>
      </c>
      <c r="P192" s="3">
        <v>0.55400000000000005</v>
      </c>
      <c r="Q192" s="3">
        <v>6.93E-2</v>
      </c>
      <c r="R192" s="3">
        <v>0.623</v>
      </c>
      <c r="S192" t="s">
        <v>727</v>
      </c>
      <c r="T192" t="s">
        <v>727</v>
      </c>
      <c r="U192" t="s">
        <v>731</v>
      </c>
    </row>
    <row r="193" spans="1:21" x14ac:dyDescent="0.6">
      <c r="A193">
        <v>294</v>
      </c>
      <c r="B193" t="str">
        <f>"5209"</f>
        <v>5209</v>
      </c>
      <c r="C193" t="s">
        <v>376</v>
      </c>
      <c r="D193" s="1">
        <v>42923</v>
      </c>
      <c r="E193">
        <v>43.95</v>
      </c>
      <c r="F193">
        <v>-0.15</v>
      </c>
      <c r="G193" s="3">
        <v>-3.3999999999999998E-3</v>
      </c>
      <c r="H193">
        <v>2015</v>
      </c>
      <c r="I193">
        <v>3.3</v>
      </c>
      <c r="J193">
        <v>2.5299999999999998</v>
      </c>
      <c r="K193">
        <v>0</v>
      </c>
      <c r="L193">
        <v>2.5299999999999998</v>
      </c>
      <c r="M193" s="3">
        <v>5.7500000000000002E-2</v>
      </c>
      <c r="N193" s="2">
        <v>0</v>
      </c>
      <c r="O193" s="3">
        <v>5.7500000000000002E-2</v>
      </c>
      <c r="P193" s="3">
        <v>0.76700000000000002</v>
      </c>
      <c r="Q193" s="2">
        <v>0</v>
      </c>
      <c r="R193" s="3">
        <v>0.76700000000000002</v>
      </c>
      <c r="S193" t="s">
        <v>755</v>
      </c>
      <c r="U193" t="s">
        <v>746</v>
      </c>
    </row>
    <row r="194" spans="1:21" x14ac:dyDescent="0.6">
      <c r="A194">
        <v>367</v>
      </c>
      <c r="B194" t="str">
        <f>"4974"</f>
        <v>4974</v>
      </c>
      <c r="C194" t="s">
        <v>450</v>
      </c>
      <c r="D194" s="1">
        <v>42923</v>
      </c>
      <c r="E194">
        <v>46.95</v>
      </c>
      <c r="F194">
        <v>0</v>
      </c>
      <c r="G194" s="2">
        <v>0</v>
      </c>
      <c r="H194">
        <v>2015</v>
      </c>
      <c r="I194">
        <v>4.07</v>
      </c>
      <c r="J194">
        <v>2.7</v>
      </c>
      <c r="K194">
        <v>0</v>
      </c>
      <c r="L194">
        <v>2.7</v>
      </c>
      <c r="M194" s="3">
        <v>5.7500000000000002E-2</v>
      </c>
      <c r="N194" s="2">
        <v>0</v>
      </c>
      <c r="O194" s="3">
        <v>5.7500000000000002E-2</v>
      </c>
      <c r="P194" s="3">
        <v>0.66300000000000003</v>
      </c>
      <c r="Q194" s="2">
        <v>0</v>
      </c>
      <c r="R194" s="3">
        <v>0.66300000000000003</v>
      </c>
      <c r="S194" t="s">
        <v>698</v>
      </c>
      <c r="U194" t="s">
        <v>748</v>
      </c>
    </row>
    <row r="195" spans="1:21" x14ac:dyDescent="0.6">
      <c r="A195">
        <v>442</v>
      </c>
      <c r="B195" t="str">
        <f>"6229"</f>
        <v>6229</v>
      </c>
      <c r="C195" t="s">
        <v>532</v>
      </c>
      <c r="D195" s="1">
        <v>42923</v>
      </c>
      <c r="E195">
        <v>13.6</v>
      </c>
      <c r="F195">
        <v>-0.1</v>
      </c>
      <c r="G195" s="3">
        <v>-7.3000000000000001E-3</v>
      </c>
      <c r="H195">
        <v>2015</v>
      </c>
      <c r="I195">
        <v>0.8</v>
      </c>
      <c r="J195">
        <v>0.78</v>
      </c>
      <c r="K195">
        <v>0</v>
      </c>
      <c r="L195">
        <v>0.78</v>
      </c>
      <c r="M195" s="3">
        <v>5.74E-2</v>
      </c>
      <c r="N195" s="2">
        <v>0</v>
      </c>
      <c r="O195" s="3">
        <v>5.74E-2</v>
      </c>
      <c r="P195" s="3">
        <v>0.97499999999999998</v>
      </c>
      <c r="Q195" s="2">
        <v>0</v>
      </c>
      <c r="R195" s="3">
        <v>0.97499999999999998</v>
      </c>
      <c r="S195" t="s">
        <v>740</v>
      </c>
      <c r="U195" t="s">
        <v>759</v>
      </c>
    </row>
    <row r="196" spans="1:21" x14ac:dyDescent="0.6">
      <c r="A196">
        <v>58</v>
      </c>
      <c r="B196" t="str">
        <f>"1604"</f>
        <v>1604</v>
      </c>
      <c r="C196" t="s">
        <v>111</v>
      </c>
      <c r="D196" s="1">
        <v>42923</v>
      </c>
      <c r="E196">
        <v>17.5</v>
      </c>
      <c r="F196">
        <v>-0.1</v>
      </c>
      <c r="G196" s="3">
        <v>-5.7000000000000002E-3</v>
      </c>
      <c r="H196">
        <v>2015</v>
      </c>
      <c r="I196">
        <v>1.25</v>
      </c>
      <c r="J196">
        <v>1</v>
      </c>
      <c r="K196">
        <v>0</v>
      </c>
      <c r="L196">
        <v>1</v>
      </c>
      <c r="M196" s="3">
        <v>5.7099999999999998E-2</v>
      </c>
      <c r="N196" s="2">
        <v>0</v>
      </c>
      <c r="O196" s="3">
        <v>5.7099999999999998E-2</v>
      </c>
      <c r="P196" s="2">
        <v>0.8</v>
      </c>
      <c r="Q196" s="2">
        <v>0</v>
      </c>
      <c r="R196" s="2">
        <v>0.8</v>
      </c>
      <c r="S196" t="s">
        <v>694</v>
      </c>
      <c r="U196" t="s">
        <v>745</v>
      </c>
    </row>
    <row r="197" spans="1:21" x14ac:dyDescent="0.6">
      <c r="A197">
        <v>184</v>
      </c>
      <c r="B197" t="str">
        <f>"3042"</f>
        <v>3042</v>
      </c>
      <c r="C197" t="s">
        <v>260</v>
      </c>
      <c r="D197" s="1">
        <v>42923</v>
      </c>
      <c r="E197">
        <v>43.8</v>
      </c>
      <c r="F197">
        <v>-0.95</v>
      </c>
      <c r="G197" s="3">
        <v>-2.12E-2</v>
      </c>
      <c r="H197">
        <v>2015</v>
      </c>
      <c r="I197">
        <v>3.21</v>
      </c>
      <c r="J197">
        <v>2.5</v>
      </c>
      <c r="K197">
        <v>0</v>
      </c>
      <c r="L197">
        <v>2.5</v>
      </c>
      <c r="M197" s="3">
        <v>5.7099999999999998E-2</v>
      </c>
      <c r="N197" s="2">
        <v>0</v>
      </c>
      <c r="O197" s="3">
        <v>5.7099999999999998E-2</v>
      </c>
      <c r="P197" s="3">
        <v>0.77900000000000003</v>
      </c>
      <c r="Q197" s="2">
        <v>0</v>
      </c>
      <c r="R197" s="3">
        <v>0.77900000000000003</v>
      </c>
      <c r="S197" t="s">
        <v>701</v>
      </c>
      <c r="U197" t="s">
        <v>747</v>
      </c>
    </row>
    <row r="198" spans="1:21" x14ac:dyDescent="0.6">
      <c r="A198">
        <v>218</v>
      </c>
      <c r="B198" t="str">
        <f>"8255"</f>
        <v>8255</v>
      </c>
      <c r="C198" t="s">
        <v>297</v>
      </c>
      <c r="D198" s="1">
        <v>42923</v>
      </c>
      <c r="E198">
        <v>105.5</v>
      </c>
      <c r="F198">
        <v>-1.5</v>
      </c>
      <c r="G198" s="3">
        <v>-1.4E-2</v>
      </c>
      <c r="H198">
        <v>2015</v>
      </c>
      <c r="I198">
        <v>7.91</v>
      </c>
      <c r="J198">
        <v>6</v>
      </c>
      <c r="K198">
        <v>0</v>
      </c>
      <c r="L198">
        <v>6</v>
      </c>
      <c r="M198" s="3">
        <v>5.6899999999999999E-2</v>
      </c>
      <c r="N198" s="2">
        <v>0</v>
      </c>
      <c r="O198" s="3">
        <v>5.6899999999999999E-2</v>
      </c>
      <c r="P198" s="3">
        <v>0.75800000000000001</v>
      </c>
      <c r="Q198" s="2">
        <v>0</v>
      </c>
      <c r="R198" s="3">
        <v>0.75800000000000001</v>
      </c>
      <c r="S198" t="s">
        <v>708</v>
      </c>
      <c r="U198" t="s">
        <v>715</v>
      </c>
    </row>
    <row r="199" spans="1:21" x14ac:dyDescent="0.6">
      <c r="A199">
        <v>213</v>
      </c>
      <c r="B199" t="str">
        <f>"8416"</f>
        <v>8416</v>
      </c>
      <c r="C199" t="s">
        <v>292</v>
      </c>
      <c r="D199" s="1">
        <v>42923</v>
      </c>
      <c r="E199">
        <v>96.8</v>
      </c>
      <c r="F199">
        <v>0</v>
      </c>
      <c r="G199" s="2">
        <v>0</v>
      </c>
      <c r="H199">
        <v>2015</v>
      </c>
      <c r="I199">
        <v>7.24</v>
      </c>
      <c r="J199">
        <v>5.5</v>
      </c>
      <c r="K199">
        <v>0</v>
      </c>
      <c r="L199">
        <v>5.5</v>
      </c>
      <c r="M199" s="3">
        <v>5.6800000000000003E-2</v>
      </c>
      <c r="N199" s="2">
        <v>0</v>
      </c>
      <c r="O199" s="3">
        <v>5.6800000000000003E-2</v>
      </c>
      <c r="P199" s="2">
        <v>0.76</v>
      </c>
      <c r="Q199" s="2">
        <v>0</v>
      </c>
      <c r="R199" s="2">
        <v>0.76</v>
      </c>
      <c r="S199" t="s">
        <v>756</v>
      </c>
      <c r="U199" t="s">
        <v>709</v>
      </c>
    </row>
    <row r="200" spans="1:21" x14ac:dyDescent="0.6">
      <c r="A200">
        <v>298</v>
      </c>
      <c r="B200" t="str">
        <f>"8905"</f>
        <v>8905</v>
      </c>
      <c r="C200" t="s">
        <v>380</v>
      </c>
      <c r="D200" s="1">
        <v>42923</v>
      </c>
      <c r="E200">
        <v>17.600000000000001</v>
      </c>
      <c r="F200">
        <v>-0.1</v>
      </c>
      <c r="G200" s="3">
        <v>-5.5999999999999999E-3</v>
      </c>
      <c r="H200">
        <v>2015</v>
      </c>
      <c r="I200">
        <v>4.67</v>
      </c>
      <c r="J200">
        <v>1</v>
      </c>
      <c r="K200">
        <v>0</v>
      </c>
      <c r="L200">
        <v>1</v>
      </c>
      <c r="M200" s="3">
        <v>5.6800000000000003E-2</v>
      </c>
      <c r="N200" s="2">
        <v>0</v>
      </c>
      <c r="O200" s="3">
        <v>5.6800000000000003E-2</v>
      </c>
      <c r="P200" s="3">
        <v>0.214</v>
      </c>
      <c r="Q200" s="2">
        <v>0</v>
      </c>
      <c r="R200" s="3">
        <v>0.214</v>
      </c>
      <c r="S200" t="s">
        <v>725</v>
      </c>
    </row>
    <row r="201" spans="1:21" x14ac:dyDescent="0.6">
      <c r="A201">
        <v>228</v>
      </c>
      <c r="B201" t="str">
        <f>"3093"</f>
        <v>3093</v>
      </c>
      <c r="C201" t="s">
        <v>307</v>
      </c>
      <c r="D201" s="1">
        <v>42923</v>
      </c>
      <c r="E201">
        <v>30</v>
      </c>
      <c r="F201">
        <v>-0.25</v>
      </c>
      <c r="G201" s="3">
        <v>-8.3000000000000001E-3</v>
      </c>
      <c r="H201">
        <v>2015</v>
      </c>
      <c r="I201">
        <v>1.91</v>
      </c>
      <c r="J201">
        <v>1.7</v>
      </c>
      <c r="K201">
        <v>0</v>
      </c>
      <c r="L201">
        <v>1.7</v>
      </c>
      <c r="M201" s="3">
        <v>5.67E-2</v>
      </c>
      <c r="N201" s="2">
        <v>0</v>
      </c>
      <c r="O201" s="3">
        <v>5.67E-2</v>
      </c>
      <c r="P201" s="2">
        <v>0.89</v>
      </c>
      <c r="Q201" s="2">
        <v>0</v>
      </c>
      <c r="R201" s="2">
        <v>0.89</v>
      </c>
      <c r="S201" t="s">
        <v>710</v>
      </c>
      <c r="U201" t="s">
        <v>735</v>
      </c>
    </row>
    <row r="202" spans="1:21" x14ac:dyDescent="0.6">
      <c r="A202">
        <v>319</v>
      </c>
      <c r="B202" t="str">
        <f>"2441"</f>
        <v>2441</v>
      </c>
      <c r="C202" t="s">
        <v>401</v>
      </c>
      <c r="D202" s="1">
        <v>42923</v>
      </c>
      <c r="E202">
        <v>49.35</v>
      </c>
      <c r="F202">
        <v>-0.15</v>
      </c>
      <c r="G202" s="3">
        <v>-3.0000000000000001E-3</v>
      </c>
      <c r="H202">
        <v>2015</v>
      </c>
      <c r="I202">
        <v>3.98</v>
      </c>
      <c r="J202">
        <v>2.8</v>
      </c>
      <c r="K202">
        <v>0</v>
      </c>
      <c r="L202">
        <v>2.8</v>
      </c>
      <c r="M202" s="3">
        <v>5.67E-2</v>
      </c>
      <c r="N202" s="2">
        <v>0</v>
      </c>
      <c r="O202" s="3">
        <v>5.67E-2</v>
      </c>
      <c r="P202" s="3">
        <v>0.70399999999999996</v>
      </c>
      <c r="Q202" s="2">
        <v>0</v>
      </c>
      <c r="R202" s="3">
        <v>0.70399999999999996</v>
      </c>
      <c r="S202" t="s">
        <v>760</v>
      </c>
      <c r="U202" t="s">
        <v>780</v>
      </c>
    </row>
    <row r="203" spans="1:21" x14ac:dyDescent="0.6">
      <c r="A203">
        <v>254</v>
      </c>
      <c r="B203" t="str">
        <f>"1712"</f>
        <v>1712</v>
      </c>
      <c r="C203" t="s">
        <v>333</v>
      </c>
      <c r="D203" s="1">
        <v>42923</v>
      </c>
      <c r="E203">
        <v>15.85</v>
      </c>
      <c r="F203">
        <v>-0.1</v>
      </c>
      <c r="G203" s="3">
        <v>-6.3E-3</v>
      </c>
      <c r="H203">
        <v>2015</v>
      </c>
      <c r="I203">
        <v>1.51</v>
      </c>
      <c r="J203">
        <v>0.9</v>
      </c>
      <c r="K203">
        <v>0</v>
      </c>
      <c r="L203">
        <v>0.9</v>
      </c>
      <c r="M203" s="3">
        <v>5.6500000000000002E-2</v>
      </c>
      <c r="N203" s="2">
        <v>0</v>
      </c>
      <c r="O203" s="3">
        <v>5.6500000000000002E-2</v>
      </c>
      <c r="P203" s="3">
        <v>0.59599999999999997</v>
      </c>
      <c r="Q203" s="2">
        <v>0</v>
      </c>
      <c r="R203" s="3">
        <v>0.59599999999999997</v>
      </c>
      <c r="S203" t="s">
        <v>757</v>
      </c>
      <c r="U203" t="s">
        <v>716</v>
      </c>
    </row>
    <row r="204" spans="1:21" x14ac:dyDescent="0.6">
      <c r="A204">
        <v>307</v>
      </c>
      <c r="B204" t="str">
        <f>"8210"</f>
        <v>8210</v>
      </c>
      <c r="C204" t="s">
        <v>389</v>
      </c>
      <c r="D204" s="1">
        <v>42923</v>
      </c>
      <c r="E204">
        <v>53.2</v>
      </c>
      <c r="F204">
        <v>-0.6</v>
      </c>
      <c r="G204" s="3">
        <v>-1.12E-2</v>
      </c>
      <c r="H204">
        <v>2015</v>
      </c>
      <c r="I204">
        <v>4.5199999999999996</v>
      </c>
      <c r="J204">
        <v>3</v>
      </c>
      <c r="K204">
        <v>0</v>
      </c>
      <c r="L204">
        <v>3</v>
      </c>
      <c r="M204" s="3">
        <v>5.6399999999999999E-2</v>
      </c>
      <c r="N204" s="2">
        <v>0</v>
      </c>
      <c r="O204" s="3">
        <v>5.6399999999999999E-2</v>
      </c>
      <c r="P204" s="3">
        <v>0.66400000000000003</v>
      </c>
      <c r="Q204" s="2">
        <v>0</v>
      </c>
      <c r="R204" s="3">
        <v>0.66400000000000003</v>
      </c>
      <c r="S204" t="s">
        <v>756</v>
      </c>
      <c r="U204" t="s">
        <v>714</v>
      </c>
    </row>
    <row r="205" spans="1:21" x14ac:dyDescent="0.6">
      <c r="A205">
        <v>493</v>
      </c>
      <c r="B205" t="str">
        <f>"3047"</f>
        <v>3047</v>
      </c>
      <c r="C205" t="s">
        <v>587</v>
      </c>
      <c r="D205" s="1">
        <v>42923</v>
      </c>
      <c r="E205">
        <v>10.65</v>
      </c>
      <c r="F205">
        <v>-0.15</v>
      </c>
      <c r="G205" s="3">
        <v>-1.3899999999999999E-2</v>
      </c>
      <c r="H205">
        <v>2015</v>
      </c>
      <c r="I205">
        <v>0.66</v>
      </c>
      <c r="J205">
        <v>0.6</v>
      </c>
      <c r="K205">
        <v>0</v>
      </c>
      <c r="L205">
        <v>0.6</v>
      </c>
      <c r="M205" s="3">
        <v>5.6300000000000003E-2</v>
      </c>
      <c r="N205" s="2">
        <v>0</v>
      </c>
      <c r="O205" s="3">
        <v>5.6300000000000003E-2</v>
      </c>
      <c r="P205" s="3">
        <v>0.90900000000000003</v>
      </c>
      <c r="Q205" s="2">
        <v>0</v>
      </c>
      <c r="R205" s="3">
        <v>0.90900000000000003</v>
      </c>
      <c r="S205" t="s">
        <v>725</v>
      </c>
      <c r="U205" t="s">
        <v>735</v>
      </c>
    </row>
    <row r="206" spans="1:21" x14ac:dyDescent="0.6">
      <c r="A206">
        <v>361</v>
      </c>
      <c r="B206" t="str">
        <f>"5515"</f>
        <v>5515</v>
      </c>
      <c r="C206" t="s">
        <v>444</v>
      </c>
      <c r="D206" s="1">
        <v>42923</v>
      </c>
      <c r="E206">
        <v>9.32</v>
      </c>
      <c r="F206">
        <v>-0.05</v>
      </c>
      <c r="G206" s="3">
        <v>-5.3E-3</v>
      </c>
      <c r="H206">
        <v>2015</v>
      </c>
      <c r="I206">
        <v>0.53</v>
      </c>
      <c r="J206">
        <v>0.52</v>
      </c>
      <c r="K206">
        <v>0</v>
      </c>
      <c r="L206">
        <v>0.52</v>
      </c>
      <c r="M206" s="3">
        <v>5.62E-2</v>
      </c>
      <c r="N206" s="2">
        <v>0</v>
      </c>
      <c r="O206" s="3">
        <v>5.62E-2</v>
      </c>
      <c r="P206" s="3">
        <v>0.98099999999999998</v>
      </c>
      <c r="Q206" s="2">
        <v>0</v>
      </c>
      <c r="R206" s="3">
        <v>0.98099999999999998</v>
      </c>
      <c r="S206" t="s">
        <v>721</v>
      </c>
      <c r="U206" t="s">
        <v>703</v>
      </c>
    </row>
    <row r="207" spans="1:21" x14ac:dyDescent="0.6">
      <c r="A207">
        <v>27</v>
      </c>
      <c r="B207" t="str">
        <f>"4550"</f>
        <v>4550</v>
      </c>
      <c r="C207" t="s">
        <v>61</v>
      </c>
      <c r="D207" s="1">
        <v>42923</v>
      </c>
      <c r="E207">
        <v>22.3</v>
      </c>
      <c r="F207">
        <v>0.3</v>
      </c>
      <c r="G207" s="3">
        <v>1.3599999999999999E-2</v>
      </c>
      <c r="H207">
        <v>2015</v>
      </c>
      <c r="I207">
        <v>2.2400000000000002</v>
      </c>
      <c r="J207">
        <v>1.25</v>
      </c>
      <c r="K207">
        <v>0</v>
      </c>
      <c r="L207">
        <v>1.25</v>
      </c>
      <c r="M207" s="3">
        <v>5.6099999999999997E-2</v>
      </c>
      <c r="N207" s="2">
        <v>0</v>
      </c>
      <c r="O207" s="3">
        <v>5.6099999999999997E-2</v>
      </c>
      <c r="P207" s="3">
        <v>0.55800000000000005</v>
      </c>
      <c r="Q207" s="2">
        <v>0</v>
      </c>
      <c r="R207" s="3">
        <v>0.55800000000000005</v>
      </c>
      <c r="S207" t="s">
        <v>722</v>
      </c>
      <c r="U207" t="s">
        <v>723</v>
      </c>
    </row>
    <row r="208" spans="1:21" x14ac:dyDescent="0.6">
      <c r="A208">
        <v>421</v>
      </c>
      <c r="B208" t="str">
        <f>"4535"</f>
        <v>4535</v>
      </c>
      <c r="C208" t="s">
        <v>508</v>
      </c>
      <c r="D208" s="1">
        <v>42923</v>
      </c>
      <c r="E208">
        <v>44.7</v>
      </c>
      <c r="F208">
        <v>-0.25</v>
      </c>
      <c r="G208" s="3">
        <v>-5.5999999999999999E-3</v>
      </c>
      <c r="H208">
        <v>2015</v>
      </c>
      <c r="I208">
        <v>2.97</v>
      </c>
      <c r="J208">
        <v>2.5</v>
      </c>
      <c r="K208">
        <v>0</v>
      </c>
      <c r="L208">
        <v>2.5</v>
      </c>
      <c r="M208" s="3">
        <v>5.5899999999999998E-2</v>
      </c>
      <c r="N208" s="2">
        <v>0</v>
      </c>
      <c r="O208" s="3">
        <v>5.5899999999999998E-2</v>
      </c>
      <c r="P208" s="3">
        <v>0.84199999999999997</v>
      </c>
      <c r="Q208" s="2">
        <v>0</v>
      </c>
      <c r="R208" s="3">
        <v>0.84199999999999997</v>
      </c>
      <c r="S208" t="s">
        <v>740</v>
      </c>
      <c r="U208" t="s">
        <v>729</v>
      </c>
    </row>
    <row r="209" spans="1:21" x14ac:dyDescent="0.6">
      <c r="A209">
        <v>454</v>
      </c>
      <c r="B209" t="str">
        <f>"2382"</f>
        <v>2382</v>
      </c>
      <c r="C209" t="s">
        <v>544</v>
      </c>
      <c r="D209" s="1">
        <v>42923</v>
      </c>
      <c r="E209">
        <v>71.8</v>
      </c>
      <c r="F209">
        <v>0.2</v>
      </c>
      <c r="G209" s="3">
        <v>2.8E-3</v>
      </c>
      <c r="H209">
        <v>2015</v>
      </c>
      <c r="I209">
        <v>4.9000000000000004</v>
      </c>
      <c r="J209">
        <v>4</v>
      </c>
      <c r="K209">
        <v>0</v>
      </c>
      <c r="L209">
        <v>4</v>
      </c>
      <c r="M209" s="3">
        <v>5.57E-2</v>
      </c>
      <c r="N209" s="2">
        <v>0</v>
      </c>
      <c r="O209" s="3">
        <v>5.57E-2</v>
      </c>
      <c r="P209" s="3">
        <v>0.81599999999999995</v>
      </c>
      <c r="Q209" s="2">
        <v>0</v>
      </c>
      <c r="R209" s="3">
        <v>0.81599999999999995</v>
      </c>
      <c r="S209" t="s">
        <v>691</v>
      </c>
      <c r="U209" t="s">
        <v>760</v>
      </c>
    </row>
    <row r="210" spans="1:21" x14ac:dyDescent="0.6">
      <c r="A210">
        <v>41</v>
      </c>
      <c r="B210" t="str">
        <f>"3550"</f>
        <v>3550</v>
      </c>
      <c r="C210" t="s">
        <v>84</v>
      </c>
      <c r="D210" s="1">
        <v>42923</v>
      </c>
      <c r="E210">
        <v>18</v>
      </c>
      <c r="F210">
        <v>0</v>
      </c>
      <c r="G210" s="2">
        <v>0</v>
      </c>
      <c r="H210">
        <v>2015</v>
      </c>
      <c r="I210">
        <v>1.21</v>
      </c>
      <c r="J210">
        <v>1</v>
      </c>
      <c r="K210">
        <v>0</v>
      </c>
      <c r="L210">
        <v>1</v>
      </c>
      <c r="M210" s="3">
        <v>5.5599999999999997E-2</v>
      </c>
      <c r="N210" s="2">
        <v>0</v>
      </c>
      <c r="O210" s="3">
        <v>5.5599999999999997E-2</v>
      </c>
      <c r="P210" s="3">
        <v>0.82599999999999996</v>
      </c>
      <c r="Q210" s="2">
        <v>0</v>
      </c>
      <c r="R210" s="3">
        <v>0.82599999999999996</v>
      </c>
      <c r="S210" t="s">
        <v>710</v>
      </c>
      <c r="U210" t="s">
        <v>709</v>
      </c>
    </row>
    <row r="211" spans="1:21" x14ac:dyDescent="0.6">
      <c r="A211">
        <v>98</v>
      </c>
      <c r="B211" t="str">
        <f>"1776"</f>
        <v>1776</v>
      </c>
      <c r="C211" t="s">
        <v>161</v>
      </c>
      <c r="D211" s="1">
        <v>42923</v>
      </c>
      <c r="E211">
        <v>21.6</v>
      </c>
      <c r="F211">
        <v>0.5</v>
      </c>
      <c r="G211" s="3">
        <v>2.3699999999999999E-2</v>
      </c>
      <c r="H211">
        <v>2015</v>
      </c>
      <c r="I211">
        <v>1.38</v>
      </c>
      <c r="J211">
        <v>1.2</v>
      </c>
      <c r="K211">
        <v>0</v>
      </c>
      <c r="L211">
        <v>1.2</v>
      </c>
      <c r="M211" s="3">
        <v>5.5599999999999997E-2</v>
      </c>
      <c r="N211" s="2">
        <v>0</v>
      </c>
      <c r="O211" s="3">
        <v>5.5599999999999997E-2</v>
      </c>
      <c r="P211" s="2">
        <v>0.87</v>
      </c>
      <c r="Q211" s="2">
        <v>0</v>
      </c>
      <c r="R211" s="2">
        <v>0.87</v>
      </c>
      <c r="S211" t="s">
        <v>761</v>
      </c>
      <c r="U211" t="s">
        <v>723</v>
      </c>
    </row>
    <row r="212" spans="1:21" x14ac:dyDescent="0.6">
      <c r="A212">
        <v>103</v>
      </c>
      <c r="B212" t="str">
        <f>"4305"</f>
        <v>4305</v>
      </c>
      <c r="C212" t="s">
        <v>166</v>
      </c>
      <c r="D212" s="1">
        <v>42923</v>
      </c>
      <c r="E212">
        <v>32.549999999999997</v>
      </c>
      <c r="F212">
        <v>0</v>
      </c>
      <c r="G212" s="2">
        <v>0</v>
      </c>
      <c r="H212">
        <v>2015</v>
      </c>
      <c r="I212">
        <v>2.34</v>
      </c>
      <c r="J212">
        <v>1.8</v>
      </c>
      <c r="K212">
        <v>0</v>
      </c>
      <c r="L212">
        <v>1.8</v>
      </c>
      <c r="M212" s="3">
        <v>5.5300000000000002E-2</v>
      </c>
      <c r="N212" s="2">
        <v>0</v>
      </c>
      <c r="O212" s="3">
        <v>5.5300000000000002E-2</v>
      </c>
      <c r="P212" s="3">
        <v>0.76900000000000002</v>
      </c>
      <c r="Q212" s="2">
        <v>0</v>
      </c>
      <c r="R212" s="3">
        <v>0.76900000000000002</v>
      </c>
      <c r="S212" t="s">
        <v>758</v>
      </c>
      <c r="U212" t="s">
        <v>730</v>
      </c>
    </row>
    <row r="213" spans="1:21" x14ac:dyDescent="0.6">
      <c r="A213">
        <v>235</v>
      </c>
      <c r="B213" t="str">
        <f>"8271"</f>
        <v>8271</v>
      </c>
      <c r="C213" t="s">
        <v>314</v>
      </c>
      <c r="D213" s="1">
        <v>42923</v>
      </c>
      <c r="E213">
        <v>39.75</v>
      </c>
      <c r="F213">
        <v>-0.25</v>
      </c>
      <c r="G213" s="3">
        <v>-6.1999999999999998E-3</v>
      </c>
      <c r="H213">
        <v>2015</v>
      </c>
      <c r="I213">
        <v>3.63</v>
      </c>
      <c r="J213">
        <v>2.2000000000000002</v>
      </c>
      <c r="K213">
        <v>0</v>
      </c>
      <c r="L213">
        <v>2.2000000000000002</v>
      </c>
      <c r="M213" s="3">
        <v>5.5300000000000002E-2</v>
      </c>
      <c r="N213" s="2">
        <v>0</v>
      </c>
      <c r="O213" s="3">
        <v>5.5300000000000002E-2</v>
      </c>
      <c r="P213" s="3">
        <v>0.60599999999999998</v>
      </c>
      <c r="Q213" s="2">
        <v>0</v>
      </c>
      <c r="R213" s="3">
        <v>0.60599999999999998</v>
      </c>
      <c r="S213" t="s">
        <v>714</v>
      </c>
      <c r="U213" t="s">
        <v>695</v>
      </c>
    </row>
    <row r="214" spans="1:21" x14ac:dyDescent="0.6">
      <c r="A214">
        <v>315</v>
      </c>
      <c r="B214" t="str">
        <f>"2886"</f>
        <v>2886</v>
      </c>
      <c r="C214" t="s">
        <v>397</v>
      </c>
      <c r="D214" s="1">
        <v>42923</v>
      </c>
      <c r="E214">
        <v>25.35</v>
      </c>
      <c r="F214">
        <v>-0.25</v>
      </c>
      <c r="G214" s="3">
        <v>-9.7999999999999997E-3</v>
      </c>
      <c r="H214">
        <v>2015</v>
      </c>
      <c r="I214">
        <v>2.4300000000000002</v>
      </c>
      <c r="J214">
        <v>1.4</v>
      </c>
      <c r="K214">
        <v>0</v>
      </c>
      <c r="L214">
        <v>1.4</v>
      </c>
      <c r="M214" s="3">
        <v>5.5199999999999999E-2</v>
      </c>
      <c r="N214" s="2">
        <v>0</v>
      </c>
      <c r="O214" s="3">
        <v>5.5199999999999999E-2</v>
      </c>
      <c r="P214" s="3">
        <v>0.57599999999999996</v>
      </c>
      <c r="Q214" s="2">
        <v>0</v>
      </c>
      <c r="R214" s="3">
        <v>0.57599999999999996</v>
      </c>
      <c r="S214" t="s">
        <v>745</v>
      </c>
      <c r="U214" t="s">
        <v>717</v>
      </c>
    </row>
    <row r="215" spans="1:21" x14ac:dyDescent="0.6">
      <c r="A215">
        <v>162</v>
      </c>
      <c r="B215" t="str">
        <f>"8050"</f>
        <v>8050</v>
      </c>
      <c r="C215" t="s">
        <v>233</v>
      </c>
      <c r="D215" s="1">
        <v>42923</v>
      </c>
      <c r="E215">
        <v>60.4</v>
      </c>
      <c r="F215">
        <v>-0.1</v>
      </c>
      <c r="G215" s="3">
        <v>-1.6999999999999999E-3</v>
      </c>
      <c r="H215">
        <v>2015</v>
      </c>
      <c r="I215">
        <v>4.07</v>
      </c>
      <c r="J215">
        <v>3.33</v>
      </c>
      <c r="K215">
        <v>0.5</v>
      </c>
      <c r="L215">
        <v>3.83</v>
      </c>
      <c r="M215" s="3">
        <v>5.5100000000000003E-2</v>
      </c>
      <c r="N215" s="3">
        <v>8.3000000000000001E-3</v>
      </c>
      <c r="O215" s="3">
        <v>6.3399999999999998E-2</v>
      </c>
      <c r="P215" s="3">
        <v>0.81799999999999995</v>
      </c>
      <c r="Q215" s="3">
        <v>0.123</v>
      </c>
      <c r="R215" s="3">
        <v>0.94099999999999995</v>
      </c>
      <c r="S215" t="s">
        <v>736</v>
      </c>
      <c r="T215" t="s">
        <v>772</v>
      </c>
    </row>
    <row r="216" spans="1:21" x14ac:dyDescent="0.6">
      <c r="A216">
        <v>426</v>
      </c>
      <c r="B216" t="str">
        <f>"2066"</f>
        <v>2066</v>
      </c>
      <c r="C216" t="s">
        <v>514</v>
      </c>
      <c r="D216" s="1">
        <v>42923</v>
      </c>
      <c r="E216">
        <v>100</v>
      </c>
      <c r="F216">
        <v>-3</v>
      </c>
      <c r="G216" s="3">
        <v>-2.9100000000000001E-2</v>
      </c>
      <c r="H216">
        <v>2015</v>
      </c>
      <c r="I216">
        <v>6.56</v>
      </c>
      <c r="J216">
        <v>5.5</v>
      </c>
      <c r="K216">
        <v>0</v>
      </c>
      <c r="L216">
        <v>5.5</v>
      </c>
      <c r="M216" s="3">
        <v>5.5E-2</v>
      </c>
      <c r="N216" s="2">
        <v>0</v>
      </c>
      <c r="O216" s="3">
        <v>5.5E-2</v>
      </c>
      <c r="P216" s="3">
        <v>0.83799999999999997</v>
      </c>
      <c r="Q216" s="2">
        <v>0</v>
      </c>
      <c r="R216" s="3">
        <v>0.83799999999999997</v>
      </c>
      <c r="S216" t="s">
        <v>711</v>
      </c>
      <c r="U216" t="s">
        <v>737</v>
      </c>
    </row>
    <row r="217" spans="1:21" x14ac:dyDescent="0.6">
      <c r="A217">
        <v>63</v>
      </c>
      <c r="B217" t="str">
        <f>"4972"</f>
        <v>4972</v>
      </c>
      <c r="C217" t="s">
        <v>117</v>
      </c>
      <c r="D217" s="1">
        <v>42923</v>
      </c>
      <c r="E217">
        <v>32.799999999999997</v>
      </c>
      <c r="F217">
        <v>-0.2</v>
      </c>
      <c r="G217" s="3">
        <v>-6.1000000000000004E-3</v>
      </c>
      <c r="H217">
        <v>2015</v>
      </c>
      <c r="I217">
        <v>2.76</v>
      </c>
      <c r="J217">
        <v>1.8</v>
      </c>
      <c r="K217">
        <v>0.3</v>
      </c>
      <c r="L217">
        <v>2.1</v>
      </c>
      <c r="M217" s="3">
        <v>5.4899999999999997E-2</v>
      </c>
      <c r="N217" s="3">
        <v>9.1000000000000004E-3</v>
      </c>
      <c r="O217" s="3">
        <v>6.4000000000000001E-2</v>
      </c>
      <c r="P217" s="3">
        <v>0.65200000000000002</v>
      </c>
      <c r="Q217" s="3">
        <v>0.109</v>
      </c>
      <c r="R217" s="3">
        <v>0.76100000000000001</v>
      </c>
      <c r="S217" t="s">
        <v>740</v>
      </c>
      <c r="T217" t="s">
        <v>740</v>
      </c>
      <c r="U217" t="s">
        <v>752</v>
      </c>
    </row>
    <row r="218" spans="1:21" x14ac:dyDescent="0.6">
      <c r="A218">
        <v>334</v>
      </c>
      <c r="B218" t="str">
        <f>"3537"</f>
        <v>3537</v>
      </c>
      <c r="C218" t="s">
        <v>416</v>
      </c>
      <c r="D218" s="1">
        <v>42923</v>
      </c>
      <c r="E218">
        <v>21.9</v>
      </c>
      <c r="F218">
        <v>0</v>
      </c>
      <c r="G218" s="2">
        <v>0</v>
      </c>
      <c r="H218">
        <v>2015</v>
      </c>
      <c r="I218">
        <v>1.52</v>
      </c>
      <c r="J218">
        <v>1.2</v>
      </c>
      <c r="K218">
        <v>0</v>
      </c>
      <c r="L218">
        <v>1.2</v>
      </c>
      <c r="M218" s="3">
        <v>5.4800000000000001E-2</v>
      </c>
      <c r="N218" s="2">
        <v>0</v>
      </c>
      <c r="O218" s="3">
        <v>5.4800000000000001E-2</v>
      </c>
      <c r="P218" s="2">
        <v>0.79</v>
      </c>
      <c r="Q218" s="2">
        <v>0</v>
      </c>
      <c r="R218" s="2">
        <v>0.79</v>
      </c>
      <c r="S218" t="s">
        <v>694</v>
      </c>
      <c r="U218" t="s">
        <v>733</v>
      </c>
    </row>
    <row r="219" spans="1:21" x14ac:dyDescent="0.6">
      <c r="A219">
        <v>107</v>
      </c>
      <c r="B219" t="str">
        <f>"8048"</f>
        <v>8048</v>
      </c>
      <c r="C219" t="s">
        <v>170</v>
      </c>
      <c r="D219" s="1">
        <v>42923</v>
      </c>
      <c r="E219">
        <v>27.4</v>
      </c>
      <c r="F219">
        <v>-0.2</v>
      </c>
      <c r="G219" s="3">
        <v>-7.1999999999999998E-3</v>
      </c>
      <c r="H219">
        <v>2015</v>
      </c>
      <c r="I219">
        <v>2.0099999999999998</v>
      </c>
      <c r="J219">
        <v>1.5</v>
      </c>
      <c r="K219">
        <v>0</v>
      </c>
      <c r="L219">
        <v>1.5</v>
      </c>
      <c r="M219" s="3">
        <v>5.4699999999999999E-2</v>
      </c>
      <c r="N219" s="2">
        <v>0</v>
      </c>
      <c r="O219" s="3">
        <v>5.4699999999999999E-2</v>
      </c>
      <c r="P219" s="3">
        <v>0.746</v>
      </c>
      <c r="Q219" s="2">
        <v>0</v>
      </c>
      <c r="R219" s="3">
        <v>0.746</v>
      </c>
      <c r="S219" t="s">
        <v>751</v>
      </c>
      <c r="U219" t="s">
        <v>729</v>
      </c>
    </row>
    <row r="220" spans="1:21" x14ac:dyDescent="0.6">
      <c r="A220">
        <v>337</v>
      </c>
      <c r="B220" t="str">
        <f>"1788"</f>
        <v>1788</v>
      </c>
      <c r="C220" t="s">
        <v>419</v>
      </c>
      <c r="D220" s="1">
        <v>42923</v>
      </c>
      <c r="E220">
        <v>91.5</v>
      </c>
      <c r="F220">
        <v>-0.5</v>
      </c>
      <c r="G220" s="3">
        <v>-5.4000000000000003E-3</v>
      </c>
      <c r="H220">
        <v>2015</v>
      </c>
      <c r="I220">
        <v>6.28</v>
      </c>
      <c r="J220">
        <v>5</v>
      </c>
      <c r="K220">
        <v>0</v>
      </c>
      <c r="L220">
        <v>5</v>
      </c>
      <c r="M220" s="3">
        <v>5.4600000000000003E-2</v>
      </c>
      <c r="N220" s="2">
        <v>0</v>
      </c>
      <c r="O220" s="3">
        <v>5.4600000000000003E-2</v>
      </c>
      <c r="P220" s="3">
        <v>0.79600000000000004</v>
      </c>
      <c r="Q220" s="2">
        <v>0</v>
      </c>
      <c r="R220" s="3">
        <v>0.79600000000000004</v>
      </c>
      <c r="S220" t="s">
        <v>776</v>
      </c>
      <c r="U220" t="s">
        <v>744</v>
      </c>
    </row>
    <row r="221" spans="1:21" x14ac:dyDescent="0.6">
      <c r="A221">
        <v>500</v>
      </c>
      <c r="B221" t="str">
        <f>"8467"</f>
        <v>8467</v>
      </c>
      <c r="C221" t="s">
        <v>594</v>
      </c>
      <c r="D221" s="1">
        <v>42923</v>
      </c>
      <c r="E221">
        <v>33.1</v>
      </c>
      <c r="F221">
        <v>-0.05</v>
      </c>
      <c r="G221" s="3">
        <v>-1.5E-3</v>
      </c>
      <c r="H221">
        <v>2015</v>
      </c>
      <c r="I221">
        <v>6.07</v>
      </c>
      <c r="J221">
        <v>1.8</v>
      </c>
      <c r="K221">
        <v>0</v>
      </c>
      <c r="L221">
        <v>1.8</v>
      </c>
      <c r="M221" s="3">
        <v>5.4399999999999997E-2</v>
      </c>
      <c r="N221" s="2">
        <v>0</v>
      </c>
      <c r="O221" s="3">
        <v>5.4399999999999997E-2</v>
      </c>
      <c r="P221" s="3">
        <v>0.29599999999999999</v>
      </c>
      <c r="Q221" s="2">
        <v>0</v>
      </c>
      <c r="R221" s="3">
        <v>0.29599999999999999</v>
      </c>
    </row>
    <row r="222" spans="1:21" x14ac:dyDescent="0.6">
      <c r="A222">
        <v>340</v>
      </c>
      <c r="B222" t="str">
        <f>"2359"</f>
        <v>2359</v>
      </c>
      <c r="C222" t="s">
        <v>422</v>
      </c>
      <c r="D222" s="1">
        <v>42923</v>
      </c>
      <c r="E222">
        <v>18.399999999999999</v>
      </c>
      <c r="F222">
        <v>0.2</v>
      </c>
      <c r="G222" s="3">
        <v>1.0999999999999999E-2</v>
      </c>
      <c r="H222">
        <v>2015</v>
      </c>
      <c r="I222">
        <v>1.91</v>
      </c>
      <c r="J222">
        <v>1</v>
      </c>
      <c r="K222">
        <v>0</v>
      </c>
      <c r="L222">
        <v>1</v>
      </c>
      <c r="M222" s="3">
        <v>5.4300000000000001E-2</v>
      </c>
      <c r="N222" s="2">
        <v>0</v>
      </c>
      <c r="O222" s="3">
        <v>5.4300000000000001E-2</v>
      </c>
      <c r="P222" s="3">
        <v>0.52400000000000002</v>
      </c>
      <c r="Q222" s="2">
        <v>0</v>
      </c>
      <c r="R222" s="3">
        <v>0.52400000000000002</v>
      </c>
      <c r="S222" t="s">
        <v>710</v>
      </c>
      <c r="U222" t="s">
        <v>735</v>
      </c>
    </row>
    <row r="223" spans="1:21" x14ac:dyDescent="0.6">
      <c r="A223">
        <v>344</v>
      </c>
      <c r="B223" t="str">
        <f>"1232"</f>
        <v>1232</v>
      </c>
      <c r="C223" t="s">
        <v>426</v>
      </c>
      <c r="D223" s="1">
        <v>42923</v>
      </c>
      <c r="E223">
        <v>92.2</v>
      </c>
      <c r="F223">
        <v>-0.1</v>
      </c>
      <c r="G223" s="3">
        <v>-1.1000000000000001E-3</v>
      </c>
      <c r="H223">
        <v>2015</v>
      </c>
      <c r="I223">
        <v>6.17</v>
      </c>
      <c r="J223">
        <v>5</v>
      </c>
      <c r="K223">
        <v>0</v>
      </c>
      <c r="L223">
        <v>5</v>
      </c>
      <c r="M223" s="3">
        <v>5.4199999999999998E-2</v>
      </c>
      <c r="N223" s="2">
        <v>0</v>
      </c>
      <c r="O223" s="3">
        <v>5.4199999999999998E-2</v>
      </c>
      <c r="P223" s="2">
        <v>0.81</v>
      </c>
      <c r="Q223" s="2">
        <v>0</v>
      </c>
      <c r="R223" s="2">
        <v>0.81</v>
      </c>
      <c r="S223" t="s">
        <v>725</v>
      </c>
      <c r="U223" t="s">
        <v>735</v>
      </c>
    </row>
    <row r="224" spans="1:21" x14ac:dyDescent="0.6">
      <c r="A224">
        <v>176</v>
      </c>
      <c r="B224" t="str">
        <f>"3022"</f>
        <v>3022</v>
      </c>
      <c r="C224" t="s">
        <v>250</v>
      </c>
      <c r="D224" s="1">
        <v>42923</v>
      </c>
      <c r="E224">
        <v>46.25</v>
      </c>
      <c r="F224">
        <v>-0.1</v>
      </c>
      <c r="G224" s="3">
        <v>-2.2000000000000001E-3</v>
      </c>
      <c r="H224">
        <v>2015</v>
      </c>
      <c r="I224">
        <v>4.51</v>
      </c>
      <c r="J224">
        <v>2.5</v>
      </c>
      <c r="K224">
        <v>0</v>
      </c>
      <c r="L224">
        <v>2.5</v>
      </c>
      <c r="M224" s="3">
        <v>5.4100000000000002E-2</v>
      </c>
      <c r="N224" s="2">
        <v>0</v>
      </c>
      <c r="O224" s="3">
        <v>5.4100000000000002E-2</v>
      </c>
      <c r="P224" s="3">
        <v>0.55400000000000005</v>
      </c>
      <c r="Q224" s="2">
        <v>0</v>
      </c>
      <c r="R224" s="3">
        <v>0.55400000000000005</v>
      </c>
      <c r="S224" t="s">
        <v>745</v>
      </c>
      <c r="U224" t="s">
        <v>705</v>
      </c>
    </row>
    <row r="225" spans="1:21" x14ac:dyDescent="0.6">
      <c r="A225">
        <v>350</v>
      </c>
      <c r="B225" t="str">
        <f>"1323"</f>
        <v>1323</v>
      </c>
      <c r="C225" t="s">
        <v>432</v>
      </c>
      <c r="D225" s="1">
        <v>42923</v>
      </c>
      <c r="E225">
        <v>33.35</v>
      </c>
      <c r="F225">
        <v>-0.3</v>
      </c>
      <c r="G225" s="3">
        <v>-8.8999999999999999E-3</v>
      </c>
      <c r="H225">
        <v>2015</v>
      </c>
      <c r="I225">
        <v>3.01</v>
      </c>
      <c r="J225">
        <v>1.8</v>
      </c>
      <c r="K225">
        <v>0</v>
      </c>
      <c r="L225">
        <v>1.8</v>
      </c>
      <c r="M225" s="3">
        <v>5.3999999999999999E-2</v>
      </c>
      <c r="N225" s="2">
        <v>0</v>
      </c>
      <c r="O225" s="3">
        <v>5.3999999999999999E-2</v>
      </c>
      <c r="P225" s="3">
        <v>0.59799999999999998</v>
      </c>
      <c r="Q225" s="2">
        <v>0</v>
      </c>
      <c r="R225" s="3">
        <v>0.59799999999999998</v>
      </c>
      <c r="S225" t="s">
        <v>744</v>
      </c>
      <c r="U225" t="s">
        <v>735</v>
      </c>
    </row>
    <row r="226" spans="1:21" x14ac:dyDescent="0.6">
      <c r="A226">
        <v>66</v>
      </c>
      <c r="B226" t="str">
        <f>"3078"</f>
        <v>3078</v>
      </c>
      <c r="C226" t="s">
        <v>121</v>
      </c>
      <c r="D226" s="1">
        <v>42923</v>
      </c>
      <c r="E226">
        <v>29.7</v>
      </c>
      <c r="F226">
        <v>-0.15</v>
      </c>
      <c r="G226" s="3">
        <v>-5.0000000000000001E-3</v>
      </c>
      <c r="H226">
        <v>2015</v>
      </c>
      <c r="I226">
        <v>2.14</v>
      </c>
      <c r="J226">
        <v>1.6</v>
      </c>
      <c r="K226">
        <v>0</v>
      </c>
      <c r="L226">
        <v>1.6</v>
      </c>
      <c r="M226" s="3">
        <v>5.3900000000000003E-2</v>
      </c>
      <c r="N226" s="2">
        <v>0</v>
      </c>
      <c r="O226" s="3">
        <v>5.3900000000000003E-2</v>
      </c>
      <c r="P226" s="3">
        <v>0.748</v>
      </c>
      <c r="Q226" s="2">
        <v>0</v>
      </c>
      <c r="R226" s="3">
        <v>0.748</v>
      </c>
      <c r="S226" t="s">
        <v>709</v>
      </c>
      <c r="U226" t="s">
        <v>692</v>
      </c>
    </row>
    <row r="227" spans="1:21" x14ac:dyDescent="0.6">
      <c r="A227">
        <v>67</v>
      </c>
      <c r="B227" t="str">
        <f>"3014"</f>
        <v>3014</v>
      </c>
      <c r="C227" t="s">
        <v>123</v>
      </c>
      <c r="D227" s="1">
        <v>42923</v>
      </c>
      <c r="E227">
        <v>37.1</v>
      </c>
      <c r="F227">
        <v>-0.15</v>
      </c>
      <c r="G227" s="3">
        <v>-4.0000000000000001E-3</v>
      </c>
      <c r="H227">
        <v>2015</v>
      </c>
      <c r="I227">
        <v>2.4</v>
      </c>
      <c r="J227">
        <v>2</v>
      </c>
      <c r="K227">
        <v>0</v>
      </c>
      <c r="L227">
        <v>2</v>
      </c>
      <c r="M227" s="3">
        <v>5.3900000000000003E-2</v>
      </c>
      <c r="N227" s="2">
        <v>0</v>
      </c>
      <c r="O227" s="3">
        <v>5.3900000000000003E-2</v>
      </c>
      <c r="P227" s="3">
        <v>0.83299999999999996</v>
      </c>
      <c r="Q227" s="2">
        <v>0</v>
      </c>
      <c r="R227" s="3">
        <v>0.83299999999999996</v>
      </c>
      <c r="S227" t="s">
        <v>692</v>
      </c>
      <c r="U227" t="s">
        <v>739</v>
      </c>
    </row>
    <row r="228" spans="1:21" x14ac:dyDescent="0.6">
      <c r="A228">
        <v>494</v>
      </c>
      <c r="B228" t="str">
        <f>"1477"</f>
        <v>1477</v>
      </c>
      <c r="C228" t="s">
        <v>588</v>
      </c>
      <c r="D228" s="1">
        <v>42923</v>
      </c>
      <c r="E228">
        <v>143</v>
      </c>
      <c r="F228">
        <v>-2.5</v>
      </c>
      <c r="G228" s="3">
        <v>-1.72E-2</v>
      </c>
      <c r="H228">
        <v>2015</v>
      </c>
      <c r="I228">
        <v>9.6199999999999992</v>
      </c>
      <c r="J228">
        <v>7.7</v>
      </c>
      <c r="K228">
        <v>0.35</v>
      </c>
      <c r="L228">
        <v>8.0500000000000007</v>
      </c>
      <c r="M228" s="3">
        <v>5.3800000000000001E-2</v>
      </c>
      <c r="N228" s="3">
        <v>2.3999999999999998E-3</v>
      </c>
      <c r="O228" s="3">
        <v>5.6300000000000003E-2</v>
      </c>
      <c r="P228" s="2">
        <v>0.8</v>
      </c>
      <c r="Q228" s="3">
        <v>3.6400000000000002E-2</v>
      </c>
      <c r="R228" s="3">
        <v>0.83699999999999997</v>
      </c>
      <c r="S228" t="s">
        <v>718</v>
      </c>
      <c r="T228" t="s">
        <v>718</v>
      </c>
      <c r="U228" t="s">
        <v>692</v>
      </c>
    </row>
    <row r="229" spans="1:21" x14ac:dyDescent="0.6">
      <c r="A229">
        <v>358</v>
      </c>
      <c r="B229" t="str">
        <f>"4103"</f>
        <v>4103</v>
      </c>
      <c r="C229" t="s">
        <v>441</v>
      </c>
      <c r="D229" s="1">
        <v>42923</v>
      </c>
      <c r="E229">
        <v>74.5</v>
      </c>
      <c r="F229">
        <v>0.2</v>
      </c>
      <c r="G229" s="3">
        <v>2.7000000000000001E-3</v>
      </c>
      <c r="H229">
        <v>2015</v>
      </c>
      <c r="I229">
        <v>5.63</v>
      </c>
      <c r="J229">
        <v>4</v>
      </c>
      <c r="K229">
        <v>0</v>
      </c>
      <c r="L229">
        <v>4</v>
      </c>
      <c r="M229" s="3">
        <v>5.3699999999999998E-2</v>
      </c>
      <c r="N229" s="2">
        <v>0</v>
      </c>
      <c r="O229" s="3">
        <v>5.3699999999999998E-2</v>
      </c>
      <c r="P229" s="2">
        <v>0.71</v>
      </c>
      <c r="Q229" s="2">
        <v>0</v>
      </c>
      <c r="R229" s="2">
        <v>0.71</v>
      </c>
      <c r="S229" t="s">
        <v>755</v>
      </c>
      <c r="U229" t="s">
        <v>760</v>
      </c>
    </row>
    <row r="230" spans="1:21" x14ac:dyDescent="0.6">
      <c r="A230">
        <v>309</v>
      </c>
      <c r="B230" t="str">
        <f>"1598"</f>
        <v>1598</v>
      </c>
      <c r="C230" t="s">
        <v>391</v>
      </c>
      <c r="D230" s="1">
        <v>42923</v>
      </c>
      <c r="E230">
        <v>37.299999999999997</v>
      </c>
      <c r="F230">
        <v>-0.2</v>
      </c>
      <c r="G230" s="3">
        <v>-5.3E-3</v>
      </c>
      <c r="H230">
        <v>2015</v>
      </c>
      <c r="I230">
        <v>4.0199999999999996</v>
      </c>
      <c r="J230">
        <v>2</v>
      </c>
      <c r="K230">
        <v>0.5</v>
      </c>
      <c r="L230">
        <v>2.5</v>
      </c>
      <c r="M230" s="3">
        <v>5.3600000000000002E-2</v>
      </c>
      <c r="N230" s="3">
        <v>1.34E-2</v>
      </c>
      <c r="O230" s="3">
        <v>6.7000000000000004E-2</v>
      </c>
      <c r="P230" s="3">
        <v>0.498</v>
      </c>
      <c r="Q230" s="3">
        <v>0.124</v>
      </c>
      <c r="R230" s="3">
        <v>0.622</v>
      </c>
      <c r="S230" t="s">
        <v>748</v>
      </c>
      <c r="T230" t="s">
        <v>748</v>
      </c>
      <c r="U230" t="s">
        <v>696</v>
      </c>
    </row>
    <row r="231" spans="1:21" x14ac:dyDescent="0.6">
      <c r="A231">
        <v>12</v>
      </c>
      <c r="B231" t="str">
        <f>"4984"</f>
        <v>4984</v>
      </c>
      <c r="C231" t="s">
        <v>39</v>
      </c>
      <c r="D231" s="1">
        <v>42923</v>
      </c>
      <c r="E231">
        <v>44.8</v>
      </c>
      <c r="F231">
        <v>-0.1</v>
      </c>
      <c r="G231" s="3">
        <v>-2.2000000000000001E-3</v>
      </c>
      <c r="H231">
        <v>2015</v>
      </c>
      <c r="I231">
        <v>2.4900000000000002</v>
      </c>
      <c r="J231">
        <v>2.4</v>
      </c>
      <c r="K231">
        <v>0</v>
      </c>
      <c r="L231">
        <v>2.4</v>
      </c>
      <c r="M231" s="3">
        <v>5.3499999999999999E-2</v>
      </c>
      <c r="N231" s="2">
        <v>0</v>
      </c>
      <c r="O231" s="3">
        <v>5.3499999999999999E-2</v>
      </c>
      <c r="P231" s="3">
        <v>0.96399999999999997</v>
      </c>
      <c r="Q231" s="2">
        <v>0</v>
      </c>
      <c r="R231" s="3">
        <v>0.96399999999999997</v>
      </c>
      <c r="S231" t="s">
        <v>691</v>
      </c>
      <c r="U231" t="s">
        <v>705</v>
      </c>
    </row>
    <row r="232" spans="1:21" x14ac:dyDescent="0.6">
      <c r="A232">
        <v>25</v>
      </c>
      <c r="B232" t="str">
        <f>"6201"</f>
        <v>6201</v>
      </c>
      <c r="C232" t="s">
        <v>59</v>
      </c>
      <c r="D232" s="1">
        <v>42923</v>
      </c>
      <c r="E232">
        <v>33.75</v>
      </c>
      <c r="F232">
        <v>0</v>
      </c>
      <c r="G232" s="2">
        <v>0</v>
      </c>
      <c r="H232">
        <v>2015</v>
      </c>
      <c r="I232">
        <v>1.74</v>
      </c>
      <c r="J232">
        <v>1.8</v>
      </c>
      <c r="K232">
        <v>0</v>
      </c>
      <c r="L232">
        <v>1.8</v>
      </c>
      <c r="M232" s="3">
        <v>5.33E-2</v>
      </c>
      <c r="N232" s="2">
        <v>0</v>
      </c>
      <c r="O232" s="3">
        <v>5.33E-2</v>
      </c>
      <c r="P232" s="2">
        <v>1.03</v>
      </c>
      <c r="Q232" s="2">
        <v>0</v>
      </c>
      <c r="R232" s="2">
        <v>1.03</v>
      </c>
      <c r="S232" t="s">
        <v>711</v>
      </c>
      <c r="U232" t="s">
        <v>721</v>
      </c>
    </row>
    <row r="233" spans="1:21" x14ac:dyDescent="0.6">
      <c r="A233">
        <v>409</v>
      </c>
      <c r="B233" t="str">
        <f>"1722"</f>
        <v>1722</v>
      </c>
      <c r="C233" t="s">
        <v>496</v>
      </c>
      <c r="D233" s="1">
        <v>42923</v>
      </c>
      <c r="E233">
        <v>41.3</v>
      </c>
      <c r="F233">
        <v>-0.3</v>
      </c>
      <c r="G233" s="3">
        <v>-7.1999999999999998E-3</v>
      </c>
      <c r="H233">
        <v>2015</v>
      </c>
      <c r="I233">
        <v>3.13</v>
      </c>
      <c r="J233">
        <v>2.2000000000000002</v>
      </c>
      <c r="K233">
        <v>0</v>
      </c>
      <c r="L233">
        <v>2.2000000000000002</v>
      </c>
      <c r="M233" s="3">
        <v>5.33E-2</v>
      </c>
      <c r="N233" s="2">
        <v>0</v>
      </c>
      <c r="O233" s="3">
        <v>5.33E-2</v>
      </c>
      <c r="P233" s="3">
        <v>0.70299999999999996</v>
      </c>
      <c r="Q233" s="2">
        <v>0</v>
      </c>
      <c r="R233" s="3">
        <v>0.70299999999999996</v>
      </c>
      <c r="S233" t="s">
        <v>733</v>
      </c>
      <c r="U233" t="s">
        <v>778</v>
      </c>
    </row>
    <row r="234" spans="1:21" x14ac:dyDescent="0.6">
      <c r="A234">
        <v>120</v>
      </c>
      <c r="B234" t="str">
        <f>"3090"</f>
        <v>3090</v>
      </c>
      <c r="C234" t="s">
        <v>185</v>
      </c>
      <c r="D234" s="1">
        <v>42923</v>
      </c>
      <c r="E234">
        <v>28.2</v>
      </c>
      <c r="F234">
        <v>-0.25</v>
      </c>
      <c r="G234" s="3">
        <v>-8.8000000000000005E-3</v>
      </c>
      <c r="H234">
        <v>2015</v>
      </c>
      <c r="I234">
        <v>2.44</v>
      </c>
      <c r="J234">
        <v>1.5</v>
      </c>
      <c r="K234">
        <v>0.5</v>
      </c>
      <c r="L234">
        <v>2</v>
      </c>
      <c r="M234" s="3">
        <v>5.3199999999999997E-2</v>
      </c>
      <c r="N234" s="3">
        <v>1.77E-2</v>
      </c>
      <c r="O234" s="3">
        <v>7.0900000000000005E-2</v>
      </c>
      <c r="P234" s="3">
        <v>0.61499999999999999</v>
      </c>
      <c r="Q234" s="3">
        <v>0.20499999999999999</v>
      </c>
      <c r="R234" s="2">
        <v>0.82</v>
      </c>
      <c r="S234" t="s">
        <v>763</v>
      </c>
      <c r="T234" t="s">
        <v>763</v>
      </c>
      <c r="U234" t="s">
        <v>726</v>
      </c>
    </row>
    <row r="235" spans="1:21" x14ac:dyDescent="0.6">
      <c r="A235">
        <v>311</v>
      </c>
      <c r="B235" t="str">
        <f>"8923"</f>
        <v>8923</v>
      </c>
      <c r="C235" t="s">
        <v>393</v>
      </c>
      <c r="D235" s="1">
        <v>42923</v>
      </c>
      <c r="E235">
        <v>16</v>
      </c>
      <c r="F235">
        <v>0</v>
      </c>
      <c r="G235" s="2">
        <v>0</v>
      </c>
      <c r="H235">
        <v>2015</v>
      </c>
      <c r="I235">
        <v>0.95</v>
      </c>
      <c r="J235">
        <v>0.85</v>
      </c>
      <c r="K235">
        <v>0</v>
      </c>
      <c r="L235">
        <v>0.85</v>
      </c>
      <c r="M235" s="3">
        <v>5.3100000000000001E-2</v>
      </c>
      <c r="N235" s="2">
        <v>0</v>
      </c>
      <c r="O235" s="3">
        <v>5.3100000000000001E-2</v>
      </c>
      <c r="P235" s="3">
        <v>0.89500000000000002</v>
      </c>
      <c r="Q235" s="2">
        <v>0</v>
      </c>
      <c r="R235" s="3">
        <v>0.89500000000000002</v>
      </c>
      <c r="S235" t="s">
        <v>743</v>
      </c>
      <c r="U235" t="s">
        <v>744</v>
      </c>
    </row>
    <row r="236" spans="1:21" x14ac:dyDescent="0.6">
      <c r="A236">
        <v>284</v>
      </c>
      <c r="B236" t="str">
        <f>"8147"</f>
        <v>8147</v>
      </c>
      <c r="C236" t="s">
        <v>365</v>
      </c>
      <c r="D236" s="1">
        <v>42923</v>
      </c>
      <c r="E236">
        <v>34.799999999999997</v>
      </c>
      <c r="F236">
        <v>0.05</v>
      </c>
      <c r="G236" s="3">
        <v>1.4E-3</v>
      </c>
      <c r="H236">
        <v>2015</v>
      </c>
      <c r="I236">
        <v>2.8</v>
      </c>
      <c r="J236">
        <v>1.84</v>
      </c>
      <c r="K236">
        <v>0</v>
      </c>
      <c r="L236">
        <v>1.84</v>
      </c>
      <c r="M236" s="3">
        <v>5.28E-2</v>
      </c>
      <c r="N236" s="2">
        <v>0</v>
      </c>
      <c r="O236" s="3">
        <v>5.28E-2</v>
      </c>
      <c r="P236" s="3">
        <v>0.65700000000000003</v>
      </c>
      <c r="Q236" s="2">
        <v>0</v>
      </c>
      <c r="R236" s="3">
        <v>0.65700000000000003</v>
      </c>
      <c r="S236" t="s">
        <v>761</v>
      </c>
      <c r="U236" t="s">
        <v>779</v>
      </c>
    </row>
    <row r="237" spans="1:21" x14ac:dyDescent="0.6">
      <c r="A237">
        <v>371</v>
      </c>
      <c r="B237" t="str">
        <f>"3444"</f>
        <v>3444</v>
      </c>
      <c r="C237" t="s">
        <v>454</v>
      </c>
      <c r="D237" s="1">
        <v>42923</v>
      </c>
      <c r="E237">
        <v>18.95</v>
      </c>
      <c r="F237">
        <v>-0.05</v>
      </c>
      <c r="G237" s="3">
        <v>-2.5999999999999999E-3</v>
      </c>
      <c r="H237">
        <v>2015</v>
      </c>
      <c r="I237">
        <v>1.57</v>
      </c>
      <c r="J237">
        <v>1</v>
      </c>
      <c r="K237">
        <v>0</v>
      </c>
      <c r="L237">
        <v>1</v>
      </c>
      <c r="M237" s="3">
        <v>5.28E-2</v>
      </c>
      <c r="N237" s="2">
        <v>0</v>
      </c>
      <c r="O237" s="3">
        <v>5.28E-2</v>
      </c>
      <c r="P237" s="3">
        <v>0.63700000000000001</v>
      </c>
      <c r="Q237" s="2">
        <v>0</v>
      </c>
      <c r="R237" s="3">
        <v>0.63700000000000001</v>
      </c>
      <c r="S237" t="s">
        <v>710</v>
      </c>
      <c r="U237" t="s">
        <v>695</v>
      </c>
    </row>
    <row r="238" spans="1:21" x14ac:dyDescent="0.6">
      <c r="A238">
        <v>394</v>
      </c>
      <c r="B238" t="str">
        <f>"3491"</f>
        <v>3491</v>
      </c>
      <c r="C238" t="s">
        <v>479</v>
      </c>
      <c r="D238" s="1">
        <v>42923</v>
      </c>
      <c r="E238">
        <v>77.599999999999994</v>
      </c>
      <c r="F238">
        <v>-1.9</v>
      </c>
      <c r="G238" s="3">
        <v>-2.3900000000000001E-2</v>
      </c>
      <c r="H238">
        <v>2015</v>
      </c>
      <c r="I238">
        <v>3.57</v>
      </c>
      <c r="J238">
        <v>4.08</v>
      </c>
      <c r="K238">
        <v>0</v>
      </c>
      <c r="L238">
        <v>4.08</v>
      </c>
      <c r="M238" s="3">
        <v>5.2600000000000001E-2</v>
      </c>
      <c r="N238" s="2">
        <v>0</v>
      </c>
      <c r="O238" s="3">
        <v>5.2600000000000001E-2</v>
      </c>
      <c r="P238" s="2">
        <v>1.1399999999999999</v>
      </c>
      <c r="Q238" s="2">
        <v>0</v>
      </c>
      <c r="R238" s="2">
        <v>1.1399999999999999</v>
      </c>
      <c r="S238" t="s">
        <v>710</v>
      </c>
      <c r="U238" t="s">
        <v>735</v>
      </c>
    </row>
    <row r="239" spans="1:21" x14ac:dyDescent="0.6">
      <c r="A239">
        <v>148</v>
      </c>
      <c r="B239" t="str">
        <f>"3479"</f>
        <v>3479</v>
      </c>
      <c r="C239" t="s">
        <v>216</v>
      </c>
      <c r="D239" s="1">
        <v>42923</v>
      </c>
      <c r="E239">
        <v>53.3</v>
      </c>
      <c r="F239">
        <v>0.3</v>
      </c>
      <c r="G239" s="3">
        <v>5.7000000000000002E-3</v>
      </c>
      <c r="H239">
        <v>2015</v>
      </c>
      <c r="I239">
        <v>3.5</v>
      </c>
      <c r="J239">
        <v>2.8</v>
      </c>
      <c r="K239">
        <v>0</v>
      </c>
      <c r="L239">
        <v>2.8</v>
      </c>
      <c r="M239" s="3">
        <v>5.2499999999999998E-2</v>
      </c>
      <c r="N239" s="2">
        <v>0</v>
      </c>
      <c r="O239" s="3">
        <v>5.2499999999999998E-2</v>
      </c>
      <c r="P239" s="2">
        <v>0.8</v>
      </c>
      <c r="Q239" s="2">
        <v>0</v>
      </c>
      <c r="R239" s="2">
        <v>0.8</v>
      </c>
      <c r="S239" t="s">
        <v>708</v>
      </c>
      <c r="U239" t="s">
        <v>691</v>
      </c>
    </row>
    <row r="240" spans="1:21" x14ac:dyDescent="0.6">
      <c r="A240">
        <v>375</v>
      </c>
      <c r="B240" t="str">
        <f>"2006"</f>
        <v>2006</v>
      </c>
      <c r="C240" t="s">
        <v>458</v>
      </c>
      <c r="D240" s="1">
        <v>42923</v>
      </c>
      <c r="E240">
        <v>24.75</v>
      </c>
      <c r="F240">
        <v>-0.05</v>
      </c>
      <c r="G240" s="3">
        <v>-2E-3</v>
      </c>
      <c r="H240">
        <v>2015</v>
      </c>
      <c r="I240">
        <v>1.06</v>
      </c>
      <c r="J240">
        <v>1.3</v>
      </c>
      <c r="K240">
        <v>0</v>
      </c>
      <c r="L240">
        <v>1.3</v>
      </c>
      <c r="M240" s="3">
        <v>5.2499999999999998E-2</v>
      </c>
      <c r="N240" s="2">
        <v>0</v>
      </c>
      <c r="O240" s="3">
        <v>5.2499999999999998E-2</v>
      </c>
      <c r="P240" s="2">
        <v>1.23</v>
      </c>
      <c r="Q240" s="2">
        <v>0</v>
      </c>
      <c r="R240" s="2">
        <v>1.23</v>
      </c>
      <c r="S240" t="s">
        <v>736</v>
      </c>
      <c r="U240" t="s">
        <v>753</v>
      </c>
    </row>
    <row r="241" spans="1:21" x14ac:dyDescent="0.6">
      <c r="A241">
        <v>379</v>
      </c>
      <c r="B241" t="str">
        <f>"4104"</f>
        <v>4104</v>
      </c>
      <c r="C241" t="s">
        <v>462</v>
      </c>
      <c r="D241" s="1">
        <v>42923</v>
      </c>
      <c r="E241">
        <v>47.7</v>
      </c>
      <c r="F241">
        <v>-0.85</v>
      </c>
      <c r="G241" s="3">
        <v>-1.7500000000000002E-2</v>
      </c>
      <c r="H241">
        <v>2015</v>
      </c>
      <c r="I241">
        <v>2.5299999999999998</v>
      </c>
      <c r="J241">
        <v>2.5</v>
      </c>
      <c r="K241">
        <v>0</v>
      </c>
      <c r="L241">
        <v>2.5</v>
      </c>
      <c r="M241" s="3">
        <v>5.2400000000000002E-2</v>
      </c>
      <c r="N241" s="2">
        <v>0</v>
      </c>
      <c r="O241" s="3">
        <v>5.2400000000000002E-2</v>
      </c>
      <c r="P241" s="3">
        <v>0.98799999999999999</v>
      </c>
      <c r="Q241" s="2">
        <v>0</v>
      </c>
      <c r="R241" s="3">
        <v>0.98799999999999999</v>
      </c>
      <c r="S241" t="s">
        <v>698</v>
      </c>
      <c r="U241" t="s">
        <v>750</v>
      </c>
    </row>
    <row r="242" spans="1:21" x14ac:dyDescent="0.6">
      <c r="A242">
        <v>456</v>
      </c>
      <c r="B242" t="str">
        <f>"4137"</f>
        <v>4137</v>
      </c>
      <c r="C242" t="s">
        <v>546</v>
      </c>
      <c r="D242" s="1">
        <v>42923</v>
      </c>
      <c r="E242">
        <v>133.5</v>
      </c>
      <c r="F242">
        <v>-0.5</v>
      </c>
      <c r="G242" s="3">
        <v>-3.7000000000000002E-3</v>
      </c>
      <c r="H242">
        <v>2015</v>
      </c>
      <c r="I242">
        <v>9.51</v>
      </c>
      <c r="J242">
        <v>7</v>
      </c>
      <c r="K242">
        <v>0</v>
      </c>
      <c r="L242">
        <v>7</v>
      </c>
      <c r="M242" s="3">
        <v>5.2400000000000002E-2</v>
      </c>
      <c r="N242" s="2">
        <v>0</v>
      </c>
      <c r="O242" s="3">
        <v>5.2400000000000002E-2</v>
      </c>
      <c r="P242" s="3">
        <v>0.73599999999999999</v>
      </c>
      <c r="Q242" s="2">
        <v>0</v>
      </c>
      <c r="R242" s="3">
        <v>0.73599999999999999</v>
      </c>
      <c r="S242" t="s">
        <v>694</v>
      </c>
      <c r="U242" t="s">
        <v>753</v>
      </c>
    </row>
    <row r="243" spans="1:21" x14ac:dyDescent="0.6">
      <c r="A243">
        <v>180</v>
      </c>
      <c r="B243" t="str">
        <f>"6803"</f>
        <v>6803</v>
      </c>
      <c r="C243" t="s">
        <v>256</v>
      </c>
      <c r="D243" s="1">
        <v>42923</v>
      </c>
      <c r="E243">
        <v>177</v>
      </c>
      <c r="F243">
        <v>0</v>
      </c>
      <c r="G243" s="2">
        <v>0</v>
      </c>
      <c r="H243">
        <v>2015</v>
      </c>
      <c r="I243">
        <v>10.47</v>
      </c>
      <c r="J243">
        <v>9.26</v>
      </c>
      <c r="K243">
        <v>0</v>
      </c>
      <c r="L243">
        <v>9.26</v>
      </c>
      <c r="M243" s="3">
        <v>5.2299999999999999E-2</v>
      </c>
      <c r="N243" s="2">
        <v>0</v>
      </c>
      <c r="O243" s="3">
        <v>5.2299999999999999E-2</v>
      </c>
      <c r="P243" s="3">
        <v>0.88400000000000001</v>
      </c>
      <c r="Q243" s="2">
        <v>0</v>
      </c>
      <c r="R243" s="3">
        <v>0.88400000000000001</v>
      </c>
      <c r="S243" t="s">
        <v>713</v>
      </c>
      <c r="U243" t="s">
        <v>752</v>
      </c>
    </row>
    <row r="244" spans="1:21" x14ac:dyDescent="0.6">
      <c r="A244">
        <v>305</v>
      </c>
      <c r="B244" t="str">
        <f>"2373"</f>
        <v>2373</v>
      </c>
      <c r="C244" t="s">
        <v>387</v>
      </c>
      <c r="D244" s="1">
        <v>42923</v>
      </c>
      <c r="E244">
        <v>57.6</v>
      </c>
      <c r="F244">
        <v>-0.4</v>
      </c>
      <c r="G244" s="3">
        <v>-6.8999999999999999E-3</v>
      </c>
      <c r="H244">
        <v>2015</v>
      </c>
      <c r="I244">
        <v>3.46</v>
      </c>
      <c r="J244">
        <v>3</v>
      </c>
      <c r="K244">
        <v>0</v>
      </c>
      <c r="L244">
        <v>3</v>
      </c>
      <c r="M244" s="3">
        <v>5.21E-2</v>
      </c>
      <c r="N244" s="2">
        <v>0</v>
      </c>
      <c r="O244" s="3">
        <v>5.21E-2</v>
      </c>
      <c r="P244" s="3">
        <v>0.86699999999999999</v>
      </c>
      <c r="Q244" s="2">
        <v>0</v>
      </c>
      <c r="R244" s="3">
        <v>0.86699999999999999</v>
      </c>
      <c r="S244" t="s">
        <v>770</v>
      </c>
      <c r="U244" t="s">
        <v>725</v>
      </c>
    </row>
    <row r="245" spans="1:21" x14ac:dyDescent="0.6">
      <c r="A245">
        <v>240</v>
      </c>
      <c r="B245" t="str">
        <f>"8042"</f>
        <v>8042</v>
      </c>
      <c r="C245" t="s">
        <v>319</v>
      </c>
      <c r="D245" s="1">
        <v>42923</v>
      </c>
      <c r="E245">
        <v>57.8</v>
      </c>
      <c r="F245">
        <v>-0.3</v>
      </c>
      <c r="G245" s="3">
        <v>-5.1999999999999998E-3</v>
      </c>
      <c r="H245">
        <v>2015</v>
      </c>
      <c r="I245">
        <v>4.7300000000000004</v>
      </c>
      <c r="J245">
        <v>3</v>
      </c>
      <c r="K245">
        <v>0</v>
      </c>
      <c r="L245">
        <v>3</v>
      </c>
      <c r="M245" s="3">
        <v>5.1900000000000002E-2</v>
      </c>
      <c r="N245" s="2">
        <v>0</v>
      </c>
      <c r="O245" s="3">
        <v>5.1900000000000002E-2</v>
      </c>
      <c r="P245" s="3">
        <v>0.63400000000000001</v>
      </c>
      <c r="Q245" s="2">
        <v>0</v>
      </c>
      <c r="R245" s="3">
        <v>0.63400000000000001</v>
      </c>
      <c r="S245" t="s">
        <v>744</v>
      </c>
      <c r="U245" t="s">
        <v>750</v>
      </c>
    </row>
    <row r="246" spans="1:21" x14ac:dyDescent="0.6">
      <c r="A246">
        <v>387</v>
      </c>
      <c r="B246" t="str">
        <f>"6125"</f>
        <v>6125</v>
      </c>
      <c r="C246" t="s">
        <v>471</v>
      </c>
      <c r="D246" s="1">
        <v>42923</v>
      </c>
      <c r="E246">
        <v>9.6300000000000008</v>
      </c>
      <c r="F246">
        <v>0</v>
      </c>
      <c r="G246" s="2">
        <v>0</v>
      </c>
      <c r="H246">
        <v>2015</v>
      </c>
      <c r="I246">
        <v>0.74</v>
      </c>
      <c r="J246">
        <v>0.5</v>
      </c>
      <c r="K246">
        <v>0</v>
      </c>
      <c r="L246">
        <v>0.5</v>
      </c>
      <c r="M246" s="3">
        <v>5.1900000000000002E-2</v>
      </c>
      <c r="N246" s="2">
        <v>0</v>
      </c>
      <c r="O246" s="3">
        <v>5.1900000000000002E-2</v>
      </c>
      <c r="P246" s="3">
        <v>0.67600000000000005</v>
      </c>
      <c r="Q246" s="2">
        <v>0</v>
      </c>
      <c r="R246" s="3">
        <v>0.67600000000000005</v>
      </c>
      <c r="S246" t="s">
        <v>755</v>
      </c>
    </row>
    <row r="247" spans="1:21" x14ac:dyDescent="0.6">
      <c r="A247">
        <v>141</v>
      </c>
      <c r="B247" t="str">
        <f>"8016"</f>
        <v>8016</v>
      </c>
      <c r="C247" t="s">
        <v>208</v>
      </c>
      <c r="D247" s="1">
        <v>42923</v>
      </c>
      <c r="E247">
        <v>87.7</v>
      </c>
      <c r="F247">
        <v>-1.6</v>
      </c>
      <c r="G247" s="3">
        <v>-1.7899999999999999E-2</v>
      </c>
      <c r="H247">
        <v>2015</v>
      </c>
      <c r="I247">
        <v>6.02</v>
      </c>
      <c r="J247">
        <v>4.5</v>
      </c>
      <c r="K247">
        <v>0</v>
      </c>
      <c r="L247">
        <v>4.5</v>
      </c>
      <c r="M247" s="3">
        <v>5.1299999999999998E-2</v>
      </c>
      <c r="N247" s="2">
        <v>0</v>
      </c>
      <c r="O247" s="3">
        <v>5.1299999999999998E-2</v>
      </c>
      <c r="P247" s="3">
        <v>0.748</v>
      </c>
      <c r="Q247" s="2">
        <v>0</v>
      </c>
      <c r="R247" s="3">
        <v>0.748</v>
      </c>
      <c r="S247" t="s">
        <v>751</v>
      </c>
      <c r="U247" t="s">
        <v>729</v>
      </c>
    </row>
    <row r="248" spans="1:21" x14ac:dyDescent="0.6">
      <c r="A248">
        <v>220</v>
      </c>
      <c r="B248" t="str">
        <f>"2484"</f>
        <v>2484</v>
      </c>
      <c r="C248" t="s">
        <v>299</v>
      </c>
      <c r="D248" s="1">
        <v>42923</v>
      </c>
      <c r="E248">
        <v>19.5</v>
      </c>
      <c r="F248">
        <v>-0.2</v>
      </c>
      <c r="G248" s="3">
        <v>-1.0200000000000001E-2</v>
      </c>
      <c r="H248">
        <v>2015</v>
      </c>
      <c r="I248">
        <v>1.83</v>
      </c>
      <c r="J248">
        <v>1</v>
      </c>
      <c r="K248">
        <v>0</v>
      </c>
      <c r="L248">
        <v>1</v>
      </c>
      <c r="M248" s="3">
        <v>5.1299999999999998E-2</v>
      </c>
      <c r="N248" s="2">
        <v>0</v>
      </c>
      <c r="O248" s="3">
        <v>5.1299999999999998E-2</v>
      </c>
      <c r="P248" s="3">
        <v>0.54600000000000004</v>
      </c>
      <c r="Q248" s="2">
        <v>0</v>
      </c>
      <c r="R248" s="3">
        <v>0.54600000000000004</v>
      </c>
      <c r="S248" t="s">
        <v>725</v>
      </c>
      <c r="U248" t="s">
        <v>695</v>
      </c>
    </row>
    <row r="249" spans="1:21" x14ac:dyDescent="0.6">
      <c r="A249">
        <v>275</v>
      </c>
      <c r="B249" t="str">
        <f>"8083"</f>
        <v>8083</v>
      </c>
      <c r="C249" t="s">
        <v>355</v>
      </c>
      <c r="D249" s="1">
        <v>42923</v>
      </c>
      <c r="E249">
        <v>146.5</v>
      </c>
      <c r="F249">
        <v>-3.5</v>
      </c>
      <c r="G249" s="3">
        <v>-2.3300000000000001E-2</v>
      </c>
      <c r="H249">
        <v>2015</v>
      </c>
      <c r="I249">
        <v>8.75</v>
      </c>
      <c r="J249">
        <v>7.5</v>
      </c>
      <c r="K249">
        <v>0</v>
      </c>
      <c r="L249">
        <v>7.5</v>
      </c>
      <c r="M249" s="3">
        <v>5.1200000000000002E-2</v>
      </c>
      <c r="N249" s="2">
        <v>0</v>
      </c>
      <c r="O249" s="3">
        <v>5.1200000000000002E-2</v>
      </c>
      <c r="P249" s="3">
        <v>0.85699999999999998</v>
      </c>
      <c r="Q249" s="2">
        <v>0</v>
      </c>
      <c r="R249" s="3">
        <v>0.85699999999999998</v>
      </c>
      <c r="S249" t="s">
        <v>708</v>
      </c>
      <c r="U249" t="s">
        <v>735</v>
      </c>
    </row>
    <row r="250" spans="1:21" x14ac:dyDescent="0.6">
      <c r="A250">
        <v>366</v>
      </c>
      <c r="B250" t="str">
        <f>"6196"</f>
        <v>6196</v>
      </c>
      <c r="C250" t="s">
        <v>449</v>
      </c>
      <c r="D250" s="1">
        <v>42923</v>
      </c>
      <c r="E250">
        <v>39.1</v>
      </c>
      <c r="F250">
        <v>-0.1</v>
      </c>
      <c r="G250" s="3">
        <v>-2.5999999999999999E-3</v>
      </c>
      <c r="H250">
        <v>2015</v>
      </c>
      <c r="I250">
        <v>2.33</v>
      </c>
      <c r="J250">
        <v>2</v>
      </c>
      <c r="K250">
        <v>0</v>
      </c>
      <c r="L250">
        <v>2</v>
      </c>
      <c r="M250" s="3">
        <v>5.1200000000000002E-2</v>
      </c>
      <c r="N250" s="2">
        <v>0</v>
      </c>
      <c r="O250" s="3">
        <v>5.1200000000000002E-2</v>
      </c>
      <c r="P250" s="3">
        <v>0.85799999999999998</v>
      </c>
      <c r="Q250" s="2">
        <v>0</v>
      </c>
      <c r="R250" s="3">
        <v>0.85799999999999998</v>
      </c>
      <c r="S250" t="s">
        <v>744</v>
      </c>
      <c r="U250" t="s">
        <v>695</v>
      </c>
    </row>
    <row r="251" spans="1:21" x14ac:dyDescent="0.6">
      <c r="A251">
        <v>108</v>
      </c>
      <c r="B251" t="str">
        <f>"1593"</f>
        <v>1593</v>
      </c>
      <c r="C251" t="s">
        <v>171</v>
      </c>
      <c r="D251" s="1">
        <v>42923</v>
      </c>
      <c r="E251">
        <v>41.1</v>
      </c>
      <c r="F251">
        <v>-0.2</v>
      </c>
      <c r="G251" s="3">
        <v>-4.7999999999999996E-3</v>
      </c>
      <c r="H251">
        <v>2015</v>
      </c>
      <c r="I251">
        <v>2.2999999999999998</v>
      </c>
      <c r="J251">
        <v>2.1</v>
      </c>
      <c r="K251">
        <v>0</v>
      </c>
      <c r="L251">
        <v>2.1</v>
      </c>
      <c r="M251" s="3">
        <v>5.11E-2</v>
      </c>
      <c r="N251" s="2">
        <v>0</v>
      </c>
      <c r="O251" s="3">
        <v>5.11E-2</v>
      </c>
      <c r="P251" s="3">
        <v>0.91300000000000003</v>
      </c>
      <c r="Q251" s="2">
        <v>0</v>
      </c>
      <c r="R251" s="3">
        <v>0.91300000000000003</v>
      </c>
      <c r="S251" t="s">
        <v>715</v>
      </c>
      <c r="U251" t="s">
        <v>752</v>
      </c>
    </row>
    <row r="252" spans="1:21" x14ac:dyDescent="0.6">
      <c r="A252">
        <v>135</v>
      </c>
      <c r="B252" t="str">
        <f>"5234"</f>
        <v>5234</v>
      </c>
      <c r="C252" t="s">
        <v>201</v>
      </c>
      <c r="D252" s="1">
        <v>42923</v>
      </c>
      <c r="E252">
        <v>43.25</v>
      </c>
      <c r="F252">
        <v>-0.5</v>
      </c>
      <c r="G252" s="3">
        <v>-1.14E-2</v>
      </c>
      <c r="H252">
        <v>2015</v>
      </c>
      <c r="I252">
        <v>3.25</v>
      </c>
      <c r="J252">
        <v>2.2000000000000002</v>
      </c>
      <c r="K252">
        <v>0</v>
      </c>
      <c r="L252">
        <v>2.2000000000000002</v>
      </c>
      <c r="M252" s="3">
        <v>5.0900000000000001E-2</v>
      </c>
      <c r="N252" s="2">
        <v>0</v>
      </c>
      <c r="O252" s="3">
        <v>5.0900000000000001E-2</v>
      </c>
      <c r="P252" s="3">
        <v>0.67700000000000005</v>
      </c>
      <c r="Q252" s="2">
        <v>0</v>
      </c>
      <c r="R252" s="3">
        <v>0.67700000000000005</v>
      </c>
      <c r="S252" t="s">
        <v>769</v>
      </c>
      <c r="U252" t="s">
        <v>714</v>
      </c>
    </row>
    <row r="253" spans="1:21" x14ac:dyDescent="0.6">
      <c r="A253">
        <v>410</v>
      </c>
      <c r="B253" t="str">
        <f>"3021"</f>
        <v>3021</v>
      </c>
      <c r="C253" t="s">
        <v>497</v>
      </c>
      <c r="D253" s="1">
        <v>42923</v>
      </c>
      <c r="E253">
        <v>13.8</v>
      </c>
      <c r="F253">
        <v>0</v>
      </c>
      <c r="G253" s="2">
        <v>0</v>
      </c>
      <c r="H253">
        <v>2015</v>
      </c>
      <c r="I253">
        <v>0.75</v>
      </c>
      <c r="J253">
        <v>0.7</v>
      </c>
      <c r="K253">
        <v>0</v>
      </c>
      <c r="L253">
        <v>0.7</v>
      </c>
      <c r="M253" s="3">
        <v>5.0900000000000001E-2</v>
      </c>
      <c r="N253" s="2">
        <v>0</v>
      </c>
      <c r="O253" s="3">
        <v>5.0900000000000001E-2</v>
      </c>
      <c r="P253" s="3">
        <v>0.93300000000000005</v>
      </c>
      <c r="Q253" s="2">
        <v>0</v>
      </c>
      <c r="R253" s="3">
        <v>0.93300000000000005</v>
      </c>
      <c r="S253" t="s">
        <v>733</v>
      </c>
      <c r="U253" t="s">
        <v>705</v>
      </c>
    </row>
    <row r="254" spans="1:21" x14ac:dyDescent="0.6">
      <c r="A254">
        <v>462</v>
      </c>
      <c r="B254" t="str">
        <f>"3094"</f>
        <v>3094</v>
      </c>
      <c r="C254" t="s">
        <v>553</v>
      </c>
      <c r="D254" s="1">
        <v>42923</v>
      </c>
      <c r="E254">
        <v>22.7</v>
      </c>
      <c r="F254">
        <v>-0.15</v>
      </c>
      <c r="G254" s="3">
        <v>-6.6E-3</v>
      </c>
      <c r="H254">
        <v>2015</v>
      </c>
      <c r="I254">
        <v>1</v>
      </c>
      <c r="J254">
        <v>1.1499999999999999</v>
      </c>
      <c r="K254">
        <v>0</v>
      </c>
      <c r="L254">
        <v>1.1499999999999999</v>
      </c>
      <c r="M254" s="3">
        <v>5.0700000000000002E-2</v>
      </c>
      <c r="N254" s="2">
        <v>0</v>
      </c>
      <c r="O254" s="3">
        <v>5.0700000000000002E-2</v>
      </c>
      <c r="P254" s="2">
        <v>1.1499999999999999</v>
      </c>
      <c r="Q254" s="2">
        <v>0</v>
      </c>
      <c r="R254" s="2">
        <v>1.1499999999999999</v>
      </c>
      <c r="S254" t="s">
        <v>712</v>
      </c>
      <c r="U254" t="s">
        <v>736</v>
      </c>
    </row>
    <row r="255" spans="1:21" x14ac:dyDescent="0.6">
      <c r="A255">
        <v>115</v>
      </c>
      <c r="B255" t="str">
        <f>"6457"</f>
        <v>6457</v>
      </c>
      <c r="C255" t="s">
        <v>179</v>
      </c>
      <c r="D255" s="1">
        <v>42923</v>
      </c>
      <c r="E255">
        <v>28.55</v>
      </c>
      <c r="F255">
        <v>-0.25</v>
      </c>
      <c r="G255" s="3">
        <v>-8.6999999999999994E-3</v>
      </c>
      <c r="H255">
        <v>2015</v>
      </c>
      <c r="I255">
        <v>1.82</v>
      </c>
      <c r="J255">
        <v>1.44</v>
      </c>
      <c r="K255">
        <v>0</v>
      </c>
      <c r="L255">
        <v>1.44</v>
      </c>
      <c r="M255" s="3">
        <v>5.0500000000000003E-2</v>
      </c>
      <c r="N255" s="2">
        <v>0</v>
      </c>
      <c r="O255" s="3">
        <v>5.0500000000000003E-2</v>
      </c>
      <c r="P255" s="3">
        <v>0.79100000000000004</v>
      </c>
      <c r="Q255" s="2">
        <v>0</v>
      </c>
      <c r="R255" s="3">
        <v>0.79100000000000004</v>
      </c>
      <c r="S255" t="s">
        <v>714</v>
      </c>
      <c r="U255" t="s">
        <v>695</v>
      </c>
    </row>
    <row r="256" spans="1:21" x14ac:dyDescent="0.6">
      <c r="A256">
        <v>150</v>
      </c>
      <c r="B256" t="str">
        <f>"5493"</f>
        <v>5493</v>
      </c>
      <c r="C256" t="s">
        <v>218</v>
      </c>
      <c r="D256" s="1">
        <v>42923</v>
      </c>
      <c r="E256">
        <v>29.7</v>
      </c>
      <c r="F256">
        <v>0.05</v>
      </c>
      <c r="G256" s="3">
        <v>1.6999999999999999E-3</v>
      </c>
      <c r="H256">
        <v>2015</v>
      </c>
      <c r="I256">
        <v>2.44</v>
      </c>
      <c r="J256">
        <v>1.5</v>
      </c>
      <c r="K256">
        <v>0.7</v>
      </c>
      <c r="L256">
        <v>2.2000000000000002</v>
      </c>
      <c r="M256" s="3">
        <v>5.0500000000000003E-2</v>
      </c>
      <c r="N256" s="3">
        <v>2.3599999999999999E-2</v>
      </c>
      <c r="O256" s="3">
        <v>7.4099999999999999E-2</v>
      </c>
      <c r="P256" s="3">
        <v>0.61499999999999999</v>
      </c>
      <c r="Q256" s="3">
        <v>0.28699999999999998</v>
      </c>
      <c r="R256" s="3">
        <v>0.90200000000000002</v>
      </c>
      <c r="S256" t="s">
        <v>694</v>
      </c>
      <c r="T256" t="s">
        <v>694</v>
      </c>
      <c r="U256" t="s">
        <v>760</v>
      </c>
    </row>
    <row r="257" spans="1:21" x14ac:dyDescent="0.6">
      <c r="A257">
        <v>89</v>
      </c>
      <c r="B257" t="str">
        <f>"2501"</f>
        <v>2501</v>
      </c>
      <c r="C257" t="s">
        <v>152</v>
      </c>
      <c r="D257" s="1">
        <v>42923</v>
      </c>
      <c r="E257">
        <v>19.899999999999999</v>
      </c>
      <c r="F257">
        <v>0</v>
      </c>
      <c r="G257" s="2">
        <v>0</v>
      </c>
      <c r="H257">
        <v>2015</v>
      </c>
      <c r="I257">
        <v>1.78</v>
      </c>
      <c r="J257">
        <v>1</v>
      </c>
      <c r="K257">
        <v>0</v>
      </c>
      <c r="L257">
        <v>1</v>
      </c>
      <c r="M257" s="3">
        <v>5.0299999999999997E-2</v>
      </c>
      <c r="N257" s="2">
        <v>0</v>
      </c>
      <c r="O257" s="3">
        <v>5.0299999999999997E-2</v>
      </c>
      <c r="P257" s="3">
        <v>0.56200000000000006</v>
      </c>
      <c r="Q257" s="2">
        <v>0</v>
      </c>
      <c r="R257" s="3">
        <v>0.56200000000000006</v>
      </c>
      <c r="S257" t="s">
        <v>751</v>
      </c>
      <c r="U257" t="s">
        <v>713</v>
      </c>
    </row>
    <row r="258" spans="1:21" x14ac:dyDescent="0.6">
      <c r="A258">
        <v>364</v>
      </c>
      <c r="B258" t="str">
        <f>"8091"</f>
        <v>8091</v>
      </c>
      <c r="C258" t="s">
        <v>447</v>
      </c>
      <c r="D258" s="1">
        <v>42923</v>
      </c>
      <c r="E258">
        <v>68</v>
      </c>
      <c r="F258">
        <v>-0.2</v>
      </c>
      <c r="G258" s="3">
        <v>-2.8999999999999998E-3</v>
      </c>
      <c r="H258">
        <v>2015</v>
      </c>
      <c r="I258">
        <v>4.6900000000000004</v>
      </c>
      <c r="J258">
        <v>3.42</v>
      </c>
      <c r="K258">
        <v>0</v>
      </c>
      <c r="L258">
        <v>3.42</v>
      </c>
      <c r="M258" s="3">
        <v>5.0299999999999997E-2</v>
      </c>
      <c r="N258" s="2">
        <v>0</v>
      </c>
      <c r="O258" s="3">
        <v>5.0299999999999997E-2</v>
      </c>
      <c r="P258" s="3">
        <v>0.72899999999999998</v>
      </c>
      <c r="Q258" s="2">
        <v>0</v>
      </c>
      <c r="R258" s="3">
        <v>0.72899999999999998</v>
      </c>
      <c r="S258" t="s">
        <v>766</v>
      </c>
      <c r="U258" t="s">
        <v>705</v>
      </c>
    </row>
    <row r="259" spans="1:21" x14ac:dyDescent="0.6">
      <c r="A259">
        <v>231</v>
      </c>
      <c r="B259" t="str">
        <f>"1521"</f>
        <v>1521</v>
      </c>
      <c r="C259" t="s">
        <v>310</v>
      </c>
      <c r="D259" s="1">
        <v>42923</v>
      </c>
      <c r="E259">
        <v>85.9</v>
      </c>
      <c r="F259">
        <v>0</v>
      </c>
      <c r="G259" s="2">
        <v>0</v>
      </c>
      <c r="H259">
        <v>2015</v>
      </c>
      <c r="I259">
        <v>4.9000000000000004</v>
      </c>
      <c r="J259">
        <v>4.3</v>
      </c>
      <c r="K259">
        <v>0</v>
      </c>
      <c r="L259">
        <v>4.3</v>
      </c>
      <c r="M259" s="3">
        <v>5.0099999999999999E-2</v>
      </c>
      <c r="N259" s="2">
        <v>0</v>
      </c>
      <c r="O259" s="3">
        <v>5.0099999999999999E-2</v>
      </c>
      <c r="P259" s="3">
        <v>0.878</v>
      </c>
      <c r="Q259" s="2">
        <v>0</v>
      </c>
      <c r="R259" s="3">
        <v>0.878</v>
      </c>
      <c r="S259" t="s">
        <v>724</v>
      </c>
      <c r="U259" t="s">
        <v>729</v>
      </c>
    </row>
    <row r="260" spans="1:21" x14ac:dyDescent="0.6">
      <c r="A260">
        <v>427</v>
      </c>
      <c r="B260" t="str">
        <f>"5007"</f>
        <v>5007</v>
      </c>
      <c r="C260" t="s">
        <v>515</v>
      </c>
      <c r="D260" s="1">
        <v>42923</v>
      </c>
      <c r="E260">
        <v>50</v>
      </c>
      <c r="F260">
        <v>-0.1</v>
      </c>
      <c r="G260" s="3">
        <v>-2E-3</v>
      </c>
      <c r="H260">
        <v>2015</v>
      </c>
      <c r="I260">
        <v>3.88</v>
      </c>
      <c r="J260">
        <v>2.5</v>
      </c>
      <c r="K260">
        <v>1</v>
      </c>
      <c r="L260">
        <v>3.5</v>
      </c>
      <c r="M260" s="2">
        <v>0.05</v>
      </c>
      <c r="N260" s="2">
        <v>0.02</v>
      </c>
      <c r="O260" s="2">
        <v>7.0000000000000007E-2</v>
      </c>
      <c r="P260" s="3">
        <v>0.64400000000000002</v>
      </c>
      <c r="Q260" s="3">
        <v>0.25800000000000001</v>
      </c>
      <c r="R260" s="3">
        <v>0.90200000000000002</v>
      </c>
      <c r="S260" t="s">
        <v>711</v>
      </c>
      <c r="T260" t="s">
        <v>711</v>
      </c>
      <c r="U260" t="s">
        <v>705</v>
      </c>
    </row>
    <row r="261" spans="1:21" x14ac:dyDescent="0.6">
      <c r="A261">
        <v>470</v>
      </c>
      <c r="B261" t="str">
        <f>"4736"</f>
        <v>4736</v>
      </c>
      <c r="C261" t="s">
        <v>563</v>
      </c>
      <c r="D261" s="1">
        <v>42923</v>
      </c>
      <c r="E261">
        <v>104</v>
      </c>
      <c r="F261">
        <v>-1.5</v>
      </c>
      <c r="G261" s="3">
        <v>-1.4200000000000001E-2</v>
      </c>
      <c r="H261">
        <v>2015</v>
      </c>
      <c r="I261">
        <v>6.61</v>
      </c>
      <c r="J261">
        <v>5.2</v>
      </c>
      <c r="K261">
        <v>0</v>
      </c>
      <c r="L261">
        <v>5.2</v>
      </c>
      <c r="M261" s="2">
        <v>0.05</v>
      </c>
      <c r="N261" s="2">
        <v>0</v>
      </c>
      <c r="O261" s="2">
        <v>0.05</v>
      </c>
      <c r="P261" s="3">
        <v>0.78700000000000003</v>
      </c>
      <c r="Q261" s="2">
        <v>0</v>
      </c>
      <c r="R261" s="3">
        <v>0.78700000000000003</v>
      </c>
      <c r="S261" t="s">
        <v>740</v>
      </c>
      <c r="U261" t="s">
        <v>735</v>
      </c>
    </row>
    <row r="262" spans="1:21" x14ac:dyDescent="0.6">
      <c r="A262">
        <v>463</v>
      </c>
      <c r="B262" t="str">
        <f>"6217"</f>
        <v>6217</v>
      </c>
      <c r="C262" t="s">
        <v>554</v>
      </c>
      <c r="D262" s="1">
        <v>42923</v>
      </c>
      <c r="E262">
        <v>35.1</v>
      </c>
      <c r="F262">
        <v>-0.35</v>
      </c>
      <c r="G262" s="3">
        <v>-9.9000000000000008E-3</v>
      </c>
      <c r="H262">
        <v>2015</v>
      </c>
      <c r="I262">
        <v>3.3</v>
      </c>
      <c r="J262">
        <v>1.75</v>
      </c>
      <c r="K262">
        <v>0.09</v>
      </c>
      <c r="L262">
        <v>1.84</v>
      </c>
      <c r="M262" s="3">
        <v>4.99E-2</v>
      </c>
      <c r="N262" s="3">
        <v>2.5000000000000001E-3</v>
      </c>
      <c r="O262" s="3">
        <v>5.2400000000000002E-2</v>
      </c>
      <c r="P262" s="2">
        <v>0.53</v>
      </c>
      <c r="Q262" s="3">
        <v>2.7300000000000001E-2</v>
      </c>
      <c r="R262" s="3">
        <v>0.55800000000000005</v>
      </c>
      <c r="S262" t="s">
        <v>737</v>
      </c>
      <c r="T262" t="s">
        <v>737</v>
      </c>
      <c r="U262" t="s">
        <v>779</v>
      </c>
    </row>
    <row r="263" spans="1:21" x14ac:dyDescent="0.6">
      <c r="A263">
        <v>306</v>
      </c>
      <c r="B263" t="str">
        <f>"5439"</f>
        <v>5439</v>
      </c>
      <c r="C263" t="s">
        <v>388</v>
      </c>
      <c r="D263" s="1">
        <v>42923</v>
      </c>
      <c r="E263">
        <v>32.15</v>
      </c>
      <c r="F263">
        <v>0</v>
      </c>
      <c r="G263" s="2">
        <v>0</v>
      </c>
      <c r="H263">
        <v>2015</v>
      </c>
      <c r="I263">
        <v>2.04</v>
      </c>
      <c r="J263">
        <v>1.6</v>
      </c>
      <c r="K263">
        <v>0</v>
      </c>
      <c r="L263">
        <v>1.6</v>
      </c>
      <c r="M263" s="3">
        <v>4.9799999999999997E-2</v>
      </c>
      <c r="N263" s="2">
        <v>0</v>
      </c>
      <c r="O263" s="3">
        <v>4.9799999999999997E-2</v>
      </c>
      <c r="P263" s="3">
        <v>0.78400000000000003</v>
      </c>
      <c r="Q263" s="2">
        <v>0</v>
      </c>
      <c r="R263" s="3">
        <v>0.78400000000000003</v>
      </c>
      <c r="S263" t="s">
        <v>690</v>
      </c>
      <c r="U263" t="s">
        <v>711</v>
      </c>
    </row>
    <row r="264" spans="1:21" x14ac:dyDescent="0.6">
      <c r="A264">
        <v>378</v>
      </c>
      <c r="B264" t="str">
        <f>"2233"</f>
        <v>2233</v>
      </c>
      <c r="C264" t="s">
        <v>461</v>
      </c>
      <c r="D264" s="1">
        <v>42923</v>
      </c>
      <c r="E264">
        <v>95.4</v>
      </c>
      <c r="F264">
        <v>0</v>
      </c>
      <c r="G264" s="2">
        <v>0</v>
      </c>
      <c r="H264">
        <v>2015</v>
      </c>
      <c r="I264">
        <v>6.3</v>
      </c>
      <c r="J264">
        <v>4.75</v>
      </c>
      <c r="K264">
        <v>0</v>
      </c>
      <c r="L264">
        <v>4.75</v>
      </c>
      <c r="M264" s="3">
        <v>4.9799999999999997E-2</v>
      </c>
      <c r="N264" s="2">
        <v>0</v>
      </c>
      <c r="O264" s="3">
        <v>4.9799999999999997E-2</v>
      </c>
      <c r="P264" s="3">
        <v>0.754</v>
      </c>
      <c r="Q264" s="2">
        <v>0</v>
      </c>
      <c r="R264" s="3">
        <v>0.754</v>
      </c>
      <c r="S264" t="s">
        <v>770</v>
      </c>
      <c r="U264" t="s">
        <v>709</v>
      </c>
    </row>
    <row r="265" spans="1:21" x14ac:dyDescent="0.6">
      <c r="A265">
        <v>434</v>
      </c>
      <c r="B265" t="str">
        <f>"6160"</f>
        <v>6160</v>
      </c>
      <c r="C265" t="s">
        <v>522</v>
      </c>
      <c r="D265" s="1">
        <v>42923</v>
      </c>
      <c r="E265">
        <v>20.100000000000001</v>
      </c>
      <c r="F265">
        <v>0.2</v>
      </c>
      <c r="G265" s="3">
        <v>1.01E-2</v>
      </c>
      <c r="H265">
        <v>2015</v>
      </c>
      <c r="I265">
        <v>0.56000000000000005</v>
      </c>
      <c r="J265">
        <v>1</v>
      </c>
      <c r="K265">
        <v>0</v>
      </c>
      <c r="L265">
        <v>1</v>
      </c>
      <c r="M265" s="3">
        <v>4.9799999999999997E-2</v>
      </c>
      <c r="N265" s="2">
        <v>0</v>
      </c>
      <c r="O265" s="3">
        <v>4.9799999999999997E-2</v>
      </c>
      <c r="P265" s="2">
        <v>1.79</v>
      </c>
      <c r="Q265" s="2">
        <v>0</v>
      </c>
      <c r="R265" s="2">
        <v>1.79</v>
      </c>
      <c r="S265" t="s">
        <v>694</v>
      </c>
      <c r="U265" t="s">
        <v>748</v>
      </c>
    </row>
    <row r="266" spans="1:21" x14ac:dyDescent="0.6">
      <c r="A266">
        <v>83</v>
      </c>
      <c r="B266" t="str">
        <f>"3217"</f>
        <v>3217</v>
      </c>
      <c r="C266" t="s">
        <v>145</v>
      </c>
      <c r="D266" s="1">
        <v>42923</v>
      </c>
      <c r="E266">
        <v>26.15</v>
      </c>
      <c r="F266">
        <v>-0.2</v>
      </c>
      <c r="G266" s="3">
        <v>-7.6E-3</v>
      </c>
      <c r="H266">
        <v>2015</v>
      </c>
      <c r="I266">
        <v>1.53</v>
      </c>
      <c r="J266">
        <v>1.3</v>
      </c>
      <c r="K266">
        <v>0</v>
      </c>
      <c r="L266">
        <v>1.3</v>
      </c>
      <c r="M266" s="3">
        <v>4.9700000000000001E-2</v>
      </c>
      <c r="N266" s="2">
        <v>0</v>
      </c>
      <c r="O266" s="3">
        <v>4.9700000000000001E-2</v>
      </c>
      <c r="P266" s="2">
        <v>0.85</v>
      </c>
      <c r="Q266" s="2">
        <v>0</v>
      </c>
      <c r="R266" s="2">
        <v>0.85</v>
      </c>
      <c r="S266" t="s">
        <v>756</v>
      </c>
      <c r="U266" t="s">
        <v>691</v>
      </c>
    </row>
    <row r="267" spans="1:21" x14ac:dyDescent="0.6">
      <c r="A267">
        <v>437</v>
      </c>
      <c r="B267" t="str">
        <f>"3058"</f>
        <v>3058</v>
      </c>
      <c r="C267" t="s">
        <v>527</v>
      </c>
      <c r="D267" s="1">
        <v>42923</v>
      </c>
      <c r="E267">
        <v>10.1</v>
      </c>
      <c r="F267">
        <v>-0.15</v>
      </c>
      <c r="G267" s="3">
        <v>-1.46E-2</v>
      </c>
      <c r="H267">
        <v>2015</v>
      </c>
      <c r="I267">
        <v>0.11</v>
      </c>
      <c r="J267">
        <v>0.5</v>
      </c>
      <c r="K267">
        <v>0</v>
      </c>
      <c r="L267">
        <v>0.5</v>
      </c>
      <c r="M267" s="3">
        <v>4.9500000000000002E-2</v>
      </c>
      <c r="N267" s="2">
        <v>0</v>
      </c>
      <c r="O267" s="3">
        <v>4.9500000000000002E-2</v>
      </c>
      <c r="P267" s="2">
        <v>4.55</v>
      </c>
      <c r="Q267" s="2">
        <v>0</v>
      </c>
      <c r="R267" s="2">
        <v>4.55</v>
      </c>
      <c r="S267" t="s">
        <v>711</v>
      </c>
      <c r="U267" t="s">
        <v>730</v>
      </c>
    </row>
    <row r="268" spans="1:21" x14ac:dyDescent="0.6">
      <c r="A268">
        <v>253</v>
      </c>
      <c r="B268" t="str">
        <f>"2015"</f>
        <v>2015</v>
      </c>
      <c r="C268" t="s">
        <v>332</v>
      </c>
      <c r="D268" s="1">
        <v>42923</v>
      </c>
      <c r="E268">
        <v>50.6</v>
      </c>
      <c r="F268">
        <v>-0.4</v>
      </c>
      <c r="G268" s="3">
        <v>-7.7999999999999996E-3</v>
      </c>
      <c r="H268">
        <v>2015</v>
      </c>
      <c r="I268">
        <v>2.87</v>
      </c>
      <c r="J268">
        <v>2.5</v>
      </c>
      <c r="K268">
        <v>0</v>
      </c>
      <c r="L268">
        <v>2.5</v>
      </c>
      <c r="M268" s="3">
        <v>4.9399999999999999E-2</v>
      </c>
      <c r="N268" s="2">
        <v>0</v>
      </c>
      <c r="O268" s="3">
        <v>4.9399999999999999E-2</v>
      </c>
      <c r="P268" s="3">
        <v>0.871</v>
      </c>
      <c r="Q268" s="2">
        <v>0</v>
      </c>
      <c r="R268" s="3">
        <v>0.871</v>
      </c>
      <c r="S268" t="s">
        <v>734</v>
      </c>
      <c r="U268" t="s">
        <v>735</v>
      </c>
    </row>
    <row r="269" spans="1:21" x14ac:dyDescent="0.6">
      <c r="A269">
        <v>304</v>
      </c>
      <c r="B269" t="str">
        <f>"1229"</f>
        <v>1229</v>
      </c>
      <c r="C269" t="s">
        <v>386</v>
      </c>
      <c r="D269" s="1">
        <v>42923</v>
      </c>
      <c r="E269">
        <v>28.35</v>
      </c>
      <c r="F269">
        <v>-0.15</v>
      </c>
      <c r="G269" s="3">
        <v>-5.3E-3</v>
      </c>
      <c r="H269">
        <v>2015</v>
      </c>
      <c r="I269">
        <v>2.0099999999999998</v>
      </c>
      <c r="J269">
        <v>1.4</v>
      </c>
      <c r="K269">
        <v>0.4</v>
      </c>
      <c r="L269">
        <v>1.8</v>
      </c>
      <c r="M269" s="3">
        <v>4.9399999999999999E-2</v>
      </c>
      <c r="N269" s="3">
        <v>1.41E-2</v>
      </c>
      <c r="O269" s="3">
        <v>6.3500000000000001E-2</v>
      </c>
      <c r="P269" s="3">
        <v>0.69599999999999995</v>
      </c>
      <c r="Q269" s="3">
        <v>0.19900000000000001</v>
      </c>
      <c r="R269" s="3">
        <v>0.89600000000000002</v>
      </c>
      <c r="S269" t="s">
        <v>692</v>
      </c>
      <c r="T269" t="s">
        <v>692</v>
      </c>
      <c r="U269" t="s">
        <v>697</v>
      </c>
    </row>
    <row r="270" spans="1:21" x14ac:dyDescent="0.6">
      <c r="A270">
        <v>440</v>
      </c>
      <c r="B270" t="str">
        <f>"5312"</f>
        <v>5312</v>
      </c>
      <c r="C270" t="s">
        <v>530</v>
      </c>
      <c r="D270" s="1">
        <v>42923</v>
      </c>
      <c r="E270">
        <v>73</v>
      </c>
      <c r="F270">
        <v>-0.4</v>
      </c>
      <c r="G270" s="3">
        <v>-5.4000000000000003E-3</v>
      </c>
      <c r="H270">
        <v>2015</v>
      </c>
      <c r="I270">
        <v>5.87</v>
      </c>
      <c r="J270">
        <v>3.6</v>
      </c>
      <c r="K270">
        <v>0</v>
      </c>
      <c r="L270">
        <v>3.6</v>
      </c>
      <c r="M270" s="3">
        <v>4.9299999999999997E-2</v>
      </c>
      <c r="N270" s="2">
        <v>0</v>
      </c>
      <c r="O270" s="3">
        <v>4.9299999999999997E-2</v>
      </c>
      <c r="P270" s="3">
        <v>0.61299999999999999</v>
      </c>
      <c r="Q270" s="2">
        <v>0</v>
      </c>
      <c r="R270" s="3">
        <v>0.61299999999999999</v>
      </c>
      <c r="S270" t="s">
        <v>729</v>
      </c>
      <c r="U270" t="s">
        <v>730</v>
      </c>
    </row>
    <row r="271" spans="1:21" x14ac:dyDescent="0.6">
      <c r="A271">
        <v>492</v>
      </c>
      <c r="B271" t="str">
        <f>"2908"</f>
        <v>2908</v>
      </c>
      <c r="C271" t="s">
        <v>586</v>
      </c>
      <c r="D271" s="1">
        <v>42923</v>
      </c>
      <c r="E271">
        <v>22.95</v>
      </c>
      <c r="F271">
        <v>0.25</v>
      </c>
      <c r="G271" s="3">
        <v>1.0999999999999999E-2</v>
      </c>
      <c r="H271">
        <v>2015</v>
      </c>
      <c r="I271">
        <v>1.42</v>
      </c>
      <c r="J271">
        <v>1.1299999999999999</v>
      </c>
      <c r="K271">
        <v>0</v>
      </c>
      <c r="L271">
        <v>1.1299999999999999</v>
      </c>
      <c r="M271" s="3">
        <v>4.9299999999999997E-2</v>
      </c>
      <c r="N271" s="2">
        <v>0</v>
      </c>
      <c r="O271" s="3">
        <v>4.9299999999999997E-2</v>
      </c>
      <c r="P271" s="3">
        <v>0.79600000000000004</v>
      </c>
      <c r="Q271" s="2">
        <v>0</v>
      </c>
      <c r="R271" s="3">
        <v>0.79600000000000004</v>
      </c>
      <c r="S271" t="s">
        <v>734</v>
      </c>
      <c r="U271" t="s">
        <v>735</v>
      </c>
    </row>
    <row r="272" spans="1:21" x14ac:dyDescent="0.6">
      <c r="A272">
        <v>127</v>
      </c>
      <c r="B272" t="str">
        <f>"8131"</f>
        <v>8131</v>
      </c>
      <c r="C272" t="s">
        <v>193</v>
      </c>
      <c r="D272" s="1">
        <v>42923</v>
      </c>
      <c r="E272">
        <v>28.45</v>
      </c>
      <c r="F272">
        <v>-0.1</v>
      </c>
      <c r="G272" s="3">
        <v>-3.5000000000000001E-3</v>
      </c>
      <c r="H272">
        <v>2015</v>
      </c>
      <c r="I272">
        <v>1.91</v>
      </c>
      <c r="J272">
        <v>1.4</v>
      </c>
      <c r="K272">
        <v>0</v>
      </c>
      <c r="L272">
        <v>1.4</v>
      </c>
      <c r="M272" s="3">
        <v>4.9200000000000001E-2</v>
      </c>
      <c r="N272" s="2">
        <v>0</v>
      </c>
      <c r="O272" s="3">
        <v>4.9200000000000001E-2</v>
      </c>
      <c r="P272" s="3">
        <v>0.73299999999999998</v>
      </c>
      <c r="Q272" s="2">
        <v>0</v>
      </c>
      <c r="R272" s="3">
        <v>0.73299999999999998</v>
      </c>
      <c r="S272" t="s">
        <v>694</v>
      </c>
      <c r="U272" t="s">
        <v>745</v>
      </c>
    </row>
    <row r="273" spans="1:21" x14ac:dyDescent="0.6">
      <c r="A273">
        <v>193</v>
      </c>
      <c r="B273" t="str">
        <f>"8074"</f>
        <v>8074</v>
      </c>
      <c r="C273" t="s">
        <v>270</v>
      </c>
      <c r="D273" s="1">
        <v>42923</v>
      </c>
      <c r="E273">
        <v>26.45</v>
      </c>
      <c r="F273">
        <v>-0.05</v>
      </c>
      <c r="G273" s="3">
        <v>-1.9E-3</v>
      </c>
      <c r="H273">
        <v>2015</v>
      </c>
      <c r="I273">
        <v>1.81</v>
      </c>
      <c r="J273">
        <v>1.3</v>
      </c>
      <c r="K273">
        <v>0</v>
      </c>
      <c r="L273">
        <v>1.3</v>
      </c>
      <c r="M273" s="3">
        <v>4.9099999999999998E-2</v>
      </c>
      <c r="N273" s="2">
        <v>0</v>
      </c>
      <c r="O273" s="3">
        <v>4.9099999999999998E-2</v>
      </c>
      <c r="P273" s="3">
        <v>0.71799999999999997</v>
      </c>
      <c r="Q273" s="2">
        <v>0</v>
      </c>
      <c r="R273" s="3">
        <v>0.71799999999999997</v>
      </c>
      <c r="S273" t="s">
        <v>698</v>
      </c>
      <c r="U273" t="s">
        <v>713</v>
      </c>
    </row>
    <row r="274" spans="1:21" x14ac:dyDescent="0.6">
      <c r="A274">
        <v>259</v>
      </c>
      <c r="B274" t="str">
        <f>"3360"</f>
        <v>3360</v>
      </c>
      <c r="C274" t="s">
        <v>338</v>
      </c>
      <c r="D274" s="1">
        <v>42923</v>
      </c>
      <c r="E274">
        <v>20.350000000000001</v>
      </c>
      <c r="F274">
        <v>-0.15</v>
      </c>
      <c r="G274" s="3">
        <v>-7.3000000000000001E-3</v>
      </c>
      <c r="H274">
        <v>2015</v>
      </c>
      <c r="I274">
        <v>1.9</v>
      </c>
      <c r="J274">
        <v>1</v>
      </c>
      <c r="K274">
        <v>0.35</v>
      </c>
      <c r="L274">
        <v>1.35</v>
      </c>
      <c r="M274" s="3">
        <v>4.9099999999999998E-2</v>
      </c>
      <c r="N274" s="3">
        <v>1.72E-2</v>
      </c>
      <c r="O274" s="3">
        <v>6.6299999999999998E-2</v>
      </c>
      <c r="P274" s="3">
        <v>0.52600000000000002</v>
      </c>
      <c r="Q274" s="3">
        <v>0.184</v>
      </c>
      <c r="R274" s="2">
        <v>0.71</v>
      </c>
      <c r="S274" t="s">
        <v>752</v>
      </c>
      <c r="T274" t="s">
        <v>752</v>
      </c>
      <c r="U274" t="s">
        <v>778</v>
      </c>
    </row>
    <row r="275" spans="1:21" x14ac:dyDescent="0.6">
      <c r="A275">
        <v>90</v>
      </c>
      <c r="B275" t="str">
        <f>"3501"</f>
        <v>3501</v>
      </c>
      <c r="C275" t="s">
        <v>153</v>
      </c>
      <c r="D275" s="1">
        <v>42923</v>
      </c>
      <c r="E275">
        <v>53.1</v>
      </c>
      <c r="F275">
        <v>-0.1</v>
      </c>
      <c r="G275" s="3">
        <v>-1.9E-3</v>
      </c>
      <c r="H275">
        <v>2015</v>
      </c>
      <c r="I275">
        <v>4.03</v>
      </c>
      <c r="J275">
        <v>2.6</v>
      </c>
      <c r="K275">
        <v>0</v>
      </c>
      <c r="L275">
        <v>2.6</v>
      </c>
      <c r="M275" s="3">
        <v>4.9000000000000002E-2</v>
      </c>
      <c r="N275" s="2">
        <v>0</v>
      </c>
      <c r="O275" s="3">
        <v>4.9000000000000002E-2</v>
      </c>
      <c r="P275" s="3">
        <v>0.64500000000000002</v>
      </c>
      <c r="Q275" s="2">
        <v>0</v>
      </c>
      <c r="R275" s="3">
        <v>0.64500000000000002</v>
      </c>
      <c r="S275" t="s">
        <v>755</v>
      </c>
      <c r="U275" t="s">
        <v>701</v>
      </c>
    </row>
    <row r="276" spans="1:21" x14ac:dyDescent="0.6">
      <c r="A276">
        <v>449</v>
      </c>
      <c r="B276" t="str">
        <f>"6271"</f>
        <v>6271</v>
      </c>
      <c r="C276" t="s">
        <v>539</v>
      </c>
      <c r="D276" s="1">
        <v>42923</v>
      </c>
      <c r="E276">
        <v>122.5</v>
      </c>
      <c r="F276">
        <v>-2.5</v>
      </c>
      <c r="G276" s="2">
        <v>-0.02</v>
      </c>
      <c r="H276">
        <v>2015</v>
      </c>
      <c r="I276">
        <v>9.27</v>
      </c>
      <c r="J276">
        <v>6</v>
      </c>
      <c r="K276">
        <v>0</v>
      </c>
      <c r="L276">
        <v>6</v>
      </c>
      <c r="M276" s="3">
        <v>4.9000000000000002E-2</v>
      </c>
      <c r="N276" s="2">
        <v>0</v>
      </c>
      <c r="O276" s="3">
        <v>4.9000000000000002E-2</v>
      </c>
      <c r="P276" s="3">
        <v>0.64700000000000002</v>
      </c>
      <c r="Q276" s="2">
        <v>0</v>
      </c>
      <c r="R276" s="3">
        <v>0.64700000000000002</v>
      </c>
      <c r="S276" t="s">
        <v>694</v>
      </c>
      <c r="U276" t="s">
        <v>721</v>
      </c>
    </row>
    <row r="277" spans="1:21" x14ac:dyDescent="0.6">
      <c r="A277">
        <v>265</v>
      </c>
      <c r="B277" t="str">
        <f>"5287"</f>
        <v>5287</v>
      </c>
      <c r="C277" t="s">
        <v>345</v>
      </c>
      <c r="D277" s="1">
        <v>42923</v>
      </c>
      <c r="E277">
        <v>255.5</v>
      </c>
      <c r="F277">
        <v>0</v>
      </c>
      <c r="G277" s="2">
        <v>0</v>
      </c>
      <c r="H277">
        <v>2015</v>
      </c>
      <c r="I277">
        <v>14.11</v>
      </c>
      <c r="J277">
        <v>12.5</v>
      </c>
      <c r="K277">
        <v>3</v>
      </c>
      <c r="L277">
        <v>15.5</v>
      </c>
      <c r="M277" s="3">
        <v>4.8899999999999999E-2</v>
      </c>
      <c r="N277" s="3">
        <v>1.17E-2</v>
      </c>
      <c r="O277" s="3">
        <v>6.0699999999999997E-2</v>
      </c>
      <c r="P277" s="3">
        <v>0.88600000000000001</v>
      </c>
      <c r="Q277" s="3">
        <v>0.21299999999999999</v>
      </c>
      <c r="R277" s="2">
        <v>1.1000000000000001</v>
      </c>
      <c r="S277" t="s">
        <v>691</v>
      </c>
      <c r="T277" t="s">
        <v>691</v>
      </c>
      <c r="U277" t="s">
        <v>721</v>
      </c>
    </row>
    <row r="278" spans="1:21" x14ac:dyDescent="0.6">
      <c r="A278">
        <v>323</v>
      </c>
      <c r="B278" t="str">
        <f>"1532"</f>
        <v>1532</v>
      </c>
      <c r="C278" t="s">
        <v>405</v>
      </c>
      <c r="D278" s="1">
        <v>42923</v>
      </c>
      <c r="E278">
        <v>30.65</v>
      </c>
      <c r="F278">
        <v>0.15</v>
      </c>
      <c r="G278" s="3">
        <v>4.8999999999999998E-3</v>
      </c>
      <c r="H278">
        <v>2015</v>
      </c>
      <c r="I278">
        <v>1.36</v>
      </c>
      <c r="J278">
        <v>1.5</v>
      </c>
      <c r="K278">
        <v>0</v>
      </c>
      <c r="L278">
        <v>1.5</v>
      </c>
      <c r="M278" s="3">
        <v>4.8899999999999999E-2</v>
      </c>
      <c r="N278" s="2">
        <v>0</v>
      </c>
      <c r="O278" s="3">
        <v>4.8899999999999999E-2</v>
      </c>
      <c r="P278" s="2">
        <v>1.1000000000000001</v>
      </c>
      <c r="Q278" s="2">
        <v>0</v>
      </c>
      <c r="R278" s="2">
        <v>1.1000000000000001</v>
      </c>
      <c r="S278" t="s">
        <v>740</v>
      </c>
      <c r="U278" t="s">
        <v>715</v>
      </c>
    </row>
    <row r="279" spans="1:21" x14ac:dyDescent="0.6">
      <c r="A279">
        <v>450</v>
      </c>
      <c r="B279" t="str">
        <f>"3045"</f>
        <v>3045</v>
      </c>
      <c r="C279" t="s">
        <v>540</v>
      </c>
      <c r="D279" s="1">
        <v>42923</v>
      </c>
      <c r="E279">
        <v>114.5</v>
      </c>
      <c r="F279">
        <v>-0.5</v>
      </c>
      <c r="G279" s="3">
        <v>-4.3E-3</v>
      </c>
      <c r="H279">
        <v>2015</v>
      </c>
      <c r="I279">
        <v>5.56</v>
      </c>
      <c r="J279">
        <v>5.6</v>
      </c>
      <c r="K279">
        <v>0</v>
      </c>
      <c r="L279">
        <v>5.6</v>
      </c>
      <c r="M279" s="3">
        <v>4.8899999999999999E-2</v>
      </c>
      <c r="N279" s="2">
        <v>0</v>
      </c>
      <c r="O279" s="3">
        <v>4.8899999999999999E-2</v>
      </c>
      <c r="P279" s="2">
        <v>1.01</v>
      </c>
      <c r="Q279" s="2">
        <v>0</v>
      </c>
      <c r="R279" s="2">
        <v>1.01</v>
      </c>
      <c r="S279" t="s">
        <v>770</v>
      </c>
      <c r="U279" t="s">
        <v>744</v>
      </c>
    </row>
    <row r="280" spans="1:21" x14ac:dyDescent="0.6">
      <c r="A280">
        <v>194</v>
      </c>
      <c r="B280" t="str">
        <f>"5520"</f>
        <v>5520</v>
      </c>
      <c r="C280" t="s">
        <v>271</v>
      </c>
      <c r="D280" s="1">
        <v>42923</v>
      </c>
      <c r="E280">
        <v>27.8</v>
      </c>
      <c r="F280">
        <v>0.2</v>
      </c>
      <c r="G280" s="3">
        <v>7.1999999999999998E-3</v>
      </c>
      <c r="H280">
        <v>2015</v>
      </c>
      <c r="I280">
        <v>1.58</v>
      </c>
      <c r="J280">
        <v>1.35</v>
      </c>
      <c r="K280">
        <v>0</v>
      </c>
      <c r="L280">
        <v>1.35</v>
      </c>
      <c r="M280" s="3">
        <v>4.8599999999999997E-2</v>
      </c>
      <c r="N280" s="2">
        <v>0</v>
      </c>
      <c r="O280" s="3">
        <v>4.8599999999999997E-2</v>
      </c>
      <c r="P280" s="3">
        <v>0.85399999999999998</v>
      </c>
      <c r="Q280" s="2">
        <v>0</v>
      </c>
      <c r="R280" s="3">
        <v>0.85399999999999998</v>
      </c>
      <c r="S280" t="s">
        <v>736</v>
      </c>
      <c r="U280" t="s">
        <v>730</v>
      </c>
    </row>
    <row r="281" spans="1:21" x14ac:dyDescent="0.6">
      <c r="A281">
        <v>458</v>
      </c>
      <c r="B281" t="str">
        <f>"5102"</f>
        <v>5102</v>
      </c>
      <c r="C281" t="s">
        <v>549</v>
      </c>
      <c r="D281" s="1">
        <v>42923</v>
      </c>
      <c r="E281">
        <v>14.4</v>
      </c>
      <c r="F281">
        <v>0</v>
      </c>
      <c r="G281" s="2">
        <v>0</v>
      </c>
      <c r="H281">
        <v>2015</v>
      </c>
      <c r="I281">
        <v>0.94</v>
      </c>
      <c r="J281">
        <v>0.7</v>
      </c>
      <c r="K281">
        <v>0</v>
      </c>
      <c r="L281">
        <v>0.7</v>
      </c>
      <c r="M281" s="3">
        <v>4.8599999999999997E-2</v>
      </c>
      <c r="N281" s="2">
        <v>0</v>
      </c>
      <c r="O281" s="3">
        <v>4.8599999999999997E-2</v>
      </c>
      <c r="P281" s="3">
        <v>0.745</v>
      </c>
      <c r="Q281" s="2">
        <v>0</v>
      </c>
      <c r="R281" s="3">
        <v>0.745</v>
      </c>
      <c r="S281" t="s">
        <v>698</v>
      </c>
      <c r="U281" t="s">
        <v>746</v>
      </c>
    </row>
    <row r="282" spans="1:21" x14ac:dyDescent="0.6">
      <c r="A282">
        <v>26</v>
      </c>
      <c r="B282" t="str">
        <f>"6151"</f>
        <v>6151</v>
      </c>
      <c r="C282" t="s">
        <v>60</v>
      </c>
      <c r="D282" s="1">
        <v>42923</v>
      </c>
      <c r="E282">
        <v>24.8</v>
      </c>
      <c r="F282">
        <v>-0.3</v>
      </c>
      <c r="G282" s="3">
        <v>-1.2E-2</v>
      </c>
      <c r="H282">
        <v>2015</v>
      </c>
      <c r="I282">
        <v>1.3</v>
      </c>
      <c r="J282">
        <v>1.2</v>
      </c>
      <c r="K282">
        <v>0</v>
      </c>
      <c r="L282">
        <v>1.2</v>
      </c>
      <c r="M282" s="3">
        <v>4.8399999999999999E-2</v>
      </c>
      <c r="N282" s="2">
        <v>0</v>
      </c>
      <c r="O282" s="3">
        <v>4.8399999999999999E-2</v>
      </c>
      <c r="P282" s="3">
        <v>0.92300000000000004</v>
      </c>
      <c r="Q282" s="2">
        <v>0</v>
      </c>
      <c r="R282" s="3">
        <v>0.92300000000000004</v>
      </c>
      <c r="S282" t="s">
        <v>708</v>
      </c>
    </row>
    <row r="283" spans="1:21" x14ac:dyDescent="0.6">
      <c r="A283">
        <v>270</v>
      </c>
      <c r="B283" t="str">
        <f>"1410"</f>
        <v>1410</v>
      </c>
      <c r="C283" t="s">
        <v>350</v>
      </c>
      <c r="D283" s="1">
        <v>42923</v>
      </c>
      <c r="E283">
        <v>24.85</v>
      </c>
      <c r="F283">
        <v>0.05</v>
      </c>
      <c r="G283" s="3">
        <v>2E-3</v>
      </c>
      <c r="H283">
        <v>2015</v>
      </c>
      <c r="I283">
        <v>1.21</v>
      </c>
      <c r="J283">
        <v>1.2</v>
      </c>
      <c r="K283">
        <v>0</v>
      </c>
      <c r="L283">
        <v>1.2</v>
      </c>
      <c r="M283" s="3">
        <v>4.8300000000000003E-2</v>
      </c>
      <c r="N283" s="2">
        <v>0</v>
      </c>
      <c r="O283" s="3">
        <v>4.8300000000000003E-2</v>
      </c>
      <c r="P283" s="3">
        <v>0.99199999999999999</v>
      </c>
      <c r="Q283" s="2">
        <v>0</v>
      </c>
      <c r="R283" s="3">
        <v>0.99199999999999999</v>
      </c>
      <c r="S283" t="s">
        <v>751</v>
      </c>
      <c r="U283" t="s">
        <v>711</v>
      </c>
    </row>
    <row r="284" spans="1:21" x14ac:dyDescent="0.6">
      <c r="A284">
        <v>346</v>
      </c>
      <c r="B284" t="str">
        <f>"6138"</f>
        <v>6138</v>
      </c>
      <c r="C284" t="s">
        <v>428</v>
      </c>
      <c r="D284" s="1">
        <v>42923</v>
      </c>
      <c r="E284">
        <v>39.200000000000003</v>
      </c>
      <c r="F284">
        <v>0.2</v>
      </c>
      <c r="G284" s="3">
        <v>5.1000000000000004E-3</v>
      </c>
      <c r="H284">
        <v>2015</v>
      </c>
      <c r="I284">
        <v>2.0099999999999998</v>
      </c>
      <c r="J284">
        <v>1.89</v>
      </c>
      <c r="K284">
        <v>0</v>
      </c>
      <c r="L284">
        <v>1.89</v>
      </c>
      <c r="M284" s="3">
        <v>4.8300000000000003E-2</v>
      </c>
      <c r="N284" s="2">
        <v>0</v>
      </c>
      <c r="O284" s="3">
        <v>4.8300000000000003E-2</v>
      </c>
      <c r="P284" s="2">
        <v>0.94</v>
      </c>
      <c r="Q284" s="2">
        <v>0</v>
      </c>
      <c r="R284" s="2">
        <v>0.94</v>
      </c>
      <c r="S284" t="s">
        <v>721</v>
      </c>
      <c r="U284" t="s">
        <v>739</v>
      </c>
    </row>
    <row r="285" spans="1:21" x14ac:dyDescent="0.6">
      <c r="A285">
        <v>37</v>
      </c>
      <c r="B285" t="str">
        <f>"2397"</f>
        <v>2397</v>
      </c>
      <c r="C285" t="s">
        <v>77</v>
      </c>
      <c r="D285" s="1">
        <v>42923</v>
      </c>
      <c r="E285">
        <v>53.5</v>
      </c>
      <c r="F285">
        <v>0</v>
      </c>
      <c r="G285" s="2">
        <v>0</v>
      </c>
      <c r="H285">
        <v>2015</v>
      </c>
      <c r="I285">
        <v>2.95</v>
      </c>
      <c r="J285">
        <v>2.58</v>
      </c>
      <c r="K285">
        <v>0</v>
      </c>
      <c r="L285">
        <v>2.58</v>
      </c>
      <c r="M285" s="3">
        <v>4.82E-2</v>
      </c>
      <c r="N285" s="2">
        <v>0</v>
      </c>
      <c r="O285" s="3">
        <v>4.82E-2</v>
      </c>
      <c r="P285" s="3">
        <v>0.875</v>
      </c>
      <c r="Q285" s="2">
        <v>0</v>
      </c>
      <c r="R285" s="3">
        <v>0.875</v>
      </c>
      <c r="S285" t="s">
        <v>733</v>
      </c>
      <c r="U285" t="s">
        <v>717</v>
      </c>
    </row>
    <row r="286" spans="1:21" x14ac:dyDescent="0.6">
      <c r="A286">
        <v>313</v>
      </c>
      <c r="B286" t="str">
        <f>"2820"</f>
        <v>2820</v>
      </c>
      <c r="C286" t="s">
        <v>395</v>
      </c>
      <c r="D286" s="1">
        <v>42923</v>
      </c>
      <c r="E286">
        <v>14.95</v>
      </c>
      <c r="F286">
        <v>-0.1</v>
      </c>
      <c r="G286" s="3">
        <v>-6.6E-3</v>
      </c>
      <c r="H286">
        <v>2015</v>
      </c>
      <c r="I286">
        <v>1.03</v>
      </c>
      <c r="J286">
        <v>0.72</v>
      </c>
      <c r="K286">
        <v>0</v>
      </c>
      <c r="L286">
        <v>0.72</v>
      </c>
      <c r="M286" s="3">
        <v>4.82E-2</v>
      </c>
      <c r="N286" s="2">
        <v>0</v>
      </c>
      <c r="O286" s="3">
        <v>4.82E-2</v>
      </c>
      <c r="P286" s="3">
        <v>0.69899999999999995</v>
      </c>
      <c r="Q286" s="2">
        <v>0</v>
      </c>
      <c r="R286" s="3">
        <v>0.69899999999999995</v>
      </c>
      <c r="S286" t="s">
        <v>708</v>
      </c>
      <c r="U286" t="s">
        <v>691</v>
      </c>
    </row>
    <row r="287" spans="1:21" x14ac:dyDescent="0.6">
      <c r="A287">
        <v>467</v>
      </c>
      <c r="B287" t="str">
        <f>"6204"</f>
        <v>6204</v>
      </c>
      <c r="C287" t="s">
        <v>558</v>
      </c>
      <c r="D287" s="1">
        <v>42923</v>
      </c>
      <c r="E287">
        <v>20.75</v>
      </c>
      <c r="F287">
        <v>-0.05</v>
      </c>
      <c r="G287" s="3">
        <v>-2.3999999999999998E-3</v>
      </c>
      <c r="H287">
        <v>2015</v>
      </c>
      <c r="I287">
        <v>1.82</v>
      </c>
      <c r="J287">
        <v>1</v>
      </c>
      <c r="K287">
        <v>0</v>
      </c>
      <c r="L287">
        <v>1</v>
      </c>
      <c r="M287" s="3">
        <v>4.82E-2</v>
      </c>
      <c r="N287" s="2">
        <v>0</v>
      </c>
      <c r="O287" s="3">
        <v>4.82E-2</v>
      </c>
      <c r="P287" s="2">
        <v>0.55000000000000004</v>
      </c>
      <c r="Q287" s="2">
        <v>0</v>
      </c>
      <c r="R287" s="2">
        <v>0.55000000000000004</v>
      </c>
      <c r="S287" t="s">
        <v>695</v>
      </c>
      <c r="U287" t="s">
        <v>705</v>
      </c>
    </row>
    <row r="288" spans="1:21" x14ac:dyDescent="0.6">
      <c r="A288">
        <v>412</v>
      </c>
      <c r="B288" t="str">
        <f>"9925"</f>
        <v>9925</v>
      </c>
      <c r="C288" t="s">
        <v>499</v>
      </c>
      <c r="D288" s="1">
        <v>42923</v>
      </c>
      <c r="E288">
        <v>39.5</v>
      </c>
      <c r="F288">
        <v>-0.05</v>
      </c>
      <c r="G288" s="3">
        <v>-1.2999999999999999E-3</v>
      </c>
      <c r="H288">
        <v>2015</v>
      </c>
      <c r="I288">
        <v>2.71</v>
      </c>
      <c r="J288">
        <v>1.9</v>
      </c>
      <c r="K288">
        <v>0</v>
      </c>
      <c r="L288">
        <v>1.9</v>
      </c>
      <c r="M288" s="3">
        <v>4.8099999999999997E-2</v>
      </c>
      <c r="N288" s="2">
        <v>0</v>
      </c>
      <c r="O288" s="3">
        <v>4.8099999999999997E-2</v>
      </c>
      <c r="P288" s="3">
        <v>0.70099999999999996</v>
      </c>
      <c r="Q288" s="2">
        <v>0</v>
      </c>
      <c r="R288" s="3">
        <v>0.70099999999999996</v>
      </c>
      <c r="S288" t="s">
        <v>709</v>
      </c>
      <c r="U288" t="s">
        <v>692</v>
      </c>
    </row>
    <row r="289" spans="1:21" x14ac:dyDescent="0.6">
      <c r="A289">
        <v>473</v>
      </c>
      <c r="B289" t="str">
        <f>"9942"</f>
        <v>9942</v>
      </c>
      <c r="C289" t="s">
        <v>566</v>
      </c>
      <c r="D289" s="1">
        <v>42923</v>
      </c>
      <c r="E289">
        <v>83.2</v>
      </c>
      <c r="F289">
        <v>1</v>
      </c>
      <c r="G289" s="3">
        <v>1.2200000000000001E-2</v>
      </c>
      <c r="H289">
        <v>2015</v>
      </c>
      <c r="I289">
        <v>6.32</v>
      </c>
      <c r="J289">
        <v>4</v>
      </c>
      <c r="K289">
        <v>0</v>
      </c>
      <c r="L289">
        <v>4</v>
      </c>
      <c r="M289" s="3">
        <v>4.8099999999999997E-2</v>
      </c>
      <c r="N289" s="2">
        <v>0</v>
      </c>
      <c r="O289" s="3">
        <v>4.8099999999999997E-2</v>
      </c>
      <c r="P289" s="3">
        <v>0.63300000000000001</v>
      </c>
      <c r="Q289" s="2">
        <v>0</v>
      </c>
      <c r="R289" s="3">
        <v>0.63300000000000001</v>
      </c>
      <c r="S289" t="s">
        <v>736</v>
      </c>
      <c r="U289" t="s">
        <v>745</v>
      </c>
    </row>
    <row r="290" spans="1:21" x14ac:dyDescent="0.6">
      <c r="A290">
        <v>475</v>
      </c>
      <c r="B290" t="str">
        <f>"1580"</f>
        <v>1580</v>
      </c>
      <c r="C290" t="s">
        <v>568</v>
      </c>
      <c r="D290" s="1">
        <v>42923</v>
      </c>
      <c r="E290">
        <v>177</v>
      </c>
      <c r="F290">
        <v>-0.5</v>
      </c>
      <c r="G290" s="3">
        <v>-2.8E-3</v>
      </c>
      <c r="H290">
        <v>2015</v>
      </c>
      <c r="I290">
        <v>11.13</v>
      </c>
      <c r="J290">
        <v>8.5</v>
      </c>
      <c r="K290">
        <v>0.2</v>
      </c>
      <c r="L290">
        <v>8.6999999999999993</v>
      </c>
      <c r="M290" s="3">
        <v>4.8000000000000001E-2</v>
      </c>
      <c r="N290" s="3">
        <v>1.1000000000000001E-3</v>
      </c>
      <c r="O290" s="3">
        <v>4.9200000000000001E-2</v>
      </c>
      <c r="P290" s="3">
        <v>0.76400000000000001</v>
      </c>
      <c r="Q290" s="3">
        <v>1.7999999999999999E-2</v>
      </c>
      <c r="R290" s="3">
        <v>0.78200000000000003</v>
      </c>
      <c r="S290" t="s">
        <v>725</v>
      </c>
      <c r="T290" t="s">
        <v>692</v>
      </c>
    </row>
    <row r="291" spans="1:21" x14ac:dyDescent="0.6">
      <c r="A291">
        <v>326</v>
      </c>
      <c r="B291" t="str">
        <f>"5347"</f>
        <v>5347</v>
      </c>
      <c r="C291" t="s">
        <v>408</v>
      </c>
      <c r="D291" s="1">
        <v>42923</v>
      </c>
      <c r="E291">
        <v>54.2</v>
      </c>
      <c r="F291">
        <v>-1.4</v>
      </c>
      <c r="G291" s="3">
        <v>-2.52E-2</v>
      </c>
      <c r="H291">
        <v>2015</v>
      </c>
      <c r="I291">
        <v>3.35</v>
      </c>
      <c r="J291">
        <v>2.6</v>
      </c>
      <c r="K291">
        <v>0</v>
      </c>
      <c r="L291">
        <v>2.6</v>
      </c>
      <c r="M291" s="3">
        <v>4.7899999999999998E-2</v>
      </c>
      <c r="N291" s="2">
        <v>0</v>
      </c>
      <c r="O291" s="3">
        <v>4.7899999999999998E-2</v>
      </c>
      <c r="P291" s="3">
        <v>0.77600000000000002</v>
      </c>
      <c r="Q291" s="2">
        <v>0</v>
      </c>
      <c r="R291" s="3">
        <v>0.77600000000000002</v>
      </c>
      <c r="S291" t="s">
        <v>708</v>
      </c>
      <c r="U291" t="s">
        <v>736</v>
      </c>
    </row>
    <row r="292" spans="1:21" x14ac:dyDescent="0.6">
      <c r="A292">
        <v>478</v>
      </c>
      <c r="B292" t="str">
        <f>"4904"</f>
        <v>4904</v>
      </c>
      <c r="C292" t="s">
        <v>571</v>
      </c>
      <c r="D292" s="1">
        <v>42923</v>
      </c>
      <c r="E292">
        <v>78.3</v>
      </c>
      <c r="F292">
        <v>-0.3</v>
      </c>
      <c r="G292" s="3">
        <v>-3.8E-3</v>
      </c>
      <c r="H292">
        <v>2015</v>
      </c>
      <c r="I292">
        <v>3.52</v>
      </c>
      <c r="J292">
        <v>3.75</v>
      </c>
      <c r="K292">
        <v>0</v>
      </c>
      <c r="L292">
        <v>3.75</v>
      </c>
      <c r="M292" s="3">
        <v>4.7899999999999998E-2</v>
      </c>
      <c r="N292" s="2">
        <v>0</v>
      </c>
      <c r="O292" s="3">
        <v>4.7899999999999998E-2</v>
      </c>
      <c r="P292" s="2">
        <v>1.07</v>
      </c>
      <c r="Q292" s="2">
        <v>0</v>
      </c>
      <c r="R292" s="2">
        <v>1.07</v>
      </c>
      <c r="S292" t="s">
        <v>725</v>
      </c>
      <c r="U292" t="s">
        <v>735</v>
      </c>
    </row>
    <row r="293" spans="1:21" x14ac:dyDescent="0.6">
      <c r="A293">
        <v>244</v>
      </c>
      <c r="B293" t="str">
        <f>"5425"</f>
        <v>5425</v>
      </c>
      <c r="C293" t="s">
        <v>323</v>
      </c>
      <c r="D293" s="1">
        <v>42923</v>
      </c>
      <c r="E293">
        <v>41.85</v>
      </c>
      <c r="F293">
        <v>0.05</v>
      </c>
      <c r="G293" s="3">
        <v>1.1999999999999999E-3</v>
      </c>
      <c r="H293">
        <v>2015</v>
      </c>
      <c r="I293">
        <v>2.5099999999999998</v>
      </c>
      <c r="J293">
        <v>2</v>
      </c>
      <c r="K293">
        <v>0</v>
      </c>
      <c r="L293">
        <v>2</v>
      </c>
      <c r="M293" s="3">
        <v>4.7800000000000002E-2</v>
      </c>
      <c r="N293" s="2">
        <v>0</v>
      </c>
      <c r="O293" s="3">
        <v>4.7800000000000002E-2</v>
      </c>
      <c r="P293" s="3">
        <v>0.79700000000000004</v>
      </c>
      <c r="Q293" s="2">
        <v>0</v>
      </c>
      <c r="R293" s="3">
        <v>0.79700000000000004</v>
      </c>
      <c r="S293" t="s">
        <v>755</v>
      </c>
      <c r="U293" t="s">
        <v>746</v>
      </c>
    </row>
    <row r="294" spans="1:21" x14ac:dyDescent="0.6">
      <c r="A294">
        <v>482</v>
      </c>
      <c r="B294" t="str">
        <f>"2809"</f>
        <v>2809</v>
      </c>
      <c r="C294" t="s">
        <v>575</v>
      </c>
      <c r="D294" s="1">
        <v>42923</v>
      </c>
      <c r="E294">
        <v>31.35</v>
      </c>
      <c r="F294">
        <v>-0.9</v>
      </c>
      <c r="G294" s="3">
        <v>-2.7900000000000001E-2</v>
      </c>
      <c r="H294">
        <v>2015</v>
      </c>
      <c r="I294">
        <v>4.33</v>
      </c>
      <c r="J294">
        <v>1.5</v>
      </c>
      <c r="K294">
        <v>0</v>
      </c>
      <c r="L294">
        <v>1.5</v>
      </c>
      <c r="M294" s="3">
        <v>4.7800000000000002E-2</v>
      </c>
      <c r="N294" s="2">
        <v>0</v>
      </c>
      <c r="O294" s="3">
        <v>4.7800000000000002E-2</v>
      </c>
      <c r="P294" s="3">
        <v>0.34599999999999997</v>
      </c>
      <c r="Q294" s="2">
        <v>0</v>
      </c>
      <c r="R294" s="3">
        <v>0.34599999999999997</v>
      </c>
      <c r="S294" t="s">
        <v>771</v>
      </c>
      <c r="U294" t="s">
        <v>728</v>
      </c>
    </row>
    <row r="295" spans="1:21" x14ac:dyDescent="0.6">
      <c r="A295">
        <v>84</v>
      </c>
      <c r="B295" t="str">
        <f>"6470"</f>
        <v>6470</v>
      </c>
      <c r="C295" t="s">
        <v>146</v>
      </c>
      <c r="D295" s="1">
        <v>42923</v>
      </c>
      <c r="E295">
        <v>52.4</v>
      </c>
      <c r="F295">
        <v>-0.6</v>
      </c>
      <c r="G295" s="3">
        <v>-1.1299999999999999E-2</v>
      </c>
      <c r="H295">
        <v>2015</v>
      </c>
      <c r="I295">
        <v>4.79</v>
      </c>
      <c r="J295">
        <v>2.5</v>
      </c>
      <c r="K295">
        <v>0.5</v>
      </c>
      <c r="L295">
        <v>3</v>
      </c>
      <c r="M295" s="3">
        <v>4.7699999999999999E-2</v>
      </c>
      <c r="N295" s="3">
        <v>9.4999999999999998E-3</v>
      </c>
      <c r="O295" s="3">
        <v>5.7299999999999997E-2</v>
      </c>
      <c r="P295" s="3">
        <v>0.52200000000000002</v>
      </c>
      <c r="Q295" s="3">
        <v>0.104</v>
      </c>
      <c r="R295" s="3">
        <v>0.626</v>
      </c>
      <c r="S295" t="s">
        <v>710</v>
      </c>
      <c r="T295" t="s">
        <v>710</v>
      </c>
      <c r="U295" t="s">
        <v>759</v>
      </c>
    </row>
    <row r="296" spans="1:21" x14ac:dyDescent="0.6">
      <c r="A296">
        <v>486</v>
      </c>
      <c r="B296" t="str">
        <f>"2832"</f>
        <v>2832</v>
      </c>
      <c r="C296" t="s">
        <v>579</v>
      </c>
      <c r="D296" s="1">
        <v>42923</v>
      </c>
      <c r="E296">
        <v>19</v>
      </c>
      <c r="F296">
        <v>0.05</v>
      </c>
      <c r="G296" s="3">
        <v>2.5999999999999999E-3</v>
      </c>
      <c r="H296">
        <v>2015</v>
      </c>
      <c r="I296">
        <v>1.81</v>
      </c>
      <c r="J296">
        <v>0.9</v>
      </c>
      <c r="K296">
        <v>0</v>
      </c>
      <c r="L296">
        <v>0.9</v>
      </c>
      <c r="M296" s="3">
        <v>4.7399999999999998E-2</v>
      </c>
      <c r="N296" s="2">
        <v>0</v>
      </c>
      <c r="O296" s="3">
        <v>4.7399999999999998E-2</v>
      </c>
      <c r="P296" s="3">
        <v>0.497</v>
      </c>
      <c r="Q296" s="2">
        <v>0</v>
      </c>
      <c r="R296" s="3">
        <v>0.497</v>
      </c>
      <c r="S296" t="s">
        <v>751</v>
      </c>
      <c r="U296" t="s">
        <v>691</v>
      </c>
    </row>
    <row r="297" spans="1:21" x14ac:dyDescent="0.6">
      <c r="A297">
        <v>422</v>
      </c>
      <c r="B297" t="str">
        <f>"8114"</f>
        <v>8114</v>
      </c>
      <c r="C297" t="s">
        <v>509</v>
      </c>
      <c r="D297" s="1">
        <v>42923</v>
      </c>
      <c r="E297">
        <v>159</v>
      </c>
      <c r="F297">
        <v>-6</v>
      </c>
      <c r="G297" s="3">
        <v>-3.6400000000000002E-2</v>
      </c>
      <c r="H297">
        <v>2015</v>
      </c>
      <c r="I297">
        <v>8.8800000000000008</v>
      </c>
      <c r="J297">
        <v>7.5</v>
      </c>
      <c r="K297">
        <v>0.35</v>
      </c>
      <c r="L297">
        <v>7.85</v>
      </c>
      <c r="M297" s="3">
        <v>4.7199999999999999E-2</v>
      </c>
      <c r="N297" s="3">
        <v>2.2000000000000001E-3</v>
      </c>
      <c r="O297" s="3">
        <v>4.9399999999999999E-2</v>
      </c>
      <c r="P297" s="3">
        <v>0.84499999999999997</v>
      </c>
      <c r="Q297" s="3">
        <v>3.9399999999999998E-2</v>
      </c>
      <c r="R297" s="3">
        <v>0.88400000000000001</v>
      </c>
      <c r="S297" t="s">
        <v>757</v>
      </c>
      <c r="T297" t="s">
        <v>757</v>
      </c>
      <c r="U297" t="s">
        <v>761</v>
      </c>
    </row>
    <row r="298" spans="1:21" x14ac:dyDescent="0.6">
      <c r="A298">
        <v>168</v>
      </c>
      <c r="B298" t="str">
        <f>"9924"</f>
        <v>9924</v>
      </c>
      <c r="C298" t="s">
        <v>241</v>
      </c>
      <c r="D298" s="1">
        <v>42923</v>
      </c>
      <c r="E298">
        <v>42.65</v>
      </c>
      <c r="F298">
        <v>-0.15</v>
      </c>
      <c r="G298" s="3">
        <v>-3.5000000000000001E-3</v>
      </c>
      <c r="H298">
        <v>2015</v>
      </c>
      <c r="I298">
        <v>2.7</v>
      </c>
      <c r="J298">
        <v>2</v>
      </c>
      <c r="K298">
        <v>0</v>
      </c>
      <c r="L298">
        <v>2</v>
      </c>
      <c r="M298" s="3">
        <v>4.6899999999999997E-2</v>
      </c>
      <c r="N298" s="2">
        <v>0</v>
      </c>
      <c r="O298" s="3">
        <v>4.6899999999999997E-2</v>
      </c>
      <c r="P298" s="3">
        <v>0.74099999999999999</v>
      </c>
      <c r="Q298" s="2">
        <v>0</v>
      </c>
      <c r="R298" s="3">
        <v>0.74099999999999999</v>
      </c>
      <c r="S298" t="s">
        <v>698</v>
      </c>
      <c r="U298" t="s">
        <v>695</v>
      </c>
    </row>
    <row r="299" spans="1:21" x14ac:dyDescent="0.6">
      <c r="A299">
        <v>47</v>
      </c>
      <c r="B299" t="str">
        <f>"3596"</f>
        <v>3596</v>
      </c>
      <c r="C299" t="s">
        <v>94</v>
      </c>
      <c r="D299" s="1">
        <v>42923</v>
      </c>
      <c r="E299">
        <v>47.45</v>
      </c>
      <c r="F299">
        <v>0.3</v>
      </c>
      <c r="G299" s="3">
        <v>6.4000000000000003E-3</v>
      </c>
      <c r="H299">
        <v>2015</v>
      </c>
      <c r="I299">
        <v>4.29</v>
      </c>
      <c r="J299">
        <v>2.2000000000000002</v>
      </c>
      <c r="K299">
        <v>0</v>
      </c>
      <c r="L299">
        <v>2.2000000000000002</v>
      </c>
      <c r="M299" s="3">
        <v>4.6399999999999997E-2</v>
      </c>
      <c r="N299" s="2">
        <v>0</v>
      </c>
      <c r="O299" s="3">
        <v>4.6399999999999997E-2</v>
      </c>
      <c r="P299" s="3">
        <v>0.51300000000000001</v>
      </c>
      <c r="Q299" s="2">
        <v>0</v>
      </c>
      <c r="R299" s="3">
        <v>0.51300000000000001</v>
      </c>
      <c r="S299" t="s">
        <v>729</v>
      </c>
      <c r="U299" t="s">
        <v>730</v>
      </c>
    </row>
    <row r="300" spans="1:21" x14ac:dyDescent="0.6">
      <c r="A300">
        <v>79</v>
      </c>
      <c r="B300" t="str">
        <f>"4722"</f>
        <v>4722</v>
      </c>
      <c r="C300" t="s">
        <v>139</v>
      </c>
      <c r="D300" s="1">
        <v>42923</v>
      </c>
      <c r="E300">
        <v>32.35</v>
      </c>
      <c r="F300">
        <v>-0.2</v>
      </c>
      <c r="G300" s="3">
        <v>-6.1000000000000004E-3</v>
      </c>
      <c r="H300">
        <v>2015</v>
      </c>
      <c r="I300">
        <v>2.0299999999999998</v>
      </c>
      <c r="J300">
        <v>1.5</v>
      </c>
      <c r="K300">
        <v>0</v>
      </c>
      <c r="L300">
        <v>1.5</v>
      </c>
      <c r="M300" s="3">
        <v>4.6399999999999997E-2</v>
      </c>
      <c r="N300" s="2">
        <v>0</v>
      </c>
      <c r="O300" s="3">
        <v>4.6399999999999997E-2</v>
      </c>
      <c r="P300" s="3">
        <v>0.73899999999999999</v>
      </c>
      <c r="Q300" s="2">
        <v>0</v>
      </c>
      <c r="R300" s="3">
        <v>0.73899999999999999</v>
      </c>
      <c r="S300" t="s">
        <v>708</v>
      </c>
      <c r="U300" t="s">
        <v>713</v>
      </c>
    </row>
    <row r="301" spans="1:21" x14ac:dyDescent="0.6">
      <c r="A301">
        <v>236</v>
      </c>
      <c r="B301" t="str">
        <f>"4706"</f>
        <v>4706</v>
      </c>
      <c r="C301" t="s">
        <v>315</v>
      </c>
      <c r="D301" s="1">
        <v>42923</v>
      </c>
      <c r="E301">
        <v>21.55</v>
      </c>
      <c r="F301">
        <v>0.15</v>
      </c>
      <c r="G301" s="3">
        <v>7.0000000000000001E-3</v>
      </c>
      <c r="H301">
        <v>2015</v>
      </c>
      <c r="I301">
        <v>0.97</v>
      </c>
      <c r="J301">
        <v>1</v>
      </c>
      <c r="K301">
        <v>0</v>
      </c>
      <c r="L301">
        <v>1</v>
      </c>
      <c r="M301" s="3">
        <v>4.6399999999999997E-2</v>
      </c>
      <c r="N301" s="2">
        <v>0</v>
      </c>
      <c r="O301" s="3">
        <v>4.6399999999999997E-2</v>
      </c>
      <c r="P301" s="2">
        <v>1.03</v>
      </c>
      <c r="Q301" s="2">
        <v>0</v>
      </c>
      <c r="R301" s="2">
        <v>1.03</v>
      </c>
      <c r="S301" t="s">
        <v>756</v>
      </c>
      <c r="U301" t="s">
        <v>709</v>
      </c>
    </row>
    <row r="302" spans="1:21" x14ac:dyDescent="0.6">
      <c r="A302">
        <v>455</v>
      </c>
      <c r="B302" t="str">
        <f>"1726"</f>
        <v>1726</v>
      </c>
      <c r="C302" t="s">
        <v>545</v>
      </c>
      <c r="D302" s="1">
        <v>42923</v>
      </c>
      <c r="E302">
        <v>82.1</v>
      </c>
      <c r="F302">
        <v>-0.5</v>
      </c>
      <c r="G302" s="3">
        <v>-6.1000000000000004E-3</v>
      </c>
      <c r="H302">
        <v>2015</v>
      </c>
      <c r="I302">
        <v>6.39</v>
      </c>
      <c r="J302">
        <v>3.8</v>
      </c>
      <c r="K302">
        <v>0</v>
      </c>
      <c r="L302">
        <v>3.8</v>
      </c>
      <c r="M302" s="3">
        <v>4.6300000000000001E-2</v>
      </c>
      <c r="N302" s="2">
        <v>0</v>
      </c>
      <c r="O302" s="3">
        <v>4.6300000000000001E-2</v>
      </c>
      <c r="P302" s="3">
        <v>0.59499999999999997</v>
      </c>
      <c r="Q302" s="2">
        <v>0</v>
      </c>
      <c r="R302" s="3">
        <v>0.59499999999999997</v>
      </c>
      <c r="S302" t="s">
        <v>753</v>
      </c>
      <c r="U302" t="s">
        <v>739</v>
      </c>
    </row>
    <row r="303" spans="1:21" x14ac:dyDescent="0.6">
      <c r="A303">
        <v>325</v>
      </c>
      <c r="B303" t="str">
        <f>"6218"</f>
        <v>6218</v>
      </c>
      <c r="C303" t="s">
        <v>407</v>
      </c>
      <c r="D303" s="1">
        <v>42923</v>
      </c>
      <c r="E303">
        <v>21.65</v>
      </c>
      <c r="F303">
        <v>-0.1</v>
      </c>
      <c r="G303" s="3">
        <v>-4.5999999999999999E-3</v>
      </c>
      <c r="H303">
        <v>2015</v>
      </c>
      <c r="I303">
        <v>1.26</v>
      </c>
      <c r="J303">
        <v>1</v>
      </c>
      <c r="K303">
        <v>0</v>
      </c>
      <c r="L303">
        <v>1</v>
      </c>
      <c r="M303" s="3">
        <v>4.6199999999999998E-2</v>
      </c>
      <c r="N303" s="2">
        <v>0</v>
      </c>
      <c r="O303" s="3">
        <v>4.6199999999999998E-2</v>
      </c>
      <c r="P303" s="3">
        <v>0.79400000000000004</v>
      </c>
      <c r="Q303" s="2">
        <v>0</v>
      </c>
      <c r="R303" s="3">
        <v>0.79400000000000004</v>
      </c>
      <c r="S303" t="s">
        <v>714</v>
      </c>
      <c r="U303" t="s">
        <v>695</v>
      </c>
    </row>
    <row r="304" spans="1:21" x14ac:dyDescent="0.6">
      <c r="A304">
        <v>399</v>
      </c>
      <c r="B304" t="str">
        <f>"2926"</f>
        <v>2926</v>
      </c>
      <c r="C304" t="s">
        <v>485</v>
      </c>
      <c r="D304" s="1">
        <v>42923</v>
      </c>
      <c r="E304">
        <v>150</v>
      </c>
      <c r="F304">
        <v>0</v>
      </c>
      <c r="G304" s="2">
        <v>0</v>
      </c>
      <c r="H304">
        <v>2015</v>
      </c>
      <c r="I304">
        <v>8.17</v>
      </c>
      <c r="J304">
        <v>6.92</v>
      </c>
      <c r="K304">
        <v>0</v>
      </c>
      <c r="L304">
        <v>6.92</v>
      </c>
      <c r="M304" s="3">
        <v>4.6100000000000002E-2</v>
      </c>
      <c r="N304" s="2">
        <v>0</v>
      </c>
      <c r="O304" s="3">
        <v>4.6100000000000002E-2</v>
      </c>
      <c r="P304" s="3">
        <v>0.84699999999999998</v>
      </c>
      <c r="Q304" s="2">
        <v>0</v>
      </c>
      <c r="R304" s="3">
        <v>0.84699999999999998</v>
      </c>
      <c r="S304" t="s">
        <v>708</v>
      </c>
      <c r="U304" t="s">
        <v>729</v>
      </c>
    </row>
    <row r="305" spans="1:21" x14ac:dyDescent="0.6">
      <c r="A305">
        <v>171</v>
      </c>
      <c r="B305" t="str">
        <f>"6577"</f>
        <v>6577</v>
      </c>
      <c r="C305" t="s">
        <v>244</v>
      </c>
      <c r="D305" s="1">
        <v>42923</v>
      </c>
      <c r="E305">
        <v>62</v>
      </c>
      <c r="F305">
        <v>-0.7</v>
      </c>
      <c r="G305" s="3">
        <v>-1.12E-2</v>
      </c>
      <c r="H305">
        <v>2015</v>
      </c>
      <c r="I305">
        <v>6.69</v>
      </c>
      <c r="J305">
        <v>2.85</v>
      </c>
      <c r="K305">
        <v>2.85</v>
      </c>
      <c r="L305">
        <v>5.7</v>
      </c>
      <c r="M305" s="3">
        <v>4.5999999999999999E-2</v>
      </c>
      <c r="N305" s="3">
        <v>4.5999999999999999E-2</v>
      </c>
      <c r="O305" s="3">
        <v>9.1899999999999996E-2</v>
      </c>
      <c r="P305" s="3">
        <v>0.42599999999999999</v>
      </c>
      <c r="Q305" s="3">
        <v>0.42599999999999999</v>
      </c>
      <c r="R305" s="3">
        <v>0.85199999999999998</v>
      </c>
    </row>
    <row r="306" spans="1:21" x14ac:dyDescent="0.6">
      <c r="A306">
        <v>302</v>
      </c>
      <c r="B306" t="str">
        <f>"2732"</f>
        <v>2732</v>
      </c>
      <c r="C306" t="s">
        <v>384</v>
      </c>
      <c r="D306" s="1">
        <v>42923</v>
      </c>
      <c r="E306">
        <v>87</v>
      </c>
      <c r="F306">
        <v>0</v>
      </c>
      <c r="G306" s="2">
        <v>0</v>
      </c>
      <c r="H306">
        <v>2015</v>
      </c>
      <c r="I306">
        <v>5.71</v>
      </c>
      <c r="J306">
        <v>4</v>
      </c>
      <c r="K306">
        <v>0.5</v>
      </c>
      <c r="L306">
        <v>4.5</v>
      </c>
      <c r="M306" s="3">
        <v>4.5999999999999999E-2</v>
      </c>
      <c r="N306" s="3">
        <v>5.7000000000000002E-3</v>
      </c>
      <c r="O306" s="3">
        <v>5.1700000000000003E-2</v>
      </c>
      <c r="P306" s="2">
        <v>0.7</v>
      </c>
      <c r="Q306" s="3">
        <v>8.7599999999999997E-2</v>
      </c>
      <c r="R306" s="3">
        <v>0.78800000000000003</v>
      </c>
      <c r="S306" t="s">
        <v>751</v>
      </c>
      <c r="T306" t="s">
        <v>751</v>
      </c>
      <c r="U306" t="s">
        <v>760</v>
      </c>
    </row>
    <row r="307" spans="1:21" x14ac:dyDescent="0.6">
      <c r="A307">
        <v>310</v>
      </c>
      <c r="B307" t="str">
        <f>"1817"</f>
        <v>1817</v>
      </c>
      <c r="C307" t="s">
        <v>392</v>
      </c>
      <c r="D307" s="1">
        <v>42923</v>
      </c>
      <c r="E307">
        <v>39.1</v>
      </c>
      <c r="F307">
        <v>-0.25</v>
      </c>
      <c r="G307" s="3">
        <v>-6.4000000000000003E-3</v>
      </c>
      <c r="H307">
        <v>2015</v>
      </c>
      <c r="I307">
        <v>2.5099999999999998</v>
      </c>
      <c r="J307">
        <v>1.8</v>
      </c>
      <c r="K307">
        <v>0</v>
      </c>
      <c r="L307">
        <v>1.8</v>
      </c>
      <c r="M307" s="3">
        <v>4.5999999999999999E-2</v>
      </c>
      <c r="N307" s="2">
        <v>0</v>
      </c>
      <c r="O307" s="3">
        <v>4.5999999999999999E-2</v>
      </c>
      <c r="P307" s="3">
        <v>0.71699999999999997</v>
      </c>
      <c r="Q307" s="2">
        <v>0</v>
      </c>
      <c r="R307" s="3">
        <v>0.71699999999999997</v>
      </c>
      <c r="S307" t="s">
        <v>763</v>
      </c>
      <c r="U307" t="s">
        <v>730</v>
      </c>
    </row>
    <row r="308" spans="1:21" x14ac:dyDescent="0.6">
      <c r="A308">
        <v>225</v>
      </c>
      <c r="B308" t="str">
        <f>"2472"</f>
        <v>2472</v>
      </c>
      <c r="C308" t="s">
        <v>304</v>
      </c>
      <c r="D308" s="1">
        <v>42923</v>
      </c>
      <c r="E308">
        <v>39.25</v>
      </c>
      <c r="F308">
        <v>0</v>
      </c>
      <c r="G308" s="2">
        <v>0</v>
      </c>
      <c r="H308">
        <v>2015</v>
      </c>
      <c r="I308">
        <v>3.6</v>
      </c>
      <c r="J308">
        <v>1.8</v>
      </c>
      <c r="K308">
        <v>0</v>
      </c>
      <c r="L308">
        <v>1.8</v>
      </c>
      <c r="M308" s="3">
        <v>4.5900000000000003E-2</v>
      </c>
      <c r="N308" s="2">
        <v>0</v>
      </c>
      <c r="O308" s="3">
        <v>4.5900000000000003E-2</v>
      </c>
      <c r="P308" s="2">
        <v>0.5</v>
      </c>
      <c r="Q308" s="2">
        <v>0</v>
      </c>
      <c r="R308" s="2">
        <v>0.5</v>
      </c>
      <c r="S308" t="s">
        <v>744</v>
      </c>
      <c r="U308" t="s">
        <v>745</v>
      </c>
    </row>
    <row r="309" spans="1:21" x14ac:dyDescent="0.6">
      <c r="A309">
        <v>352</v>
      </c>
      <c r="B309" t="str">
        <f>"3454"</f>
        <v>3454</v>
      </c>
      <c r="C309" t="s">
        <v>435</v>
      </c>
      <c r="D309" s="1">
        <v>42923</v>
      </c>
      <c r="E309">
        <v>88.1</v>
      </c>
      <c r="F309">
        <v>1.2</v>
      </c>
      <c r="G309" s="3">
        <v>1.38E-2</v>
      </c>
      <c r="H309">
        <v>2015</v>
      </c>
      <c r="I309">
        <v>5.01</v>
      </c>
      <c r="J309">
        <v>4</v>
      </c>
      <c r="K309">
        <v>0.35</v>
      </c>
      <c r="L309">
        <v>4.3499999999999996</v>
      </c>
      <c r="M309" s="3">
        <v>4.5400000000000003E-2</v>
      </c>
      <c r="N309" s="3">
        <v>4.0000000000000001E-3</v>
      </c>
      <c r="O309" s="3">
        <v>4.9399999999999999E-2</v>
      </c>
      <c r="P309" s="3">
        <v>0.79800000000000004</v>
      </c>
      <c r="Q309" s="3">
        <v>6.9900000000000004E-2</v>
      </c>
      <c r="R309" s="3">
        <v>0.86799999999999999</v>
      </c>
      <c r="S309" t="s">
        <v>715</v>
      </c>
      <c r="T309" t="s">
        <v>715</v>
      </c>
      <c r="U309" t="s">
        <v>746</v>
      </c>
    </row>
    <row r="310" spans="1:21" x14ac:dyDescent="0.6">
      <c r="A310">
        <v>405</v>
      </c>
      <c r="B310" t="str">
        <f>"6449"</f>
        <v>6449</v>
      </c>
      <c r="C310" t="s">
        <v>491</v>
      </c>
      <c r="D310" s="1">
        <v>42923</v>
      </c>
      <c r="E310">
        <v>35.299999999999997</v>
      </c>
      <c r="F310">
        <v>-0.25</v>
      </c>
      <c r="G310" s="3">
        <v>-7.0000000000000001E-3</v>
      </c>
      <c r="H310">
        <v>2015</v>
      </c>
      <c r="I310">
        <v>3.05</v>
      </c>
      <c r="J310">
        <v>1.6</v>
      </c>
      <c r="K310">
        <v>0</v>
      </c>
      <c r="L310">
        <v>1.6</v>
      </c>
      <c r="M310" s="3">
        <v>4.53E-2</v>
      </c>
      <c r="N310" s="2">
        <v>0</v>
      </c>
      <c r="O310" s="3">
        <v>4.53E-2</v>
      </c>
      <c r="P310" s="3">
        <v>0.52500000000000002</v>
      </c>
      <c r="Q310" s="2">
        <v>0</v>
      </c>
      <c r="R310" s="3">
        <v>0.52500000000000002</v>
      </c>
      <c r="S310" t="s">
        <v>698</v>
      </c>
      <c r="U310" t="s">
        <v>748</v>
      </c>
    </row>
    <row r="311" spans="1:21" x14ac:dyDescent="0.6">
      <c r="A311">
        <v>166</v>
      </c>
      <c r="B311" t="str">
        <f>"6290"</f>
        <v>6290</v>
      </c>
      <c r="C311" t="s">
        <v>238</v>
      </c>
      <c r="D311" s="1">
        <v>42923</v>
      </c>
      <c r="E311">
        <v>40.200000000000003</v>
      </c>
      <c r="F311">
        <v>-0.75</v>
      </c>
      <c r="G311" s="3">
        <v>-1.83E-2</v>
      </c>
      <c r="H311">
        <v>2015</v>
      </c>
      <c r="I311">
        <v>2.85</v>
      </c>
      <c r="J311">
        <v>1.81</v>
      </c>
      <c r="K311">
        <v>0</v>
      </c>
      <c r="L311">
        <v>1.81</v>
      </c>
      <c r="M311" s="3">
        <v>4.5100000000000001E-2</v>
      </c>
      <c r="N311" s="2">
        <v>0</v>
      </c>
      <c r="O311" s="3">
        <v>4.5100000000000001E-2</v>
      </c>
      <c r="P311" s="3">
        <v>0.63500000000000001</v>
      </c>
      <c r="Q311" s="2">
        <v>0</v>
      </c>
      <c r="R311" s="3">
        <v>0.63500000000000001</v>
      </c>
      <c r="S311" t="s">
        <v>753</v>
      </c>
      <c r="U311" t="s">
        <v>739</v>
      </c>
    </row>
    <row r="312" spans="1:21" x14ac:dyDescent="0.6">
      <c r="A312">
        <v>469</v>
      </c>
      <c r="B312" t="str">
        <f>"4977"</f>
        <v>4977</v>
      </c>
      <c r="C312" t="s">
        <v>562</v>
      </c>
      <c r="D312" s="1">
        <v>42923</v>
      </c>
      <c r="E312">
        <v>99.8</v>
      </c>
      <c r="F312">
        <v>-0.7</v>
      </c>
      <c r="G312" s="3">
        <v>-7.0000000000000001E-3</v>
      </c>
      <c r="H312">
        <v>2015</v>
      </c>
      <c r="I312">
        <v>5</v>
      </c>
      <c r="J312">
        <v>4.5</v>
      </c>
      <c r="K312">
        <v>0.5</v>
      </c>
      <c r="L312">
        <v>5</v>
      </c>
      <c r="M312" s="3">
        <v>4.5100000000000001E-2</v>
      </c>
      <c r="N312" s="3">
        <v>5.0000000000000001E-3</v>
      </c>
      <c r="O312" s="3">
        <v>5.0099999999999999E-2</v>
      </c>
      <c r="P312" s="2">
        <v>0.9</v>
      </c>
      <c r="Q312" s="2">
        <v>0.1</v>
      </c>
      <c r="R312" s="2">
        <v>1</v>
      </c>
      <c r="S312" t="s">
        <v>751</v>
      </c>
      <c r="T312" t="s">
        <v>751</v>
      </c>
      <c r="U312" t="s">
        <v>713</v>
      </c>
    </row>
    <row r="313" spans="1:21" x14ac:dyDescent="0.6">
      <c r="A313">
        <v>230</v>
      </c>
      <c r="B313" t="str">
        <f>"4119"</f>
        <v>4119</v>
      </c>
      <c r="C313" t="s">
        <v>309</v>
      </c>
      <c r="D313" s="1">
        <v>42923</v>
      </c>
      <c r="E313">
        <v>69.3</v>
      </c>
      <c r="F313">
        <v>-0.6</v>
      </c>
      <c r="G313" s="3">
        <v>-8.6E-3</v>
      </c>
      <c r="H313">
        <v>2015</v>
      </c>
      <c r="I313">
        <v>3.83</v>
      </c>
      <c r="J313">
        <v>3.11</v>
      </c>
      <c r="K313">
        <v>0</v>
      </c>
      <c r="L313">
        <v>3.11</v>
      </c>
      <c r="M313" s="3">
        <v>4.4900000000000002E-2</v>
      </c>
      <c r="N313" s="2">
        <v>0</v>
      </c>
      <c r="O313" s="3">
        <v>4.4900000000000002E-2</v>
      </c>
      <c r="P313" s="3">
        <v>0.81200000000000006</v>
      </c>
      <c r="Q313" s="2">
        <v>0</v>
      </c>
      <c r="R313" s="3">
        <v>0.81200000000000006</v>
      </c>
      <c r="S313" t="s">
        <v>755</v>
      </c>
      <c r="U313" t="s">
        <v>766</v>
      </c>
    </row>
    <row r="314" spans="1:21" x14ac:dyDescent="0.6">
      <c r="A314">
        <v>476</v>
      </c>
      <c r="B314" t="str">
        <f>"1434"</f>
        <v>1434</v>
      </c>
      <c r="C314" t="s">
        <v>569</v>
      </c>
      <c r="D314" s="1">
        <v>42923</v>
      </c>
      <c r="E314">
        <v>31.25</v>
      </c>
      <c r="F314">
        <v>0.05</v>
      </c>
      <c r="G314" s="3">
        <v>1.6000000000000001E-3</v>
      </c>
      <c r="H314">
        <v>2015</v>
      </c>
      <c r="I314">
        <v>2.09</v>
      </c>
      <c r="J314">
        <v>1.4</v>
      </c>
      <c r="K314">
        <v>0</v>
      </c>
      <c r="L314">
        <v>1.4</v>
      </c>
      <c r="M314" s="3">
        <v>4.48E-2</v>
      </c>
      <c r="N314" s="2">
        <v>0</v>
      </c>
      <c r="O314" s="3">
        <v>4.48E-2</v>
      </c>
      <c r="P314" s="2">
        <v>0.67</v>
      </c>
      <c r="Q314" s="2">
        <v>0</v>
      </c>
      <c r="R314" s="2">
        <v>0.67</v>
      </c>
      <c r="S314" t="s">
        <v>691</v>
      </c>
      <c r="U314" t="s">
        <v>746</v>
      </c>
    </row>
    <row r="315" spans="1:21" x14ac:dyDescent="0.6">
      <c r="A315">
        <v>100</v>
      </c>
      <c r="B315" t="str">
        <f>"6123"</f>
        <v>6123</v>
      </c>
      <c r="C315" t="s">
        <v>163</v>
      </c>
      <c r="D315" s="1">
        <v>42923</v>
      </c>
      <c r="E315">
        <v>33.799999999999997</v>
      </c>
      <c r="F315">
        <v>-0.15</v>
      </c>
      <c r="G315" s="3">
        <v>-4.4000000000000003E-3</v>
      </c>
      <c r="H315">
        <v>2015</v>
      </c>
      <c r="I315">
        <v>1.69</v>
      </c>
      <c r="J315">
        <v>1.51</v>
      </c>
      <c r="K315">
        <v>0</v>
      </c>
      <c r="L315">
        <v>1.51</v>
      </c>
      <c r="M315" s="3">
        <v>4.4600000000000001E-2</v>
      </c>
      <c r="N315" s="2">
        <v>0</v>
      </c>
      <c r="O315" s="3">
        <v>4.4600000000000001E-2</v>
      </c>
      <c r="P315" s="3">
        <v>0.89400000000000002</v>
      </c>
      <c r="Q315" s="2">
        <v>0</v>
      </c>
      <c r="R315" s="3">
        <v>0.89400000000000002</v>
      </c>
      <c r="S315" t="s">
        <v>728</v>
      </c>
      <c r="U315" t="s">
        <v>709</v>
      </c>
    </row>
    <row r="316" spans="1:21" x14ac:dyDescent="0.6">
      <c r="A316">
        <v>430</v>
      </c>
      <c r="B316" t="str">
        <f>"3617"</f>
        <v>3617</v>
      </c>
      <c r="C316" t="s">
        <v>518</v>
      </c>
      <c r="D316" s="1">
        <v>42923</v>
      </c>
      <c r="E316">
        <v>95.2</v>
      </c>
      <c r="F316">
        <v>-0.1</v>
      </c>
      <c r="G316" s="3">
        <v>-1E-3</v>
      </c>
      <c r="H316">
        <v>2015</v>
      </c>
      <c r="I316">
        <v>5.64</v>
      </c>
      <c r="J316">
        <v>4.2300000000000004</v>
      </c>
      <c r="K316">
        <v>0</v>
      </c>
      <c r="L316">
        <v>4.2300000000000004</v>
      </c>
      <c r="M316" s="3">
        <v>4.4499999999999998E-2</v>
      </c>
      <c r="N316" s="2">
        <v>0</v>
      </c>
      <c r="O316" s="3">
        <v>4.4499999999999998E-2</v>
      </c>
      <c r="P316" s="2">
        <v>0.75</v>
      </c>
      <c r="Q316" s="2">
        <v>0</v>
      </c>
      <c r="R316" s="2">
        <v>0.75</v>
      </c>
      <c r="S316" t="s">
        <v>765</v>
      </c>
      <c r="U316" t="s">
        <v>733</v>
      </c>
    </row>
    <row r="317" spans="1:21" x14ac:dyDescent="0.6">
      <c r="A317">
        <v>185</v>
      </c>
      <c r="B317" t="str">
        <f>"8422"</f>
        <v>8422</v>
      </c>
      <c r="C317" t="s">
        <v>261</v>
      </c>
      <c r="D317" s="1">
        <v>42923</v>
      </c>
      <c r="E317">
        <v>180</v>
      </c>
      <c r="F317">
        <v>-1</v>
      </c>
      <c r="G317" s="3">
        <v>-5.4999999999999997E-3</v>
      </c>
      <c r="H317">
        <v>2015</v>
      </c>
      <c r="I317">
        <v>9.43</v>
      </c>
      <c r="J317">
        <v>8</v>
      </c>
      <c r="K317">
        <v>0</v>
      </c>
      <c r="L317">
        <v>8</v>
      </c>
      <c r="M317" s="3">
        <v>4.4400000000000002E-2</v>
      </c>
      <c r="N317" s="2">
        <v>0</v>
      </c>
      <c r="O317" s="3">
        <v>4.4400000000000002E-2</v>
      </c>
      <c r="P317" s="3">
        <v>0.84799999999999998</v>
      </c>
      <c r="Q317" s="2">
        <v>0</v>
      </c>
      <c r="R317" s="3">
        <v>0.84799999999999998</v>
      </c>
      <c r="S317" t="s">
        <v>724</v>
      </c>
      <c r="U317" t="s">
        <v>755</v>
      </c>
    </row>
    <row r="318" spans="1:21" x14ac:dyDescent="0.6">
      <c r="A318">
        <v>229</v>
      </c>
      <c r="B318" t="str">
        <f>"1307"</f>
        <v>1307</v>
      </c>
      <c r="C318" t="s">
        <v>308</v>
      </c>
      <c r="D318" s="1">
        <v>42923</v>
      </c>
      <c r="E318">
        <v>36.299999999999997</v>
      </c>
      <c r="F318">
        <v>-0.25</v>
      </c>
      <c r="G318" s="3">
        <v>-6.7999999999999996E-3</v>
      </c>
      <c r="H318">
        <v>2015</v>
      </c>
      <c r="I318">
        <v>2.59</v>
      </c>
      <c r="J318">
        <v>1.6</v>
      </c>
      <c r="K318">
        <v>0.3</v>
      </c>
      <c r="L318">
        <v>1.9</v>
      </c>
      <c r="M318" s="3">
        <v>4.41E-2</v>
      </c>
      <c r="N318" s="3">
        <v>8.3000000000000001E-3</v>
      </c>
      <c r="O318" s="3">
        <v>5.2299999999999999E-2</v>
      </c>
      <c r="P318" s="3">
        <v>0.61799999999999999</v>
      </c>
      <c r="Q318" s="3">
        <v>0.11600000000000001</v>
      </c>
      <c r="R318" s="3">
        <v>0.73399999999999999</v>
      </c>
      <c r="S318" t="s">
        <v>694</v>
      </c>
      <c r="T318" t="s">
        <v>694</v>
      </c>
      <c r="U318" t="s">
        <v>746</v>
      </c>
    </row>
    <row r="319" spans="1:21" x14ac:dyDescent="0.6">
      <c r="A319">
        <v>369</v>
      </c>
      <c r="B319" t="str">
        <f>"1452"</f>
        <v>1452</v>
      </c>
      <c r="C319" t="s">
        <v>452</v>
      </c>
      <c r="D319" s="1">
        <v>42923</v>
      </c>
      <c r="E319">
        <v>22.7</v>
      </c>
      <c r="F319">
        <v>-0.1</v>
      </c>
      <c r="G319" s="3">
        <v>-4.4000000000000003E-3</v>
      </c>
      <c r="H319">
        <v>2015</v>
      </c>
      <c r="I319">
        <v>1.31</v>
      </c>
      <c r="J319">
        <v>1</v>
      </c>
      <c r="K319">
        <v>0</v>
      </c>
      <c r="L319">
        <v>1</v>
      </c>
      <c r="M319" s="3">
        <v>4.41E-2</v>
      </c>
      <c r="N319" s="2">
        <v>0</v>
      </c>
      <c r="O319" s="3">
        <v>4.41E-2</v>
      </c>
      <c r="P319" s="3">
        <v>0.76300000000000001</v>
      </c>
      <c r="Q319" s="2">
        <v>0</v>
      </c>
      <c r="R319" s="3">
        <v>0.76300000000000001</v>
      </c>
      <c r="S319" t="s">
        <v>710</v>
      </c>
      <c r="U319" t="s">
        <v>711</v>
      </c>
    </row>
    <row r="320" spans="1:21" x14ac:dyDescent="0.6">
      <c r="A320">
        <v>143</v>
      </c>
      <c r="B320" t="str">
        <f>"3130"</f>
        <v>3130</v>
      </c>
      <c r="C320" t="s">
        <v>211</v>
      </c>
      <c r="D320" s="1">
        <v>42923</v>
      </c>
      <c r="E320">
        <v>159</v>
      </c>
      <c r="F320">
        <v>-0.5</v>
      </c>
      <c r="G320" s="3">
        <v>-3.0999999999999999E-3</v>
      </c>
      <c r="H320">
        <v>2015</v>
      </c>
      <c r="I320">
        <v>9.41</v>
      </c>
      <c r="J320">
        <v>7</v>
      </c>
      <c r="K320">
        <v>0</v>
      </c>
      <c r="L320">
        <v>7</v>
      </c>
      <c r="M320" s="3">
        <v>4.3999999999999997E-2</v>
      </c>
      <c r="N320" s="2">
        <v>0</v>
      </c>
      <c r="O320" s="3">
        <v>4.3999999999999997E-2</v>
      </c>
      <c r="P320" s="3">
        <v>0.74399999999999999</v>
      </c>
      <c r="Q320" s="2">
        <v>0</v>
      </c>
      <c r="R320" s="3">
        <v>0.74399999999999999</v>
      </c>
      <c r="S320" t="s">
        <v>757</v>
      </c>
      <c r="U320" t="s">
        <v>695</v>
      </c>
    </row>
    <row r="321" spans="1:21" x14ac:dyDescent="0.6">
      <c r="A321">
        <v>221</v>
      </c>
      <c r="B321" t="str">
        <f>"2010"</f>
        <v>2010</v>
      </c>
      <c r="C321" t="s">
        <v>300</v>
      </c>
      <c r="D321" s="1">
        <v>42923</v>
      </c>
      <c r="E321">
        <v>11.4</v>
      </c>
      <c r="F321">
        <v>0</v>
      </c>
      <c r="G321" s="2">
        <v>0</v>
      </c>
      <c r="H321">
        <v>2015</v>
      </c>
      <c r="I321">
        <v>0.72</v>
      </c>
      <c r="J321">
        <v>0.5</v>
      </c>
      <c r="K321">
        <v>0</v>
      </c>
      <c r="L321">
        <v>0.5</v>
      </c>
      <c r="M321" s="3">
        <v>4.3900000000000002E-2</v>
      </c>
      <c r="N321" s="2">
        <v>0</v>
      </c>
      <c r="O321" s="3">
        <v>4.3900000000000002E-2</v>
      </c>
      <c r="P321" s="3">
        <v>0.69399999999999995</v>
      </c>
      <c r="Q321" s="2">
        <v>0</v>
      </c>
      <c r="R321" s="3">
        <v>0.69399999999999995</v>
      </c>
      <c r="S321" t="s">
        <v>743</v>
      </c>
      <c r="U321" t="s">
        <v>758</v>
      </c>
    </row>
    <row r="322" spans="1:21" x14ac:dyDescent="0.6">
      <c r="A322">
        <v>316</v>
      </c>
      <c r="B322" t="str">
        <f>"1725"</f>
        <v>1725</v>
      </c>
      <c r="C322" t="s">
        <v>398</v>
      </c>
      <c r="D322" s="1">
        <v>42923</v>
      </c>
      <c r="E322">
        <v>14.3</v>
      </c>
      <c r="F322">
        <v>0</v>
      </c>
      <c r="G322" s="2">
        <v>0</v>
      </c>
      <c r="H322">
        <v>2015</v>
      </c>
      <c r="I322">
        <v>0.94</v>
      </c>
      <c r="J322">
        <v>0.62</v>
      </c>
      <c r="K322">
        <v>0</v>
      </c>
      <c r="L322">
        <v>0.62</v>
      </c>
      <c r="M322" s="3">
        <v>4.3700000000000003E-2</v>
      </c>
      <c r="N322" s="2">
        <v>0</v>
      </c>
      <c r="O322" s="3">
        <v>4.3700000000000003E-2</v>
      </c>
      <c r="P322" s="2">
        <v>0.66</v>
      </c>
      <c r="Q322" s="2">
        <v>0</v>
      </c>
      <c r="R322" s="2">
        <v>0.66</v>
      </c>
      <c r="S322" t="s">
        <v>718</v>
      </c>
      <c r="U322" t="s">
        <v>746</v>
      </c>
    </row>
    <row r="323" spans="1:21" x14ac:dyDescent="0.6">
      <c r="A323">
        <v>474</v>
      </c>
      <c r="B323" t="str">
        <f>"3032"</f>
        <v>3032</v>
      </c>
      <c r="C323" t="s">
        <v>567</v>
      </c>
      <c r="D323" s="1">
        <v>42923</v>
      </c>
      <c r="E323">
        <v>45.8</v>
      </c>
      <c r="F323">
        <v>-0.9</v>
      </c>
      <c r="G323" s="3">
        <v>-1.9300000000000001E-2</v>
      </c>
      <c r="H323">
        <v>2015</v>
      </c>
      <c r="I323">
        <v>2.06</v>
      </c>
      <c r="J323">
        <v>2</v>
      </c>
      <c r="K323">
        <v>0</v>
      </c>
      <c r="L323">
        <v>2</v>
      </c>
      <c r="M323" s="3">
        <v>4.3700000000000003E-2</v>
      </c>
      <c r="N323" s="2">
        <v>0</v>
      </c>
      <c r="O323" s="3">
        <v>4.3700000000000003E-2</v>
      </c>
      <c r="P323" s="3">
        <v>0.97099999999999997</v>
      </c>
      <c r="Q323" s="2">
        <v>0</v>
      </c>
      <c r="R323" s="3">
        <v>0.97099999999999997</v>
      </c>
      <c r="S323" t="s">
        <v>768</v>
      </c>
      <c r="U323" t="s">
        <v>765</v>
      </c>
    </row>
    <row r="324" spans="1:21" x14ac:dyDescent="0.6">
      <c r="A324">
        <v>250</v>
      </c>
      <c r="B324" t="str">
        <f>"2616"</f>
        <v>2616</v>
      </c>
      <c r="C324" t="s">
        <v>329</v>
      </c>
      <c r="D324" s="1">
        <v>42923</v>
      </c>
      <c r="E324">
        <v>34.6</v>
      </c>
      <c r="F324">
        <v>-0.1</v>
      </c>
      <c r="G324" s="3">
        <v>-2.8999999999999998E-3</v>
      </c>
      <c r="H324">
        <v>2015</v>
      </c>
      <c r="I324">
        <v>2.02</v>
      </c>
      <c r="J324">
        <v>1.5</v>
      </c>
      <c r="K324">
        <v>0</v>
      </c>
      <c r="L324">
        <v>1.5</v>
      </c>
      <c r="M324" s="3">
        <v>4.3400000000000001E-2</v>
      </c>
      <c r="N324" s="2">
        <v>0</v>
      </c>
      <c r="O324" s="3">
        <v>4.3400000000000001E-2</v>
      </c>
      <c r="P324" s="3">
        <v>0.74299999999999999</v>
      </c>
      <c r="Q324" s="2">
        <v>0</v>
      </c>
      <c r="R324" s="3">
        <v>0.74299999999999999</v>
      </c>
      <c r="S324" t="s">
        <v>715</v>
      </c>
      <c r="U324" t="s">
        <v>717</v>
      </c>
    </row>
    <row r="325" spans="1:21" x14ac:dyDescent="0.6">
      <c r="A325">
        <v>452</v>
      </c>
      <c r="B325" t="str">
        <f>"2897"</f>
        <v>2897</v>
      </c>
      <c r="C325" t="s">
        <v>542</v>
      </c>
      <c r="D325" s="1">
        <v>42923</v>
      </c>
      <c r="E325">
        <v>9.2200000000000006</v>
      </c>
      <c r="F325">
        <v>-0.04</v>
      </c>
      <c r="G325" s="3">
        <v>-4.3E-3</v>
      </c>
      <c r="H325">
        <v>2015</v>
      </c>
      <c r="I325">
        <v>0.74</v>
      </c>
      <c r="J325">
        <v>0.4</v>
      </c>
      <c r="K325">
        <v>0</v>
      </c>
      <c r="L325">
        <v>0.4</v>
      </c>
      <c r="M325" s="3">
        <v>4.3400000000000001E-2</v>
      </c>
      <c r="N325" s="2">
        <v>0</v>
      </c>
      <c r="O325" s="3">
        <v>4.3400000000000001E-2</v>
      </c>
      <c r="P325" s="2">
        <v>0.54</v>
      </c>
      <c r="Q325" s="2">
        <v>0</v>
      </c>
      <c r="R325" s="2">
        <v>0.54</v>
      </c>
      <c r="S325" t="s">
        <v>698</v>
      </c>
      <c r="U325" t="s">
        <v>750</v>
      </c>
    </row>
    <row r="326" spans="1:21" x14ac:dyDescent="0.6">
      <c r="A326">
        <v>384</v>
      </c>
      <c r="B326" t="str">
        <f>"4163"</f>
        <v>4163</v>
      </c>
      <c r="C326" t="s">
        <v>468</v>
      </c>
      <c r="D326" s="1">
        <v>42923</v>
      </c>
      <c r="E326">
        <v>115.5</v>
      </c>
      <c r="F326">
        <v>-2</v>
      </c>
      <c r="G326" s="3">
        <v>-1.7000000000000001E-2</v>
      </c>
      <c r="H326">
        <v>2015</v>
      </c>
      <c r="I326">
        <v>7.87</v>
      </c>
      <c r="J326">
        <v>5</v>
      </c>
      <c r="K326">
        <v>0</v>
      </c>
      <c r="L326">
        <v>5</v>
      </c>
      <c r="M326" s="3">
        <v>4.3299999999999998E-2</v>
      </c>
      <c r="N326" s="2">
        <v>0</v>
      </c>
      <c r="O326" s="3">
        <v>4.3299999999999998E-2</v>
      </c>
      <c r="P326" s="3">
        <v>0.63500000000000001</v>
      </c>
      <c r="Q326" s="2">
        <v>0</v>
      </c>
      <c r="R326" s="3">
        <v>0.63500000000000001</v>
      </c>
      <c r="S326" t="s">
        <v>757</v>
      </c>
      <c r="U326" t="s">
        <v>748</v>
      </c>
    </row>
    <row r="327" spans="1:21" x14ac:dyDescent="0.6">
      <c r="A327">
        <v>481</v>
      </c>
      <c r="B327" t="str">
        <f>"1514"</f>
        <v>1514</v>
      </c>
      <c r="C327" t="s">
        <v>574</v>
      </c>
      <c r="D327" s="1">
        <v>42923</v>
      </c>
      <c r="E327">
        <v>10.45</v>
      </c>
      <c r="F327">
        <v>0.05</v>
      </c>
      <c r="G327" s="3">
        <v>4.7999999999999996E-3</v>
      </c>
      <c r="H327">
        <v>2015</v>
      </c>
      <c r="I327">
        <v>0.55000000000000004</v>
      </c>
      <c r="J327">
        <v>0.45</v>
      </c>
      <c r="K327">
        <v>0</v>
      </c>
      <c r="L327">
        <v>0.45</v>
      </c>
      <c r="M327" s="3">
        <v>4.3099999999999999E-2</v>
      </c>
      <c r="N327" s="2">
        <v>0</v>
      </c>
      <c r="O327" s="3">
        <v>4.3099999999999999E-2</v>
      </c>
      <c r="P327" s="3">
        <v>0.81799999999999995</v>
      </c>
      <c r="Q327" s="2">
        <v>0</v>
      </c>
      <c r="R327" s="3">
        <v>0.81799999999999995</v>
      </c>
      <c r="S327" t="s">
        <v>715</v>
      </c>
      <c r="U327" t="s">
        <v>717</v>
      </c>
    </row>
    <row r="328" spans="1:21" x14ac:dyDescent="0.6">
      <c r="A328">
        <v>291</v>
      </c>
      <c r="B328" t="str">
        <f>"4536"</f>
        <v>4536</v>
      </c>
      <c r="C328" t="s">
        <v>373</v>
      </c>
      <c r="D328" s="1">
        <v>42923</v>
      </c>
      <c r="E328">
        <v>105</v>
      </c>
      <c r="F328">
        <v>0.5</v>
      </c>
      <c r="G328" s="3">
        <v>4.7999999999999996E-3</v>
      </c>
      <c r="H328">
        <v>2015</v>
      </c>
      <c r="I328">
        <v>6.07</v>
      </c>
      <c r="J328">
        <v>4.5</v>
      </c>
      <c r="K328">
        <v>0</v>
      </c>
      <c r="L328">
        <v>4.5</v>
      </c>
      <c r="M328" s="3">
        <v>4.2900000000000001E-2</v>
      </c>
      <c r="N328" s="2">
        <v>0</v>
      </c>
      <c r="O328" s="3">
        <v>4.2900000000000001E-2</v>
      </c>
      <c r="P328" s="3">
        <v>0.74099999999999999</v>
      </c>
      <c r="Q328" s="2">
        <v>0</v>
      </c>
      <c r="R328" s="3">
        <v>0.74099999999999999</v>
      </c>
      <c r="S328" t="s">
        <v>740</v>
      </c>
      <c r="U328" t="s">
        <v>701</v>
      </c>
    </row>
    <row r="329" spans="1:21" x14ac:dyDescent="0.6">
      <c r="A329">
        <v>429</v>
      </c>
      <c r="B329" t="str">
        <f>"9933"</f>
        <v>9933</v>
      </c>
      <c r="C329" t="s">
        <v>517</v>
      </c>
      <c r="D329" s="1">
        <v>42923</v>
      </c>
      <c r="E329">
        <v>52.1</v>
      </c>
      <c r="F329">
        <v>-0.4</v>
      </c>
      <c r="G329" s="3">
        <v>-7.6E-3</v>
      </c>
      <c r="H329">
        <v>2015</v>
      </c>
      <c r="I329">
        <v>2.5099999999999998</v>
      </c>
      <c r="J329">
        <v>2.23</v>
      </c>
      <c r="K329">
        <v>0</v>
      </c>
      <c r="L329">
        <v>2.23</v>
      </c>
      <c r="M329" s="3">
        <v>4.2900000000000001E-2</v>
      </c>
      <c r="N329" s="2">
        <v>0</v>
      </c>
      <c r="O329" s="3">
        <v>4.2900000000000001E-2</v>
      </c>
      <c r="P329" s="3">
        <v>0.88800000000000001</v>
      </c>
      <c r="Q329" s="2">
        <v>0</v>
      </c>
      <c r="R329" s="3">
        <v>0.88800000000000001</v>
      </c>
      <c r="S329" t="s">
        <v>755</v>
      </c>
      <c r="U329" t="s">
        <v>746</v>
      </c>
    </row>
    <row r="330" spans="1:21" x14ac:dyDescent="0.6">
      <c r="A330">
        <v>272</v>
      </c>
      <c r="B330" t="str">
        <f>"6494"</f>
        <v>6494</v>
      </c>
      <c r="C330" t="s">
        <v>352</v>
      </c>
      <c r="D330" s="1">
        <v>42923</v>
      </c>
      <c r="E330">
        <v>51.5</v>
      </c>
      <c r="F330">
        <v>0.2</v>
      </c>
      <c r="G330" s="3">
        <v>3.8999999999999998E-3</v>
      </c>
      <c r="H330">
        <v>2015</v>
      </c>
      <c r="I330">
        <v>2.77</v>
      </c>
      <c r="J330">
        <v>2.2000000000000002</v>
      </c>
      <c r="K330">
        <v>0</v>
      </c>
      <c r="L330">
        <v>2.2000000000000002</v>
      </c>
      <c r="M330" s="3">
        <v>4.2700000000000002E-2</v>
      </c>
      <c r="N330" s="2">
        <v>0</v>
      </c>
      <c r="O330" s="3">
        <v>4.2700000000000002E-2</v>
      </c>
      <c r="P330" s="3">
        <v>0.79400000000000004</v>
      </c>
      <c r="Q330" s="2">
        <v>0</v>
      </c>
      <c r="R330" s="3">
        <v>0.79400000000000004</v>
      </c>
      <c r="S330" t="s">
        <v>774</v>
      </c>
      <c r="U330" t="s">
        <v>765</v>
      </c>
    </row>
    <row r="331" spans="1:21" x14ac:dyDescent="0.6">
      <c r="A331">
        <v>142</v>
      </c>
      <c r="B331" t="str">
        <f>"2340"</f>
        <v>2340</v>
      </c>
      <c r="C331" t="s">
        <v>209</v>
      </c>
      <c r="D331" s="1">
        <v>42923</v>
      </c>
      <c r="E331">
        <v>17.649999999999999</v>
      </c>
      <c r="F331">
        <v>0</v>
      </c>
      <c r="G331" s="2">
        <v>0</v>
      </c>
      <c r="H331">
        <v>2015</v>
      </c>
      <c r="I331">
        <v>1.03</v>
      </c>
      <c r="J331">
        <v>0.75</v>
      </c>
      <c r="K331">
        <v>0</v>
      </c>
      <c r="L331">
        <v>0.75</v>
      </c>
      <c r="M331" s="3">
        <v>4.2500000000000003E-2</v>
      </c>
      <c r="N331" s="2">
        <v>0</v>
      </c>
      <c r="O331" s="3">
        <v>4.2500000000000003E-2</v>
      </c>
      <c r="P331" s="3">
        <v>0.72799999999999998</v>
      </c>
      <c r="Q331" s="2">
        <v>0</v>
      </c>
      <c r="R331" s="3">
        <v>0.72799999999999998</v>
      </c>
      <c r="S331" t="s">
        <v>757</v>
      </c>
      <c r="U331" t="s">
        <v>730</v>
      </c>
    </row>
    <row r="332" spans="1:21" x14ac:dyDescent="0.6">
      <c r="A332">
        <v>217</v>
      </c>
      <c r="B332" t="str">
        <f>"6422"</f>
        <v>6422</v>
      </c>
      <c r="C332" t="s">
        <v>296</v>
      </c>
      <c r="D332" s="1">
        <v>42923</v>
      </c>
      <c r="E332">
        <v>70.599999999999994</v>
      </c>
      <c r="F332">
        <v>0.6</v>
      </c>
      <c r="G332" s="3">
        <v>8.6E-3</v>
      </c>
      <c r="H332">
        <v>2015</v>
      </c>
      <c r="I332">
        <v>6.97</v>
      </c>
      <c r="J332">
        <v>3</v>
      </c>
      <c r="K332">
        <v>0.5</v>
      </c>
      <c r="L332">
        <v>3.5</v>
      </c>
      <c r="M332" s="3">
        <v>4.2500000000000003E-2</v>
      </c>
      <c r="N332" s="3">
        <v>7.1000000000000004E-3</v>
      </c>
      <c r="O332" s="3">
        <v>4.9599999999999998E-2</v>
      </c>
      <c r="P332" s="2">
        <v>0.43</v>
      </c>
      <c r="Q332" s="3">
        <v>7.17E-2</v>
      </c>
      <c r="R332" s="3">
        <v>0.502</v>
      </c>
      <c r="S332" t="s">
        <v>776</v>
      </c>
      <c r="T332" t="s">
        <v>776</v>
      </c>
      <c r="U332" t="s">
        <v>725</v>
      </c>
    </row>
    <row r="333" spans="1:21" x14ac:dyDescent="0.6">
      <c r="A333">
        <v>497</v>
      </c>
      <c r="B333" t="str">
        <f>"3611"</f>
        <v>3611</v>
      </c>
      <c r="C333" t="s">
        <v>591</v>
      </c>
      <c r="D333" s="1">
        <v>42923</v>
      </c>
      <c r="E333">
        <v>214</v>
      </c>
      <c r="F333">
        <v>1.5</v>
      </c>
      <c r="G333" s="3">
        <v>7.1000000000000004E-3</v>
      </c>
      <c r="H333">
        <v>2015</v>
      </c>
      <c r="I333">
        <v>14.66</v>
      </c>
      <c r="J333">
        <v>9</v>
      </c>
      <c r="K333">
        <v>1</v>
      </c>
      <c r="L333">
        <v>10</v>
      </c>
      <c r="M333" s="3">
        <v>4.2099999999999999E-2</v>
      </c>
      <c r="N333" s="3">
        <v>4.7000000000000002E-3</v>
      </c>
      <c r="O333" s="3">
        <v>4.6699999999999998E-2</v>
      </c>
      <c r="P333" s="3">
        <v>0.61399999999999999</v>
      </c>
      <c r="Q333" s="3">
        <v>6.8199999999999997E-2</v>
      </c>
      <c r="R333" s="3">
        <v>0.68200000000000005</v>
      </c>
      <c r="S333" t="s">
        <v>744</v>
      </c>
      <c r="T333" t="s">
        <v>744</v>
      </c>
      <c r="U333" t="s">
        <v>701</v>
      </c>
    </row>
    <row r="334" spans="1:21" x14ac:dyDescent="0.6">
      <c r="A334">
        <v>251</v>
      </c>
      <c r="B334" t="str">
        <f>"2850"</f>
        <v>2850</v>
      </c>
      <c r="C334" t="s">
        <v>330</v>
      </c>
      <c r="D334" s="1">
        <v>42923</v>
      </c>
      <c r="E334">
        <v>25.45</v>
      </c>
      <c r="F334">
        <v>0.05</v>
      </c>
      <c r="G334" s="3">
        <v>2E-3</v>
      </c>
      <c r="H334">
        <v>2015</v>
      </c>
      <c r="I334">
        <v>3.28</v>
      </c>
      <c r="J334">
        <v>1.07</v>
      </c>
      <c r="K334">
        <v>0</v>
      </c>
      <c r="L334">
        <v>1.07</v>
      </c>
      <c r="M334" s="3">
        <v>4.2000000000000003E-2</v>
      </c>
      <c r="N334" s="2">
        <v>0</v>
      </c>
      <c r="O334" s="3">
        <v>4.2000000000000003E-2</v>
      </c>
      <c r="P334" s="3">
        <v>0.32600000000000001</v>
      </c>
      <c r="Q334" s="2">
        <v>0</v>
      </c>
      <c r="R334" s="3">
        <v>0.32600000000000001</v>
      </c>
      <c r="S334" t="s">
        <v>736</v>
      </c>
      <c r="U334" t="s">
        <v>766</v>
      </c>
    </row>
    <row r="335" spans="1:21" x14ac:dyDescent="0.6">
      <c r="A335">
        <v>197</v>
      </c>
      <c r="B335" t="str">
        <f>"2377"</f>
        <v>2377</v>
      </c>
      <c r="C335" t="s">
        <v>274</v>
      </c>
      <c r="D335" s="1">
        <v>42923</v>
      </c>
      <c r="E335">
        <v>71.7</v>
      </c>
      <c r="F335">
        <v>-0.1</v>
      </c>
      <c r="G335" s="3">
        <v>-1.4E-3</v>
      </c>
      <c r="H335">
        <v>2015</v>
      </c>
      <c r="I335">
        <v>3.57</v>
      </c>
      <c r="J335">
        <v>3</v>
      </c>
      <c r="K335">
        <v>0</v>
      </c>
      <c r="L335">
        <v>3</v>
      </c>
      <c r="M335" s="3">
        <v>4.1799999999999997E-2</v>
      </c>
      <c r="N335" s="2">
        <v>0</v>
      </c>
      <c r="O335" s="3">
        <v>4.1799999999999997E-2</v>
      </c>
      <c r="P335" s="2">
        <v>0.84</v>
      </c>
      <c r="Q335" s="2">
        <v>0</v>
      </c>
      <c r="R335" s="2">
        <v>0.84</v>
      </c>
      <c r="S335" t="s">
        <v>748</v>
      </c>
      <c r="U335" t="s">
        <v>747</v>
      </c>
    </row>
    <row r="336" spans="1:21" x14ac:dyDescent="0.6">
      <c r="A336">
        <v>50</v>
      </c>
      <c r="B336" t="str">
        <f>"5609"</f>
        <v>5609</v>
      </c>
      <c r="C336" t="s">
        <v>98</v>
      </c>
      <c r="D336" s="1">
        <v>42923</v>
      </c>
      <c r="E336">
        <v>24.45</v>
      </c>
      <c r="F336">
        <v>-0.05</v>
      </c>
      <c r="G336" s="3">
        <v>-2E-3</v>
      </c>
      <c r="H336">
        <v>2015</v>
      </c>
      <c r="I336">
        <v>1.66</v>
      </c>
      <c r="J336">
        <v>1.02</v>
      </c>
      <c r="K336">
        <v>0</v>
      </c>
      <c r="L336">
        <v>1.02</v>
      </c>
      <c r="M336" s="3">
        <v>4.1700000000000001E-2</v>
      </c>
      <c r="N336" s="2">
        <v>0</v>
      </c>
      <c r="O336" s="3">
        <v>4.1700000000000001E-2</v>
      </c>
      <c r="P336" s="3">
        <v>0.61399999999999999</v>
      </c>
      <c r="Q336" s="2">
        <v>0</v>
      </c>
      <c r="R336" s="3">
        <v>0.61399999999999999</v>
      </c>
      <c r="S336" t="s">
        <v>740</v>
      </c>
      <c r="U336" t="s">
        <v>711</v>
      </c>
    </row>
    <row r="337" spans="1:21" x14ac:dyDescent="0.6">
      <c r="A337">
        <v>393</v>
      </c>
      <c r="B337" t="str">
        <f>"4938"</f>
        <v>4938</v>
      </c>
      <c r="C337" t="s">
        <v>477</v>
      </c>
      <c r="D337" s="1">
        <v>42923</v>
      </c>
      <c r="E337">
        <v>96.9</v>
      </c>
      <c r="F337">
        <v>-1.3</v>
      </c>
      <c r="G337" s="3">
        <v>-1.32E-2</v>
      </c>
      <c r="H337">
        <v>2015</v>
      </c>
      <c r="I337">
        <v>6.24</v>
      </c>
      <c r="J337">
        <v>4.04</v>
      </c>
      <c r="K337">
        <v>0</v>
      </c>
      <c r="L337">
        <v>4.04</v>
      </c>
      <c r="M337" s="3">
        <v>4.1700000000000001E-2</v>
      </c>
      <c r="N337" s="2">
        <v>0</v>
      </c>
      <c r="O337" s="3">
        <v>4.1700000000000001E-2</v>
      </c>
      <c r="P337" s="3">
        <v>0.64700000000000002</v>
      </c>
      <c r="Q337" s="2">
        <v>0</v>
      </c>
      <c r="R337" s="3">
        <v>0.64700000000000002</v>
      </c>
      <c r="S337" t="s">
        <v>718</v>
      </c>
      <c r="U337" t="s">
        <v>730</v>
      </c>
    </row>
    <row r="338" spans="1:21" x14ac:dyDescent="0.6">
      <c r="A338">
        <v>460</v>
      </c>
      <c r="B338" t="str">
        <f>"4190"</f>
        <v>4190</v>
      </c>
      <c r="C338" t="s">
        <v>551</v>
      </c>
      <c r="D338" s="1">
        <v>42923</v>
      </c>
      <c r="E338">
        <v>72.099999999999994</v>
      </c>
      <c r="F338">
        <v>-0.9</v>
      </c>
      <c r="G338" s="3">
        <v>-1.23E-2</v>
      </c>
      <c r="H338">
        <v>2015</v>
      </c>
      <c r="I338">
        <v>5.18</v>
      </c>
      <c r="J338">
        <v>3</v>
      </c>
      <c r="K338">
        <v>0</v>
      </c>
      <c r="L338">
        <v>3</v>
      </c>
      <c r="M338" s="3">
        <v>4.1599999999999998E-2</v>
      </c>
      <c r="N338" s="2">
        <v>0</v>
      </c>
      <c r="O338" s="3">
        <v>4.1599999999999998E-2</v>
      </c>
      <c r="P338" s="3">
        <v>0.57899999999999996</v>
      </c>
      <c r="Q338" s="2">
        <v>0</v>
      </c>
      <c r="R338" s="3">
        <v>0.57899999999999996</v>
      </c>
    </row>
    <row r="339" spans="1:21" x14ac:dyDescent="0.6">
      <c r="A339">
        <v>360</v>
      </c>
      <c r="B339" t="str">
        <f>"1730"</f>
        <v>1730</v>
      </c>
      <c r="C339" t="s">
        <v>443</v>
      </c>
      <c r="D339" s="1">
        <v>42923</v>
      </c>
      <c r="E339">
        <v>41</v>
      </c>
      <c r="F339">
        <v>0.05</v>
      </c>
      <c r="G339" s="3">
        <v>1.1999999999999999E-3</v>
      </c>
      <c r="H339">
        <v>2015</v>
      </c>
      <c r="I339">
        <v>2.14</v>
      </c>
      <c r="J339">
        <v>1.7</v>
      </c>
      <c r="K339">
        <v>0</v>
      </c>
      <c r="L339">
        <v>1.7</v>
      </c>
      <c r="M339" s="3">
        <v>4.1500000000000002E-2</v>
      </c>
      <c r="N339" s="2">
        <v>0</v>
      </c>
      <c r="O339" s="3">
        <v>4.1500000000000002E-2</v>
      </c>
      <c r="P339" s="3">
        <v>0.79400000000000004</v>
      </c>
      <c r="Q339" s="2">
        <v>0</v>
      </c>
      <c r="R339" s="3">
        <v>0.79400000000000004</v>
      </c>
      <c r="S339" t="s">
        <v>755</v>
      </c>
      <c r="U339" t="s">
        <v>730</v>
      </c>
    </row>
    <row r="340" spans="1:21" x14ac:dyDescent="0.6">
      <c r="A340">
        <v>43</v>
      </c>
      <c r="B340" t="str">
        <f>"2065"</f>
        <v>2065</v>
      </c>
      <c r="C340" t="s">
        <v>88</v>
      </c>
      <c r="D340" s="1">
        <v>42923</v>
      </c>
      <c r="E340">
        <v>36.299999999999997</v>
      </c>
      <c r="F340">
        <v>-0.7</v>
      </c>
      <c r="G340" s="3">
        <v>-1.89E-2</v>
      </c>
      <c r="H340">
        <v>2015</v>
      </c>
      <c r="I340">
        <v>1.53</v>
      </c>
      <c r="J340">
        <v>1.5</v>
      </c>
      <c r="K340">
        <v>0</v>
      </c>
      <c r="L340">
        <v>1.5</v>
      </c>
      <c r="M340" s="3">
        <v>4.1300000000000003E-2</v>
      </c>
      <c r="N340" s="2">
        <v>0</v>
      </c>
      <c r="O340" s="3">
        <v>4.1300000000000003E-2</v>
      </c>
      <c r="P340" s="2">
        <v>0.98</v>
      </c>
      <c r="Q340" s="2">
        <v>0</v>
      </c>
      <c r="R340" s="2">
        <v>0.98</v>
      </c>
    </row>
    <row r="341" spans="1:21" x14ac:dyDescent="0.6">
      <c r="A341">
        <v>146</v>
      </c>
      <c r="B341" t="str">
        <f>"6442"</f>
        <v>6442</v>
      </c>
      <c r="C341" t="s">
        <v>214</v>
      </c>
      <c r="D341" s="1">
        <v>42923</v>
      </c>
      <c r="E341">
        <v>48.8</v>
      </c>
      <c r="F341">
        <v>-0.75</v>
      </c>
      <c r="G341" s="3">
        <v>-1.5100000000000001E-2</v>
      </c>
      <c r="H341">
        <v>2015</v>
      </c>
      <c r="I341">
        <v>3.88</v>
      </c>
      <c r="J341">
        <v>2</v>
      </c>
      <c r="K341">
        <v>0</v>
      </c>
      <c r="L341">
        <v>2</v>
      </c>
      <c r="M341" s="3">
        <v>4.1000000000000002E-2</v>
      </c>
      <c r="N341" s="2">
        <v>0</v>
      </c>
      <c r="O341" s="3">
        <v>4.1000000000000002E-2</v>
      </c>
      <c r="P341" s="3">
        <v>0.51600000000000001</v>
      </c>
      <c r="Q341" s="2">
        <v>0</v>
      </c>
      <c r="R341" s="3">
        <v>0.51600000000000001</v>
      </c>
      <c r="S341" t="s">
        <v>771</v>
      </c>
      <c r="U341" t="s">
        <v>736</v>
      </c>
    </row>
    <row r="342" spans="1:21" x14ac:dyDescent="0.6">
      <c r="A342">
        <v>300</v>
      </c>
      <c r="B342" t="str">
        <f>"1537"</f>
        <v>1537</v>
      </c>
      <c r="C342" t="s">
        <v>382</v>
      </c>
      <c r="D342" s="1">
        <v>42923</v>
      </c>
      <c r="E342">
        <v>158.5</v>
      </c>
      <c r="F342">
        <v>-2</v>
      </c>
      <c r="G342" s="3">
        <v>-1.2500000000000001E-2</v>
      </c>
      <c r="H342">
        <v>2015</v>
      </c>
      <c r="I342">
        <v>8.09</v>
      </c>
      <c r="J342">
        <v>6.5</v>
      </c>
      <c r="K342">
        <v>0</v>
      </c>
      <c r="L342">
        <v>6.5</v>
      </c>
      <c r="M342" s="3">
        <v>4.1000000000000002E-2</v>
      </c>
      <c r="N342" s="2">
        <v>0</v>
      </c>
      <c r="O342" s="3">
        <v>4.1000000000000002E-2</v>
      </c>
      <c r="P342" s="3">
        <v>0.80400000000000005</v>
      </c>
      <c r="Q342" s="2">
        <v>0</v>
      </c>
      <c r="R342" s="3">
        <v>0.80400000000000005</v>
      </c>
      <c r="S342" t="s">
        <v>716</v>
      </c>
      <c r="U342" t="s">
        <v>767</v>
      </c>
    </row>
    <row r="343" spans="1:21" x14ac:dyDescent="0.6">
      <c r="A343">
        <v>242</v>
      </c>
      <c r="B343" t="str">
        <f>"8155"</f>
        <v>8155</v>
      </c>
      <c r="C343" t="s">
        <v>321</v>
      </c>
      <c r="D343" s="1">
        <v>42923</v>
      </c>
      <c r="E343">
        <v>48.85</v>
      </c>
      <c r="F343">
        <v>-0.25</v>
      </c>
      <c r="G343" s="3">
        <v>-5.1000000000000004E-3</v>
      </c>
      <c r="H343">
        <v>2015</v>
      </c>
      <c r="I343">
        <v>3.03</v>
      </c>
      <c r="J343">
        <v>2</v>
      </c>
      <c r="K343">
        <v>0</v>
      </c>
      <c r="L343">
        <v>2</v>
      </c>
      <c r="M343" s="3">
        <v>4.0899999999999999E-2</v>
      </c>
      <c r="N343" s="2">
        <v>0</v>
      </c>
      <c r="O343" s="3">
        <v>4.0899999999999999E-2</v>
      </c>
      <c r="P343" s="2">
        <v>0.66</v>
      </c>
      <c r="Q343" s="2">
        <v>0</v>
      </c>
      <c r="R343" s="2">
        <v>0.66</v>
      </c>
      <c r="S343" t="s">
        <v>763</v>
      </c>
      <c r="U343" t="s">
        <v>737</v>
      </c>
    </row>
    <row r="344" spans="1:21" x14ac:dyDescent="0.6">
      <c r="A344">
        <v>203</v>
      </c>
      <c r="B344" t="str">
        <f>"1773"</f>
        <v>1773</v>
      </c>
      <c r="C344" t="s">
        <v>281</v>
      </c>
      <c r="D344" s="1">
        <v>42923</v>
      </c>
      <c r="E344">
        <v>63.9</v>
      </c>
      <c r="F344">
        <v>-0.3</v>
      </c>
      <c r="G344" s="3">
        <v>-4.7000000000000002E-3</v>
      </c>
      <c r="H344">
        <v>2015</v>
      </c>
      <c r="I344">
        <v>3.5</v>
      </c>
      <c r="J344">
        <v>2.6</v>
      </c>
      <c r="K344">
        <v>0</v>
      </c>
      <c r="L344">
        <v>2.6</v>
      </c>
      <c r="M344" s="3">
        <v>4.07E-2</v>
      </c>
      <c r="N344" s="2">
        <v>0</v>
      </c>
      <c r="O344" s="3">
        <v>4.07E-2</v>
      </c>
      <c r="P344" s="3">
        <v>0.74299999999999999</v>
      </c>
      <c r="Q344" s="2">
        <v>0</v>
      </c>
      <c r="R344" s="3">
        <v>0.74299999999999999</v>
      </c>
      <c r="S344" t="s">
        <v>774</v>
      </c>
      <c r="U344" t="s">
        <v>765</v>
      </c>
    </row>
    <row r="345" spans="1:21" x14ac:dyDescent="0.6">
      <c r="A345">
        <v>345</v>
      </c>
      <c r="B345" t="str">
        <f>"5706"</f>
        <v>5706</v>
      </c>
      <c r="C345" t="s">
        <v>427</v>
      </c>
      <c r="D345" s="1">
        <v>42923</v>
      </c>
      <c r="E345">
        <v>36.950000000000003</v>
      </c>
      <c r="F345">
        <v>0.35</v>
      </c>
      <c r="G345" s="3">
        <v>9.5999999999999992E-3</v>
      </c>
      <c r="H345">
        <v>2015</v>
      </c>
      <c r="I345">
        <v>2.0699999999999998</v>
      </c>
      <c r="J345">
        <v>1.5</v>
      </c>
      <c r="K345">
        <v>0.5</v>
      </c>
      <c r="L345">
        <v>2</v>
      </c>
      <c r="M345" s="3">
        <v>4.0599999999999997E-2</v>
      </c>
      <c r="N345" s="3">
        <v>1.35E-2</v>
      </c>
      <c r="O345" s="3">
        <v>5.4100000000000002E-2</v>
      </c>
      <c r="P345" s="3">
        <v>0.72499999999999998</v>
      </c>
      <c r="Q345" s="3">
        <v>0.24199999999999999</v>
      </c>
      <c r="R345" s="3">
        <v>0.96599999999999997</v>
      </c>
      <c r="S345" t="s">
        <v>753</v>
      </c>
      <c r="T345" t="s">
        <v>753</v>
      </c>
      <c r="U345" t="s">
        <v>738</v>
      </c>
    </row>
    <row r="346" spans="1:21" x14ac:dyDescent="0.6">
      <c r="A346">
        <v>425</v>
      </c>
      <c r="B346" t="str">
        <f>"2891"</f>
        <v>2891</v>
      </c>
      <c r="C346" t="s">
        <v>512</v>
      </c>
      <c r="D346" s="1">
        <v>42923</v>
      </c>
      <c r="E346">
        <v>19.95</v>
      </c>
      <c r="F346">
        <v>-0.2</v>
      </c>
      <c r="G346" s="3">
        <v>-9.9000000000000008E-3</v>
      </c>
      <c r="H346">
        <v>2015</v>
      </c>
      <c r="I346">
        <v>2.58</v>
      </c>
      <c r="J346">
        <v>0.81</v>
      </c>
      <c r="K346">
        <v>0.81</v>
      </c>
      <c r="L346">
        <v>1.62</v>
      </c>
      <c r="M346" s="3">
        <v>4.0599999999999997E-2</v>
      </c>
      <c r="N346" s="3">
        <v>4.0599999999999997E-2</v>
      </c>
      <c r="O346" s="3">
        <v>8.1199999999999994E-2</v>
      </c>
      <c r="P346" s="3">
        <v>0.314</v>
      </c>
      <c r="Q346" s="3">
        <v>0.314</v>
      </c>
      <c r="R346" s="3">
        <v>0.628</v>
      </c>
      <c r="S346" t="s">
        <v>711</v>
      </c>
      <c r="T346" t="s">
        <v>711</v>
      </c>
      <c r="U346" t="s">
        <v>721</v>
      </c>
    </row>
    <row r="347" spans="1:21" x14ac:dyDescent="0.6">
      <c r="A347">
        <v>308</v>
      </c>
      <c r="B347" t="str">
        <f>"2204"</f>
        <v>2204</v>
      </c>
      <c r="C347" t="s">
        <v>390</v>
      </c>
      <c r="D347" s="1">
        <v>42923</v>
      </c>
      <c r="E347">
        <v>28.4</v>
      </c>
      <c r="F347">
        <v>-0.15</v>
      </c>
      <c r="G347" s="3">
        <v>-5.3E-3</v>
      </c>
      <c r="H347">
        <v>2015</v>
      </c>
      <c r="I347">
        <v>1.88</v>
      </c>
      <c r="J347">
        <v>1.1499999999999999</v>
      </c>
      <c r="K347">
        <v>0</v>
      </c>
      <c r="L347">
        <v>1.1499999999999999</v>
      </c>
      <c r="M347" s="3">
        <v>4.0500000000000001E-2</v>
      </c>
      <c r="N347" s="2">
        <v>0</v>
      </c>
      <c r="O347" s="3">
        <v>4.0500000000000001E-2</v>
      </c>
      <c r="P347" s="3">
        <v>0.61199999999999999</v>
      </c>
      <c r="Q347" s="2">
        <v>0</v>
      </c>
      <c r="R347" s="3">
        <v>0.61199999999999999</v>
      </c>
      <c r="S347" t="s">
        <v>736</v>
      </c>
      <c r="U347" t="s">
        <v>760</v>
      </c>
    </row>
    <row r="348" spans="1:21" x14ac:dyDescent="0.6">
      <c r="A348">
        <v>321</v>
      </c>
      <c r="B348" t="str">
        <f>"8383"</f>
        <v>8383</v>
      </c>
      <c r="C348" t="s">
        <v>403</v>
      </c>
      <c r="D348" s="1">
        <v>42923</v>
      </c>
      <c r="E348">
        <v>48.55</v>
      </c>
      <c r="F348">
        <v>-0.15</v>
      </c>
      <c r="G348" s="3">
        <v>-3.0999999999999999E-3</v>
      </c>
      <c r="H348">
        <v>2015</v>
      </c>
      <c r="I348">
        <v>3.04</v>
      </c>
      <c r="J348">
        <v>1.97</v>
      </c>
      <c r="K348">
        <v>0</v>
      </c>
      <c r="L348">
        <v>1.97</v>
      </c>
      <c r="M348" s="3">
        <v>4.0500000000000001E-2</v>
      </c>
      <c r="N348" s="2">
        <v>0</v>
      </c>
      <c r="O348" s="3">
        <v>4.0500000000000001E-2</v>
      </c>
      <c r="P348" s="3">
        <v>0.64800000000000002</v>
      </c>
      <c r="Q348" s="2">
        <v>0</v>
      </c>
      <c r="R348" s="3">
        <v>0.64800000000000002</v>
      </c>
      <c r="S348" t="s">
        <v>713</v>
      </c>
      <c r="U348" t="s">
        <v>730</v>
      </c>
    </row>
    <row r="349" spans="1:21" x14ac:dyDescent="0.6">
      <c r="A349">
        <v>336</v>
      </c>
      <c r="B349" t="str">
        <f>"5434"</f>
        <v>5434</v>
      </c>
      <c r="C349" t="s">
        <v>418</v>
      </c>
      <c r="D349" s="1">
        <v>42923</v>
      </c>
      <c r="E349">
        <v>91.4</v>
      </c>
      <c r="F349">
        <v>-0.4</v>
      </c>
      <c r="G349" s="3">
        <v>-4.4000000000000003E-3</v>
      </c>
      <c r="H349">
        <v>2015</v>
      </c>
      <c r="I349">
        <v>5.44</v>
      </c>
      <c r="J349">
        <v>3.7</v>
      </c>
      <c r="K349">
        <v>0.3</v>
      </c>
      <c r="L349">
        <v>4</v>
      </c>
      <c r="M349" s="3">
        <v>4.0500000000000001E-2</v>
      </c>
      <c r="N349" s="3">
        <v>3.3E-3</v>
      </c>
      <c r="O349" s="3">
        <v>4.3799999999999999E-2</v>
      </c>
      <c r="P349" s="2">
        <v>0.68</v>
      </c>
      <c r="Q349" s="3">
        <v>5.5100000000000003E-2</v>
      </c>
      <c r="R349" s="3">
        <v>0.73499999999999999</v>
      </c>
      <c r="S349" t="s">
        <v>766</v>
      </c>
      <c r="T349" t="s">
        <v>766</v>
      </c>
      <c r="U349" t="s">
        <v>747</v>
      </c>
    </row>
    <row r="350" spans="1:21" x14ac:dyDescent="0.6">
      <c r="A350">
        <v>30</v>
      </c>
      <c r="B350" t="str">
        <f>"2488"</f>
        <v>2488</v>
      </c>
      <c r="C350" t="s">
        <v>64</v>
      </c>
      <c r="D350" s="1">
        <v>42923</v>
      </c>
      <c r="E350">
        <v>39.65</v>
      </c>
      <c r="F350">
        <v>0.4</v>
      </c>
      <c r="G350" s="3">
        <v>1.0200000000000001E-2</v>
      </c>
      <c r="H350">
        <v>2015</v>
      </c>
      <c r="I350">
        <v>2.2599999999999998</v>
      </c>
      <c r="J350">
        <v>1.6</v>
      </c>
      <c r="K350">
        <v>0</v>
      </c>
      <c r="L350">
        <v>1.6</v>
      </c>
      <c r="M350" s="3">
        <v>4.0399999999999998E-2</v>
      </c>
      <c r="N350" s="2">
        <v>0</v>
      </c>
      <c r="O350" s="3">
        <v>4.0399999999999998E-2</v>
      </c>
      <c r="P350" s="3">
        <v>0.70799999999999996</v>
      </c>
      <c r="Q350" s="2">
        <v>0</v>
      </c>
      <c r="R350" s="3">
        <v>0.70799999999999996</v>
      </c>
      <c r="S350" t="s">
        <v>711</v>
      </c>
      <c r="U350" t="s">
        <v>726</v>
      </c>
    </row>
    <row r="351" spans="1:21" x14ac:dyDescent="0.6">
      <c r="A351">
        <v>177</v>
      </c>
      <c r="B351" t="str">
        <f>"5490"</f>
        <v>5490</v>
      </c>
      <c r="C351" t="s">
        <v>252</v>
      </c>
      <c r="D351" s="1">
        <v>42923</v>
      </c>
      <c r="E351">
        <v>62</v>
      </c>
      <c r="F351">
        <v>-0.2</v>
      </c>
      <c r="G351" s="3">
        <v>-3.2000000000000002E-3</v>
      </c>
      <c r="H351">
        <v>2015</v>
      </c>
      <c r="I351">
        <v>2</v>
      </c>
      <c r="J351">
        <v>2.5</v>
      </c>
      <c r="K351">
        <v>0</v>
      </c>
      <c r="L351">
        <v>2.5</v>
      </c>
      <c r="M351" s="3">
        <v>4.0300000000000002E-2</v>
      </c>
      <c r="N351" s="2">
        <v>0</v>
      </c>
      <c r="O351" s="3">
        <v>4.0300000000000002E-2</v>
      </c>
      <c r="P351" s="2">
        <v>1.25</v>
      </c>
      <c r="Q351" s="2">
        <v>0</v>
      </c>
      <c r="R351" s="2">
        <v>1.25</v>
      </c>
      <c r="S351" t="s">
        <v>756</v>
      </c>
      <c r="U351" t="s">
        <v>758</v>
      </c>
    </row>
    <row r="352" spans="1:21" x14ac:dyDescent="0.6">
      <c r="A352">
        <v>418</v>
      </c>
      <c r="B352" t="str">
        <f>"3285"</f>
        <v>3285</v>
      </c>
      <c r="C352" t="s">
        <v>505</v>
      </c>
      <c r="D352" s="1">
        <v>42923</v>
      </c>
      <c r="E352">
        <v>19.850000000000001</v>
      </c>
      <c r="F352">
        <v>0.05</v>
      </c>
      <c r="G352" s="3">
        <v>2.5000000000000001E-3</v>
      </c>
      <c r="H352">
        <v>2015</v>
      </c>
      <c r="I352">
        <v>0.85</v>
      </c>
      <c r="J352">
        <v>0.8</v>
      </c>
      <c r="K352">
        <v>0</v>
      </c>
      <c r="L352">
        <v>0.8</v>
      </c>
      <c r="M352" s="3">
        <v>4.0300000000000002E-2</v>
      </c>
      <c r="N352" s="2">
        <v>0</v>
      </c>
      <c r="O352" s="3">
        <v>4.0300000000000002E-2</v>
      </c>
      <c r="P352" s="3">
        <v>0.94099999999999995</v>
      </c>
      <c r="Q352" s="2">
        <v>0</v>
      </c>
      <c r="R352" s="3">
        <v>0.94099999999999995</v>
      </c>
      <c r="S352" t="s">
        <v>753</v>
      </c>
      <c r="U352" t="s">
        <v>739</v>
      </c>
    </row>
    <row r="353" spans="1:21" x14ac:dyDescent="0.6">
      <c r="A353">
        <v>465</v>
      </c>
      <c r="B353" t="str">
        <f>"1727"</f>
        <v>1727</v>
      </c>
      <c r="C353" t="s">
        <v>556</v>
      </c>
      <c r="D353" s="1">
        <v>42923</v>
      </c>
      <c r="E353">
        <v>12.4</v>
      </c>
      <c r="F353">
        <v>-0.2</v>
      </c>
      <c r="G353" s="3">
        <v>-1.5900000000000001E-2</v>
      </c>
      <c r="H353">
        <v>2015</v>
      </c>
      <c r="I353">
        <v>1.05</v>
      </c>
      <c r="J353">
        <v>0.5</v>
      </c>
      <c r="K353">
        <v>0.5</v>
      </c>
      <c r="L353">
        <v>1</v>
      </c>
      <c r="M353" s="3">
        <v>4.0300000000000002E-2</v>
      </c>
      <c r="N353" s="3">
        <v>4.0300000000000002E-2</v>
      </c>
      <c r="O353" s="3">
        <v>8.0600000000000005E-2</v>
      </c>
      <c r="P353" s="3">
        <v>0.47599999999999998</v>
      </c>
      <c r="Q353" s="3">
        <v>0.47599999999999998</v>
      </c>
      <c r="R353" s="3">
        <v>0.95199999999999996</v>
      </c>
      <c r="S353" t="s">
        <v>750</v>
      </c>
      <c r="T353" t="s">
        <v>750</v>
      </c>
      <c r="U353" t="s">
        <v>737</v>
      </c>
    </row>
    <row r="354" spans="1:21" x14ac:dyDescent="0.6">
      <c r="A354">
        <v>295</v>
      </c>
      <c r="B354" t="str">
        <f>"6266"</f>
        <v>6266</v>
      </c>
      <c r="C354" t="s">
        <v>377</v>
      </c>
      <c r="D354" s="1">
        <v>42923</v>
      </c>
      <c r="E354">
        <v>11.95</v>
      </c>
      <c r="F354">
        <v>0</v>
      </c>
      <c r="G354" s="2">
        <v>0</v>
      </c>
      <c r="H354">
        <v>2015</v>
      </c>
      <c r="I354">
        <v>1.06</v>
      </c>
      <c r="J354">
        <v>0.48</v>
      </c>
      <c r="K354">
        <v>0.48</v>
      </c>
      <c r="L354">
        <v>0.96</v>
      </c>
      <c r="M354" s="3">
        <v>4.02E-2</v>
      </c>
      <c r="N354" s="3">
        <v>4.02E-2</v>
      </c>
      <c r="O354" s="3">
        <v>8.0299999999999996E-2</v>
      </c>
      <c r="P354" s="3">
        <v>0.45300000000000001</v>
      </c>
      <c r="Q354" s="3">
        <v>0.45300000000000001</v>
      </c>
      <c r="R354" s="3">
        <v>0.90600000000000003</v>
      </c>
      <c r="S354" t="s">
        <v>729</v>
      </c>
      <c r="T354" t="s">
        <v>729</v>
      </c>
      <c r="U354" t="s">
        <v>767</v>
      </c>
    </row>
    <row r="355" spans="1:21" x14ac:dyDescent="0.6">
      <c r="A355">
        <v>466</v>
      </c>
      <c r="B355" t="str">
        <f>"1104"</f>
        <v>1104</v>
      </c>
      <c r="C355" t="s">
        <v>557</v>
      </c>
      <c r="D355" s="1">
        <v>42923</v>
      </c>
      <c r="E355">
        <v>24.9</v>
      </c>
      <c r="F355">
        <v>-0.1</v>
      </c>
      <c r="G355" s="3">
        <v>-4.0000000000000001E-3</v>
      </c>
      <c r="H355">
        <v>2015</v>
      </c>
      <c r="I355">
        <v>2.2599999999999998</v>
      </c>
      <c r="J355">
        <v>1</v>
      </c>
      <c r="K355">
        <v>0.2</v>
      </c>
      <c r="L355">
        <v>1.2</v>
      </c>
      <c r="M355" s="3">
        <v>4.02E-2</v>
      </c>
      <c r="N355" s="3">
        <v>8.0000000000000002E-3</v>
      </c>
      <c r="O355" s="3">
        <v>4.82E-2</v>
      </c>
      <c r="P355" s="3">
        <v>0.442</v>
      </c>
      <c r="Q355" s="3">
        <v>8.8499999999999995E-2</v>
      </c>
      <c r="R355" s="3">
        <v>0.53100000000000003</v>
      </c>
      <c r="S355" t="s">
        <v>736</v>
      </c>
      <c r="T355" t="s">
        <v>736</v>
      </c>
      <c r="U355" t="s">
        <v>730</v>
      </c>
    </row>
    <row r="356" spans="1:21" x14ac:dyDescent="0.6">
      <c r="A356">
        <v>117</v>
      </c>
      <c r="B356" t="str">
        <f>"2031"</f>
        <v>2031</v>
      </c>
      <c r="C356" t="s">
        <v>181</v>
      </c>
      <c r="D356" s="1">
        <v>42923</v>
      </c>
      <c r="E356">
        <v>25.1</v>
      </c>
      <c r="F356">
        <v>-0.05</v>
      </c>
      <c r="G356" s="3">
        <v>-2E-3</v>
      </c>
      <c r="H356">
        <v>2015</v>
      </c>
      <c r="I356">
        <v>0.83</v>
      </c>
      <c r="J356">
        <v>1</v>
      </c>
      <c r="K356">
        <v>0</v>
      </c>
      <c r="L356">
        <v>1</v>
      </c>
      <c r="M356" s="3">
        <v>3.9800000000000002E-2</v>
      </c>
      <c r="N356" s="2">
        <v>0</v>
      </c>
      <c r="O356" s="3">
        <v>3.9800000000000002E-2</v>
      </c>
      <c r="P356" s="2">
        <v>1.2</v>
      </c>
      <c r="Q356" s="2">
        <v>0</v>
      </c>
      <c r="R356" s="2">
        <v>1.2</v>
      </c>
      <c r="S356" t="s">
        <v>710</v>
      </c>
      <c r="U356" t="s">
        <v>735</v>
      </c>
    </row>
    <row r="357" spans="1:21" x14ac:dyDescent="0.6">
      <c r="A357">
        <v>359</v>
      </c>
      <c r="B357" t="str">
        <f>"1539"</f>
        <v>1539</v>
      </c>
      <c r="C357" t="s">
        <v>442</v>
      </c>
      <c r="D357" s="1">
        <v>42923</v>
      </c>
      <c r="E357">
        <v>22.35</v>
      </c>
      <c r="F357">
        <v>-0.05</v>
      </c>
      <c r="G357" s="3">
        <v>-2.2000000000000001E-3</v>
      </c>
      <c r="H357">
        <v>2015</v>
      </c>
      <c r="I357">
        <v>2.0099999999999998</v>
      </c>
      <c r="J357">
        <v>0.89</v>
      </c>
      <c r="K357">
        <v>0</v>
      </c>
      <c r="L357">
        <v>0.89</v>
      </c>
      <c r="M357" s="3">
        <v>3.9800000000000002E-2</v>
      </c>
      <c r="N357" s="2">
        <v>0</v>
      </c>
      <c r="O357" s="3">
        <v>3.9800000000000002E-2</v>
      </c>
      <c r="P357" s="3">
        <v>0.443</v>
      </c>
      <c r="Q357" s="2">
        <v>0</v>
      </c>
      <c r="R357" s="3">
        <v>0.443</v>
      </c>
      <c r="S357" t="s">
        <v>717</v>
      </c>
      <c r="U357" t="s">
        <v>779</v>
      </c>
    </row>
    <row r="358" spans="1:21" x14ac:dyDescent="0.6">
      <c r="A358">
        <v>267</v>
      </c>
      <c r="B358" t="str">
        <f>"2301"</f>
        <v>2301</v>
      </c>
      <c r="C358" t="s">
        <v>347</v>
      </c>
      <c r="D358" s="1">
        <v>42923</v>
      </c>
      <c r="E358">
        <v>49.8</v>
      </c>
      <c r="F358">
        <v>-0.2</v>
      </c>
      <c r="G358" s="3">
        <v>-4.0000000000000001E-3</v>
      </c>
      <c r="H358">
        <v>2015</v>
      </c>
      <c r="I358">
        <v>2.8</v>
      </c>
      <c r="J358">
        <v>1.97</v>
      </c>
      <c r="K358">
        <v>0.05</v>
      </c>
      <c r="L358">
        <v>2.02</v>
      </c>
      <c r="M358" s="3">
        <v>3.9600000000000003E-2</v>
      </c>
      <c r="N358" s="3">
        <v>1E-3</v>
      </c>
      <c r="O358" s="3">
        <v>4.0599999999999997E-2</v>
      </c>
      <c r="P358" s="3">
        <v>0.70399999999999996</v>
      </c>
      <c r="Q358" s="3">
        <v>1.7899999999999999E-2</v>
      </c>
      <c r="R358" s="3">
        <v>0.72099999999999997</v>
      </c>
      <c r="S358" t="s">
        <v>759</v>
      </c>
      <c r="T358" t="s">
        <v>759</v>
      </c>
      <c r="U358" t="s">
        <v>727</v>
      </c>
    </row>
    <row r="359" spans="1:21" x14ac:dyDescent="0.6">
      <c r="A359">
        <v>266</v>
      </c>
      <c r="B359" t="str">
        <f>"4935"</f>
        <v>4935</v>
      </c>
      <c r="C359" t="s">
        <v>346</v>
      </c>
      <c r="D359" s="1">
        <v>42923</v>
      </c>
      <c r="E359">
        <v>51.1</v>
      </c>
      <c r="F359">
        <v>0</v>
      </c>
      <c r="G359" s="2">
        <v>0</v>
      </c>
      <c r="H359">
        <v>2015</v>
      </c>
      <c r="I359">
        <v>4.5199999999999996</v>
      </c>
      <c r="J359">
        <v>2</v>
      </c>
      <c r="K359">
        <v>0</v>
      </c>
      <c r="L359">
        <v>2</v>
      </c>
      <c r="M359" s="3">
        <v>3.9100000000000003E-2</v>
      </c>
      <c r="N359" s="2">
        <v>0</v>
      </c>
      <c r="O359" s="3">
        <v>3.9100000000000003E-2</v>
      </c>
      <c r="P359" s="3">
        <v>0.442</v>
      </c>
      <c r="Q359" s="2">
        <v>0</v>
      </c>
      <c r="R359" s="3">
        <v>0.442</v>
      </c>
      <c r="S359" t="s">
        <v>694</v>
      </c>
      <c r="U359" t="s">
        <v>701</v>
      </c>
    </row>
    <row r="360" spans="1:21" x14ac:dyDescent="0.6">
      <c r="A360">
        <v>408</v>
      </c>
      <c r="B360" t="str">
        <f>"0056"</f>
        <v>0056</v>
      </c>
      <c r="C360" t="s">
        <v>494</v>
      </c>
      <c r="D360" s="1">
        <v>42923</v>
      </c>
      <c r="E360">
        <v>25.56</v>
      </c>
      <c r="F360">
        <v>-0.08</v>
      </c>
      <c r="G360" s="3">
        <v>-3.0999999999999999E-3</v>
      </c>
      <c r="H360">
        <v>2015</v>
      </c>
      <c r="J360">
        <v>1</v>
      </c>
      <c r="K360">
        <v>0</v>
      </c>
      <c r="L360">
        <v>1</v>
      </c>
      <c r="M360" s="3">
        <v>3.9100000000000003E-2</v>
      </c>
      <c r="N360" s="2">
        <v>0</v>
      </c>
      <c r="O360" s="3">
        <v>3.9100000000000003E-2</v>
      </c>
      <c r="S360" t="s">
        <v>790</v>
      </c>
    </row>
    <row r="361" spans="1:21" x14ac:dyDescent="0.6">
      <c r="A361">
        <v>381</v>
      </c>
      <c r="B361" t="str">
        <f>"3023"</f>
        <v>3023</v>
      </c>
      <c r="C361" t="s">
        <v>465</v>
      </c>
      <c r="D361" s="1">
        <v>42923</v>
      </c>
      <c r="E361">
        <v>71.099999999999994</v>
      </c>
      <c r="F361">
        <v>-1</v>
      </c>
      <c r="G361" s="3">
        <v>-1.3899999999999999E-2</v>
      </c>
      <c r="H361">
        <v>2015</v>
      </c>
      <c r="I361">
        <v>3.82</v>
      </c>
      <c r="J361">
        <v>2.75</v>
      </c>
      <c r="K361">
        <v>0.2</v>
      </c>
      <c r="L361">
        <v>2.95</v>
      </c>
      <c r="M361" s="3">
        <v>3.8699999999999998E-2</v>
      </c>
      <c r="N361" s="3">
        <v>2.8E-3</v>
      </c>
      <c r="O361" s="3">
        <v>4.1500000000000002E-2</v>
      </c>
      <c r="P361" s="2">
        <v>0.72</v>
      </c>
      <c r="Q361" s="3">
        <v>5.2400000000000002E-2</v>
      </c>
      <c r="R361" s="3">
        <v>0.77200000000000002</v>
      </c>
      <c r="S361" t="s">
        <v>753</v>
      </c>
      <c r="T361" t="s">
        <v>753</v>
      </c>
      <c r="U361" t="s">
        <v>787</v>
      </c>
    </row>
    <row r="362" spans="1:21" x14ac:dyDescent="0.6">
      <c r="A362">
        <v>261</v>
      </c>
      <c r="B362" t="str">
        <f>"2643"</f>
        <v>2643</v>
      </c>
      <c r="C362" t="s">
        <v>341</v>
      </c>
      <c r="D362" s="1">
        <v>42923</v>
      </c>
      <c r="E362">
        <v>38.85</v>
      </c>
      <c r="F362">
        <v>-0.25</v>
      </c>
      <c r="G362" s="3">
        <v>-6.4000000000000003E-3</v>
      </c>
      <c r="H362">
        <v>2015</v>
      </c>
      <c r="I362">
        <v>2</v>
      </c>
      <c r="J362">
        <v>1.5</v>
      </c>
      <c r="K362">
        <v>0</v>
      </c>
      <c r="L362">
        <v>1.5</v>
      </c>
      <c r="M362" s="3">
        <v>3.8600000000000002E-2</v>
      </c>
      <c r="N362" s="2">
        <v>0</v>
      </c>
      <c r="O362" s="3">
        <v>3.8600000000000002E-2</v>
      </c>
      <c r="P362" s="2">
        <v>0.75</v>
      </c>
      <c r="Q362" s="2">
        <v>0</v>
      </c>
      <c r="R362" s="2">
        <v>0.75</v>
      </c>
      <c r="S362" t="s">
        <v>763</v>
      </c>
      <c r="U362" t="s">
        <v>760</v>
      </c>
    </row>
    <row r="363" spans="1:21" x14ac:dyDescent="0.6">
      <c r="A363">
        <v>299</v>
      </c>
      <c r="B363" t="str">
        <f>"6024"</f>
        <v>6024</v>
      </c>
      <c r="C363" t="s">
        <v>381</v>
      </c>
      <c r="D363" s="1">
        <v>42923</v>
      </c>
      <c r="E363">
        <v>38.9</v>
      </c>
      <c r="F363">
        <v>0.55000000000000004</v>
      </c>
      <c r="G363" s="3">
        <v>1.43E-2</v>
      </c>
      <c r="H363">
        <v>2015</v>
      </c>
      <c r="I363">
        <v>2.65</v>
      </c>
      <c r="J363">
        <v>1.5</v>
      </c>
      <c r="K363">
        <v>0.2</v>
      </c>
      <c r="L363">
        <v>1.7</v>
      </c>
      <c r="M363" s="3">
        <v>3.8600000000000002E-2</v>
      </c>
      <c r="N363" s="3">
        <v>5.1000000000000004E-3</v>
      </c>
      <c r="O363" s="3">
        <v>4.3700000000000003E-2</v>
      </c>
      <c r="P363" s="3">
        <v>0.56599999999999995</v>
      </c>
      <c r="Q363" s="3">
        <v>7.5499999999999998E-2</v>
      </c>
      <c r="R363" s="3">
        <v>0.64200000000000002</v>
      </c>
      <c r="S363" t="s">
        <v>773</v>
      </c>
      <c r="T363" t="s">
        <v>713</v>
      </c>
      <c r="U363" t="s">
        <v>691</v>
      </c>
    </row>
    <row r="364" spans="1:21" x14ac:dyDescent="0.6">
      <c r="A364">
        <v>448</v>
      </c>
      <c r="B364" t="str">
        <f>"8349"</f>
        <v>8349</v>
      </c>
      <c r="C364" t="s">
        <v>538</v>
      </c>
      <c r="D364" s="1">
        <v>42923</v>
      </c>
      <c r="E364">
        <v>104</v>
      </c>
      <c r="F364">
        <v>-2.5</v>
      </c>
      <c r="G364" s="3">
        <v>-2.35E-2</v>
      </c>
      <c r="H364">
        <v>2015</v>
      </c>
      <c r="I364">
        <v>3.65</v>
      </c>
      <c r="J364">
        <v>4</v>
      </c>
      <c r="K364">
        <v>0</v>
      </c>
      <c r="L364">
        <v>4</v>
      </c>
      <c r="M364" s="3">
        <v>3.85E-2</v>
      </c>
      <c r="N364" s="2">
        <v>0</v>
      </c>
      <c r="O364" s="3">
        <v>3.85E-2</v>
      </c>
      <c r="P364" s="2">
        <v>1.1000000000000001</v>
      </c>
      <c r="Q364" s="2">
        <v>0</v>
      </c>
      <c r="R364" s="2">
        <v>1.1000000000000001</v>
      </c>
      <c r="S364" t="s">
        <v>695</v>
      </c>
      <c r="U364" t="s">
        <v>767</v>
      </c>
    </row>
    <row r="365" spans="1:21" x14ac:dyDescent="0.6">
      <c r="A365">
        <v>102</v>
      </c>
      <c r="B365" t="str">
        <f>"9911"</f>
        <v>9911</v>
      </c>
      <c r="C365" t="s">
        <v>165</v>
      </c>
      <c r="D365" s="1">
        <v>42923</v>
      </c>
      <c r="E365">
        <v>33.85</v>
      </c>
      <c r="F365">
        <v>-0.25</v>
      </c>
      <c r="G365" s="3">
        <v>-7.3000000000000001E-3</v>
      </c>
      <c r="H365">
        <v>2015</v>
      </c>
      <c r="I365">
        <v>1.97</v>
      </c>
      <c r="J365">
        <v>1.3</v>
      </c>
      <c r="K365">
        <v>0</v>
      </c>
      <c r="L365">
        <v>1.3</v>
      </c>
      <c r="M365" s="3">
        <v>3.8399999999999997E-2</v>
      </c>
      <c r="N365" s="2">
        <v>0</v>
      </c>
      <c r="O365" s="3">
        <v>3.8399999999999997E-2</v>
      </c>
      <c r="P365" s="2">
        <v>0.66</v>
      </c>
      <c r="Q365" s="2">
        <v>0</v>
      </c>
      <c r="R365" s="2">
        <v>0.66</v>
      </c>
      <c r="S365" t="s">
        <v>690</v>
      </c>
      <c r="U365" t="s">
        <v>715</v>
      </c>
    </row>
    <row r="366" spans="1:21" x14ac:dyDescent="0.6">
      <c r="A366">
        <v>401</v>
      </c>
      <c r="B366" t="str">
        <f>"3131"</f>
        <v>3131</v>
      </c>
      <c r="C366" t="s">
        <v>487</v>
      </c>
      <c r="D366" s="1">
        <v>42923</v>
      </c>
      <c r="E366">
        <v>195.5</v>
      </c>
      <c r="F366">
        <v>2</v>
      </c>
      <c r="G366" s="3">
        <v>1.03E-2</v>
      </c>
      <c r="H366">
        <v>2015</v>
      </c>
      <c r="I366">
        <v>11.9</v>
      </c>
      <c r="J366">
        <v>7.5</v>
      </c>
      <c r="K366">
        <v>0</v>
      </c>
      <c r="L366">
        <v>7.5</v>
      </c>
      <c r="M366" s="3">
        <v>3.8399999999999997E-2</v>
      </c>
      <c r="N366" s="2">
        <v>0</v>
      </c>
      <c r="O366" s="3">
        <v>3.8399999999999997E-2</v>
      </c>
      <c r="P366" s="2">
        <v>0.63</v>
      </c>
      <c r="Q366" s="2">
        <v>0</v>
      </c>
      <c r="R366" s="2">
        <v>0.63</v>
      </c>
      <c r="S366" t="s">
        <v>725</v>
      </c>
      <c r="U366" t="s">
        <v>701</v>
      </c>
    </row>
    <row r="367" spans="1:21" x14ac:dyDescent="0.6">
      <c r="A367">
        <v>33</v>
      </c>
      <c r="B367" t="str">
        <f>"3679"</f>
        <v>3679</v>
      </c>
      <c r="C367" t="s">
        <v>70</v>
      </c>
      <c r="D367" s="1">
        <v>42923</v>
      </c>
      <c r="E367">
        <v>91.9</v>
      </c>
      <c r="F367">
        <v>0.1</v>
      </c>
      <c r="G367" s="3">
        <v>1.1000000000000001E-3</v>
      </c>
      <c r="H367">
        <v>2015</v>
      </c>
      <c r="I367">
        <v>3.67</v>
      </c>
      <c r="J367">
        <v>3.5</v>
      </c>
      <c r="K367">
        <v>0</v>
      </c>
      <c r="L367">
        <v>3.5</v>
      </c>
      <c r="M367" s="3">
        <v>3.8100000000000002E-2</v>
      </c>
      <c r="N367" s="2">
        <v>0</v>
      </c>
      <c r="O367" s="3">
        <v>3.8100000000000002E-2</v>
      </c>
      <c r="P367" s="3">
        <v>0.95399999999999996</v>
      </c>
      <c r="Q367" s="2">
        <v>0</v>
      </c>
      <c r="R367" s="3">
        <v>0.95399999999999996</v>
      </c>
      <c r="S367" t="s">
        <v>729</v>
      </c>
      <c r="U367" t="s">
        <v>730</v>
      </c>
    </row>
    <row r="368" spans="1:21" x14ac:dyDescent="0.6">
      <c r="A368">
        <v>317</v>
      </c>
      <c r="B368" t="str">
        <f>"2495"</f>
        <v>2495</v>
      </c>
      <c r="C368" t="s">
        <v>399</v>
      </c>
      <c r="D368" s="1">
        <v>42923</v>
      </c>
      <c r="E368">
        <v>16.100000000000001</v>
      </c>
      <c r="F368">
        <v>0</v>
      </c>
      <c r="G368" s="2">
        <v>0</v>
      </c>
      <c r="H368">
        <v>2015</v>
      </c>
      <c r="I368">
        <v>0.67</v>
      </c>
      <c r="J368">
        <v>0.6</v>
      </c>
      <c r="K368">
        <v>0</v>
      </c>
      <c r="L368">
        <v>0.6</v>
      </c>
      <c r="M368" s="3">
        <v>3.7400000000000003E-2</v>
      </c>
      <c r="N368" s="2">
        <v>0</v>
      </c>
      <c r="O368" s="3">
        <v>3.7400000000000003E-2</v>
      </c>
      <c r="P368" s="3">
        <v>0.89600000000000002</v>
      </c>
      <c r="Q368" s="2">
        <v>0</v>
      </c>
      <c r="R368" s="3">
        <v>0.89600000000000002</v>
      </c>
      <c r="S368" t="s">
        <v>694</v>
      </c>
      <c r="U368" t="s">
        <v>692</v>
      </c>
    </row>
    <row r="369" spans="1:21" x14ac:dyDescent="0.6">
      <c r="A369">
        <v>376</v>
      </c>
      <c r="B369" t="str">
        <f>"5388"</f>
        <v>5388</v>
      </c>
      <c r="C369" t="s">
        <v>459</v>
      </c>
      <c r="D369" s="1">
        <v>42923</v>
      </c>
      <c r="E369">
        <v>80</v>
      </c>
      <c r="F369">
        <v>-0.4</v>
      </c>
      <c r="G369" s="3">
        <v>-5.0000000000000001E-3</v>
      </c>
      <c r="H369">
        <v>2015</v>
      </c>
      <c r="I369">
        <v>4.21</v>
      </c>
      <c r="J369">
        <v>2.99</v>
      </c>
      <c r="K369">
        <v>0</v>
      </c>
      <c r="L369">
        <v>2.99</v>
      </c>
      <c r="M369" s="3">
        <v>3.7400000000000003E-2</v>
      </c>
      <c r="N369" s="2">
        <v>0</v>
      </c>
      <c r="O369" s="3">
        <v>3.7400000000000003E-2</v>
      </c>
      <c r="P369" s="2">
        <v>0.71</v>
      </c>
      <c r="Q369" s="2">
        <v>0</v>
      </c>
      <c r="R369" s="2">
        <v>0.71</v>
      </c>
      <c r="S369" t="s">
        <v>743</v>
      </c>
      <c r="U369" t="s">
        <v>709</v>
      </c>
    </row>
    <row r="370" spans="1:21" x14ac:dyDescent="0.6">
      <c r="A370">
        <v>32</v>
      </c>
      <c r="B370" t="str">
        <f>"2404"</f>
        <v>2404</v>
      </c>
      <c r="C370" t="s">
        <v>68</v>
      </c>
      <c r="D370" s="1">
        <v>42923</v>
      </c>
      <c r="E370">
        <v>68.3</v>
      </c>
      <c r="F370">
        <v>-1.2</v>
      </c>
      <c r="G370" s="3">
        <v>-1.7299999999999999E-2</v>
      </c>
      <c r="H370">
        <v>2015</v>
      </c>
      <c r="I370">
        <v>3.14</v>
      </c>
      <c r="J370">
        <v>2.5</v>
      </c>
      <c r="K370">
        <v>0</v>
      </c>
      <c r="L370">
        <v>2.5</v>
      </c>
      <c r="M370" s="3">
        <v>3.6600000000000001E-2</v>
      </c>
      <c r="N370" s="2">
        <v>0</v>
      </c>
      <c r="O370" s="3">
        <v>3.6600000000000001E-2</v>
      </c>
      <c r="P370" s="3">
        <v>0.79600000000000004</v>
      </c>
      <c r="Q370" s="2">
        <v>0</v>
      </c>
      <c r="R370" s="3">
        <v>0.79600000000000004</v>
      </c>
      <c r="S370" t="s">
        <v>728</v>
      </c>
      <c r="U370" t="s">
        <v>715</v>
      </c>
    </row>
    <row r="371" spans="1:21" x14ac:dyDescent="0.6">
      <c r="A371">
        <v>365</v>
      </c>
      <c r="B371" t="str">
        <f>"2355"</f>
        <v>2355</v>
      </c>
      <c r="C371" t="s">
        <v>448</v>
      </c>
      <c r="D371" s="1">
        <v>42923</v>
      </c>
      <c r="E371">
        <v>60.1</v>
      </c>
      <c r="F371">
        <v>-0.7</v>
      </c>
      <c r="G371" s="3">
        <v>-1.15E-2</v>
      </c>
      <c r="H371">
        <v>2015</v>
      </c>
      <c r="I371">
        <v>4.45</v>
      </c>
      <c r="J371">
        <v>2.2000000000000002</v>
      </c>
      <c r="K371">
        <v>0</v>
      </c>
      <c r="L371">
        <v>2.2000000000000002</v>
      </c>
      <c r="M371" s="3">
        <v>3.6600000000000001E-2</v>
      </c>
      <c r="N371" s="2">
        <v>0</v>
      </c>
      <c r="O371" s="3">
        <v>3.6600000000000001E-2</v>
      </c>
      <c r="P371" s="3">
        <v>0.49399999999999999</v>
      </c>
      <c r="Q371" s="2">
        <v>0</v>
      </c>
      <c r="R371" s="3">
        <v>0.49399999999999999</v>
      </c>
      <c r="S371" t="s">
        <v>755</v>
      </c>
      <c r="U371" t="s">
        <v>730</v>
      </c>
    </row>
    <row r="372" spans="1:21" x14ac:dyDescent="0.6">
      <c r="A372">
        <v>169</v>
      </c>
      <c r="B372" t="str">
        <f>"6108"</f>
        <v>6108</v>
      </c>
      <c r="C372" t="s">
        <v>242</v>
      </c>
      <c r="D372" s="1">
        <v>42923</v>
      </c>
      <c r="E372">
        <v>30.5</v>
      </c>
      <c r="F372">
        <v>0.1</v>
      </c>
      <c r="G372" s="3">
        <v>3.3E-3</v>
      </c>
      <c r="H372">
        <v>2015</v>
      </c>
      <c r="I372">
        <v>2.0699999999999998</v>
      </c>
      <c r="J372">
        <v>1.1000000000000001</v>
      </c>
      <c r="K372">
        <v>0</v>
      </c>
      <c r="L372">
        <v>1.1000000000000001</v>
      </c>
      <c r="M372" s="3">
        <v>3.61E-2</v>
      </c>
      <c r="N372" s="2">
        <v>0</v>
      </c>
      <c r="O372" s="3">
        <v>3.61E-2</v>
      </c>
      <c r="P372" s="3">
        <v>0.53100000000000003</v>
      </c>
      <c r="Q372" s="2">
        <v>0</v>
      </c>
      <c r="R372" s="3">
        <v>0.53100000000000003</v>
      </c>
      <c r="S372" t="s">
        <v>708</v>
      </c>
      <c r="U372" t="s">
        <v>709</v>
      </c>
    </row>
    <row r="373" spans="1:21" x14ac:dyDescent="0.6">
      <c r="A373">
        <v>424</v>
      </c>
      <c r="B373" t="str">
        <f>"8930"</f>
        <v>8930</v>
      </c>
      <c r="C373" t="s">
        <v>511</v>
      </c>
      <c r="D373" s="1">
        <v>42923</v>
      </c>
      <c r="E373">
        <v>13.95</v>
      </c>
      <c r="F373">
        <v>0</v>
      </c>
      <c r="G373" s="2">
        <v>0</v>
      </c>
      <c r="H373">
        <v>2015</v>
      </c>
      <c r="I373">
        <v>0.4</v>
      </c>
      <c r="J373">
        <v>0.5</v>
      </c>
      <c r="K373">
        <v>0</v>
      </c>
      <c r="L373">
        <v>0.5</v>
      </c>
      <c r="M373" s="3">
        <v>3.5799999999999998E-2</v>
      </c>
      <c r="N373" s="2">
        <v>0</v>
      </c>
      <c r="O373" s="3">
        <v>3.5799999999999998E-2</v>
      </c>
      <c r="P373" s="2">
        <v>1.25</v>
      </c>
      <c r="Q373" s="2">
        <v>0</v>
      </c>
      <c r="R373" s="2">
        <v>1.25</v>
      </c>
      <c r="S373" t="s">
        <v>698</v>
      </c>
      <c r="U373" t="s">
        <v>748</v>
      </c>
    </row>
    <row r="374" spans="1:21" x14ac:dyDescent="0.6">
      <c r="A374">
        <v>249</v>
      </c>
      <c r="B374" t="str">
        <f>"1234"</f>
        <v>1234</v>
      </c>
      <c r="C374" t="s">
        <v>328</v>
      </c>
      <c r="D374" s="1">
        <v>42923</v>
      </c>
      <c r="E374">
        <v>33.65</v>
      </c>
      <c r="F374">
        <v>-0.25</v>
      </c>
      <c r="G374" s="3">
        <v>-7.4000000000000003E-3</v>
      </c>
      <c r="H374">
        <v>2015</v>
      </c>
      <c r="I374">
        <v>0.98</v>
      </c>
      <c r="J374">
        <v>1.2</v>
      </c>
      <c r="K374">
        <v>0</v>
      </c>
      <c r="L374">
        <v>1.2</v>
      </c>
      <c r="M374" s="3">
        <v>3.5700000000000003E-2</v>
      </c>
      <c r="N374" s="2">
        <v>0</v>
      </c>
      <c r="O374" s="3">
        <v>3.5700000000000003E-2</v>
      </c>
      <c r="P374" s="2">
        <v>1.22</v>
      </c>
      <c r="Q374" s="2">
        <v>0</v>
      </c>
      <c r="R374" s="2">
        <v>1.22</v>
      </c>
      <c r="S374" t="s">
        <v>691</v>
      </c>
      <c r="U374" t="s">
        <v>701</v>
      </c>
    </row>
    <row r="375" spans="1:21" x14ac:dyDescent="0.6">
      <c r="A375">
        <v>377</v>
      </c>
      <c r="B375" t="str">
        <f>"2012"</f>
        <v>2012</v>
      </c>
      <c r="C375" t="s">
        <v>460</v>
      </c>
      <c r="D375" s="1">
        <v>42923</v>
      </c>
      <c r="E375">
        <v>14.3</v>
      </c>
      <c r="F375">
        <v>0.15</v>
      </c>
      <c r="G375" s="3">
        <v>1.06E-2</v>
      </c>
      <c r="H375">
        <v>2015</v>
      </c>
      <c r="I375">
        <v>0.53</v>
      </c>
      <c r="J375">
        <v>0.5</v>
      </c>
      <c r="K375">
        <v>0</v>
      </c>
      <c r="L375">
        <v>0.5</v>
      </c>
      <c r="M375" s="3">
        <v>3.5000000000000003E-2</v>
      </c>
      <c r="N375" s="2">
        <v>0</v>
      </c>
      <c r="O375" s="3">
        <v>3.5000000000000003E-2</v>
      </c>
      <c r="P375" s="3">
        <v>0.94299999999999995</v>
      </c>
      <c r="Q375" s="2">
        <v>0</v>
      </c>
      <c r="R375" s="3">
        <v>0.94299999999999995</v>
      </c>
      <c r="S375" t="s">
        <v>692</v>
      </c>
      <c r="U375" t="s">
        <v>697</v>
      </c>
    </row>
    <row r="376" spans="1:21" x14ac:dyDescent="0.6">
      <c r="A376">
        <v>386</v>
      </c>
      <c r="B376" t="str">
        <f>"8066"</f>
        <v>8066</v>
      </c>
      <c r="C376" t="s">
        <v>470</v>
      </c>
      <c r="D376" s="1">
        <v>42923</v>
      </c>
      <c r="E376">
        <v>115.5</v>
      </c>
      <c r="F376">
        <v>-0.5</v>
      </c>
      <c r="G376" s="3">
        <v>-4.3E-3</v>
      </c>
      <c r="H376">
        <v>2015</v>
      </c>
      <c r="I376">
        <v>4.71</v>
      </c>
      <c r="J376">
        <v>4</v>
      </c>
      <c r="K376">
        <v>0</v>
      </c>
      <c r="L376">
        <v>4</v>
      </c>
      <c r="M376" s="3">
        <v>3.4599999999999999E-2</v>
      </c>
      <c r="N376" s="2">
        <v>0</v>
      </c>
      <c r="O376" s="3">
        <v>3.4599999999999999E-2</v>
      </c>
      <c r="P376" s="3">
        <v>0.84899999999999998</v>
      </c>
      <c r="Q376" s="2">
        <v>0</v>
      </c>
      <c r="R376" s="3">
        <v>0.84899999999999998</v>
      </c>
      <c r="S376" t="s">
        <v>743</v>
      </c>
      <c r="U376" t="s">
        <v>715</v>
      </c>
    </row>
    <row r="377" spans="1:21" x14ac:dyDescent="0.6">
      <c r="A377">
        <v>489</v>
      </c>
      <c r="B377" t="str">
        <f>"1527"</f>
        <v>1527</v>
      </c>
      <c r="C377" t="s">
        <v>582</v>
      </c>
      <c r="D377" s="1">
        <v>42923</v>
      </c>
      <c r="E377">
        <v>86.8</v>
      </c>
      <c r="F377">
        <v>-0.8</v>
      </c>
      <c r="G377" s="3">
        <v>-9.1000000000000004E-3</v>
      </c>
      <c r="H377">
        <v>2015</v>
      </c>
      <c r="I377">
        <v>6.31</v>
      </c>
      <c r="J377">
        <v>3</v>
      </c>
      <c r="K377">
        <v>0</v>
      </c>
      <c r="L377">
        <v>3</v>
      </c>
      <c r="M377" s="3">
        <v>3.4599999999999999E-2</v>
      </c>
      <c r="N377" s="2">
        <v>0</v>
      </c>
      <c r="O377" s="3">
        <v>3.4599999999999999E-2</v>
      </c>
      <c r="P377" s="3">
        <v>0.47499999999999998</v>
      </c>
      <c r="Q377" s="2">
        <v>0</v>
      </c>
      <c r="R377" s="3">
        <v>0.47499999999999998</v>
      </c>
      <c r="S377" t="s">
        <v>716</v>
      </c>
      <c r="U377" t="s">
        <v>780</v>
      </c>
    </row>
    <row r="378" spans="1:21" x14ac:dyDescent="0.6">
      <c r="A378">
        <v>245</v>
      </c>
      <c r="B378" t="str">
        <f>"8433"</f>
        <v>8433</v>
      </c>
      <c r="C378" t="s">
        <v>324</v>
      </c>
      <c r="D378" s="1">
        <v>42923</v>
      </c>
      <c r="E378">
        <v>101.5</v>
      </c>
      <c r="F378">
        <v>-2.5</v>
      </c>
      <c r="G378" s="3">
        <v>-2.4E-2</v>
      </c>
      <c r="H378">
        <v>2015</v>
      </c>
      <c r="I378">
        <v>4.01</v>
      </c>
      <c r="J378">
        <v>3.5</v>
      </c>
      <c r="K378">
        <v>0</v>
      </c>
      <c r="L378">
        <v>3.5</v>
      </c>
      <c r="M378" s="3">
        <v>3.4500000000000003E-2</v>
      </c>
      <c r="N378" s="2">
        <v>0</v>
      </c>
      <c r="O378" s="3">
        <v>3.4500000000000003E-2</v>
      </c>
      <c r="P378" s="3">
        <v>0.873</v>
      </c>
      <c r="Q378" s="2">
        <v>0</v>
      </c>
      <c r="R378" s="3">
        <v>0.873</v>
      </c>
      <c r="S378" t="s">
        <v>776</v>
      </c>
      <c r="U378" t="s">
        <v>744</v>
      </c>
    </row>
    <row r="379" spans="1:21" x14ac:dyDescent="0.6">
      <c r="A379">
        <v>257</v>
      </c>
      <c r="B379" t="str">
        <f>"2892"</f>
        <v>2892</v>
      </c>
      <c r="C379" t="s">
        <v>336</v>
      </c>
      <c r="D379" s="1">
        <v>42923</v>
      </c>
      <c r="E379">
        <v>20.3</v>
      </c>
      <c r="F379">
        <v>-0.1</v>
      </c>
      <c r="G379" s="3">
        <v>-4.8999999999999998E-3</v>
      </c>
      <c r="H379">
        <v>2015</v>
      </c>
      <c r="I379">
        <v>1.52</v>
      </c>
      <c r="J379">
        <v>0.7</v>
      </c>
      <c r="K379">
        <v>0.65</v>
      </c>
      <c r="L379">
        <v>1.35</v>
      </c>
      <c r="M379" s="3">
        <v>3.4500000000000003E-2</v>
      </c>
      <c r="N379" s="3">
        <v>3.2000000000000001E-2</v>
      </c>
      <c r="O379" s="3">
        <v>6.6500000000000004E-2</v>
      </c>
      <c r="P379" s="2">
        <v>0.46</v>
      </c>
      <c r="Q379" s="3">
        <v>0.42799999999999999</v>
      </c>
      <c r="R379" s="3">
        <v>0.88800000000000001</v>
      </c>
      <c r="S379" t="s">
        <v>715</v>
      </c>
      <c r="T379" t="s">
        <v>715</v>
      </c>
      <c r="U379" t="s">
        <v>701</v>
      </c>
    </row>
    <row r="380" spans="1:21" x14ac:dyDescent="0.6">
      <c r="A380">
        <v>333</v>
      </c>
      <c r="B380" t="str">
        <f>"2539"</f>
        <v>2539</v>
      </c>
      <c r="C380" t="s">
        <v>415</v>
      </c>
      <c r="D380" s="1">
        <v>42923</v>
      </c>
      <c r="E380">
        <v>29.15</v>
      </c>
      <c r="F380">
        <v>-0.05</v>
      </c>
      <c r="G380" s="3">
        <v>-1.6999999999999999E-3</v>
      </c>
      <c r="H380">
        <v>2015</v>
      </c>
      <c r="I380">
        <v>4.6399999999999997</v>
      </c>
      <c r="J380">
        <v>1</v>
      </c>
      <c r="K380">
        <v>2</v>
      </c>
      <c r="L380">
        <v>3</v>
      </c>
      <c r="M380" s="3">
        <v>3.4299999999999997E-2</v>
      </c>
      <c r="N380" s="3">
        <v>6.8599999999999994E-2</v>
      </c>
      <c r="O380" s="3">
        <v>0.10299999999999999</v>
      </c>
      <c r="P380" s="3">
        <v>0.216</v>
      </c>
      <c r="Q380" s="3">
        <v>0.43099999999999999</v>
      </c>
      <c r="R380" s="3">
        <v>0.64700000000000002</v>
      </c>
      <c r="S380" t="s">
        <v>729</v>
      </c>
      <c r="T380" t="s">
        <v>729</v>
      </c>
      <c r="U380" t="s">
        <v>717</v>
      </c>
    </row>
    <row r="381" spans="1:21" x14ac:dyDescent="0.6">
      <c r="A381">
        <v>354</v>
      </c>
      <c r="B381" t="str">
        <f>"3260"</f>
        <v>3260</v>
      </c>
      <c r="C381" t="s">
        <v>437</v>
      </c>
      <c r="D381" s="1">
        <v>42923</v>
      </c>
      <c r="E381">
        <v>74.3</v>
      </c>
      <c r="F381">
        <v>-0.5</v>
      </c>
      <c r="G381" s="3">
        <v>-6.7000000000000002E-3</v>
      </c>
      <c r="H381">
        <v>2015</v>
      </c>
      <c r="I381">
        <v>3.52</v>
      </c>
      <c r="J381">
        <v>2.52</v>
      </c>
      <c r="K381">
        <v>0</v>
      </c>
      <c r="L381">
        <v>2.52</v>
      </c>
      <c r="M381" s="3">
        <v>3.39E-2</v>
      </c>
      <c r="N381" s="2">
        <v>0</v>
      </c>
      <c r="O381" s="3">
        <v>3.39E-2</v>
      </c>
      <c r="P381" s="3">
        <v>0.71599999999999997</v>
      </c>
      <c r="Q381" s="2">
        <v>0</v>
      </c>
      <c r="R381" s="3">
        <v>0.71599999999999997</v>
      </c>
      <c r="S381" t="s">
        <v>724</v>
      </c>
      <c r="U381" t="s">
        <v>715</v>
      </c>
    </row>
    <row r="382" spans="1:21" x14ac:dyDescent="0.6">
      <c r="A382">
        <v>174</v>
      </c>
      <c r="B382" t="str">
        <f>"1541"</f>
        <v>1541</v>
      </c>
      <c r="C382" t="s">
        <v>248</v>
      </c>
      <c r="D382" s="1">
        <v>42923</v>
      </c>
      <c r="E382">
        <v>50.8</v>
      </c>
      <c r="F382">
        <v>0.2</v>
      </c>
      <c r="G382" s="3">
        <v>4.0000000000000001E-3</v>
      </c>
      <c r="H382">
        <v>2015</v>
      </c>
      <c r="I382">
        <v>2.06</v>
      </c>
      <c r="J382">
        <v>1.71</v>
      </c>
      <c r="K382">
        <v>0</v>
      </c>
      <c r="L382">
        <v>1.71</v>
      </c>
      <c r="M382" s="3">
        <v>3.3700000000000001E-2</v>
      </c>
      <c r="N382" s="2">
        <v>0</v>
      </c>
      <c r="O382" s="3">
        <v>3.3700000000000001E-2</v>
      </c>
      <c r="P382" s="2">
        <v>0.83</v>
      </c>
      <c r="Q382" s="2">
        <v>0</v>
      </c>
      <c r="R382" s="2">
        <v>0.83</v>
      </c>
      <c r="S382" t="s">
        <v>753</v>
      </c>
      <c r="U382" t="s">
        <v>747</v>
      </c>
    </row>
    <row r="383" spans="1:21" x14ac:dyDescent="0.6">
      <c r="A383">
        <v>86</v>
      </c>
      <c r="B383" t="str">
        <f>"8112"</f>
        <v>8112</v>
      </c>
      <c r="C383" t="s">
        <v>149</v>
      </c>
      <c r="D383" s="1">
        <v>42923</v>
      </c>
      <c r="E383">
        <v>32.700000000000003</v>
      </c>
      <c r="F383">
        <v>-0.6</v>
      </c>
      <c r="G383" s="3">
        <v>-1.7999999999999999E-2</v>
      </c>
      <c r="H383">
        <v>2015</v>
      </c>
      <c r="I383">
        <v>1.29</v>
      </c>
      <c r="J383">
        <v>1.1000000000000001</v>
      </c>
      <c r="K383">
        <v>0</v>
      </c>
      <c r="L383">
        <v>1.1000000000000001</v>
      </c>
      <c r="M383" s="3">
        <v>3.3599999999999998E-2</v>
      </c>
      <c r="N383" s="2">
        <v>0</v>
      </c>
      <c r="O383" s="3">
        <v>3.3599999999999998E-2</v>
      </c>
      <c r="P383" s="3">
        <v>0.85299999999999998</v>
      </c>
      <c r="Q383" s="2">
        <v>0</v>
      </c>
      <c r="R383" s="3">
        <v>0.85299999999999998</v>
      </c>
      <c r="S383" t="s">
        <v>729</v>
      </c>
      <c r="U383" t="s">
        <v>746</v>
      </c>
    </row>
    <row r="384" spans="1:21" x14ac:dyDescent="0.6">
      <c r="A384">
        <v>357</v>
      </c>
      <c r="B384" t="str">
        <f>"6496"</f>
        <v>6496</v>
      </c>
      <c r="C384" t="s">
        <v>440</v>
      </c>
      <c r="D384" s="1">
        <v>42923</v>
      </c>
      <c r="E384">
        <v>74.400000000000006</v>
      </c>
      <c r="F384">
        <v>-0.8</v>
      </c>
      <c r="G384" s="3">
        <v>-1.06E-2</v>
      </c>
      <c r="H384">
        <v>2015</v>
      </c>
      <c r="I384">
        <v>3.62</v>
      </c>
      <c r="J384">
        <v>2.5</v>
      </c>
      <c r="K384">
        <v>0</v>
      </c>
      <c r="L384">
        <v>2.5</v>
      </c>
      <c r="M384" s="3">
        <v>3.3599999999999998E-2</v>
      </c>
      <c r="N384" s="2">
        <v>0</v>
      </c>
      <c r="O384" s="3">
        <v>3.3599999999999998E-2</v>
      </c>
      <c r="P384" s="3">
        <v>0.69099999999999995</v>
      </c>
      <c r="Q384" s="2">
        <v>0</v>
      </c>
      <c r="R384" s="3">
        <v>0.69099999999999995</v>
      </c>
      <c r="S384" t="s">
        <v>698</v>
      </c>
      <c r="U384" t="s">
        <v>745</v>
      </c>
    </row>
    <row r="385" spans="1:21" x14ac:dyDescent="0.6">
      <c r="A385">
        <v>451</v>
      </c>
      <c r="B385" t="str">
        <f>"4506"</f>
        <v>4506</v>
      </c>
      <c r="C385" t="s">
        <v>541</v>
      </c>
      <c r="D385" s="1">
        <v>42923</v>
      </c>
      <c r="E385">
        <v>45</v>
      </c>
      <c r="F385">
        <v>0</v>
      </c>
      <c r="G385" s="2">
        <v>0</v>
      </c>
      <c r="H385">
        <v>2015</v>
      </c>
      <c r="I385">
        <v>1.82</v>
      </c>
      <c r="J385">
        <v>1.5</v>
      </c>
      <c r="K385">
        <v>0</v>
      </c>
      <c r="L385">
        <v>1.5</v>
      </c>
      <c r="M385" s="3">
        <v>3.3300000000000003E-2</v>
      </c>
      <c r="N385" s="2">
        <v>0</v>
      </c>
      <c r="O385" s="3">
        <v>3.3300000000000003E-2</v>
      </c>
      <c r="P385" s="3">
        <v>0.82399999999999995</v>
      </c>
      <c r="Q385" s="2">
        <v>0</v>
      </c>
      <c r="R385" s="3">
        <v>0.82399999999999995</v>
      </c>
      <c r="S385" t="s">
        <v>725</v>
      </c>
      <c r="U385" t="s">
        <v>735</v>
      </c>
    </row>
    <row r="386" spans="1:21" x14ac:dyDescent="0.6">
      <c r="A386">
        <v>435</v>
      </c>
      <c r="B386" t="str">
        <f>"1737"</f>
        <v>1737</v>
      </c>
      <c r="C386" t="s">
        <v>524</v>
      </c>
      <c r="D386" s="1">
        <v>42923</v>
      </c>
      <c r="E386">
        <v>30.2</v>
      </c>
      <c r="F386">
        <v>-0.1</v>
      </c>
      <c r="G386" s="3">
        <v>-3.3E-3</v>
      </c>
      <c r="H386">
        <v>2015</v>
      </c>
      <c r="I386">
        <v>1.07</v>
      </c>
      <c r="J386">
        <v>1</v>
      </c>
      <c r="K386">
        <v>0</v>
      </c>
      <c r="L386">
        <v>1</v>
      </c>
      <c r="M386" s="3">
        <v>3.3099999999999997E-2</v>
      </c>
      <c r="N386" s="2">
        <v>0</v>
      </c>
      <c r="O386" s="3">
        <v>3.3099999999999997E-2</v>
      </c>
      <c r="P386" s="3">
        <v>0.93500000000000005</v>
      </c>
      <c r="Q386" s="2">
        <v>0</v>
      </c>
      <c r="R386" s="3">
        <v>0.93500000000000005</v>
      </c>
      <c r="S386" t="s">
        <v>748</v>
      </c>
      <c r="U386" t="s">
        <v>705</v>
      </c>
    </row>
    <row r="387" spans="1:21" x14ac:dyDescent="0.6">
      <c r="A387">
        <v>161</v>
      </c>
      <c r="B387" t="str">
        <f>"6245"</f>
        <v>6245</v>
      </c>
      <c r="C387" t="s">
        <v>231</v>
      </c>
      <c r="D387" s="1">
        <v>42923</v>
      </c>
      <c r="E387">
        <v>45.1</v>
      </c>
      <c r="F387">
        <v>-0.15</v>
      </c>
      <c r="G387" s="3">
        <v>-3.3E-3</v>
      </c>
      <c r="H387">
        <v>2015</v>
      </c>
      <c r="I387">
        <v>3.4</v>
      </c>
      <c r="J387">
        <v>1.47</v>
      </c>
      <c r="K387">
        <v>0.49</v>
      </c>
      <c r="L387">
        <v>1.96</v>
      </c>
      <c r="M387" s="3">
        <v>3.27E-2</v>
      </c>
      <c r="N387" s="3">
        <v>1.09E-2</v>
      </c>
      <c r="O387" s="3">
        <v>4.36E-2</v>
      </c>
      <c r="P387" s="3">
        <v>0.432</v>
      </c>
      <c r="Q387" s="3">
        <v>0.14399999999999999</v>
      </c>
      <c r="R387" s="3">
        <v>0.57599999999999996</v>
      </c>
      <c r="S387" t="s">
        <v>745</v>
      </c>
      <c r="T387" t="s">
        <v>745</v>
      </c>
      <c r="U387" t="s">
        <v>722</v>
      </c>
    </row>
    <row r="388" spans="1:21" x14ac:dyDescent="0.6">
      <c r="A388">
        <v>488</v>
      </c>
      <c r="B388" t="str">
        <f>"3450"</f>
        <v>3450</v>
      </c>
      <c r="C388" t="s">
        <v>581</v>
      </c>
      <c r="D388" s="1">
        <v>42923</v>
      </c>
      <c r="E388">
        <v>137.5</v>
      </c>
      <c r="F388">
        <v>0</v>
      </c>
      <c r="G388" s="2">
        <v>0</v>
      </c>
      <c r="H388">
        <v>2015</v>
      </c>
      <c r="I388">
        <v>9.77</v>
      </c>
      <c r="J388">
        <v>4.5</v>
      </c>
      <c r="K388">
        <v>2</v>
      </c>
      <c r="L388">
        <v>6.5</v>
      </c>
      <c r="M388" s="3">
        <v>3.27E-2</v>
      </c>
      <c r="N388" s="3">
        <v>1.4500000000000001E-2</v>
      </c>
      <c r="O388" s="3">
        <v>4.7300000000000002E-2</v>
      </c>
      <c r="P388" s="3">
        <v>0.46100000000000002</v>
      </c>
      <c r="Q388" s="3">
        <v>0.20499999999999999</v>
      </c>
      <c r="R388" s="3">
        <v>0.66500000000000004</v>
      </c>
      <c r="S388" t="s">
        <v>694</v>
      </c>
      <c r="T388" t="s">
        <v>694</v>
      </c>
      <c r="U388" t="s">
        <v>692</v>
      </c>
    </row>
    <row r="389" spans="1:21" x14ac:dyDescent="0.6">
      <c r="A389">
        <v>156</v>
      </c>
      <c r="B389" t="str">
        <f>"1464"</f>
        <v>1464</v>
      </c>
      <c r="C389" t="s">
        <v>225</v>
      </c>
      <c r="D389" s="1">
        <v>42923</v>
      </c>
      <c r="E389">
        <v>29.9</v>
      </c>
      <c r="F389">
        <v>-0.55000000000000004</v>
      </c>
      <c r="G389" s="3">
        <v>-1.8100000000000002E-2</v>
      </c>
      <c r="H389">
        <v>2015</v>
      </c>
      <c r="I389">
        <v>4.1399999999999997</v>
      </c>
      <c r="J389">
        <v>0.97</v>
      </c>
      <c r="K389">
        <v>0.49</v>
      </c>
      <c r="L389">
        <v>1.46</v>
      </c>
      <c r="M389" s="3">
        <v>3.2599999999999997E-2</v>
      </c>
      <c r="N389" s="3">
        <v>1.6299999999999999E-2</v>
      </c>
      <c r="O389" s="3">
        <v>4.8899999999999999E-2</v>
      </c>
      <c r="P389" s="3">
        <v>0.23400000000000001</v>
      </c>
      <c r="Q389" s="3">
        <v>0.11799999999999999</v>
      </c>
      <c r="R389" s="3">
        <v>0.35299999999999998</v>
      </c>
      <c r="S389" t="s">
        <v>713</v>
      </c>
      <c r="T389" t="s">
        <v>713</v>
      </c>
      <c r="U389" t="s">
        <v>730</v>
      </c>
    </row>
    <row r="390" spans="1:21" x14ac:dyDescent="0.6">
      <c r="A390">
        <v>106</v>
      </c>
      <c r="B390" t="str">
        <f>"5443"</f>
        <v>5443</v>
      </c>
      <c r="C390" t="s">
        <v>169</v>
      </c>
      <c r="D390" s="1">
        <v>42923</v>
      </c>
      <c r="E390">
        <v>24.65</v>
      </c>
      <c r="F390">
        <v>-0.3</v>
      </c>
      <c r="G390" s="3">
        <v>-1.2E-2</v>
      </c>
      <c r="H390">
        <v>2015</v>
      </c>
      <c r="I390">
        <v>0.42</v>
      </c>
      <c r="J390">
        <v>0.8</v>
      </c>
      <c r="K390">
        <v>0</v>
      </c>
      <c r="L390">
        <v>0.8</v>
      </c>
      <c r="M390" s="3">
        <v>3.2500000000000001E-2</v>
      </c>
      <c r="N390" s="2">
        <v>0</v>
      </c>
      <c r="O390" s="3">
        <v>3.2500000000000001E-2</v>
      </c>
      <c r="P390" s="2">
        <v>1.9</v>
      </c>
      <c r="Q390" s="2">
        <v>0</v>
      </c>
      <c r="R390" s="2">
        <v>1.9</v>
      </c>
      <c r="S390" t="s">
        <v>709</v>
      </c>
      <c r="U390" t="s">
        <v>695</v>
      </c>
    </row>
    <row r="391" spans="1:21" x14ac:dyDescent="0.6">
      <c r="A391">
        <v>285</v>
      </c>
      <c r="B391" t="s">
        <v>366</v>
      </c>
      <c r="C391" t="s">
        <v>367</v>
      </c>
      <c r="D391" s="1">
        <v>42923</v>
      </c>
      <c r="E391">
        <v>27.9</v>
      </c>
      <c r="F391">
        <v>0.05</v>
      </c>
      <c r="G391" s="3">
        <v>1.8E-3</v>
      </c>
      <c r="H391">
        <v>2015</v>
      </c>
      <c r="J391">
        <v>0.9</v>
      </c>
      <c r="K391">
        <v>0</v>
      </c>
      <c r="L391">
        <v>0.9</v>
      </c>
      <c r="M391" s="3">
        <v>3.2300000000000002E-2</v>
      </c>
      <c r="N391" s="2">
        <v>0</v>
      </c>
      <c r="O391" s="3">
        <v>3.2300000000000002E-2</v>
      </c>
      <c r="S391" t="s">
        <v>757</v>
      </c>
      <c r="U391" t="s">
        <v>695</v>
      </c>
    </row>
    <row r="392" spans="1:21" x14ac:dyDescent="0.6">
      <c r="A392">
        <v>97</v>
      </c>
      <c r="B392" t="str">
        <f>"3005"</f>
        <v>3005</v>
      </c>
      <c r="C392" t="s">
        <v>160</v>
      </c>
      <c r="D392" s="1">
        <v>42923</v>
      </c>
      <c r="E392">
        <v>40.4</v>
      </c>
      <c r="F392">
        <v>-0.3</v>
      </c>
      <c r="G392" s="3">
        <v>-7.4000000000000003E-3</v>
      </c>
      <c r="H392">
        <v>2015</v>
      </c>
      <c r="I392">
        <v>1.51</v>
      </c>
      <c r="J392">
        <v>1.3</v>
      </c>
      <c r="K392">
        <v>0</v>
      </c>
      <c r="L392">
        <v>1.3</v>
      </c>
      <c r="M392" s="3">
        <v>3.2199999999999999E-2</v>
      </c>
      <c r="N392" s="2">
        <v>0</v>
      </c>
      <c r="O392" s="3">
        <v>3.2199999999999999E-2</v>
      </c>
      <c r="P392" s="3">
        <v>0.86099999999999999</v>
      </c>
      <c r="Q392" s="2">
        <v>0</v>
      </c>
      <c r="R392" s="3">
        <v>0.86099999999999999</v>
      </c>
      <c r="S392" t="s">
        <v>716</v>
      </c>
      <c r="U392" t="s">
        <v>747</v>
      </c>
    </row>
    <row r="393" spans="1:21" x14ac:dyDescent="0.6">
      <c r="A393">
        <v>149</v>
      </c>
      <c r="B393" t="str">
        <f>"2029"</f>
        <v>2029</v>
      </c>
      <c r="C393" t="s">
        <v>217</v>
      </c>
      <c r="D393" s="1">
        <v>42923</v>
      </c>
      <c r="E393">
        <v>36.35</v>
      </c>
      <c r="F393">
        <v>-0.75</v>
      </c>
      <c r="G393" s="3">
        <v>-2.0199999999999999E-2</v>
      </c>
      <c r="H393">
        <v>2015</v>
      </c>
      <c r="I393">
        <v>1.36</v>
      </c>
      <c r="J393">
        <v>1.1499999999999999</v>
      </c>
      <c r="K393">
        <v>0</v>
      </c>
      <c r="L393">
        <v>1.1499999999999999</v>
      </c>
      <c r="M393" s="3">
        <v>3.1600000000000003E-2</v>
      </c>
      <c r="N393" s="2">
        <v>0</v>
      </c>
      <c r="O393" s="3">
        <v>3.1600000000000003E-2</v>
      </c>
      <c r="P393" s="3">
        <v>0.84599999999999997</v>
      </c>
      <c r="Q393" s="2">
        <v>0</v>
      </c>
      <c r="R393" s="3">
        <v>0.84599999999999997</v>
      </c>
      <c r="S393" t="s">
        <v>714</v>
      </c>
      <c r="U393" t="s">
        <v>766</v>
      </c>
    </row>
    <row r="394" spans="1:21" x14ac:dyDescent="0.6">
      <c r="A394">
        <v>431</v>
      </c>
      <c r="B394" t="str">
        <f>"2456"</f>
        <v>2456</v>
      </c>
      <c r="C394" t="s">
        <v>519</v>
      </c>
      <c r="D394" s="1">
        <v>42923</v>
      </c>
      <c r="E394">
        <v>80.2</v>
      </c>
      <c r="F394">
        <v>1.6</v>
      </c>
      <c r="G394" s="3">
        <v>2.0400000000000001E-2</v>
      </c>
      <c r="H394">
        <v>2015</v>
      </c>
      <c r="I394">
        <v>2.7</v>
      </c>
      <c r="J394">
        <v>2.5</v>
      </c>
      <c r="K394">
        <v>0</v>
      </c>
      <c r="L394">
        <v>2.5</v>
      </c>
      <c r="M394" s="3">
        <v>3.1199999999999999E-2</v>
      </c>
      <c r="N394" s="2">
        <v>0</v>
      </c>
      <c r="O394" s="3">
        <v>3.1199999999999999E-2</v>
      </c>
      <c r="P394" s="3">
        <v>0.92600000000000005</v>
      </c>
      <c r="Q394" s="2">
        <v>0</v>
      </c>
      <c r="R394" s="3">
        <v>0.92600000000000005</v>
      </c>
      <c r="S394" t="s">
        <v>710</v>
      </c>
      <c r="U394" t="s">
        <v>715</v>
      </c>
    </row>
    <row r="395" spans="1:21" x14ac:dyDescent="0.6">
      <c r="A395">
        <v>116</v>
      </c>
      <c r="B395" t="str">
        <f>"4711"</f>
        <v>4711</v>
      </c>
      <c r="C395" t="s">
        <v>180</v>
      </c>
      <c r="D395" s="1">
        <v>42923</v>
      </c>
      <c r="E395">
        <v>19.5</v>
      </c>
      <c r="F395">
        <v>0.1</v>
      </c>
      <c r="G395" s="3">
        <v>5.1999999999999998E-3</v>
      </c>
      <c r="H395">
        <v>2015</v>
      </c>
      <c r="I395">
        <v>0.46</v>
      </c>
      <c r="J395">
        <v>0.6</v>
      </c>
      <c r="K395">
        <v>0</v>
      </c>
      <c r="L395">
        <v>0.6</v>
      </c>
      <c r="M395" s="3">
        <v>3.0800000000000001E-2</v>
      </c>
      <c r="N395" s="2">
        <v>0</v>
      </c>
      <c r="O395" s="3">
        <v>3.0800000000000001E-2</v>
      </c>
      <c r="P395" s="2">
        <v>1.3</v>
      </c>
      <c r="Q395" s="2">
        <v>0</v>
      </c>
      <c r="R395" s="2">
        <v>1.3</v>
      </c>
      <c r="S395" t="s">
        <v>710</v>
      </c>
      <c r="U395" t="s">
        <v>735</v>
      </c>
    </row>
    <row r="396" spans="1:21" x14ac:dyDescent="0.6">
      <c r="A396">
        <v>222</v>
      </c>
      <c r="B396" t="str">
        <f>"1522"</f>
        <v>1522</v>
      </c>
      <c r="C396" t="s">
        <v>301</v>
      </c>
      <c r="D396" s="1">
        <v>42923</v>
      </c>
      <c r="E396">
        <v>32.6</v>
      </c>
      <c r="F396">
        <v>0</v>
      </c>
      <c r="G396" s="2">
        <v>0</v>
      </c>
      <c r="H396">
        <v>2015</v>
      </c>
      <c r="I396">
        <v>1.64</v>
      </c>
      <c r="J396">
        <v>1</v>
      </c>
      <c r="K396">
        <v>0</v>
      </c>
      <c r="L396">
        <v>1</v>
      </c>
      <c r="M396" s="3">
        <v>3.0700000000000002E-2</v>
      </c>
      <c r="N396" s="2">
        <v>0</v>
      </c>
      <c r="O396" s="3">
        <v>3.0700000000000002E-2</v>
      </c>
      <c r="P396" s="2">
        <v>0.61</v>
      </c>
      <c r="Q396" s="2">
        <v>0</v>
      </c>
      <c r="R396" s="2">
        <v>0.61</v>
      </c>
      <c r="S396" t="s">
        <v>760</v>
      </c>
      <c r="U396" t="s">
        <v>697</v>
      </c>
    </row>
    <row r="397" spans="1:21" x14ac:dyDescent="0.6">
      <c r="A397">
        <v>274</v>
      </c>
      <c r="B397" t="str">
        <f>"2889"</f>
        <v>2889</v>
      </c>
      <c r="C397" t="s">
        <v>354</v>
      </c>
      <c r="D397" s="1">
        <v>42923</v>
      </c>
      <c r="E397">
        <v>9.4600000000000009</v>
      </c>
      <c r="F397">
        <v>-0.04</v>
      </c>
      <c r="G397" s="3">
        <v>-4.1999999999999997E-3</v>
      </c>
      <c r="H397">
        <v>2015</v>
      </c>
      <c r="I397">
        <v>0.66</v>
      </c>
      <c r="J397">
        <v>0.28999999999999998</v>
      </c>
      <c r="K397">
        <v>0.3</v>
      </c>
      <c r="L397">
        <v>0.59</v>
      </c>
      <c r="M397" s="3">
        <v>3.0700000000000002E-2</v>
      </c>
      <c r="N397" s="3">
        <v>3.1699999999999999E-2</v>
      </c>
      <c r="O397" s="3">
        <v>6.2399999999999997E-2</v>
      </c>
      <c r="P397" s="3">
        <v>0.439</v>
      </c>
      <c r="Q397" s="3">
        <v>0.45400000000000001</v>
      </c>
      <c r="R397" s="3">
        <v>0.89400000000000002</v>
      </c>
      <c r="S397" t="s">
        <v>750</v>
      </c>
      <c r="T397" t="s">
        <v>750</v>
      </c>
      <c r="U397" t="s">
        <v>741</v>
      </c>
    </row>
    <row r="398" spans="1:21" x14ac:dyDescent="0.6">
      <c r="A398">
        <v>447</v>
      </c>
      <c r="B398" t="str">
        <f>"3031"</f>
        <v>3031</v>
      </c>
      <c r="C398" t="s">
        <v>537</v>
      </c>
      <c r="D398" s="1">
        <v>42923</v>
      </c>
      <c r="E398">
        <v>16.3</v>
      </c>
      <c r="F398">
        <v>-0.2</v>
      </c>
      <c r="G398" s="3">
        <v>-1.21E-2</v>
      </c>
      <c r="H398">
        <v>2015</v>
      </c>
      <c r="I398">
        <v>0.46</v>
      </c>
      <c r="J398">
        <v>0.5</v>
      </c>
      <c r="K398">
        <v>0</v>
      </c>
      <c r="L398">
        <v>0.5</v>
      </c>
      <c r="M398" s="3">
        <v>3.0700000000000002E-2</v>
      </c>
      <c r="N398" s="2">
        <v>0</v>
      </c>
      <c r="O398" s="3">
        <v>3.0700000000000002E-2</v>
      </c>
      <c r="P398" s="2">
        <v>1.0900000000000001</v>
      </c>
      <c r="Q398" s="2">
        <v>0</v>
      </c>
      <c r="R398" s="2">
        <v>1.0900000000000001</v>
      </c>
      <c r="S398" t="s">
        <v>734</v>
      </c>
      <c r="U398" t="s">
        <v>735</v>
      </c>
    </row>
    <row r="399" spans="1:21" x14ac:dyDescent="0.6">
      <c r="A399">
        <v>243</v>
      </c>
      <c r="B399" t="str">
        <f>"1303"</f>
        <v>1303</v>
      </c>
      <c r="C399" t="s">
        <v>322</v>
      </c>
      <c r="D399" s="1">
        <v>42923</v>
      </c>
      <c r="E399">
        <v>75.099999999999994</v>
      </c>
      <c r="F399">
        <v>-0.5</v>
      </c>
      <c r="G399" s="3">
        <v>-6.6E-3</v>
      </c>
      <c r="H399">
        <v>2015</v>
      </c>
      <c r="I399">
        <v>4.01</v>
      </c>
      <c r="J399">
        <v>2.2999999999999998</v>
      </c>
      <c r="K399">
        <v>0</v>
      </c>
      <c r="L399">
        <v>2.2999999999999998</v>
      </c>
      <c r="M399" s="3">
        <v>3.0599999999999999E-2</v>
      </c>
      <c r="N399" s="2">
        <v>0</v>
      </c>
      <c r="O399" s="3">
        <v>3.0599999999999999E-2</v>
      </c>
      <c r="P399" s="3">
        <v>0.57399999999999995</v>
      </c>
      <c r="Q399" s="2">
        <v>0</v>
      </c>
      <c r="R399" s="3">
        <v>0.57399999999999995</v>
      </c>
      <c r="S399" t="s">
        <v>710</v>
      </c>
      <c r="U399" t="s">
        <v>713</v>
      </c>
    </row>
    <row r="400" spans="1:21" x14ac:dyDescent="0.6">
      <c r="A400">
        <v>286</v>
      </c>
      <c r="B400" t="str">
        <f>"6230"</f>
        <v>6230</v>
      </c>
      <c r="C400" t="s">
        <v>368</v>
      </c>
      <c r="D400" s="1">
        <v>42923</v>
      </c>
      <c r="E400">
        <v>131</v>
      </c>
      <c r="F400">
        <v>-2</v>
      </c>
      <c r="G400" s="3">
        <v>-1.4999999999999999E-2</v>
      </c>
      <c r="H400">
        <v>2015</v>
      </c>
      <c r="I400">
        <v>6.6</v>
      </c>
      <c r="J400">
        <v>4</v>
      </c>
      <c r="K400">
        <v>0</v>
      </c>
      <c r="L400">
        <v>4</v>
      </c>
      <c r="M400" s="3">
        <v>3.0499999999999999E-2</v>
      </c>
      <c r="N400" s="2">
        <v>0</v>
      </c>
      <c r="O400" s="3">
        <v>3.0499999999999999E-2</v>
      </c>
      <c r="P400" s="3">
        <v>0.60599999999999998</v>
      </c>
      <c r="Q400" s="2">
        <v>0</v>
      </c>
      <c r="R400" s="3">
        <v>0.60599999999999998</v>
      </c>
      <c r="S400" t="s">
        <v>753</v>
      </c>
      <c r="U400" t="s">
        <v>749</v>
      </c>
    </row>
    <row r="401" spans="1:21" x14ac:dyDescent="0.6">
      <c r="A401">
        <v>87</v>
      </c>
      <c r="B401" t="str">
        <f>"3303"</f>
        <v>3303</v>
      </c>
      <c r="C401" t="s">
        <v>150</v>
      </c>
      <c r="D401" s="1">
        <v>42923</v>
      </c>
      <c r="E401">
        <v>19.8</v>
      </c>
      <c r="F401">
        <v>0</v>
      </c>
      <c r="G401" s="2">
        <v>0</v>
      </c>
      <c r="H401">
        <v>2015</v>
      </c>
      <c r="I401">
        <v>0.6</v>
      </c>
      <c r="J401">
        <v>0.6</v>
      </c>
      <c r="K401">
        <v>0</v>
      </c>
      <c r="L401">
        <v>0.6</v>
      </c>
      <c r="M401" s="3">
        <v>3.0300000000000001E-2</v>
      </c>
      <c r="N401" s="2">
        <v>0</v>
      </c>
      <c r="O401" s="3">
        <v>3.0300000000000001E-2</v>
      </c>
      <c r="P401" s="2">
        <v>1</v>
      </c>
      <c r="Q401" s="2">
        <v>0</v>
      </c>
      <c r="R401" s="2">
        <v>1</v>
      </c>
      <c r="S401" t="s">
        <v>736</v>
      </c>
      <c r="U401" t="s">
        <v>695</v>
      </c>
    </row>
    <row r="402" spans="1:21" x14ac:dyDescent="0.6">
      <c r="A402">
        <v>416</v>
      </c>
      <c r="B402" t="str">
        <f>"2421"</f>
        <v>2421</v>
      </c>
      <c r="C402" t="s">
        <v>503</v>
      </c>
      <c r="D402" s="1">
        <v>42923</v>
      </c>
      <c r="E402">
        <v>39.6</v>
      </c>
      <c r="F402">
        <v>-0.1</v>
      </c>
      <c r="G402" s="3">
        <v>-2.5000000000000001E-3</v>
      </c>
      <c r="H402">
        <v>2015</v>
      </c>
      <c r="I402">
        <v>1.51</v>
      </c>
      <c r="J402">
        <v>1.2</v>
      </c>
      <c r="K402">
        <v>0</v>
      </c>
      <c r="L402">
        <v>1.2</v>
      </c>
      <c r="M402" s="3">
        <v>3.0300000000000001E-2</v>
      </c>
      <c r="N402" s="2">
        <v>0</v>
      </c>
      <c r="O402" s="3">
        <v>3.0300000000000001E-2</v>
      </c>
      <c r="P402" s="3">
        <v>0.79500000000000004</v>
      </c>
      <c r="Q402" s="2">
        <v>0</v>
      </c>
      <c r="R402" s="3">
        <v>0.79500000000000004</v>
      </c>
      <c r="S402" t="s">
        <v>773</v>
      </c>
      <c r="U402" t="s">
        <v>698</v>
      </c>
    </row>
    <row r="403" spans="1:21" x14ac:dyDescent="0.6">
      <c r="A403">
        <v>54</v>
      </c>
      <c r="B403" t="str">
        <f>"1709"</f>
        <v>1709</v>
      </c>
      <c r="C403" t="s">
        <v>104</v>
      </c>
      <c r="D403" s="1">
        <v>42923</v>
      </c>
      <c r="E403">
        <v>19.899999999999999</v>
      </c>
      <c r="F403">
        <v>-0.1</v>
      </c>
      <c r="G403" s="3">
        <v>-5.0000000000000001E-3</v>
      </c>
      <c r="H403">
        <v>2015</v>
      </c>
      <c r="I403">
        <v>0.43</v>
      </c>
      <c r="J403">
        <v>0.6</v>
      </c>
      <c r="K403">
        <v>0</v>
      </c>
      <c r="L403">
        <v>0.6</v>
      </c>
      <c r="M403" s="3">
        <v>3.0200000000000001E-2</v>
      </c>
      <c r="N403" s="2">
        <v>0</v>
      </c>
      <c r="O403" s="3">
        <v>3.0200000000000001E-2</v>
      </c>
      <c r="P403" s="2">
        <v>1.4</v>
      </c>
      <c r="Q403" s="2">
        <v>0</v>
      </c>
      <c r="R403" s="2">
        <v>1.4</v>
      </c>
      <c r="S403" t="s">
        <v>692</v>
      </c>
      <c r="U403" t="s">
        <v>739</v>
      </c>
    </row>
    <row r="404" spans="1:21" x14ac:dyDescent="0.6">
      <c r="A404">
        <v>215</v>
      </c>
      <c r="B404" t="str">
        <f>"6213"</f>
        <v>6213</v>
      </c>
      <c r="C404" t="s">
        <v>294</v>
      </c>
      <c r="D404" s="1">
        <v>42923</v>
      </c>
      <c r="E404">
        <v>40.35</v>
      </c>
      <c r="F404">
        <v>-0.2</v>
      </c>
      <c r="G404" s="3">
        <v>-4.8999999999999998E-3</v>
      </c>
      <c r="H404">
        <v>2015</v>
      </c>
      <c r="I404">
        <v>1.62</v>
      </c>
      <c r="J404">
        <v>1.22</v>
      </c>
      <c r="K404">
        <v>0</v>
      </c>
      <c r="L404">
        <v>1.22</v>
      </c>
      <c r="M404" s="3">
        <v>3.0200000000000001E-2</v>
      </c>
      <c r="N404" s="2">
        <v>0</v>
      </c>
      <c r="O404" s="3">
        <v>3.0200000000000001E-2</v>
      </c>
      <c r="P404" s="3">
        <v>0.753</v>
      </c>
      <c r="Q404" s="2">
        <v>0</v>
      </c>
      <c r="R404" s="3">
        <v>0.753</v>
      </c>
      <c r="S404" t="s">
        <v>698</v>
      </c>
      <c r="U404" t="s">
        <v>695</v>
      </c>
    </row>
    <row r="405" spans="1:21" x14ac:dyDescent="0.6">
      <c r="A405">
        <v>420</v>
      </c>
      <c r="B405" t="str">
        <f>"9937"</f>
        <v>9937</v>
      </c>
      <c r="C405" t="s">
        <v>507</v>
      </c>
      <c r="D405" s="1">
        <v>42923</v>
      </c>
      <c r="E405">
        <v>39.700000000000003</v>
      </c>
      <c r="F405">
        <v>-0.25</v>
      </c>
      <c r="G405" s="3">
        <v>-6.3E-3</v>
      </c>
      <c r="H405">
        <v>2015</v>
      </c>
      <c r="I405">
        <v>1.06</v>
      </c>
      <c r="J405">
        <v>1.2</v>
      </c>
      <c r="K405">
        <v>0</v>
      </c>
      <c r="L405">
        <v>1.2</v>
      </c>
      <c r="M405" s="3">
        <v>3.0200000000000001E-2</v>
      </c>
      <c r="N405" s="2">
        <v>0</v>
      </c>
      <c r="O405" s="3">
        <v>3.0200000000000001E-2</v>
      </c>
      <c r="P405" s="2">
        <v>1.1299999999999999</v>
      </c>
      <c r="Q405" s="2">
        <v>0</v>
      </c>
      <c r="R405" s="2">
        <v>1.1299999999999999</v>
      </c>
      <c r="S405" t="s">
        <v>691</v>
      </c>
      <c r="U405" t="s">
        <v>730</v>
      </c>
    </row>
    <row r="406" spans="1:21" x14ac:dyDescent="0.6">
      <c r="A406">
        <v>388</v>
      </c>
      <c r="B406" t="str">
        <f>"4950"</f>
        <v>4950</v>
      </c>
      <c r="C406" t="s">
        <v>472</v>
      </c>
      <c r="D406" s="1">
        <v>42923</v>
      </c>
      <c r="E406">
        <v>19.3</v>
      </c>
      <c r="F406">
        <v>0.05</v>
      </c>
      <c r="G406" s="3">
        <v>2.5999999999999999E-3</v>
      </c>
      <c r="H406">
        <v>2015</v>
      </c>
      <c r="I406">
        <v>6.28</v>
      </c>
      <c r="J406">
        <v>0.57999999999999996</v>
      </c>
      <c r="K406">
        <v>0</v>
      </c>
      <c r="L406">
        <v>0.57999999999999996</v>
      </c>
      <c r="M406" s="3">
        <v>2.9899999999999999E-2</v>
      </c>
      <c r="N406" s="2">
        <v>0</v>
      </c>
      <c r="O406" s="3">
        <v>2.9899999999999999E-2</v>
      </c>
      <c r="P406" s="3">
        <v>9.2399999999999996E-2</v>
      </c>
      <c r="Q406" s="2">
        <v>0</v>
      </c>
      <c r="R406" s="3">
        <v>9.2399999999999996E-2</v>
      </c>
      <c r="S406" t="s">
        <v>788</v>
      </c>
      <c r="U406" t="s">
        <v>789</v>
      </c>
    </row>
    <row r="407" spans="1:21" x14ac:dyDescent="0.6">
      <c r="A407">
        <v>226</v>
      </c>
      <c r="B407" t="str">
        <f>"2069"</f>
        <v>2069</v>
      </c>
      <c r="C407" t="s">
        <v>305</v>
      </c>
      <c r="D407" s="1">
        <v>42923</v>
      </c>
      <c r="E407">
        <v>27.05</v>
      </c>
      <c r="F407">
        <v>-0.45</v>
      </c>
      <c r="G407" s="3">
        <v>-1.6400000000000001E-2</v>
      </c>
      <c r="H407">
        <v>2015</v>
      </c>
      <c r="J407">
        <v>0.8</v>
      </c>
      <c r="K407">
        <v>0.2</v>
      </c>
      <c r="L407">
        <v>1</v>
      </c>
      <c r="M407" s="3">
        <v>2.9600000000000001E-2</v>
      </c>
      <c r="N407" s="3">
        <v>7.4000000000000003E-3</v>
      </c>
      <c r="O407" s="3">
        <v>3.6999999999999998E-2</v>
      </c>
      <c r="S407" t="s">
        <v>738</v>
      </c>
      <c r="T407" t="s">
        <v>738</v>
      </c>
      <c r="U407" t="s">
        <v>777</v>
      </c>
    </row>
    <row r="408" spans="1:21" x14ac:dyDescent="0.6">
      <c r="A408">
        <v>195</v>
      </c>
      <c r="B408" t="str">
        <f>"1220"</f>
        <v>1220</v>
      </c>
      <c r="C408" t="s">
        <v>272</v>
      </c>
      <c r="D408" s="1">
        <v>42923</v>
      </c>
      <c r="E408">
        <v>10.35</v>
      </c>
      <c r="F408">
        <v>0</v>
      </c>
      <c r="G408" s="2">
        <v>0</v>
      </c>
      <c r="H408">
        <v>2015</v>
      </c>
      <c r="I408">
        <v>0.3</v>
      </c>
      <c r="J408">
        <v>0.3</v>
      </c>
      <c r="K408">
        <v>0</v>
      </c>
      <c r="L408">
        <v>0.3</v>
      </c>
      <c r="M408" s="3">
        <v>2.9000000000000001E-2</v>
      </c>
      <c r="N408" s="2">
        <v>0</v>
      </c>
      <c r="O408" s="3">
        <v>2.9000000000000001E-2</v>
      </c>
      <c r="P408" s="2">
        <v>1</v>
      </c>
      <c r="Q408" s="2">
        <v>0</v>
      </c>
      <c r="R408" s="2">
        <v>1</v>
      </c>
      <c r="S408" t="s">
        <v>765</v>
      </c>
      <c r="U408" t="s">
        <v>735</v>
      </c>
    </row>
    <row r="409" spans="1:21" x14ac:dyDescent="0.6">
      <c r="A409">
        <v>280</v>
      </c>
      <c r="B409" t="str">
        <f>"4754"</f>
        <v>4754</v>
      </c>
      <c r="C409" t="s">
        <v>360</v>
      </c>
      <c r="D409" s="1">
        <v>42923</v>
      </c>
      <c r="E409">
        <v>45</v>
      </c>
      <c r="F409">
        <v>0</v>
      </c>
      <c r="G409" s="2">
        <v>0</v>
      </c>
      <c r="H409">
        <v>2015</v>
      </c>
      <c r="I409">
        <v>1.42</v>
      </c>
      <c r="J409">
        <v>1.3</v>
      </c>
      <c r="K409">
        <v>0</v>
      </c>
      <c r="L409">
        <v>1.3</v>
      </c>
      <c r="M409" s="3">
        <v>2.8899999999999999E-2</v>
      </c>
      <c r="N409" s="2">
        <v>0</v>
      </c>
      <c r="O409" s="3">
        <v>2.8899999999999999E-2</v>
      </c>
      <c r="P409" s="3">
        <v>0.91600000000000004</v>
      </c>
      <c r="Q409" s="2">
        <v>0</v>
      </c>
      <c r="R409" s="3">
        <v>0.91600000000000004</v>
      </c>
      <c r="S409" t="s">
        <v>709</v>
      </c>
      <c r="U409" t="s">
        <v>766</v>
      </c>
    </row>
    <row r="410" spans="1:21" x14ac:dyDescent="0.6">
      <c r="A410">
        <v>324</v>
      </c>
      <c r="B410" t="str">
        <f>"2461"</f>
        <v>2461</v>
      </c>
      <c r="C410" t="s">
        <v>406</v>
      </c>
      <c r="D410" s="1">
        <v>42923</v>
      </c>
      <c r="E410">
        <v>14.7</v>
      </c>
      <c r="F410">
        <v>-0.15</v>
      </c>
      <c r="G410" s="3">
        <v>-1.01E-2</v>
      </c>
      <c r="H410">
        <v>2015</v>
      </c>
      <c r="I410">
        <v>0.56000000000000005</v>
      </c>
      <c r="J410">
        <v>0.42</v>
      </c>
      <c r="K410">
        <v>0</v>
      </c>
      <c r="L410">
        <v>0.42</v>
      </c>
      <c r="M410" s="3">
        <v>2.8199999999999999E-2</v>
      </c>
      <c r="N410" s="2">
        <v>0</v>
      </c>
      <c r="O410" s="3">
        <v>2.8199999999999999E-2</v>
      </c>
      <c r="P410" s="2">
        <v>0.75</v>
      </c>
      <c r="Q410" s="2">
        <v>0</v>
      </c>
      <c r="R410" s="2">
        <v>0.75</v>
      </c>
      <c r="S410" t="s">
        <v>781</v>
      </c>
      <c r="U410" t="s">
        <v>782</v>
      </c>
    </row>
    <row r="411" spans="1:21" x14ac:dyDescent="0.6">
      <c r="A411">
        <v>459</v>
      </c>
      <c r="B411" t="str">
        <f>"2838"</f>
        <v>2838</v>
      </c>
      <c r="C411" t="s">
        <v>550</v>
      </c>
      <c r="D411" s="1">
        <v>42923</v>
      </c>
      <c r="E411">
        <v>9.27</v>
      </c>
      <c r="F411">
        <v>-0.01</v>
      </c>
      <c r="G411" s="3">
        <v>-1.1000000000000001E-3</v>
      </c>
      <c r="H411">
        <v>2015</v>
      </c>
      <c r="I411">
        <v>1.26</v>
      </c>
      <c r="J411">
        <v>0.26</v>
      </c>
      <c r="K411">
        <v>0.6</v>
      </c>
      <c r="L411">
        <v>0.86</v>
      </c>
      <c r="M411" s="3">
        <v>2.8000000000000001E-2</v>
      </c>
      <c r="N411" s="3">
        <v>6.4699999999999994E-2</v>
      </c>
      <c r="O411" s="3">
        <v>9.2799999999999994E-2</v>
      </c>
      <c r="P411" s="3">
        <v>0.20599999999999999</v>
      </c>
      <c r="Q411" s="3">
        <v>0.47599999999999998</v>
      </c>
      <c r="R411" s="3">
        <v>0.68200000000000005</v>
      </c>
      <c r="S411" t="s">
        <v>695</v>
      </c>
      <c r="T411" t="s">
        <v>695</v>
      </c>
      <c r="U411" t="s">
        <v>700</v>
      </c>
    </row>
    <row r="412" spans="1:21" x14ac:dyDescent="0.6">
      <c r="A412">
        <v>483</v>
      </c>
      <c r="B412" t="str">
        <f>"6187"</f>
        <v>6187</v>
      </c>
      <c r="C412" t="s">
        <v>576</v>
      </c>
      <c r="D412" s="1">
        <v>42923</v>
      </c>
      <c r="E412">
        <v>62.7</v>
      </c>
      <c r="F412">
        <v>0.9</v>
      </c>
      <c r="G412" s="3">
        <v>1.46E-2</v>
      </c>
      <c r="H412">
        <v>2015</v>
      </c>
      <c r="I412">
        <v>2.5</v>
      </c>
      <c r="J412">
        <v>1.75</v>
      </c>
      <c r="K412">
        <v>0</v>
      </c>
      <c r="L412">
        <v>1.75</v>
      </c>
      <c r="M412" s="3">
        <v>2.7900000000000001E-2</v>
      </c>
      <c r="N412" s="2">
        <v>0</v>
      </c>
      <c r="O412" s="3">
        <v>2.7900000000000001E-2</v>
      </c>
      <c r="P412" s="2">
        <v>0.7</v>
      </c>
      <c r="Q412" s="2">
        <v>0</v>
      </c>
      <c r="R412" s="2">
        <v>0.7</v>
      </c>
      <c r="S412" t="s">
        <v>743</v>
      </c>
      <c r="T412" t="s">
        <v>743</v>
      </c>
      <c r="U412" t="s">
        <v>698</v>
      </c>
    </row>
    <row r="413" spans="1:21" x14ac:dyDescent="0.6">
      <c r="A413">
        <v>48</v>
      </c>
      <c r="B413" t="str">
        <f>"5403"</f>
        <v>5403</v>
      </c>
      <c r="C413" t="s">
        <v>96</v>
      </c>
      <c r="D413" s="1">
        <v>42923</v>
      </c>
      <c r="E413">
        <v>36.5</v>
      </c>
      <c r="F413">
        <v>-0.05</v>
      </c>
      <c r="G413" s="3">
        <v>-1.4E-3</v>
      </c>
      <c r="H413">
        <v>2015</v>
      </c>
      <c r="I413">
        <v>2.04</v>
      </c>
      <c r="J413">
        <v>1</v>
      </c>
      <c r="K413">
        <v>0</v>
      </c>
      <c r="L413">
        <v>1</v>
      </c>
      <c r="M413" s="3">
        <v>2.7400000000000001E-2</v>
      </c>
      <c r="N413" s="2">
        <v>0</v>
      </c>
      <c r="O413" s="3">
        <v>2.7400000000000001E-2</v>
      </c>
      <c r="P413" s="2">
        <v>0.49</v>
      </c>
      <c r="Q413" s="2">
        <v>0</v>
      </c>
      <c r="R413" s="2">
        <v>0.49</v>
      </c>
      <c r="S413" t="s">
        <v>736</v>
      </c>
      <c r="U413" t="s">
        <v>695</v>
      </c>
    </row>
    <row r="414" spans="1:21" x14ac:dyDescent="0.6">
      <c r="A414">
        <v>130</v>
      </c>
      <c r="B414" t="str">
        <f>"2450"</f>
        <v>2450</v>
      </c>
      <c r="C414" t="s">
        <v>196</v>
      </c>
      <c r="D414" s="1">
        <v>42923</v>
      </c>
      <c r="E414">
        <v>56.9</v>
      </c>
      <c r="F414">
        <v>0.1</v>
      </c>
      <c r="G414" s="3">
        <v>1.8E-3</v>
      </c>
      <c r="H414">
        <v>2015</v>
      </c>
      <c r="I414">
        <v>2.13</v>
      </c>
      <c r="J414">
        <v>1.56</v>
      </c>
      <c r="K414">
        <v>0</v>
      </c>
      <c r="L414">
        <v>1.56</v>
      </c>
      <c r="M414" s="3">
        <v>2.7400000000000001E-2</v>
      </c>
      <c r="N414" s="2">
        <v>0</v>
      </c>
      <c r="O414" s="3">
        <v>2.7400000000000001E-2</v>
      </c>
      <c r="P414" s="3">
        <v>0.73199999999999998</v>
      </c>
      <c r="Q414" s="2">
        <v>0</v>
      </c>
      <c r="R414" s="3">
        <v>0.73199999999999998</v>
      </c>
      <c r="S414" t="s">
        <v>753</v>
      </c>
      <c r="U414" t="s">
        <v>697</v>
      </c>
    </row>
    <row r="415" spans="1:21" x14ac:dyDescent="0.6">
      <c r="A415">
        <v>496</v>
      </c>
      <c r="B415" t="str">
        <f>"2852"</f>
        <v>2852</v>
      </c>
      <c r="C415" t="s">
        <v>590</v>
      </c>
      <c r="D415" s="1">
        <v>42923</v>
      </c>
      <c r="E415">
        <v>13.9</v>
      </c>
      <c r="F415">
        <v>0</v>
      </c>
      <c r="G415" s="2">
        <v>0</v>
      </c>
      <c r="H415">
        <v>2015</v>
      </c>
      <c r="I415">
        <v>1.38</v>
      </c>
      <c r="J415">
        <v>0.38</v>
      </c>
      <c r="K415">
        <v>0</v>
      </c>
      <c r="L415">
        <v>0.38</v>
      </c>
      <c r="M415" s="3">
        <v>2.7300000000000001E-2</v>
      </c>
      <c r="N415" s="2">
        <v>0</v>
      </c>
      <c r="O415" s="3">
        <v>2.7300000000000001E-2</v>
      </c>
      <c r="P415" s="3">
        <v>0.27500000000000002</v>
      </c>
      <c r="Q415" s="2">
        <v>0</v>
      </c>
      <c r="R415" s="3">
        <v>0.27500000000000002</v>
      </c>
      <c r="S415" t="s">
        <v>757</v>
      </c>
      <c r="U415" t="s">
        <v>735</v>
      </c>
    </row>
    <row r="416" spans="1:21" x14ac:dyDescent="0.6">
      <c r="A416">
        <v>144</v>
      </c>
      <c r="B416" t="str">
        <f>"1615"</f>
        <v>1615</v>
      </c>
      <c r="C416" t="s">
        <v>212</v>
      </c>
      <c r="D416" s="1">
        <v>42923</v>
      </c>
      <c r="E416">
        <v>11.05</v>
      </c>
      <c r="F416">
        <v>-0.05</v>
      </c>
      <c r="G416" s="3">
        <v>-4.4999999999999997E-3</v>
      </c>
      <c r="H416">
        <v>2015</v>
      </c>
      <c r="I416">
        <v>0.74</v>
      </c>
      <c r="J416">
        <v>0.3</v>
      </c>
      <c r="K416">
        <v>0</v>
      </c>
      <c r="L416">
        <v>0.3</v>
      </c>
      <c r="M416" s="3">
        <v>2.7099999999999999E-2</v>
      </c>
      <c r="N416" s="2">
        <v>0</v>
      </c>
      <c r="O416" s="3">
        <v>2.7099999999999999E-2</v>
      </c>
      <c r="P416" s="3">
        <v>0.40500000000000003</v>
      </c>
      <c r="Q416" s="2">
        <v>0</v>
      </c>
      <c r="R416" s="3">
        <v>0.40500000000000003</v>
      </c>
      <c r="S416" t="s">
        <v>743</v>
      </c>
      <c r="U416" t="s">
        <v>725</v>
      </c>
    </row>
    <row r="417" spans="1:21" x14ac:dyDescent="0.6">
      <c r="A417">
        <v>2</v>
      </c>
      <c r="B417" t="str">
        <f>"3056"</f>
        <v>3056</v>
      </c>
      <c r="C417" t="s">
        <v>23</v>
      </c>
      <c r="D417" s="1">
        <v>42923</v>
      </c>
      <c r="E417">
        <v>18.5</v>
      </c>
      <c r="F417">
        <v>-0.1</v>
      </c>
      <c r="G417" s="3">
        <v>-5.4000000000000003E-3</v>
      </c>
      <c r="H417">
        <v>2015</v>
      </c>
      <c r="I417">
        <v>2.4300000000000002</v>
      </c>
      <c r="J417">
        <v>0.5</v>
      </c>
      <c r="K417">
        <v>1.5</v>
      </c>
      <c r="L417">
        <v>2</v>
      </c>
      <c r="M417" s="3">
        <v>2.7E-2</v>
      </c>
      <c r="N417" s="3">
        <v>8.1100000000000005E-2</v>
      </c>
      <c r="O417" s="3">
        <v>0.108</v>
      </c>
      <c r="P417" s="3">
        <v>0.20599999999999999</v>
      </c>
      <c r="Q417" s="3">
        <v>0.61699999999999999</v>
      </c>
      <c r="R417" s="3">
        <v>0.82299999999999995</v>
      </c>
      <c r="S417" t="s">
        <v>692</v>
      </c>
      <c r="T417" t="s">
        <v>692</v>
      </c>
      <c r="U417" t="s">
        <v>693</v>
      </c>
    </row>
    <row r="418" spans="1:21" x14ac:dyDescent="0.6">
      <c r="A418">
        <v>252</v>
      </c>
      <c r="B418" t="str">
        <f>"2352"</f>
        <v>2352</v>
      </c>
      <c r="C418" t="s">
        <v>331</v>
      </c>
      <c r="D418" s="1">
        <v>42923</v>
      </c>
      <c r="E418">
        <v>22.25</v>
      </c>
      <c r="F418">
        <v>-0.15</v>
      </c>
      <c r="G418" s="3">
        <v>-6.7000000000000002E-3</v>
      </c>
      <c r="H418">
        <v>2015</v>
      </c>
      <c r="I418">
        <v>1.51</v>
      </c>
      <c r="J418">
        <v>0.6</v>
      </c>
      <c r="K418">
        <v>0</v>
      </c>
      <c r="L418">
        <v>0.6</v>
      </c>
      <c r="M418" s="3">
        <v>2.7E-2</v>
      </c>
      <c r="N418" s="2">
        <v>0</v>
      </c>
      <c r="O418" s="3">
        <v>2.7E-2</v>
      </c>
      <c r="P418" s="3">
        <v>0.39700000000000002</v>
      </c>
      <c r="Q418" s="2">
        <v>0</v>
      </c>
      <c r="R418" s="3">
        <v>0.39700000000000002</v>
      </c>
      <c r="S418" t="s">
        <v>698</v>
      </c>
      <c r="U418" t="s">
        <v>735</v>
      </c>
    </row>
    <row r="419" spans="1:21" x14ac:dyDescent="0.6">
      <c r="A419">
        <v>118</v>
      </c>
      <c r="B419" t="str">
        <f>"8427"</f>
        <v>8427</v>
      </c>
      <c r="C419" t="s">
        <v>182</v>
      </c>
      <c r="D419" s="1">
        <v>42923</v>
      </c>
      <c r="E419">
        <v>56</v>
      </c>
      <c r="F419">
        <v>-0.4</v>
      </c>
      <c r="G419" s="3">
        <v>-7.1000000000000004E-3</v>
      </c>
      <c r="H419">
        <v>2015</v>
      </c>
      <c r="I419">
        <v>-0.18</v>
      </c>
      <c r="J419">
        <v>1.5</v>
      </c>
      <c r="K419">
        <v>0</v>
      </c>
      <c r="L419">
        <v>1.5</v>
      </c>
      <c r="M419" s="3">
        <v>2.6800000000000001E-2</v>
      </c>
      <c r="N419" s="2">
        <v>0</v>
      </c>
      <c r="O419" s="3">
        <v>2.6800000000000001E-2</v>
      </c>
      <c r="P419" s="2">
        <v>-8.33</v>
      </c>
      <c r="Q419" s="2">
        <v>0</v>
      </c>
      <c r="R419" s="2">
        <v>-8.33</v>
      </c>
      <c r="S419" t="s">
        <v>768</v>
      </c>
      <c r="U419" t="s">
        <v>724</v>
      </c>
    </row>
    <row r="420" spans="1:21" x14ac:dyDescent="0.6">
      <c r="A420">
        <v>282</v>
      </c>
      <c r="B420" t="str">
        <f>"4417"</f>
        <v>4417</v>
      </c>
      <c r="C420" t="s">
        <v>363</v>
      </c>
      <c r="D420" s="1">
        <v>42923</v>
      </c>
      <c r="E420">
        <v>38.200000000000003</v>
      </c>
      <c r="F420">
        <v>-0.1</v>
      </c>
      <c r="G420" s="3">
        <v>-2.5999999999999999E-3</v>
      </c>
      <c r="H420">
        <v>2015</v>
      </c>
      <c r="I420">
        <v>2.4300000000000002</v>
      </c>
      <c r="J420">
        <v>1</v>
      </c>
      <c r="K420">
        <v>0.3</v>
      </c>
      <c r="L420">
        <v>1.3</v>
      </c>
      <c r="M420" s="3">
        <v>2.6200000000000001E-2</v>
      </c>
      <c r="N420" s="3">
        <v>7.9000000000000008E-3</v>
      </c>
      <c r="O420" s="3">
        <v>3.4000000000000002E-2</v>
      </c>
      <c r="P420" s="3">
        <v>0.41199999999999998</v>
      </c>
      <c r="Q420" s="3">
        <v>0.124</v>
      </c>
      <c r="R420" s="3">
        <v>0.53500000000000003</v>
      </c>
      <c r="S420" t="s">
        <v>750</v>
      </c>
      <c r="T420" t="s">
        <v>750</v>
      </c>
      <c r="U420" t="s">
        <v>697</v>
      </c>
    </row>
    <row r="421" spans="1:21" x14ac:dyDescent="0.6">
      <c r="A421">
        <v>173</v>
      </c>
      <c r="B421" t="str">
        <f>"8996"</f>
        <v>8996</v>
      </c>
      <c r="C421" t="s">
        <v>246</v>
      </c>
      <c r="D421" s="1">
        <v>42923</v>
      </c>
      <c r="E421">
        <v>46</v>
      </c>
      <c r="F421">
        <v>-0.7</v>
      </c>
      <c r="G421" s="3">
        <v>-1.4999999999999999E-2</v>
      </c>
      <c r="H421">
        <v>2015</v>
      </c>
      <c r="I421">
        <v>2.4500000000000002</v>
      </c>
      <c r="J421">
        <v>1.2</v>
      </c>
      <c r="K421">
        <v>1</v>
      </c>
      <c r="L421">
        <v>2.2000000000000002</v>
      </c>
      <c r="M421" s="3">
        <v>2.6100000000000002E-2</v>
      </c>
      <c r="N421" s="3">
        <v>2.1700000000000001E-2</v>
      </c>
      <c r="O421" s="3">
        <v>4.7800000000000002E-2</v>
      </c>
      <c r="P421" s="2">
        <v>0.49</v>
      </c>
      <c r="Q421" s="3">
        <v>0.40799999999999997</v>
      </c>
      <c r="R421" s="3">
        <v>0.89800000000000002</v>
      </c>
      <c r="S421" t="s">
        <v>695</v>
      </c>
      <c r="T421" t="s">
        <v>695</v>
      </c>
      <c r="U421" t="s">
        <v>727</v>
      </c>
    </row>
    <row r="422" spans="1:21" x14ac:dyDescent="0.6">
      <c r="A422">
        <v>271</v>
      </c>
      <c r="B422" t="str">
        <f>"6161"</f>
        <v>6161</v>
      </c>
      <c r="C422" t="s">
        <v>351</v>
      </c>
      <c r="D422" s="1">
        <v>42923</v>
      </c>
      <c r="E422">
        <v>15.45</v>
      </c>
      <c r="F422">
        <v>-0.15</v>
      </c>
      <c r="G422" s="3">
        <v>-9.5999999999999992E-3</v>
      </c>
      <c r="H422">
        <v>2015</v>
      </c>
      <c r="I422">
        <v>0.75</v>
      </c>
      <c r="J422">
        <v>0.4</v>
      </c>
      <c r="K422">
        <v>0</v>
      </c>
      <c r="L422">
        <v>0.4</v>
      </c>
      <c r="M422" s="3">
        <v>2.5899999999999999E-2</v>
      </c>
      <c r="N422" s="2">
        <v>0</v>
      </c>
      <c r="O422" s="3">
        <v>2.5899999999999999E-2</v>
      </c>
      <c r="P422" s="3">
        <v>0.53300000000000003</v>
      </c>
      <c r="Q422" s="2">
        <v>0</v>
      </c>
      <c r="R422" s="3">
        <v>0.53300000000000003</v>
      </c>
      <c r="S422" t="s">
        <v>759</v>
      </c>
      <c r="U422" t="s">
        <v>749</v>
      </c>
    </row>
    <row r="423" spans="1:21" x14ac:dyDescent="0.6">
      <c r="A423">
        <v>390</v>
      </c>
      <c r="B423" t="str">
        <f>"4919"</f>
        <v>4919</v>
      </c>
      <c r="C423" t="s">
        <v>474</v>
      </c>
      <c r="D423" s="1">
        <v>42923</v>
      </c>
      <c r="E423">
        <v>46.35</v>
      </c>
      <c r="F423">
        <v>0.15</v>
      </c>
      <c r="G423" s="3">
        <v>3.2000000000000002E-3</v>
      </c>
      <c r="H423">
        <v>2015</v>
      </c>
      <c r="I423">
        <v>1.65</v>
      </c>
      <c r="J423">
        <v>1.2</v>
      </c>
      <c r="K423">
        <v>0</v>
      </c>
      <c r="L423">
        <v>1.2</v>
      </c>
      <c r="M423" s="3">
        <v>2.5899999999999999E-2</v>
      </c>
      <c r="N423" s="2">
        <v>0</v>
      </c>
      <c r="O423" s="3">
        <v>2.5899999999999999E-2</v>
      </c>
      <c r="P423" s="3">
        <v>0.72699999999999998</v>
      </c>
      <c r="Q423" s="2">
        <v>0</v>
      </c>
      <c r="R423" s="3">
        <v>0.72699999999999998</v>
      </c>
      <c r="S423" t="s">
        <v>733</v>
      </c>
      <c r="U423" t="s">
        <v>767</v>
      </c>
    </row>
    <row r="424" spans="1:21" x14ac:dyDescent="0.6">
      <c r="A424">
        <v>485</v>
      </c>
      <c r="B424" t="str">
        <f>"2439"</f>
        <v>2439</v>
      </c>
      <c r="C424" t="s">
        <v>578</v>
      </c>
      <c r="D424" s="1">
        <v>42923</v>
      </c>
      <c r="E424">
        <v>186.5</v>
      </c>
      <c r="F424">
        <v>-1</v>
      </c>
      <c r="G424" s="3">
        <v>-5.3E-3</v>
      </c>
      <c r="H424">
        <v>2015</v>
      </c>
      <c r="I424">
        <v>6.72</v>
      </c>
      <c r="J424">
        <v>4.8</v>
      </c>
      <c r="K424">
        <v>0</v>
      </c>
      <c r="L424">
        <v>4.8</v>
      </c>
      <c r="M424" s="3">
        <v>2.58E-2</v>
      </c>
      <c r="N424" s="2">
        <v>0</v>
      </c>
      <c r="O424" s="3">
        <v>2.58E-2</v>
      </c>
      <c r="P424" s="3">
        <v>0.71399999999999997</v>
      </c>
      <c r="Q424" s="2">
        <v>0</v>
      </c>
      <c r="R424" s="3">
        <v>0.71399999999999997</v>
      </c>
      <c r="S424" t="s">
        <v>765</v>
      </c>
      <c r="U424" t="s">
        <v>715</v>
      </c>
    </row>
    <row r="425" spans="1:21" x14ac:dyDescent="0.6">
      <c r="A425">
        <v>109</v>
      </c>
      <c r="B425" t="str">
        <f>"8070"</f>
        <v>8070</v>
      </c>
      <c r="C425" t="s">
        <v>172</v>
      </c>
      <c r="D425" s="1">
        <v>42923</v>
      </c>
      <c r="E425">
        <v>137.5</v>
      </c>
      <c r="F425">
        <v>5</v>
      </c>
      <c r="G425" s="3">
        <v>3.7699999999999997E-2</v>
      </c>
      <c r="H425">
        <v>2015</v>
      </c>
      <c r="I425">
        <v>5.29</v>
      </c>
      <c r="J425">
        <v>3.5</v>
      </c>
      <c r="K425">
        <v>0</v>
      </c>
      <c r="L425">
        <v>3.5</v>
      </c>
      <c r="M425" s="3">
        <v>2.5499999999999998E-2</v>
      </c>
      <c r="N425" s="2">
        <v>0</v>
      </c>
      <c r="O425" s="3">
        <v>2.5499999999999998E-2</v>
      </c>
      <c r="P425" s="3">
        <v>0.66200000000000003</v>
      </c>
      <c r="Q425" s="2">
        <v>0</v>
      </c>
      <c r="R425" s="3">
        <v>0.66200000000000003</v>
      </c>
      <c r="S425" t="s">
        <v>764</v>
      </c>
      <c r="U425" t="s">
        <v>724</v>
      </c>
    </row>
    <row r="426" spans="1:21" x14ac:dyDescent="0.6">
      <c r="A426">
        <v>432</v>
      </c>
      <c r="B426" t="str">
        <f>"9934"</f>
        <v>9934</v>
      </c>
      <c r="C426" t="s">
        <v>520</v>
      </c>
      <c r="D426" s="1">
        <v>42923</v>
      </c>
      <c r="E426">
        <v>19.649999999999999</v>
      </c>
      <c r="F426">
        <v>-0.05</v>
      </c>
      <c r="G426" s="3">
        <v>-2.5000000000000001E-3</v>
      </c>
      <c r="H426">
        <v>2015</v>
      </c>
      <c r="I426">
        <v>0.44</v>
      </c>
      <c r="J426">
        <v>0.5</v>
      </c>
      <c r="K426">
        <v>0</v>
      </c>
      <c r="L426">
        <v>0.5</v>
      </c>
      <c r="M426" s="3">
        <v>2.5399999999999999E-2</v>
      </c>
      <c r="N426" s="2">
        <v>0</v>
      </c>
      <c r="O426" s="3">
        <v>2.5399999999999999E-2</v>
      </c>
      <c r="P426" s="2">
        <v>1.1399999999999999</v>
      </c>
      <c r="Q426" s="2">
        <v>0</v>
      </c>
      <c r="R426" s="2">
        <v>1.1399999999999999</v>
      </c>
      <c r="S426" t="s">
        <v>715</v>
      </c>
      <c r="U426" t="s">
        <v>730</v>
      </c>
    </row>
    <row r="427" spans="1:21" x14ac:dyDescent="0.6">
      <c r="A427">
        <v>112</v>
      </c>
      <c r="B427" t="str">
        <f>"3567"</f>
        <v>3567</v>
      </c>
      <c r="C427" t="s">
        <v>176</v>
      </c>
      <c r="D427" s="1">
        <v>42923</v>
      </c>
      <c r="E427">
        <v>27.7</v>
      </c>
      <c r="F427">
        <v>-0.3</v>
      </c>
      <c r="G427" s="3">
        <v>-1.0699999999999999E-2</v>
      </c>
      <c r="H427">
        <v>2015</v>
      </c>
      <c r="I427">
        <v>1.02</v>
      </c>
      <c r="J427">
        <v>0.7</v>
      </c>
      <c r="K427">
        <v>0</v>
      </c>
      <c r="L427">
        <v>0.7</v>
      </c>
      <c r="M427" s="3">
        <v>2.53E-2</v>
      </c>
      <c r="N427" s="2">
        <v>0</v>
      </c>
      <c r="O427" s="3">
        <v>2.53E-2</v>
      </c>
      <c r="P427" s="3">
        <v>0.68600000000000005</v>
      </c>
      <c r="Q427" s="2">
        <v>0</v>
      </c>
      <c r="R427" s="3">
        <v>0.68600000000000005</v>
      </c>
      <c r="S427" t="s">
        <v>766</v>
      </c>
      <c r="U427" t="s">
        <v>767</v>
      </c>
    </row>
    <row r="428" spans="1:21" x14ac:dyDescent="0.6">
      <c r="A428">
        <v>428</v>
      </c>
      <c r="B428" t="str">
        <f>"1474"</f>
        <v>1474</v>
      </c>
      <c r="C428" t="s">
        <v>516</v>
      </c>
      <c r="D428" s="1">
        <v>42923</v>
      </c>
      <c r="E428">
        <v>12</v>
      </c>
      <c r="F428">
        <v>-0.05</v>
      </c>
      <c r="G428" s="3">
        <v>-4.1000000000000003E-3</v>
      </c>
      <c r="H428">
        <v>2015</v>
      </c>
      <c r="I428">
        <v>0.44</v>
      </c>
      <c r="J428">
        <v>0.3</v>
      </c>
      <c r="K428">
        <v>0</v>
      </c>
      <c r="L428">
        <v>0.3</v>
      </c>
      <c r="M428" s="3">
        <v>2.5000000000000001E-2</v>
      </c>
      <c r="N428" s="2">
        <v>0</v>
      </c>
      <c r="O428" s="3">
        <v>2.5000000000000001E-2</v>
      </c>
      <c r="P428" s="3">
        <v>0.68200000000000005</v>
      </c>
      <c r="Q428" s="2">
        <v>0</v>
      </c>
      <c r="R428" s="3">
        <v>0.68200000000000005</v>
      </c>
      <c r="S428" t="s">
        <v>730</v>
      </c>
      <c r="U428" t="s">
        <v>747</v>
      </c>
    </row>
    <row r="429" spans="1:21" x14ac:dyDescent="0.6">
      <c r="A429">
        <v>464</v>
      </c>
      <c r="B429" t="str">
        <f>"1231"</f>
        <v>1231</v>
      </c>
      <c r="C429" t="s">
        <v>555</v>
      </c>
      <c r="D429" s="1">
        <v>42923</v>
      </c>
      <c r="E429">
        <v>36.15</v>
      </c>
      <c r="F429">
        <v>0</v>
      </c>
      <c r="G429" s="2">
        <v>0</v>
      </c>
      <c r="H429">
        <v>2015</v>
      </c>
      <c r="I429">
        <v>1.5</v>
      </c>
      <c r="J429">
        <v>0.9</v>
      </c>
      <c r="K429">
        <v>0</v>
      </c>
      <c r="L429">
        <v>0.9</v>
      </c>
      <c r="M429" s="3">
        <v>2.4899999999999999E-2</v>
      </c>
      <c r="N429" s="2">
        <v>0</v>
      </c>
      <c r="O429" s="3">
        <v>2.4899999999999999E-2</v>
      </c>
      <c r="P429" s="2">
        <v>0.6</v>
      </c>
      <c r="Q429" s="2">
        <v>0</v>
      </c>
      <c r="R429" s="2">
        <v>0.6</v>
      </c>
      <c r="S429" t="s">
        <v>721</v>
      </c>
      <c r="U429" t="s">
        <v>739</v>
      </c>
    </row>
    <row r="430" spans="1:21" x14ac:dyDescent="0.6">
      <c r="A430">
        <v>351</v>
      </c>
      <c r="B430" t="str">
        <f>"2812"</f>
        <v>2812</v>
      </c>
      <c r="C430" t="s">
        <v>433</v>
      </c>
      <c r="D430" s="1">
        <v>42923</v>
      </c>
      <c r="E430">
        <v>10.199999999999999</v>
      </c>
      <c r="F430">
        <v>-0.05</v>
      </c>
      <c r="G430" s="3">
        <v>-4.8999999999999998E-3</v>
      </c>
      <c r="H430">
        <v>2015</v>
      </c>
      <c r="I430">
        <v>1.32</v>
      </c>
      <c r="J430">
        <v>0.25</v>
      </c>
      <c r="K430">
        <v>0.64</v>
      </c>
      <c r="L430">
        <v>0.89</v>
      </c>
      <c r="M430" s="3">
        <v>2.4500000000000001E-2</v>
      </c>
      <c r="N430" s="3">
        <v>6.2700000000000006E-2</v>
      </c>
      <c r="O430" s="3">
        <v>8.7300000000000003E-2</v>
      </c>
      <c r="P430" s="3">
        <v>0.189</v>
      </c>
      <c r="Q430" s="3">
        <v>0.48499999999999999</v>
      </c>
      <c r="R430" s="3">
        <v>0.67400000000000004</v>
      </c>
      <c r="S430" t="s">
        <v>692</v>
      </c>
      <c r="T430" t="s">
        <v>692</v>
      </c>
      <c r="U430" t="s">
        <v>785</v>
      </c>
    </row>
    <row r="431" spans="1:21" x14ac:dyDescent="0.6">
      <c r="A431">
        <v>480</v>
      </c>
      <c r="B431" t="str">
        <f>"3163"</f>
        <v>3163</v>
      </c>
      <c r="C431" t="s">
        <v>573</v>
      </c>
      <c r="D431" s="1">
        <v>42923</v>
      </c>
      <c r="E431">
        <v>45.95</v>
      </c>
      <c r="F431">
        <v>-0.45</v>
      </c>
      <c r="G431" s="3">
        <v>-9.7000000000000003E-3</v>
      </c>
      <c r="H431">
        <v>2015</v>
      </c>
      <c r="I431">
        <v>2.08</v>
      </c>
      <c r="J431">
        <v>1.08</v>
      </c>
      <c r="K431">
        <v>0</v>
      </c>
      <c r="L431">
        <v>1.08</v>
      </c>
      <c r="M431" s="3">
        <v>2.3599999999999999E-2</v>
      </c>
      <c r="N431" s="2">
        <v>0</v>
      </c>
      <c r="O431" s="3">
        <v>2.3599999999999999E-2</v>
      </c>
      <c r="P431" s="3">
        <v>0.51900000000000002</v>
      </c>
      <c r="Q431" s="2">
        <v>0</v>
      </c>
      <c r="R431" s="3">
        <v>0.51900000000000002</v>
      </c>
      <c r="S431" t="s">
        <v>737</v>
      </c>
      <c r="U431" t="s">
        <v>747</v>
      </c>
    </row>
    <row r="432" spans="1:21" x14ac:dyDescent="0.6">
      <c r="A432">
        <v>438</v>
      </c>
      <c r="B432" t="str">
        <f>"1592"</f>
        <v>1592</v>
      </c>
      <c r="C432" t="s">
        <v>528</v>
      </c>
      <c r="D432" s="1">
        <v>42923</v>
      </c>
      <c r="E432">
        <v>44.5</v>
      </c>
      <c r="F432">
        <v>0</v>
      </c>
      <c r="G432" s="2">
        <v>0</v>
      </c>
      <c r="H432">
        <v>2015</v>
      </c>
      <c r="I432">
        <v>1.83</v>
      </c>
      <c r="J432">
        <v>1</v>
      </c>
      <c r="K432">
        <v>0</v>
      </c>
      <c r="L432">
        <v>1</v>
      </c>
      <c r="M432" s="3">
        <v>2.2499999999999999E-2</v>
      </c>
      <c r="N432" s="2">
        <v>0</v>
      </c>
      <c r="O432" s="3">
        <v>2.2499999999999999E-2</v>
      </c>
      <c r="P432" s="3">
        <v>0.54600000000000004</v>
      </c>
      <c r="Q432" s="2">
        <v>0</v>
      </c>
      <c r="R432" s="3">
        <v>0.54600000000000004</v>
      </c>
      <c r="S432" t="s">
        <v>714</v>
      </c>
      <c r="U432" t="s">
        <v>760</v>
      </c>
    </row>
    <row r="433" spans="1:21" x14ac:dyDescent="0.6">
      <c r="A433">
        <v>81</v>
      </c>
      <c r="B433" t="str">
        <f>"2419"</f>
        <v>2419</v>
      </c>
      <c r="C433" t="s">
        <v>142</v>
      </c>
      <c r="D433" s="1">
        <v>42923</v>
      </c>
      <c r="E433">
        <v>23</v>
      </c>
      <c r="F433">
        <v>0.05</v>
      </c>
      <c r="G433" s="3">
        <v>2.2000000000000001E-3</v>
      </c>
      <c r="H433">
        <v>2015</v>
      </c>
      <c r="I433">
        <v>0.64</v>
      </c>
      <c r="J433">
        <v>0.51</v>
      </c>
      <c r="K433">
        <v>0</v>
      </c>
      <c r="L433">
        <v>0.51</v>
      </c>
      <c r="M433" s="3">
        <v>2.24E-2</v>
      </c>
      <c r="N433" s="2">
        <v>0</v>
      </c>
      <c r="O433" s="3">
        <v>2.24E-2</v>
      </c>
      <c r="P433" s="3">
        <v>0.79700000000000004</v>
      </c>
      <c r="Q433" s="2">
        <v>0</v>
      </c>
      <c r="R433" s="3">
        <v>0.79700000000000004</v>
      </c>
      <c r="S433" t="s">
        <v>734</v>
      </c>
      <c r="U433" t="s">
        <v>695</v>
      </c>
    </row>
    <row r="434" spans="1:21" x14ac:dyDescent="0.6">
      <c r="A434">
        <v>328</v>
      </c>
      <c r="B434" t="str">
        <f>"8415"</f>
        <v>8415</v>
      </c>
      <c r="C434" t="s">
        <v>410</v>
      </c>
      <c r="D434" s="1">
        <v>42923</v>
      </c>
      <c r="E434">
        <v>18.100000000000001</v>
      </c>
      <c r="F434">
        <v>0.05</v>
      </c>
      <c r="G434" s="3">
        <v>2.8E-3</v>
      </c>
      <c r="H434">
        <v>2015</v>
      </c>
      <c r="I434">
        <v>0.72</v>
      </c>
      <c r="J434">
        <v>0.4</v>
      </c>
      <c r="K434">
        <v>0</v>
      </c>
      <c r="L434">
        <v>0.4</v>
      </c>
      <c r="M434" s="3">
        <v>2.2100000000000002E-2</v>
      </c>
      <c r="N434" s="2">
        <v>0</v>
      </c>
      <c r="O434" s="3">
        <v>2.2100000000000002E-2</v>
      </c>
      <c r="P434" s="3">
        <v>0.55600000000000005</v>
      </c>
      <c r="Q434" s="2">
        <v>0</v>
      </c>
      <c r="R434" s="3">
        <v>0.55600000000000005</v>
      </c>
      <c r="S434" t="s">
        <v>725</v>
      </c>
      <c r="U434" t="s">
        <v>695</v>
      </c>
    </row>
    <row r="435" spans="1:21" x14ac:dyDescent="0.6">
      <c r="A435">
        <v>138</v>
      </c>
      <c r="B435" t="str">
        <f>"5878"</f>
        <v>5878</v>
      </c>
      <c r="C435" t="s">
        <v>205</v>
      </c>
      <c r="D435" s="1">
        <v>42923</v>
      </c>
      <c r="E435">
        <v>46.5</v>
      </c>
      <c r="F435">
        <v>-0.3</v>
      </c>
      <c r="G435" s="3">
        <v>-6.4000000000000003E-3</v>
      </c>
      <c r="H435">
        <v>2015</v>
      </c>
      <c r="I435">
        <v>3.86</v>
      </c>
      <c r="J435">
        <v>1</v>
      </c>
      <c r="K435">
        <v>2.6</v>
      </c>
      <c r="L435">
        <v>3.6</v>
      </c>
      <c r="M435" s="3">
        <v>2.1499999999999998E-2</v>
      </c>
      <c r="N435" s="3">
        <v>5.5899999999999998E-2</v>
      </c>
      <c r="O435" s="3">
        <v>7.7399999999999997E-2</v>
      </c>
      <c r="P435" s="3">
        <v>0.25900000000000001</v>
      </c>
      <c r="Q435" s="3">
        <v>0.67400000000000004</v>
      </c>
      <c r="R435" s="3">
        <v>0.93300000000000005</v>
      </c>
      <c r="S435" t="s">
        <v>770</v>
      </c>
      <c r="T435" t="s">
        <v>750</v>
      </c>
    </row>
    <row r="436" spans="1:21" x14ac:dyDescent="0.6">
      <c r="A436">
        <v>444</v>
      </c>
      <c r="B436" t="str">
        <f>"4755"</f>
        <v>4755</v>
      </c>
      <c r="C436" t="s">
        <v>534</v>
      </c>
      <c r="D436" s="1">
        <v>42923</v>
      </c>
      <c r="E436">
        <v>32.549999999999997</v>
      </c>
      <c r="F436">
        <v>-0.2</v>
      </c>
      <c r="G436" s="3">
        <v>-6.1000000000000004E-3</v>
      </c>
      <c r="H436">
        <v>2015</v>
      </c>
      <c r="I436">
        <v>1.63</v>
      </c>
      <c r="J436">
        <v>0.7</v>
      </c>
      <c r="K436">
        <v>0</v>
      </c>
      <c r="L436">
        <v>0.7</v>
      </c>
      <c r="M436" s="3">
        <v>2.1499999999999998E-2</v>
      </c>
      <c r="N436" s="2">
        <v>0</v>
      </c>
      <c r="O436" s="3">
        <v>2.1499999999999998E-2</v>
      </c>
      <c r="P436" s="3">
        <v>0.42899999999999999</v>
      </c>
      <c r="Q436" s="2">
        <v>0</v>
      </c>
      <c r="R436" s="3">
        <v>0.42899999999999999</v>
      </c>
      <c r="S436" t="s">
        <v>725</v>
      </c>
      <c r="U436" t="s">
        <v>715</v>
      </c>
    </row>
    <row r="437" spans="1:21" x14ac:dyDescent="0.6">
      <c r="A437">
        <v>205</v>
      </c>
      <c r="B437" t="str">
        <f>"3029"</f>
        <v>3029</v>
      </c>
      <c r="C437" t="s">
        <v>284</v>
      </c>
      <c r="D437" s="1">
        <v>42923</v>
      </c>
      <c r="E437">
        <v>19.2</v>
      </c>
      <c r="F437">
        <v>0.15</v>
      </c>
      <c r="G437" s="3">
        <v>7.9000000000000008E-3</v>
      </c>
      <c r="H437">
        <v>2015</v>
      </c>
      <c r="I437">
        <v>1.18</v>
      </c>
      <c r="J437">
        <v>0.41</v>
      </c>
      <c r="K437">
        <v>0.41</v>
      </c>
      <c r="L437">
        <v>0.81</v>
      </c>
      <c r="M437" s="3">
        <v>2.12E-2</v>
      </c>
      <c r="N437" s="3">
        <v>2.12E-2</v>
      </c>
      <c r="O437" s="3">
        <v>4.24E-2</v>
      </c>
      <c r="P437" s="3">
        <v>0.34799999999999998</v>
      </c>
      <c r="Q437" s="3">
        <v>0.34799999999999998</v>
      </c>
      <c r="R437" s="3">
        <v>0.68600000000000005</v>
      </c>
      <c r="S437" t="s">
        <v>692</v>
      </c>
      <c r="T437" t="s">
        <v>692</v>
      </c>
      <c r="U437" t="s">
        <v>739</v>
      </c>
    </row>
    <row r="438" spans="1:21" x14ac:dyDescent="0.6">
      <c r="A438">
        <v>415</v>
      </c>
      <c r="B438" t="str">
        <f>"2423"</f>
        <v>2423</v>
      </c>
      <c r="C438" t="s">
        <v>502</v>
      </c>
      <c r="D438" s="1">
        <v>42923</v>
      </c>
      <c r="E438">
        <v>23.75</v>
      </c>
      <c r="F438">
        <v>0.05</v>
      </c>
      <c r="G438" s="3">
        <v>2.0999999999999999E-3</v>
      </c>
      <c r="H438">
        <v>2015</v>
      </c>
      <c r="I438">
        <v>1.35</v>
      </c>
      <c r="J438">
        <v>0.5</v>
      </c>
      <c r="K438">
        <v>0.5</v>
      </c>
      <c r="L438">
        <v>1</v>
      </c>
      <c r="M438" s="3">
        <v>2.1100000000000001E-2</v>
      </c>
      <c r="N438" s="3">
        <v>2.1100000000000001E-2</v>
      </c>
      <c r="O438" s="3">
        <v>4.2099999999999999E-2</v>
      </c>
      <c r="P438" s="2">
        <v>0.37</v>
      </c>
      <c r="Q438" s="2">
        <v>0.37</v>
      </c>
      <c r="R438" s="3">
        <v>0.74099999999999999</v>
      </c>
      <c r="S438" t="s">
        <v>729</v>
      </c>
      <c r="T438" t="s">
        <v>729</v>
      </c>
      <c r="U438" t="s">
        <v>730</v>
      </c>
    </row>
    <row r="439" spans="1:21" x14ac:dyDescent="0.6">
      <c r="A439">
        <v>407</v>
      </c>
      <c r="B439" t="str">
        <f>"2534"</f>
        <v>2534</v>
      </c>
      <c r="C439" t="s">
        <v>493</v>
      </c>
      <c r="D439" s="1">
        <v>42923</v>
      </c>
      <c r="E439">
        <v>19.649999999999999</v>
      </c>
      <c r="F439">
        <v>-0.05</v>
      </c>
      <c r="G439" s="3">
        <v>-2.5000000000000001E-3</v>
      </c>
      <c r="H439">
        <v>2015</v>
      </c>
      <c r="I439">
        <v>-0.4</v>
      </c>
      <c r="J439">
        <v>0.4</v>
      </c>
      <c r="K439">
        <v>0</v>
      </c>
      <c r="L439">
        <v>0.4</v>
      </c>
      <c r="M439" s="3">
        <v>2.0400000000000001E-2</v>
      </c>
      <c r="N439" s="2">
        <v>0</v>
      </c>
      <c r="O439" s="3">
        <v>2.0400000000000001E-2</v>
      </c>
      <c r="P439" s="2">
        <v>-1</v>
      </c>
      <c r="Q439" s="2">
        <v>0</v>
      </c>
      <c r="R439" s="2">
        <v>-1</v>
      </c>
      <c r="S439" t="s">
        <v>766</v>
      </c>
      <c r="U439" t="s">
        <v>747</v>
      </c>
    </row>
    <row r="440" spans="1:21" x14ac:dyDescent="0.6">
      <c r="A440">
        <v>260</v>
      </c>
      <c r="B440" t="str">
        <f>"3548"</f>
        <v>3548</v>
      </c>
      <c r="C440" t="s">
        <v>340</v>
      </c>
      <c r="D440" s="1">
        <v>42923</v>
      </c>
      <c r="E440">
        <v>59.8</v>
      </c>
      <c r="F440">
        <v>-0.2</v>
      </c>
      <c r="G440" s="3">
        <v>-3.3E-3</v>
      </c>
      <c r="H440">
        <v>2015</v>
      </c>
      <c r="I440">
        <v>3.38</v>
      </c>
      <c r="J440">
        <v>1.2</v>
      </c>
      <c r="K440">
        <v>0</v>
      </c>
      <c r="L440">
        <v>1.2</v>
      </c>
      <c r="M440" s="3">
        <v>2.01E-2</v>
      </c>
      <c r="N440" s="2">
        <v>0</v>
      </c>
      <c r="O440" s="3">
        <v>2.01E-2</v>
      </c>
      <c r="P440" s="3">
        <v>0.35499999999999998</v>
      </c>
      <c r="Q440" s="2">
        <v>0</v>
      </c>
      <c r="R440" s="3">
        <v>0.35499999999999998</v>
      </c>
      <c r="S440" t="s">
        <v>710</v>
      </c>
      <c r="U440" t="s">
        <v>713</v>
      </c>
    </row>
    <row r="441" spans="1:21" x14ac:dyDescent="0.6">
      <c r="A441">
        <v>128</v>
      </c>
      <c r="B441" t="str">
        <f>"3706"</f>
        <v>3706</v>
      </c>
      <c r="C441" t="s">
        <v>194</v>
      </c>
      <c r="D441" s="1">
        <v>42923</v>
      </c>
      <c r="E441">
        <v>35.6</v>
      </c>
      <c r="F441">
        <v>-0.3</v>
      </c>
      <c r="G441" s="3">
        <v>-8.3999999999999995E-3</v>
      </c>
      <c r="H441">
        <v>2015</v>
      </c>
      <c r="I441">
        <v>1.03</v>
      </c>
      <c r="J441">
        <v>0.69</v>
      </c>
      <c r="K441">
        <v>0</v>
      </c>
      <c r="L441">
        <v>0.69</v>
      </c>
      <c r="M441" s="3">
        <v>1.9400000000000001E-2</v>
      </c>
      <c r="N441" s="2">
        <v>0</v>
      </c>
      <c r="O441" s="3">
        <v>1.9400000000000001E-2</v>
      </c>
      <c r="P441" s="2">
        <v>0.67</v>
      </c>
      <c r="Q441" s="2">
        <v>0</v>
      </c>
      <c r="R441" s="2">
        <v>0.67</v>
      </c>
      <c r="S441" t="s">
        <v>714</v>
      </c>
      <c r="U441" t="s">
        <v>695</v>
      </c>
    </row>
    <row r="442" spans="1:21" x14ac:dyDescent="0.6">
      <c r="A442">
        <v>64</v>
      </c>
      <c r="B442" t="str">
        <f>"3402"</f>
        <v>3402</v>
      </c>
      <c r="C442" t="s">
        <v>118</v>
      </c>
      <c r="D442" s="1">
        <v>42923</v>
      </c>
      <c r="E442">
        <v>25.25</v>
      </c>
      <c r="F442">
        <v>0.05</v>
      </c>
      <c r="G442" s="3">
        <v>2E-3</v>
      </c>
      <c r="H442">
        <v>2015</v>
      </c>
      <c r="I442">
        <v>0.64</v>
      </c>
      <c r="J442">
        <v>0.48</v>
      </c>
      <c r="K442">
        <v>0</v>
      </c>
      <c r="L442">
        <v>0.48</v>
      </c>
      <c r="M442" s="3">
        <v>1.9E-2</v>
      </c>
      <c r="N442" s="2">
        <v>0</v>
      </c>
      <c r="O442" s="3">
        <v>1.9E-2</v>
      </c>
      <c r="P442" s="2">
        <v>0.75</v>
      </c>
      <c r="Q442" s="2">
        <v>0</v>
      </c>
      <c r="R442" s="2">
        <v>0.75</v>
      </c>
      <c r="S442" t="s">
        <v>716</v>
      </c>
      <c r="U442" t="s">
        <v>741</v>
      </c>
    </row>
    <row r="443" spans="1:21" x14ac:dyDescent="0.6">
      <c r="A443">
        <v>293</v>
      </c>
      <c r="B443" t="str">
        <f>"9962"</f>
        <v>9962</v>
      </c>
      <c r="C443" t="s">
        <v>375</v>
      </c>
      <c r="D443" s="1">
        <v>42923</v>
      </c>
      <c r="E443">
        <v>10.5</v>
      </c>
      <c r="F443">
        <v>-0.15</v>
      </c>
      <c r="G443" s="3">
        <v>-1.41E-2</v>
      </c>
      <c r="H443">
        <v>2015</v>
      </c>
      <c r="I443">
        <v>0.2</v>
      </c>
      <c r="J443">
        <v>0.2</v>
      </c>
      <c r="K443">
        <v>0</v>
      </c>
      <c r="L443">
        <v>0.2</v>
      </c>
      <c r="M443" s="3">
        <v>1.9E-2</v>
      </c>
      <c r="N443" s="2">
        <v>0</v>
      </c>
      <c r="O443" s="3">
        <v>1.9E-2</v>
      </c>
      <c r="P443" s="2">
        <v>1</v>
      </c>
      <c r="Q443" s="2">
        <v>0</v>
      </c>
      <c r="R443" s="2">
        <v>1</v>
      </c>
      <c r="S443" t="s">
        <v>751</v>
      </c>
      <c r="U443" t="s">
        <v>758</v>
      </c>
    </row>
    <row r="444" spans="1:21" x14ac:dyDescent="0.6">
      <c r="A444">
        <v>80</v>
      </c>
      <c r="B444" t="str">
        <f>"8049"</f>
        <v>8049</v>
      </c>
      <c r="C444" t="s">
        <v>141</v>
      </c>
      <c r="D444" s="1">
        <v>42923</v>
      </c>
      <c r="E444">
        <v>16.850000000000001</v>
      </c>
      <c r="F444">
        <v>-0.15</v>
      </c>
      <c r="G444" s="3">
        <v>-8.8000000000000005E-3</v>
      </c>
      <c r="H444">
        <v>2015</v>
      </c>
      <c r="I444">
        <v>0.66</v>
      </c>
      <c r="J444">
        <v>0.31</v>
      </c>
      <c r="K444">
        <v>0</v>
      </c>
      <c r="L444">
        <v>0.31</v>
      </c>
      <c r="M444" s="3">
        <v>1.8599999999999998E-2</v>
      </c>
      <c r="N444" s="2">
        <v>0</v>
      </c>
      <c r="O444" s="3">
        <v>1.8599999999999998E-2</v>
      </c>
      <c r="P444" s="2">
        <v>0.47</v>
      </c>
      <c r="Q444" s="2">
        <v>0</v>
      </c>
      <c r="R444" s="2">
        <v>0.47</v>
      </c>
      <c r="S444" t="s">
        <v>700</v>
      </c>
      <c r="U444" t="s">
        <v>723</v>
      </c>
    </row>
    <row r="445" spans="1:21" x14ac:dyDescent="0.6">
      <c r="A445">
        <v>443</v>
      </c>
      <c r="B445" t="str">
        <f>"1301"</f>
        <v>1301</v>
      </c>
      <c r="C445" t="s">
        <v>533</v>
      </c>
      <c r="D445" s="1">
        <v>42923</v>
      </c>
      <c r="E445">
        <v>93.4</v>
      </c>
      <c r="F445">
        <v>-0.5</v>
      </c>
      <c r="G445" s="3">
        <v>-5.3E-3</v>
      </c>
      <c r="H445">
        <v>2015</v>
      </c>
      <c r="I445">
        <v>2.83</v>
      </c>
      <c r="J445">
        <v>1.7</v>
      </c>
      <c r="K445">
        <v>0</v>
      </c>
      <c r="L445">
        <v>1.7</v>
      </c>
      <c r="M445" s="3">
        <v>1.8200000000000001E-2</v>
      </c>
      <c r="N445" s="2">
        <v>0</v>
      </c>
      <c r="O445" s="3">
        <v>1.8200000000000001E-2</v>
      </c>
      <c r="P445" s="3">
        <v>0.60099999999999998</v>
      </c>
      <c r="Q445" s="2">
        <v>0</v>
      </c>
      <c r="R445" s="3">
        <v>0.60099999999999998</v>
      </c>
      <c r="S445" t="s">
        <v>725</v>
      </c>
      <c r="U445" t="s">
        <v>748</v>
      </c>
    </row>
    <row r="446" spans="1:21" x14ac:dyDescent="0.6">
      <c r="A446">
        <v>6</v>
      </c>
      <c r="B446" t="str">
        <f>"1463"</f>
        <v>1463</v>
      </c>
      <c r="C446" t="s">
        <v>29</v>
      </c>
      <c r="D446" s="1">
        <v>42923</v>
      </c>
      <c r="E446">
        <v>29.4</v>
      </c>
      <c r="F446">
        <v>-0.05</v>
      </c>
      <c r="G446" s="3">
        <v>-1.6999999999999999E-3</v>
      </c>
      <c r="H446">
        <v>2015</v>
      </c>
      <c r="I446">
        <v>0.63</v>
      </c>
      <c r="J446">
        <v>0.53</v>
      </c>
      <c r="K446">
        <v>0</v>
      </c>
      <c r="L446">
        <v>0.53</v>
      </c>
      <c r="M446" s="3">
        <v>1.8100000000000002E-2</v>
      </c>
      <c r="N446" s="2">
        <v>0</v>
      </c>
      <c r="O446" s="3">
        <v>1.8100000000000002E-2</v>
      </c>
      <c r="P446" s="3">
        <v>0.84099999999999997</v>
      </c>
      <c r="Q446" s="2">
        <v>0</v>
      </c>
      <c r="R446" s="3">
        <v>0.84099999999999997</v>
      </c>
      <c r="S446" t="s">
        <v>698</v>
      </c>
      <c r="U446" t="s">
        <v>695</v>
      </c>
    </row>
    <row r="447" spans="1:21" x14ac:dyDescent="0.6">
      <c r="A447">
        <v>477</v>
      </c>
      <c r="B447" t="str">
        <f>"8287"</f>
        <v>8287</v>
      </c>
      <c r="C447" t="s">
        <v>570</v>
      </c>
      <c r="D447" s="1">
        <v>42923</v>
      </c>
      <c r="E447">
        <v>16.7</v>
      </c>
      <c r="F447">
        <v>-0.15</v>
      </c>
      <c r="G447" s="3">
        <v>-8.8999999999999999E-3</v>
      </c>
      <c r="H447">
        <v>2015</v>
      </c>
      <c r="I447">
        <v>1.54</v>
      </c>
      <c r="J447">
        <v>0.3</v>
      </c>
      <c r="K447">
        <v>0.6</v>
      </c>
      <c r="L447">
        <v>0.9</v>
      </c>
      <c r="M447" s="3">
        <v>1.7999999999999999E-2</v>
      </c>
      <c r="N447" s="3">
        <v>3.5900000000000001E-2</v>
      </c>
      <c r="O447" s="3">
        <v>5.3900000000000003E-2</v>
      </c>
      <c r="P447" s="3">
        <v>0.19500000000000001</v>
      </c>
      <c r="Q447" s="2">
        <v>0.39</v>
      </c>
      <c r="R447" s="3">
        <v>0.58399999999999996</v>
      </c>
      <c r="S447" t="s">
        <v>758</v>
      </c>
      <c r="T447" t="s">
        <v>758</v>
      </c>
      <c r="U447" t="s">
        <v>746</v>
      </c>
    </row>
    <row r="448" spans="1:21" x14ac:dyDescent="0.6">
      <c r="A448">
        <v>182</v>
      </c>
      <c r="B448" t="str">
        <f>"3293"</f>
        <v>3293</v>
      </c>
      <c r="C448" t="s">
        <v>258</v>
      </c>
      <c r="D448" s="1">
        <v>42923</v>
      </c>
      <c r="E448">
        <v>156</v>
      </c>
      <c r="F448">
        <v>-3</v>
      </c>
      <c r="G448" s="3">
        <v>-1.89E-2</v>
      </c>
      <c r="H448">
        <v>2015</v>
      </c>
      <c r="I448">
        <v>3.28</v>
      </c>
      <c r="J448">
        <v>2.8</v>
      </c>
      <c r="K448">
        <v>0</v>
      </c>
      <c r="L448">
        <v>2.8</v>
      </c>
      <c r="M448" s="3">
        <v>1.7899999999999999E-2</v>
      </c>
      <c r="N448" s="2">
        <v>0</v>
      </c>
      <c r="O448" s="3">
        <v>1.7899999999999999E-2</v>
      </c>
      <c r="P448" s="3">
        <v>0.85399999999999998</v>
      </c>
      <c r="Q448" s="2">
        <v>0</v>
      </c>
      <c r="R448" s="3">
        <v>0.85399999999999998</v>
      </c>
      <c r="S448" t="s">
        <v>692</v>
      </c>
      <c r="U448" t="s">
        <v>747</v>
      </c>
    </row>
    <row r="449" spans="1:21" x14ac:dyDescent="0.6">
      <c r="A449">
        <v>439</v>
      </c>
      <c r="B449" t="str">
        <f>"4906"</f>
        <v>4906</v>
      </c>
      <c r="C449" t="s">
        <v>529</v>
      </c>
      <c r="D449" s="1">
        <v>42923</v>
      </c>
      <c r="E449">
        <v>29.6</v>
      </c>
      <c r="F449">
        <v>-0.1</v>
      </c>
      <c r="G449" s="3">
        <v>-3.3999999999999998E-3</v>
      </c>
      <c r="H449">
        <v>2015</v>
      </c>
      <c r="I449">
        <v>0.23</v>
      </c>
      <c r="J449">
        <v>0.5</v>
      </c>
      <c r="K449">
        <v>0</v>
      </c>
      <c r="L449">
        <v>0.5</v>
      </c>
      <c r="M449" s="3">
        <v>1.6899999999999998E-2</v>
      </c>
      <c r="N449" s="2">
        <v>0</v>
      </c>
      <c r="O449" s="3">
        <v>1.6899999999999998E-2</v>
      </c>
      <c r="P449" s="2">
        <v>2.17</v>
      </c>
      <c r="Q449" s="2">
        <v>0</v>
      </c>
      <c r="R449" s="2">
        <v>2.17</v>
      </c>
      <c r="S449" t="s">
        <v>698</v>
      </c>
      <c r="U449" t="s">
        <v>695</v>
      </c>
    </row>
    <row r="450" spans="1:21" x14ac:dyDescent="0.6">
      <c r="A450">
        <v>201</v>
      </c>
      <c r="B450" t="str">
        <f>"3526"</f>
        <v>3526</v>
      </c>
      <c r="C450" t="s">
        <v>279</v>
      </c>
      <c r="D450" s="1">
        <v>42923</v>
      </c>
      <c r="E450">
        <v>76.599999999999994</v>
      </c>
      <c r="F450">
        <v>0.6</v>
      </c>
      <c r="G450" s="3">
        <v>7.9000000000000008E-3</v>
      </c>
      <c r="H450">
        <v>2015</v>
      </c>
      <c r="I450">
        <v>1.29</v>
      </c>
      <c r="J450">
        <v>1.18</v>
      </c>
      <c r="K450">
        <v>0</v>
      </c>
      <c r="L450">
        <v>1.18</v>
      </c>
      <c r="M450" s="3">
        <v>1.5299999999999999E-2</v>
      </c>
      <c r="N450" s="2">
        <v>0</v>
      </c>
      <c r="O450" s="3">
        <v>1.5299999999999999E-2</v>
      </c>
      <c r="P450" s="3">
        <v>0.91500000000000004</v>
      </c>
      <c r="Q450" s="2">
        <v>0</v>
      </c>
      <c r="R450" s="3">
        <v>0.91500000000000004</v>
      </c>
      <c r="S450" t="s">
        <v>757</v>
      </c>
      <c r="U450" t="s">
        <v>745</v>
      </c>
    </row>
    <row r="451" spans="1:21" x14ac:dyDescent="0.6">
      <c r="A451">
        <v>85</v>
      </c>
      <c r="B451" t="str">
        <f>"2430"</f>
        <v>2430</v>
      </c>
      <c r="C451" t="s">
        <v>147</v>
      </c>
      <c r="D451" s="1">
        <v>42923</v>
      </c>
      <c r="E451">
        <v>26.25</v>
      </c>
      <c r="F451">
        <v>-0.15</v>
      </c>
      <c r="G451" s="3">
        <v>-5.7000000000000002E-3</v>
      </c>
      <c r="H451">
        <v>2015</v>
      </c>
      <c r="I451">
        <v>0.66</v>
      </c>
      <c r="J451">
        <v>0.4</v>
      </c>
      <c r="K451">
        <v>0</v>
      </c>
      <c r="L451">
        <v>0.4</v>
      </c>
      <c r="M451" s="3">
        <v>1.52E-2</v>
      </c>
      <c r="N451" s="2">
        <v>0</v>
      </c>
      <c r="O451" s="3">
        <v>1.52E-2</v>
      </c>
      <c r="P451" s="3">
        <v>0.60599999999999998</v>
      </c>
      <c r="Q451" s="2">
        <v>0</v>
      </c>
      <c r="R451" s="3">
        <v>0.60599999999999998</v>
      </c>
      <c r="S451" t="s">
        <v>718</v>
      </c>
      <c r="U451" t="s">
        <v>752</v>
      </c>
    </row>
    <row r="452" spans="1:21" x14ac:dyDescent="0.6">
      <c r="A452">
        <v>278</v>
      </c>
      <c r="B452" t="str">
        <f>"3296"</f>
        <v>3296</v>
      </c>
      <c r="C452" t="s">
        <v>358</v>
      </c>
      <c r="D452" s="1">
        <v>42923</v>
      </c>
      <c r="E452">
        <v>20.75</v>
      </c>
      <c r="F452">
        <v>-0.45</v>
      </c>
      <c r="G452" s="3">
        <v>-2.12E-2</v>
      </c>
      <c r="H452">
        <v>2015</v>
      </c>
      <c r="I452">
        <v>0.37</v>
      </c>
      <c r="J452">
        <v>0.3</v>
      </c>
      <c r="K452">
        <v>0</v>
      </c>
      <c r="L452">
        <v>0.3</v>
      </c>
      <c r="M452" s="3">
        <v>1.4500000000000001E-2</v>
      </c>
      <c r="N452" s="2">
        <v>0</v>
      </c>
      <c r="O452" s="3">
        <v>1.4500000000000001E-2</v>
      </c>
      <c r="P452" s="3">
        <v>0.81100000000000005</v>
      </c>
      <c r="Q452" s="2">
        <v>0</v>
      </c>
      <c r="R452" s="3">
        <v>0.81100000000000005</v>
      </c>
      <c r="S452" t="s">
        <v>776</v>
      </c>
      <c r="U452" t="s">
        <v>725</v>
      </c>
    </row>
    <row r="453" spans="1:21" x14ac:dyDescent="0.6">
      <c r="A453">
        <v>490</v>
      </c>
      <c r="B453" t="str">
        <f>"1312"</f>
        <v>1312</v>
      </c>
      <c r="C453" t="s">
        <v>583</v>
      </c>
      <c r="D453" s="1">
        <v>42923</v>
      </c>
      <c r="E453">
        <v>21.2</v>
      </c>
      <c r="F453">
        <v>-0.3</v>
      </c>
      <c r="G453" s="3">
        <v>-1.4E-2</v>
      </c>
      <c r="H453">
        <v>2015</v>
      </c>
      <c r="I453">
        <v>0.31</v>
      </c>
      <c r="J453">
        <v>0.3</v>
      </c>
      <c r="K453">
        <v>0</v>
      </c>
      <c r="L453">
        <v>0.3</v>
      </c>
      <c r="M453" s="3">
        <v>1.4200000000000001E-2</v>
      </c>
      <c r="N453" s="2">
        <v>0</v>
      </c>
      <c r="O453" s="3">
        <v>1.4200000000000001E-2</v>
      </c>
      <c r="P453" s="3">
        <v>0.96799999999999997</v>
      </c>
      <c r="Q453" s="2">
        <v>0</v>
      </c>
      <c r="R453" s="3">
        <v>0.96799999999999997</v>
      </c>
      <c r="S453" t="s">
        <v>757</v>
      </c>
      <c r="U453" t="s">
        <v>695</v>
      </c>
    </row>
    <row r="454" spans="1:21" x14ac:dyDescent="0.6">
      <c r="A454">
        <v>262</v>
      </c>
      <c r="B454" t="str">
        <f>"4737"</f>
        <v>4737</v>
      </c>
      <c r="C454" t="s">
        <v>342</v>
      </c>
      <c r="D454" s="1">
        <v>42923</v>
      </c>
      <c r="E454">
        <v>70.400000000000006</v>
      </c>
      <c r="F454">
        <v>-0.5</v>
      </c>
      <c r="G454" s="3">
        <v>-7.1000000000000004E-3</v>
      </c>
      <c r="H454">
        <v>2015</v>
      </c>
      <c r="I454">
        <v>1.22</v>
      </c>
      <c r="J454">
        <v>0.94</v>
      </c>
      <c r="K454">
        <v>0</v>
      </c>
      <c r="L454">
        <v>0.94</v>
      </c>
      <c r="M454" s="3">
        <v>1.34E-2</v>
      </c>
      <c r="N454" s="2">
        <v>0</v>
      </c>
      <c r="O454" s="3">
        <v>1.34E-2</v>
      </c>
      <c r="P454" s="2">
        <v>0.77</v>
      </c>
      <c r="Q454" s="2">
        <v>0</v>
      </c>
      <c r="R454" s="2">
        <v>0.77</v>
      </c>
      <c r="S454" t="s">
        <v>721</v>
      </c>
      <c r="U454" t="s">
        <v>739</v>
      </c>
    </row>
    <row r="455" spans="1:21" x14ac:dyDescent="0.6">
      <c r="A455">
        <v>211</v>
      </c>
      <c r="B455" t="str">
        <f>"1326"</f>
        <v>1326</v>
      </c>
      <c r="C455" t="s">
        <v>290</v>
      </c>
      <c r="D455" s="1">
        <v>42923</v>
      </c>
      <c r="E455">
        <v>90</v>
      </c>
      <c r="F455">
        <v>-0.8</v>
      </c>
      <c r="G455" s="3">
        <v>-8.8000000000000005E-3</v>
      </c>
      <c r="H455">
        <v>2015</v>
      </c>
      <c r="I455">
        <v>1.8</v>
      </c>
      <c r="J455">
        <v>1.2</v>
      </c>
      <c r="K455">
        <v>0</v>
      </c>
      <c r="L455">
        <v>1.2</v>
      </c>
      <c r="M455" s="3">
        <v>1.3299999999999999E-2</v>
      </c>
      <c r="N455" s="2">
        <v>0</v>
      </c>
      <c r="O455" s="3">
        <v>1.3299999999999999E-2</v>
      </c>
      <c r="P455" s="3">
        <v>0.66700000000000004</v>
      </c>
      <c r="Q455" s="2">
        <v>0</v>
      </c>
      <c r="R455" s="3">
        <v>0.66700000000000004</v>
      </c>
      <c r="S455" t="s">
        <v>714</v>
      </c>
      <c r="U455" t="s">
        <v>752</v>
      </c>
    </row>
    <row r="456" spans="1:21" x14ac:dyDescent="0.6">
      <c r="A456">
        <v>164</v>
      </c>
      <c r="B456" t="str">
        <f>"4557"</f>
        <v>4557</v>
      </c>
      <c r="C456" t="s">
        <v>236</v>
      </c>
      <c r="D456" s="1">
        <v>42923</v>
      </c>
      <c r="E456">
        <v>75.7</v>
      </c>
      <c r="F456">
        <v>-0.9</v>
      </c>
      <c r="G456" s="3">
        <v>-1.17E-2</v>
      </c>
      <c r="H456">
        <v>2015</v>
      </c>
      <c r="I456">
        <v>5.68</v>
      </c>
      <c r="J456">
        <v>1</v>
      </c>
      <c r="K456">
        <v>0</v>
      </c>
      <c r="L456">
        <v>1</v>
      </c>
      <c r="M456" s="3">
        <v>1.32E-2</v>
      </c>
      <c r="N456" s="2">
        <v>0</v>
      </c>
      <c r="O456" s="3">
        <v>1.32E-2</v>
      </c>
      <c r="P456" s="3">
        <v>0.17599999999999999</v>
      </c>
      <c r="Q456" s="2">
        <v>0</v>
      </c>
      <c r="R456" s="3">
        <v>0.17599999999999999</v>
      </c>
    </row>
    <row r="457" spans="1:21" x14ac:dyDescent="0.6">
      <c r="A457">
        <v>1</v>
      </c>
      <c r="B457" t="str">
        <f>"8913"</f>
        <v>8913</v>
      </c>
      <c r="C457" t="s">
        <v>21</v>
      </c>
      <c r="D457" s="1">
        <v>42923</v>
      </c>
      <c r="E457">
        <v>31.2</v>
      </c>
      <c r="F457">
        <v>0</v>
      </c>
      <c r="G457" s="2">
        <v>0</v>
      </c>
      <c r="H457">
        <v>2015</v>
      </c>
      <c r="I457">
        <v>0.37</v>
      </c>
      <c r="J457">
        <v>0.4</v>
      </c>
      <c r="K457">
        <v>0</v>
      </c>
      <c r="L457">
        <v>0.4</v>
      </c>
      <c r="M457" s="3">
        <v>1.2800000000000001E-2</v>
      </c>
      <c r="N457" s="2">
        <v>0</v>
      </c>
      <c r="O457" s="3">
        <v>1.2800000000000001E-2</v>
      </c>
      <c r="P457" s="2">
        <v>1.08</v>
      </c>
      <c r="Q457" s="2">
        <v>0</v>
      </c>
      <c r="R457" s="2">
        <v>1.08</v>
      </c>
      <c r="S457" t="s">
        <v>690</v>
      </c>
      <c r="U457" t="s">
        <v>691</v>
      </c>
    </row>
    <row r="458" spans="1:21" x14ac:dyDescent="0.6">
      <c r="A458">
        <v>414</v>
      </c>
      <c r="B458" t="str">
        <f>"5258"</f>
        <v>5258</v>
      </c>
      <c r="C458" t="s">
        <v>501</v>
      </c>
      <c r="D458" s="1">
        <v>42923</v>
      </c>
      <c r="E458">
        <v>39.549999999999997</v>
      </c>
      <c r="F458">
        <v>-0.7</v>
      </c>
      <c r="G458" s="3">
        <v>-1.7399999999999999E-2</v>
      </c>
      <c r="H458">
        <v>2015</v>
      </c>
      <c r="I458">
        <v>1.42</v>
      </c>
      <c r="J458">
        <v>0.5</v>
      </c>
      <c r="K458">
        <v>0.3</v>
      </c>
      <c r="L458">
        <v>0.8</v>
      </c>
      <c r="M458" s="3">
        <v>1.26E-2</v>
      </c>
      <c r="N458" s="3">
        <v>7.6E-3</v>
      </c>
      <c r="O458" s="3">
        <v>2.0199999999999999E-2</v>
      </c>
      <c r="P458" s="3">
        <v>0.35199999999999998</v>
      </c>
      <c r="Q458" s="3">
        <v>0.21099999999999999</v>
      </c>
      <c r="R458" s="3">
        <v>0.56299999999999994</v>
      </c>
      <c r="S458" t="s">
        <v>767</v>
      </c>
      <c r="T458" t="s">
        <v>767</v>
      </c>
      <c r="U458" t="s">
        <v>779</v>
      </c>
    </row>
    <row r="459" spans="1:21" x14ac:dyDescent="0.6">
      <c r="A459">
        <v>198</v>
      </c>
      <c r="B459" t="str">
        <f>"1724"</f>
        <v>1724</v>
      </c>
      <c r="C459" t="s">
        <v>276</v>
      </c>
      <c r="D459" s="1">
        <v>42923</v>
      </c>
      <c r="E459">
        <v>15.95</v>
      </c>
      <c r="F459">
        <v>-0.2</v>
      </c>
      <c r="G459" s="3">
        <v>-1.24E-2</v>
      </c>
      <c r="H459">
        <v>2015</v>
      </c>
      <c r="I459">
        <v>0.32</v>
      </c>
      <c r="J459">
        <v>0.2</v>
      </c>
      <c r="K459">
        <v>0</v>
      </c>
      <c r="L459">
        <v>0.2</v>
      </c>
      <c r="M459" s="3">
        <v>1.2500000000000001E-2</v>
      </c>
      <c r="N459" s="2">
        <v>0</v>
      </c>
      <c r="O459" s="3">
        <v>1.2500000000000001E-2</v>
      </c>
      <c r="P459" s="3">
        <v>0.625</v>
      </c>
      <c r="Q459" s="2">
        <v>0</v>
      </c>
      <c r="R459" s="3">
        <v>0.625</v>
      </c>
      <c r="S459" t="s">
        <v>760</v>
      </c>
      <c r="U459" t="s">
        <v>747</v>
      </c>
    </row>
    <row r="460" spans="1:21" x14ac:dyDescent="0.6">
      <c r="A460">
        <v>206</v>
      </c>
      <c r="B460" t="str">
        <f>"6506"</f>
        <v>6506</v>
      </c>
      <c r="C460" t="s">
        <v>285</v>
      </c>
      <c r="D460" s="1">
        <v>42923</v>
      </c>
      <c r="E460">
        <v>24</v>
      </c>
      <c r="F460">
        <v>-0.25</v>
      </c>
      <c r="G460" s="3">
        <v>-1.03E-2</v>
      </c>
      <c r="H460">
        <v>2015</v>
      </c>
      <c r="I460">
        <v>1.08</v>
      </c>
      <c r="J460">
        <v>0.3</v>
      </c>
      <c r="K460">
        <v>0.3</v>
      </c>
      <c r="L460">
        <v>0.6</v>
      </c>
      <c r="M460" s="3">
        <v>1.2500000000000001E-2</v>
      </c>
      <c r="N460" s="3">
        <v>1.2500000000000001E-2</v>
      </c>
      <c r="O460" s="3">
        <v>2.5000000000000001E-2</v>
      </c>
      <c r="P460" s="3">
        <v>0.27800000000000002</v>
      </c>
      <c r="Q460" s="3">
        <v>0.27800000000000002</v>
      </c>
      <c r="R460" s="3">
        <v>0.55600000000000005</v>
      </c>
      <c r="S460" t="s">
        <v>775</v>
      </c>
      <c r="T460" t="s">
        <v>775</v>
      </c>
      <c r="U460" t="s">
        <v>776</v>
      </c>
    </row>
    <row r="461" spans="1:21" x14ac:dyDescent="0.6">
      <c r="A461">
        <v>382</v>
      </c>
      <c r="B461" t="str">
        <f>"2431"</f>
        <v>2431</v>
      </c>
      <c r="C461" t="s">
        <v>466</v>
      </c>
      <c r="D461" s="1">
        <v>42923</v>
      </c>
      <c r="E461">
        <v>14.8</v>
      </c>
      <c r="F461">
        <v>-0.25</v>
      </c>
      <c r="G461" s="3">
        <v>-1.66E-2</v>
      </c>
      <c r="H461">
        <v>2015</v>
      </c>
      <c r="I461">
        <v>1.28</v>
      </c>
      <c r="J461">
        <v>0.18</v>
      </c>
      <c r="K461">
        <v>0</v>
      </c>
      <c r="L461">
        <v>0.18</v>
      </c>
      <c r="M461" s="3">
        <v>1.2200000000000001E-2</v>
      </c>
      <c r="N461" s="2">
        <v>0</v>
      </c>
      <c r="O461" s="3">
        <v>1.2200000000000001E-2</v>
      </c>
      <c r="P461" s="3">
        <v>0.14099999999999999</v>
      </c>
      <c r="Q461" s="2">
        <v>0</v>
      </c>
      <c r="R461" s="3">
        <v>0.14099999999999999</v>
      </c>
      <c r="S461" t="s">
        <v>763</v>
      </c>
      <c r="U461" t="s">
        <v>730</v>
      </c>
    </row>
    <row r="462" spans="1:21" x14ac:dyDescent="0.6">
      <c r="A462">
        <v>65</v>
      </c>
      <c r="B462" t="str">
        <f>"8163"</f>
        <v>8163</v>
      </c>
      <c r="C462" t="s">
        <v>120</v>
      </c>
      <c r="D462" s="1">
        <v>42923</v>
      </c>
      <c r="E462">
        <v>25.25</v>
      </c>
      <c r="F462">
        <v>-0.65</v>
      </c>
      <c r="G462" s="3">
        <v>-2.5100000000000001E-2</v>
      </c>
      <c r="H462">
        <v>2015</v>
      </c>
      <c r="I462">
        <v>0.24</v>
      </c>
      <c r="J462">
        <v>0.3</v>
      </c>
      <c r="K462">
        <v>0</v>
      </c>
      <c r="L462">
        <v>0.3</v>
      </c>
      <c r="M462" s="3">
        <v>1.1900000000000001E-2</v>
      </c>
      <c r="N462" s="2">
        <v>0</v>
      </c>
      <c r="O462" s="3">
        <v>1.1900000000000001E-2</v>
      </c>
      <c r="P462" s="2">
        <v>1.25</v>
      </c>
      <c r="Q462" s="2">
        <v>0</v>
      </c>
      <c r="R462" s="2">
        <v>1.25</v>
      </c>
      <c r="S462" t="s">
        <v>710</v>
      </c>
      <c r="U462" t="s">
        <v>695</v>
      </c>
    </row>
    <row r="463" spans="1:21" x14ac:dyDescent="0.6">
      <c r="A463">
        <v>468</v>
      </c>
      <c r="B463" t="str">
        <f>"2221"</f>
        <v>2221</v>
      </c>
      <c r="C463" t="s">
        <v>560</v>
      </c>
      <c r="D463" s="1">
        <v>42923</v>
      </c>
      <c r="E463">
        <v>27</v>
      </c>
      <c r="F463">
        <v>-0.7</v>
      </c>
      <c r="G463" s="3">
        <v>-2.53E-2</v>
      </c>
      <c r="H463">
        <v>2015</v>
      </c>
      <c r="I463">
        <v>0.71</v>
      </c>
      <c r="J463">
        <v>0.31</v>
      </c>
      <c r="K463">
        <v>0</v>
      </c>
      <c r="L463">
        <v>0.31</v>
      </c>
      <c r="M463" s="3">
        <v>1.1599999999999999E-2</v>
      </c>
      <c r="N463" s="2">
        <v>0</v>
      </c>
      <c r="O463" s="3">
        <v>1.1599999999999999E-2</v>
      </c>
      <c r="P463" s="3">
        <v>0.437</v>
      </c>
      <c r="Q463" s="2">
        <v>0</v>
      </c>
      <c r="R463" s="3">
        <v>0.437</v>
      </c>
      <c r="S463" t="s">
        <v>696</v>
      </c>
      <c r="U463" t="s">
        <v>780</v>
      </c>
    </row>
    <row r="464" spans="1:21" x14ac:dyDescent="0.6">
      <c r="A464">
        <v>499</v>
      </c>
      <c r="B464" t="str">
        <f>"5536"</f>
        <v>5536</v>
      </c>
      <c r="C464" t="s">
        <v>593</v>
      </c>
      <c r="D464" s="1">
        <v>42923</v>
      </c>
      <c r="E464">
        <v>172</v>
      </c>
      <c r="F464">
        <v>4</v>
      </c>
      <c r="G464" s="3">
        <v>2.3800000000000002E-2</v>
      </c>
      <c r="H464">
        <v>2015</v>
      </c>
      <c r="I464">
        <v>2.06</v>
      </c>
      <c r="J464">
        <v>2</v>
      </c>
      <c r="K464">
        <v>0</v>
      </c>
      <c r="L464">
        <v>2</v>
      </c>
      <c r="M464" s="3">
        <v>1.1599999999999999E-2</v>
      </c>
      <c r="N464" s="2">
        <v>0</v>
      </c>
      <c r="O464" s="3">
        <v>1.1599999999999999E-2</v>
      </c>
      <c r="P464" s="3">
        <v>0.97099999999999997</v>
      </c>
      <c r="Q464" s="2">
        <v>0</v>
      </c>
      <c r="R464" s="3">
        <v>0.97099999999999997</v>
      </c>
      <c r="S464" t="s">
        <v>708</v>
      </c>
      <c r="U464" t="s">
        <v>744</v>
      </c>
    </row>
    <row r="465" spans="1:21" x14ac:dyDescent="0.6">
      <c r="A465">
        <v>314</v>
      </c>
      <c r="B465" t="str">
        <f>"2481"</f>
        <v>2481</v>
      </c>
      <c r="C465" t="s">
        <v>396</v>
      </c>
      <c r="D465" s="1">
        <v>42923</v>
      </c>
      <c r="E465">
        <v>17.8</v>
      </c>
      <c r="F465">
        <v>-0.1</v>
      </c>
      <c r="G465" s="3">
        <v>-5.5999999999999999E-3</v>
      </c>
      <c r="H465">
        <v>2015</v>
      </c>
      <c r="I465">
        <v>0.28000000000000003</v>
      </c>
      <c r="J465">
        <v>0.2</v>
      </c>
      <c r="K465">
        <v>0</v>
      </c>
      <c r="L465">
        <v>0.2</v>
      </c>
      <c r="M465" s="3">
        <v>1.11E-2</v>
      </c>
      <c r="N465" s="2">
        <v>0</v>
      </c>
      <c r="O465" s="3">
        <v>1.11E-2</v>
      </c>
      <c r="P465" s="3">
        <v>0.71399999999999997</v>
      </c>
      <c r="Q465" s="2">
        <v>0</v>
      </c>
      <c r="R465" s="3">
        <v>0.71399999999999997</v>
      </c>
      <c r="S465" t="s">
        <v>711</v>
      </c>
      <c r="U465" t="s">
        <v>730</v>
      </c>
    </row>
    <row r="466" spans="1:21" x14ac:dyDescent="0.6">
      <c r="A466">
        <v>7</v>
      </c>
      <c r="B466" t="str">
        <f>"1416"</f>
        <v>1416</v>
      </c>
      <c r="C466" t="s">
        <v>30</v>
      </c>
      <c r="D466" s="1">
        <v>42923</v>
      </c>
      <c r="E466">
        <v>27.5</v>
      </c>
      <c r="F466">
        <v>0</v>
      </c>
      <c r="G466" s="2">
        <v>0</v>
      </c>
      <c r="H466">
        <v>2015</v>
      </c>
      <c r="I466">
        <v>1.68</v>
      </c>
      <c r="J466">
        <v>0.3</v>
      </c>
      <c r="K466">
        <v>0</v>
      </c>
      <c r="L466">
        <v>0.3</v>
      </c>
      <c r="M466" s="3">
        <v>1.09E-2</v>
      </c>
      <c r="N466" s="2">
        <v>0</v>
      </c>
      <c r="O466" s="3">
        <v>1.09E-2</v>
      </c>
      <c r="P466" s="3">
        <v>0.17899999999999999</v>
      </c>
      <c r="Q466" s="2">
        <v>0</v>
      </c>
      <c r="R466" s="3">
        <v>0.17899999999999999</v>
      </c>
      <c r="S466" t="s">
        <v>699</v>
      </c>
      <c r="U466" t="s">
        <v>700</v>
      </c>
    </row>
    <row r="467" spans="1:21" x14ac:dyDescent="0.6">
      <c r="A467">
        <v>207</v>
      </c>
      <c r="B467" t="str">
        <f>"8420"</f>
        <v>8420</v>
      </c>
      <c r="C467" t="s">
        <v>286</v>
      </c>
      <c r="D467" s="1">
        <v>42923</v>
      </c>
      <c r="E467">
        <v>19.2</v>
      </c>
      <c r="F467">
        <v>0</v>
      </c>
      <c r="G467" s="2">
        <v>0</v>
      </c>
      <c r="H467">
        <v>2015</v>
      </c>
      <c r="I467">
        <v>0.5</v>
      </c>
      <c r="J467">
        <v>0.2</v>
      </c>
      <c r="K467">
        <v>0</v>
      </c>
      <c r="L467">
        <v>0.2</v>
      </c>
      <c r="M467" s="3">
        <v>1.04E-2</v>
      </c>
      <c r="N467" s="2">
        <v>0</v>
      </c>
      <c r="O467" s="3">
        <v>1.04E-2</v>
      </c>
      <c r="P467" s="2">
        <v>0.4</v>
      </c>
      <c r="Q467" s="2">
        <v>0</v>
      </c>
      <c r="R467" s="2">
        <v>0.4</v>
      </c>
      <c r="S467" t="s">
        <v>708</v>
      </c>
      <c r="U467" t="s">
        <v>691</v>
      </c>
    </row>
    <row r="468" spans="1:21" x14ac:dyDescent="0.6">
      <c r="A468">
        <v>471</v>
      </c>
      <c r="B468" t="str">
        <f>"1528"</f>
        <v>1528</v>
      </c>
      <c r="C468" t="s">
        <v>564</v>
      </c>
      <c r="D468" s="1">
        <v>42923</v>
      </c>
      <c r="E468">
        <v>10.4</v>
      </c>
      <c r="F468">
        <v>0.05</v>
      </c>
      <c r="G468" s="3">
        <v>4.7999999999999996E-3</v>
      </c>
      <c r="H468">
        <v>2015</v>
      </c>
      <c r="I468">
        <v>0.12</v>
      </c>
      <c r="J468">
        <v>0.1</v>
      </c>
      <c r="K468">
        <v>0</v>
      </c>
      <c r="L468">
        <v>0.1</v>
      </c>
      <c r="M468" s="3">
        <v>9.5999999999999992E-3</v>
      </c>
      <c r="N468" s="2">
        <v>0</v>
      </c>
      <c r="O468" s="3">
        <v>9.5999999999999992E-3</v>
      </c>
      <c r="P468" s="3">
        <v>0.83299999999999996</v>
      </c>
      <c r="Q468" s="2">
        <v>0</v>
      </c>
      <c r="R468" s="3">
        <v>0.83299999999999996</v>
      </c>
      <c r="S468" t="s">
        <v>744</v>
      </c>
      <c r="U468" t="s">
        <v>748</v>
      </c>
    </row>
    <row r="469" spans="1:21" x14ac:dyDescent="0.6">
      <c r="A469">
        <v>186</v>
      </c>
      <c r="B469" t="str">
        <f>"3455"</f>
        <v>3455</v>
      </c>
      <c r="C469" t="s">
        <v>262</v>
      </c>
      <c r="D469" s="1">
        <v>42923</v>
      </c>
      <c r="E469">
        <v>54.9</v>
      </c>
      <c r="F469">
        <v>0.5</v>
      </c>
      <c r="G469" s="3">
        <v>9.1999999999999998E-3</v>
      </c>
      <c r="H469">
        <v>2015</v>
      </c>
      <c r="I469">
        <v>2.0099999999999998</v>
      </c>
      <c r="J469">
        <v>0.5</v>
      </c>
      <c r="K469">
        <v>0</v>
      </c>
      <c r="L469">
        <v>0.5</v>
      </c>
      <c r="M469" s="3">
        <v>9.1000000000000004E-3</v>
      </c>
      <c r="N469" s="2">
        <v>0</v>
      </c>
      <c r="O469" s="3">
        <v>9.1000000000000004E-3</v>
      </c>
      <c r="P469" s="3">
        <v>0.249</v>
      </c>
      <c r="Q469" s="2">
        <v>0</v>
      </c>
      <c r="R469" s="3">
        <v>0.249</v>
      </c>
      <c r="S469" t="s">
        <v>740</v>
      </c>
      <c r="U469" t="s">
        <v>735</v>
      </c>
    </row>
    <row r="470" spans="1:21" x14ac:dyDescent="0.6">
      <c r="A470">
        <v>341</v>
      </c>
      <c r="B470" t="str">
        <f>"4804"</f>
        <v>4804</v>
      </c>
      <c r="C470" t="s">
        <v>423</v>
      </c>
      <c r="D470" s="1">
        <v>42923</v>
      </c>
      <c r="E470">
        <v>55.2</v>
      </c>
      <c r="F470">
        <v>-0.2</v>
      </c>
      <c r="G470" s="3">
        <v>-3.5999999999999999E-3</v>
      </c>
      <c r="H470">
        <v>2015</v>
      </c>
      <c r="I470">
        <v>2.66</v>
      </c>
      <c r="J470">
        <v>0.5</v>
      </c>
      <c r="K470">
        <v>0.5</v>
      </c>
      <c r="L470">
        <v>1</v>
      </c>
      <c r="M470" s="3">
        <v>9.1000000000000004E-3</v>
      </c>
      <c r="N470" s="3">
        <v>9.1000000000000004E-3</v>
      </c>
      <c r="O470" s="3">
        <v>1.8100000000000002E-2</v>
      </c>
      <c r="P470" s="3">
        <v>0.188</v>
      </c>
      <c r="Q470" s="3">
        <v>0.188</v>
      </c>
      <c r="R470" s="3">
        <v>0.376</v>
      </c>
      <c r="S470" t="s">
        <v>783</v>
      </c>
      <c r="T470" t="s">
        <v>783</v>
      </c>
      <c r="U470" t="s">
        <v>784</v>
      </c>
    </row>
    <row r="471" spans="1:21" x14ac:dyDescent="0.6">
      <c r="A471">
        <v>281</v>
      </c>
      <c r="B471" t="str">
        <f>"6505"</f>
        <v>6505</v>
      </c>
      <c r="C471" t="s">
        <v>362</v>
      </c>
      <c r="D471" s="1">
        <v>42923</v>
      </c>
      <c r="E471">
        <v>104</v>
      </c>
      <c r="F471">
        <v>-0.5</v>
      </c>
      <c r="G471" s="3">
        <v>-4.7999999999999996E-3</v>
      </c>
      <c r="H471">
        <v>2015</v>
      </c>
      <c r="I471">
        <v>0.95</v>
      </c>
      <c r="J471">
        <v>0.85</v>
      </c>
      <c r="K471">
        <v>0</v>
      </c>
      <c r="L471">
        <v>0.85</v>
      </c>
      <c r="M471" s="3">
        <v>8.2000000000000007E-3</v>
      </c>
      <c r="N471" s="2">
        <v>0</v>
      </c>
      <c r="O471" s="3">
        <v>8.2000000000000007E-3</v>
      </c>
      <c r="P471" s="3">
        <v>0.89500000000000002</v>
      </c>
      <c r="Q471" s="2">
        <v>0</v>
      </c>
      <c r="R471" s="3">
        <v>0.89500000000000002</v>
      </c>
      <c r="S471" t="s">
        <v>708</v>
      </c>
      <c r="U471" t="s">
        <v>709</v>
      </c>
    </row>
    <row r="472" spans="1:21" x14ac:dyDescent="0.6">
      <c r="A472">
        <v>255</v>
      </c>
      <c r="B472" t="str">
        <f>"1305"</f>
        <v>1305</v>
      </c>
      <c r="C472" t="s">
        <v>334</v>
      </c>
      <c r="D472" s="1">
        <v>42923</v>
      </c>
      <c r="E472">
        <v>28.75</v>
      </c>
      <c r="F472">
        <v>-0.25</v>
      </c>
      <c r="G472" s="3">
        <v>-8.6E-3</v>
      </c>
      <c r="H472">
        <v>2015</v>
      </c>
      <c r="I472">
        <v>0.25</v>
      </c>
      <c r="J472">
        <v>0.2</v>
      </c>
      <c r="K472">
        <v>0</v>
      </c>
      <c r="L472">
        <v>0.2</v>
      </c>
      <c r="M472" s="3">
        <v>7.0000000000000001E-3</v>
      </c>
      <c r="N472" s="2">
        <v>0</v>
      </c>
      <c r="O472" s="3">
        <v>7.0000000000000001E-3</v>
      </c>
      <c r="P472" s="2">
        <v>0.8</v>
      </c>
      <c r="Q472" s="2">
        <v>0</v>
      </c>
      <c r="R472" s="2">
        <v>0.8</v>
      </c>
      <c r="S472" t="s">
        <v>729</v>
      </c>
      <c r="U472" t="s">
        <v>730</v>
      </c>
    </row>
    <row r="473" spans="1:21" x14ac:dyDescent="0.6">
      <c r="A473">
        <v>181</v>
      </c>
      <c r="B473" t="str">
        <f>"3015"</f>
        <v>3015</v>
      </c>
      <c r="C473" t="s">
        <v>257</v>
      </c>
      <c r="D473" s="1">
        <v>42923</v>
      </c>
      <c r="E473">
        <v>23.4</v>
      </c>
      <c r="F473">
        <v>-0.1</v>
      </c>
      <c r="G473" s="3">
        <v>-4.3E-3</v>
      </c>
      <c r="H473">
        <v>2015</v>
      </c>
      <c r="I473">
        <v>1.71</v>
      </c>
      <c r="J473">
        <v>0.1</v>
      </c>
      <c r="K473">
        <v>0</v>
      </c>
      <c r="L473">
        <v>0.1</v>
      </c>
      <c r="M473" s="3">
        <v>4.3E-3</v>
      </c>
      <c r="N473" s="2">
        <v>0</v>
      </c>
      <c r="O473" s="3">
        <v>4.3E-3</v>
      </c>
      <c r="P473" s="3">
        <v>5.8500000000000003E-2</v>
      </c>
      <c r="Q473" s="2">
        <v>0</v>
      </c>
      <c r="R473" s="3">
        <v>5.8500000000000003E-2</v>
      </c>
      <c r="S473" t="s">
        <v>743</v>
      </c>
      <c r="U473" t="s">
        <v>744</v>
      </c>
    </row>
    <row r="474" spans="1:21" x14ac:dyDescent="0.6">
      <c r="A474">
        <v>264</v>
      </c>
      <c r="B474" t="str">
        <f>"6179"</f>
        <v>6179</v>
      </c>
      <c r="C474" t="s">
        <v>344</v>
      </c>
      <c r="D474" s="1">
        <v>42923</v>
      </c>
      <c r="E474">
        <v>49</v>
      </c>
      <c r="F474">
        <v>0.55000000000000004</v>
      </c>
      <c r="G474" s="3">
        <v>1.14E-2</v>
      </c>
      <c r="H474">
        <v>2015</v>
      </c>
      <c r="I474">
        <v>1.1499999999999999</v>
      </c>
      <c r="J474">
        <v>0.2</v>
      </c>
      <c r="K474">
        <v>0</v>
      </c>
      <c r="L474">
        <v>0.2</v>
      </c>
      <c r="M474" s="3">
        <v>4.1000000000000003E-3</v>
      </c>
      <c r="N474" s="2">
        <v>0</v>
      </c>
      <c r="O474" s="3">
        <v>4.1000000000000003E-3</v>
      </c>
      <c r="P474" s="3">
        <v>0.17399999999999999</v>
      </c>
      <c r="Q474" s="2">
        <v>0</v>
      </c>
      <c r="R474" s="3">
        <v>0.17399999999999999</v>
      </c>
      <c r="S474" t="s">
        <v>757</v>
      </c>
      <c r="U474" t="s">
        <v>695</v>
      </c>
    </row>
    <row r="475" spans="1:21" x14ac:dyDescent="0.6">
      <c r="A475">
        <v>239</v>
      </c>
      <c r="B475" t="str">
        <f>"2836"</f>
        <v>2836</v>
      </c>
      <c r="C475" t="s">
        <v>318</v>
      </c>
      <c r="D475" s="1">
        <v>42923</v>
      </c>
      <c r="E475">
        <v>9.9700000000000006</v>
      </c>
      <c r="F475">
        <v>-0.02</v>
      </c>
      <c r="G475" s="3">
        <v>-2E-3</v>
      </c>
      <c r="H475">
        <v>2015</v>
      </c>
      <c r="I475">
        <v>0.69</v>
      </c>
      <c r="J475">
        <v>0.03</v>
      </c>
      <c r="K475">
        <v>0.47</v>
      </c>
      <c r="L475">
        <v>0.5</v>
      </c>
      <c r="M475" s="3">
        <v>3.0000000000000001E-3</v>
      </c>
      <c r="N475" s="3">
        <v>4.7100000000000003E-2</v>
      </c>
      <c r="O475" s="3">
        <v>5.0200000000000002E-2</v>
      </c>
      <c r="P475" s="3">
        <v>4.3499999999999997E-2</v>
      </c>
      <c r="Q475" s="3">
        <v>0.68100000000000005</v>
      </c>
      <c r="R475" s="3">
        <v>0.72499999999999998</v>
      </c>
      <c r="S475" t="s">
        <v>748</v>
      </c>
      <c r="T475" t="s">
        <v>748</v>
      </c>
      <c r="U475" t="s">
        <v>738</v>
      </c>
    </row>
    <row r="476" spans="1:21" x14ac:dyDescent="0.6">
      <c r="A476">
        <v>5</v>
      </c>
      <c r="B476" t="str">
        <f>"5315"</f>
        <v>5315</v>
      </c>
      <c r="C476" t="s">
        <v>28</v>
      </c>
      <c r="D476" s="1">
        <v>42923</v>
      </c>
      <c r="E476">
        <v>21</v>
      </c>
      <c r="F476">
        <v>-0.35</v>
      </c>
      <c r="G476" s="3">
        <v>-1.6400000000000001E-2</v>
      </c>
      <c r="H476">
        <v>2015</v>
      </c>
      <c r="I476">
        <v>-0.47</v>
      </c>
      <c r="J476">
        <v>0</v>
      </c>
      <c r="K476">
        <v>0</v>
      </c>
      <c r="L476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</row>
    <row r="477" spans="1:21" x14ac:dyDescent="0.6">
      <c r="A477">
        <v>8</v>
      </c>
      <c r="B477" t="str">
        <f>"1310"</f>
        <v>1310</v>
      </c>
      <c r="C477" t="s">
        <v>32</v>
      </c>
      <c r="D477" s="1">
        <v>42923</v>
      </c>
      <c r="E477">
        <v>20.7</v>
      </c>
      <c r="F477">
        <v>-0.05</v>
      </c>
      <c r="G477" s="3">
        <v>-2.3999999999999998E-3</v>
      </c>
      <c r="H477">
        <v>2015</v>
      </c>
      <c r="I477">
        <v>-7.0000000000000007E-2</v>
      </c>
      <c r="J477">
        <v>0</v>
      </c>
      <c r="K477">
        <v>0</v>
      </c>
      <c r="L477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</row>
    <row r="478" spans="1:21" x14ac:dyDescent="0.6">
      <c r="A478">
        <v>18</v>
      </c>
      <c r="B478" t="str">
        <f>"6235"</f>
        <v>6235</v>
      </c>
      <c r="C478" t="s">
        <v>49</v>
      </c>
      <c r="D478" s="1">
        <v>42923</v>
      </c>
      <c r="E478">
        <v>20.95</v>
      </c>
      <c r="F478">
        <v>0.05</v>
      </c>
      <c r="G478" s="3">
        <v>2.3999999999999998E-3</v>
      </c>
      <c r="H478">
        <v>2015</v>
      </c>
      <c r="I478">
        <v>-1.24</v>
      </c>
      <c r="J478">
        <v>0</v>
      </c>
      <c r="K478">
        <v>0</v>
      </c>
      <c r="L478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</row>
    <row r="479" spans="1:21" x14ac:dyDescent="0.6">
      <c r="A479">
        <v>124</v>
      </c>
      <c r="B479" t="str">
        <f>"1704"</f>
        <v>1704</v>
      </c>
      <c r="C479" t="s">
        <v>189</v>
      </c>
      <c r="D479" s="1">
        <v>42923</v>
      </c>
      <c r="E479">
        <v>42.4</v>
      </c>
      <c r="F479">
        <v>-0.3</v>
      </c>
      <c r="G479" s="3">
        <v>-7.0000000000000001E-3</v>
      </c>
      <c r="H479">
        <v>2015</v>
      </c>
      <c r="I479">
        <v>-9.76</v>
      </c>
      <c r="J479">
        <v>0</v>
      </c>
      <c r="K479">
        <v>0</v>
      </c>
      <c r="L479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</row>
    <row r="480" spans="1:21" x14ac:dyDescent="0.6">
      <c r="A480">
        <v>155</v>
      </c>
      <c r="B480" t="str">
        <f>"6142"</f>
        <v>6142</v>
      </c>
      <c r="C480" t="s">
        <v>224</v>
      </c>
      <c r="D480" s="1">
        <v>42923</v>
      </c>
      <c r="E480">
        <v>8.3699999999999992</v>
      </c>
      <c r="F480">
        <v>-0.11</v>
      </c>
      <c r="G480" s="3">
        <v>-1.2999999999999999E-2</v>
      </c>
      <c r="H480">
        <v>2015</v>
      </c>
      <c r="I480">
        <v>-0.9</v>
      </c>
      <c r="J480">
        <v>0</v>
      </c>
      <c r="K480">
        <v>0</v>
      </c>
      <c r="L480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</row>
    <row r="481" spans="1:20" x14ac:dyDescent="0.6">
      <c r="A481">
        <v>159</v>
      </c>
      <c r="B481" t="str">
        <f>"6294"</f>
        <v>6294</v>
      </c>
      <c r="C481" t="s">
        <v>229</v>
      </c>
      <c r="D481" s="1">
        <v>42923</v>
      </c>
      <c r="E481">
        <v>120</v>
      </c>
      <c r="F481">
        <v>0</v>
      </c>
      <c r="G481" s="2">
        <v>0</v>
      </c>
      <c r="H481">
        <v>2015</v>
      </c>
      <c r="I481">
        <v>0.34</v>
      </c>
      <c r="J481">
        <v>0</v>
      </c>
      <c r="K481">
        <v>1</v>
      </c>
      <c r="L481">
        <v>1</v>
      </c>
      <c r="M481" s="2">
        <v>0</v>
      </c>
      <c r="N481" s="3">
        <v>8.3000000000000001E-3</v>
      </c>
      <c r="O481" s="3">
        <v>8.3000000000000001E-3</v>
      </c>
      <c r="P481" s="2">
        <v>0</v>
      </c>
      <c r="Q481" s="2">
        <v>2.94</v>
      </c>
      <c r="R481" s="2">
        <v>2.94</v>
      </c>
      <c r="T481" t="s">
        <v>760</v>
      </c>
    </row>
    <row r="482" spans="1:20" x14ac:dyDescent="0.6">
      <c r="A482">
        <v>172</v>
      </c>
      <c r="B482" t="str">
        <f>"3675"</f>
        <v>3675</v>
      </c>
      <c r="C482" t="s">
        <v>245</v>
      </c>
      <c r="D482" s="1">
        <v>42923</v>
      </c>
      <c r="E482">
        <v>53</v>
      </c>
      <c r="F482">
        <v>-2.8</v>
      </c>
      <c r="G482" s="3">
        <v>-5.0200000000000002E-2</v>
      </c>
      <c r="H482">
        <v>2015</v>
      </c>
      <c r="I482">
        <v>1.3</v>
      </c>
      <c r="J482">
        <v>0</v>
      </c>
      <c r="K482">
        <v>0</v>
      </c>
      <c r="L48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</row>
    <row r="483" spans="1:20" x14ac:dyDescent="0.6">
      <c r="A483">
        <v>196</v>
      </c>
      <c r="B483" t="str">
        <f>"8421"</f>
        <v>8421</v>
      </c>
      <c r="C483" t="s">
        <v>273</v>
      </c>
      <c r="D483" s="1">
        <v>42923</v>
      </c>
      <c r="E483">
        <v>18.8</v>
      </c>
      <c r="F483">
        <v>0.2</v>
      </c>
      <c r="G483" s="3">
        <v>1.0800000000000001E-2</v>
      </c>
      <c r="H483">
        <v>2015</v>
      </c>
      <c r="I483">
        <v>-2.81</v>
      </c>
      <c r="J483">
        <v>0</v>
      </c>
      <c r="K483">
        <v>0</v>
      </c>
      <c r="L483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</row>
    <row r="484" spans="1:20" x14ac:dyDescent="0.6">
      <c r="A484">
        <v>283</v>
      </c>
      <c r="B484" t="str">
        <f>"2530"</f>
        <v>2530</v>
      </c>
      <c r="C484" t="s">
        <v>364</v>
      </c>
      <c r="D484" s="1">
        <v>42923</v>
      </c>
      <c r="E484">
        <v>13.9</v>
      </c>
      <c r="F484">
        <v>-0.05</v>
      </c>
      <c r="G484" s="3">
        <v>-3.5999999999999999E-3</v>
      </c>
      <c r="H484">
        <v>2015</v>
      </c>
      <c r="I484">
        <v>-0.65</v>
      </c>
      <c r="J484">
        <v>0</v>
      </c>
      <c r="K484">
        <v>0</v>
      </c>
      <c r="L484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</row>
    <row r="485" spans="1:20" x14ac:dyDescent="0.6">
      <c r="A485">
        <v>320</v>
      </c>
      <c r="B485" t="str">
        <f>"6158"</f>
        <v>6158</v>
      </c>
      <c r="C485" t="s">
        <v>402</v>
      </c>
      <c r="D485" s="1">
        <v>42923</v>
      </c>
      <c r="E485">
        <v>21.55</v>
      </c>
      <c r="F485">
        <v>-0.35</v>
      </c>
      <c r="G485" s="3">
        <v>-1.6E-2</v>
      </c>
      <c r="H485">
        <v>2015</v>
      </c>
      <c r="I485">
        <v>-1.95</v>
      </c>
      <c r="J485">
        <v>0</v>
      </c>
      <c r="K485">
        <v>0</v>
      </c>
      <c r="L485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</row>
    <row r="486" spans="1:20" x14ac:dyDescent="0.6">
      <c r="A486">
        <v>322</v>
      </c>
      <c r="B486" t="str">
        <f>"1906"</f>
        <v>1906</v>
      </c>
      <c r="C486" t="s">
        <v>404</v>
      </c>
      <c r="D486" s="1">
        <v>42923</v>
      </c>
      <c r="E486">
        <v>27</v>
      </c>
      <c r="F486">
        <v>1.1000000000000001</v>
      </c>
      <c r="G486" s="3">
        <v>4.2500000000000003E-2</v>
      </c>
      <c r="H486">
        <v>2015</v>
      </c>
      <c r="I486">
        <v>1.18</v>
      </c>
      <c r="J486">
        <v>0</v>
      </c>
      <c r="K486">
        <v>0</v>
      </c>
      <c r="L486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</row>
    <row r="487" spans="1:20" x14ac:dyDescent="0.6">
      <c r="A487">
        <v>331</v>
      </c>
      <c r="B487" t="str">
        <f>"6116"</f>
        <v>6116</v>
      </c>
      <c r="C487" t="s">
        <v>413</v>
      </c>
      <c r="D487" s="1">
        <v>42923</v>
      </c>
      <c r="E487">
        <v>9.08</v>
      </c>
      <c r="F487">
        <v>-0.04</v>
      </c>
      <c r="G487" s="3">
        <v>-4.4000000000000003E-3</v>
      </c>
      <c r="H487">
        <v>2015</v>
      </c>
      <c r="I487">
        <v>0.16</v>
      </c>
      <c r="J487">
        <v>0</v>
      </c>
      <c r="K487">
        <v>0</v>
      </c>
      <c r="L487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</row>
    <row r="488" spans="1:20" x14ac:dyDescent="0.6">
      <c r="A488">
        <v>339</v>
      </c>
      <c r="B488" t="str">
        <f>"6212"</f>
        <v>6212</v>
      </c>
      <c r="C488" t="s">
        <v>421</v>
      </c>
      <c r="D488" s="1">
        <v>42923</v>
      </c>
      <c r="E488">
        <v>27.5</v>
      </c>
      <c r="F488">
        <v>-0.05</v>
      </c>
      <c r="G488" s="3">
        <v>-1.8E-3</v>
      </c>
      <c r="H488">
        <v>2015</v>
      </c>
      <c r="I488">
        <v>-0.72</v>
      </c>
      <c r="J488">
        <v>0</v>
      </c>
      <c r="K488">
        <v>0</v>
      </c>
      <c r="L488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</row>
    <row r="489" spans="1:20" x14ac:dyDescent="0.6">
      <c r="A489">
        <v>342</v>
      </c>
      <c r="B489" t="str">
        <f>"1605"</f>
        <v>1605</v>
      </c>
      <c r="C489" t="s">
        <v>424</v>
      </c>
      <c r="D489" s="1">
        <v>42923</v>
      </c>
      <c r="E489">
        <v>12.9</v>
      </c>
      <c r="F489">
        <v>-0.35</v>
      </c>
      <c r="G489" s="3">
        <v>-2.64E-2</v>
      </c>
      <c r="H489">
        <v>2015</v>
      </c>
      <c r="I489">
        <v>0.64</v>
      </c>
      <c r="J489">
        <v>0</v>
      </c>
      <c r="K489">
        <v>0</v>
      </c>
      <c r="L489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</row>
    <row r="490" spans="1:20" x14ac:dyDescent="0.6">
      <c r="A490">
        <v>368</v>
      </c>
      <c r="B490" t="str">
        <f>"8069"</f>
        <v>8069</v>
      </c>
      <c r="C490" t="s">
        <v>451</v>
      </c>
      <c r="D490" s="1">
        <v>42923</v>
      </c>
      <c r="E490">
        <v>28.35</v>
      </c>
      <c r="F490">
        <v>-0.05</v>
      </c>
      <c r="G490" s="3">
        <v>-1.8E-3</v>
      </c>
      <c r="H490">
        <v>2015</v>
      </c>
      <c r="I490">
        <v>0.01</v>
      </c>
      <c r="J490">
        <v>0</v>
      </c>
      <c r="K490">
        <v>0</v>
      </c>
      <c r="L490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</row>
    <row r="491" spans="1:20" x14ac:dyDescent="0.6">
      <c r="A491">
        <v>404</v>
      </c>
      <c r="B491" t="str">
        <f>"3489"</f>
        <v>3489</v>
      </c>
      <c r="C491" t="s">
        <v>490</v>
      </c>
      <c r="D491" s="1">
        <v>42923</v>
      </c>
      <c r="E491">
        <v>9.8000000000000007</v>
      </c>
      <c r="F491">
        <v>-0.02</v>
      </c>
      <c r="G491" s="3">
        <v>-2E-3</v>
      </c>
      <c r="H491">
        <v>2015</v>
      </c>
      <c r="I491">
        <v>0.39</v>
      </c>
      <c r="J491">
        <v>0</v>
      </c>
      <c r="K491">
        <v>0</v>
      </c>
      <c r="L491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</row>
    <row r="492" spans="1:20" x14ac:dyDescent="0.6">
      <c r="A492">
        <v>411</v>
      </c>
      <c r="B492" t="str">
        <f>"5206"</f>
        <v>5206</v>
      </c>
      <c r="C492" t="s">
        <v>498</v>
      </c>
      <c r="D492" s="1">
        <v>42923</v>
      </c>
      <c r="E492">
        <v>9.8699999999999992</v>
      </c>
      <c r="F492">
        <v>-0.03</v>
      </c>
      <c r="G492" s="3">
        <v>-3.0000000000000001E-3</v>
      </c>
      <c r="H492">
        <v>2015</v>
      </c>
      <c r="I492">
        <v>0.15</v>
      </c>
      <c r="J492">
        <v>0</v>
      </c>
      <c r="K492">
        <v>0</v>
      </c>
      <c r="L49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</row>
    <row r="493" spans="1:20" x14ac:dyDescent="0.6">
      <c r="A493">
        <v>453</v>
      </c>
      <c r="B493" t="str">
        <f>"1721"</f>
        <v>1721</v>
      </c>
      <c r="C493" t="s">
        <v>543</v>
      </c>
      <c r="D493" s="1">
        <v>42923</v>
      </c>
      <c r="E493">
        <v>14.35</v>
      </c>
      <c r="F493">
        <v>-0.1</v>
      </c>
      <c r="G493" s="3">
        <v>-6.8999999999999999E-3</v>
      </c>
      <c r="H493">
        <v>2015</v>
      </c>
      <c r="I493">
        <v>0.09</v>
      </c>
      <c r="J493">
        <v>0</v>
      </c>
      <c r="K493">
        <v>0</v>
      </c>
      <c r="L493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</row>
    <row r="494" spans="1:20" x14ac:dyDescent="0.6">
      <c r="A494">
        <v>484</v>
      </c>
      <c r="B494" t="str">
        <f>"2374"</f>
        <v>2374</v>
      </c>
      <c r="C494" t="s">
        <v>577</v>
      </c>
      <c r="D494" s="1">
        <v>42923</v>
      </c>
      <c r="E494">
        <v>18.850000000000001</v>
      </c>
      <c r="F494">
        <v>-0.15</v>
      </c>
      <c r="G494" s="3">
        <v>-7.9000000000000008E-3</v>
      </c>
      <c r="H494">
        <v>2015</v>
      </c>
      <c r="I494">
        <v>0.33</v>
      </c>
      <c r="J494">
        <v>0</v>
      </c>
      <c r="K494">
        <v>0</v>
      </c>
      <c r="L494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</row>
    <row r="495" spans="1:20" x14ac:dyDescent="0.6">
      <c r="A495">
        <v>20</v>
      </c>
      <c r="B495" t="str">
        <f>"2936"</f>
        <v>2936</v>
      </c>
      <c r="C495" t="s">
        <v>51</v>
      </c>
      <c r="D495" s="1">
        <v>42923</v>
      </c>
      <c r="E495">
        <v>43.5</v>
      </c>
      <c r="F495">
        <v>-0.4</v>
      </c>
      <c r="G495" s="3">
        <v>-9.1000000000000004E-3</v>
      </c>
      <c r="H495" t="s">
        <v>52</v>
      </c>
    </row>
    <row r="496" spans="1:20" x14ac:dyDescent="0.6">
      <c r="A496">
        <v>119</v>
      </c>
      <c r="B496" t="str">
        <f>"4552"</f>
        <v>4552</v>
      </c>
      <c r="C496" t="s">
        <v>184</v>
      </c>
      <c r="D496" s="1">
        <v>42923</v>
      </c>
      <c r="E496">
        <v>112.5</v>
      </c>
      <c r="F496">
        <v>-0.5</v>
      </c>
      <c r="G496" s="3">
        <v>-4.4000000000000003E-3</v>
      </c>
      <c r="H496" t="s">
        <v>52</v>
      </c>
    </row>
    <row r="497" spans="1:8" x14ac:dyDescent="0.6">
      <c r="A497">
        <v>170</v>
      </c>
      <c r="B497" t="str">
        <f>"6525"</f>
        <v>6525</v>
      </c>
      <c r="C497" t="s">
        <v>243</v>
      </c>
      <c r="D497" s="1">
        <v>42923</v>
      </c>
      <c r="E497">
        <v>58</v>
      </c>
      <c r="F497">
        <v>-0.2</v>
      </c>
      <c r="G497" s="3">
        <v>-3.3999999999999998E-3</v>
      </c>
      <c r="H497" t="s">
        <v>52</v>
      </c>
    </row>
    <row r="498" spans="1:8" x14ac:dyDescent="0.6">
      <c r="A498">
        <v>277</v>
      </c>
      <c r="B498" t="str">
        <f>"6582"</f>
        <v>6582</v>
      </c>
      <c r="C498" t="s">
        <v>357</v>
      </c>
      <c r="D498" s="1">
        <v>42923</v>
      </c>
      <c r="E498">
        <v>69.099999999999994</v>
      </c>
      <c r="F498">
        <v>0.2</v>
      </c>
      <c r="G498" s="3">
        <v>2.8999999999999998E-3</v>
      </c>
      <c r="H498" t="s">
        <v>52</v>
      </c>
    </row>
    <row r="499" spans="1:8" x14ac:dyDescent="0.6">
      <c r="A499">
        <v>312</v>
      </c>
      <c r="B499" t="str">
        <f>"8466"</f>
        <v>8466</v>
      </c>
      <c r="C499" t="s">
        <v>394</v>
      </c>
      <c r="D499" s="1">
        <v>42923</v>
      </c>
      <c r="E499">
        <v>124.5</v>
      </c>
      <c r="F499">
        <v>-1.5</v>
      </c>
      <c r="G499" s="3">
        <v>-1.1900000000000001E-2</v>
      </c>
      <c r="H499" t="s">
        <v>52</v>
      </c>
    </row>
    <row r="500" spans="1:8" x14ac:dyDescent="0.6">
      <c r="A500">
        <v>338</v>
      </c>
      <c r="B500" t="str">
        <f>"8481"</f>
        <v>8481</v>
      </c>
      <c r="C500" t="s">
        <v>420</v>
      </c>
      <c r="D500" s="1">
        <v>42923</v>
      </c>
      <c r="E500">
        <v>40.299999999999997</v>
      </c>
      <c r="F500">
        <v>-0.2</v>
      </c>
      <c r="G500" s="3">
        <v>-4.8999999999999998E-3</v>
      </c>
      <c r="H500" t="s">
        <v>52</v>
      </c>
    </row>
    <row r="501" spans="1:8" x14ac:dyDescent="0.6">
      <c r="A501">
        <v>406</v>
      </c>
      <c r="B501" t="str">
        <f>"8488"</f>
        <v>8488</v>
      </c>
      <c r="C501" t="s">
        <v>492</v>
      </c>
      <c r="D501" s="1">
        <v>42923</v>
      </c>
      <c r="E501">
        <v>39.25</v>
      </c>
      <c r="F501">
        <v>0.05</v>
      </c>
      <c r="G501" s="3">
        <v>1.2999999999999999E-3</v>
      </c>
      <c r="H501" t="s">
        <v>52</v>
      </c>
    </row>
  </sheetData>
  <sortState ref="A2:U501">
    <sortCondition descending="1" ref="M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pane xSplit="3" ySplit="1" topLeftCell="K423" activePane="bottomRight" state="frozen"/>
      <selection pane="topRight" activeCell="D1" sqref="D1"/>
      <selection pane="bottomLeft" activeCell="A2" sqref="A2"/>
      <selection pane="bottomRight" activeCell="B431" sqref="B431"/>
    </sheetView>
  </sheetViews>
  <sheetFormatPr defaultRowHeight="16.5" x14ac:dyDescent="0.6"/>
  <cols>
    <col min="1" max="1" width="5.15625" bestFit="1" customWidth="1"/>
    <col min="2" max="2" width="6.3671875" bestFit="1" customWidth="1"/>
    <col min="3" max="3" width="11.578125" bestFit="1" customWidth="1"/>
    <col min="4" max="4" width="9.3671875" bestFit="1" customWidth="1"/>
    <col min="5" max="5" width="5.9453125" bestFit="1" customWidth="1"/>
    <col min="6" max="7" width="7.26171875" bestFit="1" customWidth="1"/>
    <col min="8" max="8" width="13.7890625" bestFit="1" customWidth="1"/>
    <col min="9" max="9" width="8.578125" bestFit="1" customWidth="1"/>
    <col min="10" max="12" width="9.3671875" bestFit="1" customWidth="1"/>
    <col min="13" max="17" width="11.578125" bestFit="1" customWidth="1"/>
    <col min="18" max="18" width="13.7890625" bestFit="1" customWidth="1"/>
    <col min="19" max="20" width="11.578125" bestFit="1" customWidth="1"/>
    <col min="21" max="21" width="15.9453125" bestFit="1" customWidth="1"/>
  </cols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6">
      <c r="A2">
        <v>216</v>
      </c>
      <c r="B2" t="str">
        <f>"5508"</f>
        <v>5508</v>
      </c>
      <c r="C2" t="s">
        <v>295</v>
      </c>
      <c r="D2" s="1">
        <v>42923</v>
      </c>
      <c r="E2">
        <v>29.2</v>
      </c>
      <c r="F2">
        <v>-0.35</v>
      </c>
      <c r="G2" s="3">
        <v>-1.18E-2</v>
      </c>
      <c r="H2">
        <v>2014</v>
      </c>
      <c r="I2">
        <v>11.2</v>
      </c>
      <c r="J2">
        <v>10.08</v>
      </c>
      <c r="K2">
        <v>0</v>
      </c>
      <c r="L2">
        <v>10.08</v>
      </c>
      <c r="M2" s="3">
        <v>0.34499999999999997</v>
      </c>
      <c r="N2" s="2">
        <v>0</v>
      </c>
      <c r="O2" s="3">
        <v>0.34499999999999997</v>
      </c>
      <c r="P2" s="2">
        <v>0.9</v>
      </c>
      <c r="Q2" s="2">
        <v>0</v>
      </c>
      <c r="R2" s="2">
        <v>0.9</v>
      </c>
      <c r="S2" t="s">
        <v>838</v>
      </c>
      <c r="U2" t="s">
        <v>810</v>
      </c>
    </row>
    <row r="3" spans="1:21" x14ac:dyDescent="0.6">
      <c r="A3">
        <v>11</v>
      </c>
      <c r="B3" t="str">
        <f>"2597"</f>
        <v>2597</v>
      </c>
      <c r="C3" t="s">
        <v>37</v>
      </c>
      <c r="D3" s="1">
        <v>42923</v>
      </c>
      <c r="E3">
        <v>39.799999999999997</v>
      </c>
      <c r="F3">
        <v>-0.3</v>
      </c>
      <c r="G3" s="3">
        <v>-7.4999999999999997E-3</v>
      </c>
      <c r="H3">
        <v>2014</v>
      </c>
      <c r="I3">
        <v>8.26</v>
      </c>
      <c r="J3">
        <v>6.9</v>
      </c>
      <c r="K3">
        <v>0</v>
      </c>
      <c r="L3">
        <v>6.9</v>
      </c>
      <c r="M3" s="3">
        <v>0.17299999999999999</v>
      </c>
      <c r="N3" s="2">
        <v>0</v>
      </c>
      <c r="O3" s="3">
        <v>0.17299999999999999</v>
      </c>
      <c r="P3" s="3">
        <v>0.83499999999999996</v>
      </c>
      <c r="Q3" s="2">
        <v>0</v>
      </c>
      <c r="R3" s="3">
        <v>0.83499999999999996</v>
      </c>
      <c r="S3" t="s">
        <v>806</v>
      </c>
    </row>
    <row r="4" spans="1:21" x14ac:dyDescent="0.6">
      <c r="A4">
        <v>42</v>
      </c>
      <c r="B4" t="str">
        <f>"4973"</f>
        <v>4973</v>
      </c>
      <c r="C4" t="s">
        <v>86</v>
      </c>
      <c r="D4" s="1">
        <v>42923</v>
      </c>
      <c r="E4">
        <v>21.65</v>
      </c>
      <c r="F4">
        <v>-0.25</v>
      </c>
      <c r="G4" s="3">
        <v>-1.14E-2</v>
      </c>
      <c r="H4">
        <v>2014</v>
      </c>
      <c r="I4">
        <v>4.47</v>
      </c>
      <c r="J4">
        <v>3.5</v>
      </c>
      <c r="K4">
        <v>0</v>
      </c>
      <c r="L4">
        <v>3.5</v>
      </c>
      <c r="M4" s="3">
        <v>0.16200000000000001</v>
      </c>
      <c r="N4" s="2">
        <v>0</v>
      </c>
      <c r="O4" s="3">
        <v>0.16200000000000001</v>
      </c>
      <c r="P4" s="3">
        <v>0.78300000000000003</v>
      </c>
      <c r="Q4" s="2">
        <v>0</v>
      </c>
      <c r="R4" s="3">
        <v>0.78300000000000003</v>
      </c>
      <c r="S4" t="s">
        <v>797</v>
      </c>
      <c r="U4" t="s">
        <v>833</v>
      </c>
    </row>
    <row r="5" spans="1:21" x14ac:dyDescent="0.6">
      <c r="A5">
        <v>28</v>
      </c>
      <c r="B5" t="str">
        <f>"2538"</f>
        <v>2538</v>
      </c>
      <c r="C5" t="s">
        <v>62</v>
      </c>
      <c r="D5" s="1">
        <v>42923</v>
      </c>
      <c r="E5">
        <v>11.3</v>
      </c>
      <c r="F5">
        <v>0</v>
      </c>
      <c r="G5" s="2">
        <v>0</v>
      </c>
      <c r="H5">
        <v>2014</v>
      </c>
      <c r="I5">
        <v>2.2200000000000002</v>
      </c>
      <c r="J5">
        <v>1.7</v>
      </c>
      <c r="K5">
        <v>0</v>
      </c>
      <c r="L5">
        <v>1.7</v>
      </c>
      <c r="M5" s="2">
        <v>0.15</v>
      </c>
      <c r="N5" s="2">
        <v>0</v>
      </c>
      <c r="O5" s="2">
        <v>0.15</v>
      </c>
      <c r="P5" s="3">
        <v>0.76600000000000001</v>
      </c>
      <c r="Q5" s="2">
        <v>0</v>
      </c>
      <c r="R5" s="3">
        <v>0.76600000000000001</v>
      </c>
      <c r="S5" t="s">
        <v>804</v>
      </c>
    </row>
    <row r="6" spans="1:21" x14ac:dyDescent="0.6">
      <c r="A6">
        <v>24</v>
      </c>
      <c r="B6" t="str">
        <f>"6186"</f>
        <v>6186</v>
      </c>
      <c r="C6" t="s">
        <v>57</v>
      </c>
      <c r="D6" s="1">
        <v>42923</v>
      </c>
      <c r="E6">
        <v>22.4</v>
      </c>
      <c r="F6">
        <v>0</v>
      </c>
      <c r="G6" s="2">
        <v>0</v>
      </c>
      <c r="H6">
        <v>2014</v>
      </c>
      <c r="I6">
        <v>6.51</v>
      </c>
      <c r="J6">
        <v>3</v>
      </c>
      <c r="K6">
        <v>0</v>
      </c>
      <c r="L6">
        <v>3</v>
      </c>
      <c r="M6" s="3">
        <v>0.13400000000000001</v>
      </c>
      <c r="N6" s="2">
        <v>0</v>
      </c>
      <c r="O6" s="3">
        <v>0.13400000000000001</v>
      </c>
      <c r="P6" s="3">
        <v>0.46100000000000002</v>
      </c>
      <c r="Q6" s="2">
        <v>0</v>
      </c>
      <c r="R6" s="3">
        <v>0.46100000000000002</v>
      </c>
      <c r="S6" t="s">
        <v>813</v>
      </c>
      <c r="U6" t="s">
        <v>799</v>
      </c>
    </row>
    <row r="7" spans="1:21" x14ac:dyDescent="0.6">
      <c r="A7">
        <v>77</v>
      </c>
      <c r="B7" t="str">
        <f>"3211"</f>
        <v>3211</v>
      </c>
      <c r="C7" t="s">
        <v>137</v>
      </c>
      <c r="D7" s="1">
        <v>42923</v>
      </c>
      <c r="E7">
        <v>38.549999999999997</v>
      </c>
      <c r="F7">
        <v>-0.55000000000000004</v>
      </c>
      <c r="G7" s="3">
        <v>-1.41E-2</v>
      </c>
      <c r="H7">
        <v>2014</v>
      </c>
      <c r="I7">
        <v>5.5</v>
      </c>
      <c r="J7">
        <v>5</v>
      </c>
      <c r="K7">
        <v>0</v>
      </c>
      <c r="L7">
        <v>5</v>
      </c>
      <c r="M7" s="2">
        <v>0.13</v>
      </c>
      <c r="N7" s="2">
        <v>0</v>
      </c>
      <c r="O7" s="2">
        <v>0.13</v>
      </c>
      <c r="P7" s="3">
        <v>0.90900000000000003</v>
      </c>
      <c r="Q7" s="2">
        <v>0</v>
      </c>
      <c r="R7" s="3">
        <v>0.90900000000000003</v>
      </c>
      <c r="S7" t="s">
        <v>804</v>
      </c>
    </row>
    <row r="8" spans="1:21" x14ac:dyDescent="0.6">
      <c r="A8">
        <v>137</v>
      </c>
      <c r="B8" t="str">
        <f>"3556"</f>
        <v>3556</v>
      </c>
      <c r="C8" t="s">
        <v>203</v>
      </c>
      <c r="D8" s="1">
        <v>42923</v>
      </c>
      <c r="E8">
        <v>53.7</v>
      </c>
      <c r="F8">
        <v>-0.4</v>
      </c>
      <c r="G8" s="3">
        <v>-7.4000000000000003E-3</v>
      </c>
      <c r="H8">
        <v>2014</v>
      </c>
      <c r="I8">
        <v>8.6199999999999992</v>
      </c>
      <c r="J8">
        <v>7</v>
      </c>
      <c r="K8">
        <v>0.2</v>
      </c>
      <c r="L8">
        <v>7.2</v>
      </c>
      <c r="M8" s="2">
        <v>0.13</v>
      </c>
      <c r="N8" s="3">
        <v>3.7000000000000002E-3</v>
      </c>
      <c r="O8" s="3">
        <v>0.13400000000000001</v>
      </c>
      <c r="P8" s="3">
        <v>0.81200000000000006</v>
      </c>
      <c r="Q8" s="3">
        <v>2.3199999999999998E-2</v>
      </c>
      <c r="R8" s="3">
        <v>0.83499999999999996</v>
      </c>
      <c r="S8" t="s">
        <v>832</v>
      </c>
      <c r="T8" t="s">
        <v>832</v>
      </c>
      <c r="U8" t="s">
        <v>807</v>
      </c>
    </row>
    <row r="9" spans="1:21" x14ac:dyDescent="0.6">
      <c r="A9">
        <v>55</v>
      </c>
      <c r="B9" t="str">
        <f>"2535"</f>
        <v>2535</v>
      </c>
      <c r="C9" t="s">
        <v>106</v>
      </c>
      <c r="D9" s="1">
        <v>42923</v>
      </c>
      <c r="E9">
        <v>19.7</v>
      </c>
      <c r="F9">
        <v>-0.05</v>
      </c>
      <c r="G9" s="3">
        <v>-2.5000000000000001E-3</v>
      </c>
      <c r="H9">
        <v>2014</v>
      </c>
      <c r="I9">
        <v>4.0599999999999996</v>
      </c>
      <c r="J9">
        <v>2.5</v>
      </c>
      <c r="K9">
        <v>0</v>
      </c>
      <c r="L9">
        <v>2.5</v>
      </c>
      <c r="M9" s="3">
        <v>0.127</v>
      </c>
      <c r="N9" s="2">
        <v>0</v>
      </c>
      <c r="O9" s="3">
        <v>0.127</v>
      </c>
      <c r="P9" s="3">
        <v>0.61599999999999999</v>
      </c>
      <c r="Q9" s="2">
        <v>0</v>
      </c>
      <c r="R9" s="3">
        <v>0.61599999999999999</v>
      </c>
      <c r="S9" t="s">
        <v>813</v>
      </c>
      <c r="U9" t="s">
        <v>817</v>
      </c>
    </row>
    <row r="10" spans="1:21" x14ac:dyDescent="0.6">
      <c r="A10">
        <v>227</v>
      </c>
      <c r="B10" t="str">
        <f>"2904"</f>
        <v>2904</v>
      </c>
      <c r="C10" t="s">
        <v>306</v>
      </c>
      <c r="D10" s="1">
        <v>42923</v>
      </c>
      <c r="E10">
        <v>22.2</v>
      </c>
      <c r="F10">
        <v>0.2</v>
      </c>
      <c r="G10" s="3">
        <v>9.1000000000000004E-3</v>
      </c>
      <c r="H10">
        <v>2014</v>
      </c>
      <c r="I10">
        <v>2.2000000000000002</v>
      </c>
      <c r="J10">
        <v>2.8</v>
      </c>
      <c r="K10">
        <v>0</v>
      </c>
      <c r="L10">
        <v>2.8</v>
      </c>
      <c r="M10" s="3">
        <v>0.126</v>
      </c>
      <c r="N10" s="2">
        <v>0</v>
      </c>
      <c r="O10" s="3">
        <v>0.126</v>
      </c>
      <c r="P10" s="2">
        <v>1.27</v>
      </c>
      <c r="Q10" s="2">
        <v>0</v>
      </c>
      <c r="R10" s="2">
        <v>1.27</v>
      </c>
      <c r="S10" t="s">
        <v>828</v>
      </c>
    </row>
    <row r="11" spans="1:21" x14ac:dyDescent="0.6">
      <c r="A11">
        <v>498</v>
      </c>
      <c r="B11" t="str">
        <f>"6143"</f>
        <v>6143</v>
      </c>
      <c r="C11" t="s">
        <v>592</v>
      </c>
      <c r="D11" s="1">
        <v>42923</v>
      </c>
      <c r="E11">
        <v>64.3</v>
      </c>
      <c r="F11">
        <v>-0.2</v>
      </c>
      <c r="G11" s="3">
        <v>-3.0999999999999999E-3</v>
      </c>
      <c r="H11">
        <v>2014</v>
      </c>
      <c r="I11">
        <v>8.08</v>
      </c>
      <c r="J11">
        <v>8</v>
      </c>
      <c r="K11">
        <v>0</v>
      </c>
      <c r="L11">
        <v>8</v>
      </c>
      <c r="M11" s="3">
        <v>0.124</v>
      </c>
      <c r="N11" s="2">
        <v>0</v>
      </c>
      <c r="O11" s="3">
        <v>0.124</v>
      </c>
      <c r="P11" s="2">
        <v>0.99</v>
      </c>
      <c r="Q11" s="2">
        <v>0</v>
      </c>
      <c r="R11" s="2">
        <v>0.99</v>
      </c>
      <c r="S11" t="s">
        <v>841</v>
      </c>
      <c r="U11" t="s">
        <v>792</v>
      </c>
    </row>
    <row r="12" spans="1:21" x14ac:dyDescent="0.6">
      <c r="A12">
        <v>383</v>
      </c>
      <c r="B12" t="str">
        <f>"5489"</f>
        <v>5489</v>
      </c>
      <c r="C12" t="s">
        <v>467</v>
      </c>
      <c r="D12" s="1">
        <v>42923</v>
      </c>
      <c r="E12">
        <v>34.6</v>
      </c>
      <c r="F12">
        <v>0.05</v>
      </c>
      <c r="G12" s="3">
        <v>1.4E-3</v>
      </c>
      <c r="H12">
        <v>2014</v>
      </c>
      <c r="I12">
        <v>5.77</v>
      </c>
      <c r="J12">
        <v>4.04</v>
      </c>
      <c r="K12">
        <v>0</v>
      </c>
      <c r="L12">
        <v>4.04</v>
      </c>
      <c r="M12" s="3">
        <v>0.11700000000000001</v>
      </c>
      <c r="N12" s="2">
        <v>0</v>
      </c>
      <c r="O12" s="3">
        <v>0.11700000000000001</v>
      </c>
      <c r="P12" s="2">
        <v>0.7</v>
      </c>
      <c r="Q12" s="2">
        <v>0</v>
      </c>
      <c r="R12" s="2">
        <v>0.7</v>
      </c>
      <c r="S12" t="s">
        <v>850</v>
      </c>
      <c r="U12" t="s">
        <v>851</v>
      </c>
    </row>
    <row r="13" spans="1:21" x14ac:dyDescent="0.6">
      <c r="A13">
        <v>223</v>
      </c>
      <c r="B13" t="str">
        <f>"3033"</f>
        <v>3033</v>
      </c>
      <c r="C13" t="s">
        <v>302</v>
      </c>
      <c r="D13" s="1">
        <v>42923</v>
      </c>
      <c r="E13">
        <v>17.350000000000001</v>
      </c>
      <c r="F13">
        <v>-0.1</v>
      </c>
      <c r="G13" s="3">
        <v>-5.7000000000000002E-3</v>
      </c>
      <c r="H13">
        <v>2014</v>
      </c>
      <c r="I13">
        <v>2.16</v>
      </c>
      <c r="J13">
        <v>2</v>
      </c>
      <c r="K13">
        <v>0</v>
      </c>
      <c r="L13">
        <v>2</v>
      </c>
      <c r="M13" s="3">
        <v>0.115</v>
      </c>
      <c r="N13" s="2">
        <v>0</v>
      </c>
      <c r="O13" s="3">
        <v>0.115</v>
      </c>
      <c r="P13" s="3">
        <v>0.92600000000000005</v>
      </c>
      <c r="Q13" s="2">
        <v>0</v>
      </c>
      <c r="R13" s="3">
        <v>0.92600000000000005</v>
      </c>
      <c r="S13" t="s">
        <v>832</v>
      </c>
      <c r="U13" t="s">
        <v>799</v>
      </c>
    </row>
    <row r="14" spans="1:21" x14ac:dyDescent="0.6">
      <c r="A14">
        <v>297</v>
      </c>
      <c r="B14" t="str">
        <f>"6298"</f>
        <v>6298</v>
      </c>
      <c r="C14" t="s">
        <v>379</v>
      </c>
      <c r="D14" s="1">
        <v>42923</v>
      </c>
      <c r="E14">
        <v>17.600000000000001</v>
      </c>
      <c r="F14">
        <v>-0.2</v>
      </c>
      <c r="G14" s="3">
        <v>-1.12E-2</v>
      </c>
      <c r="H14">
        <v>2014</v>
      </c>
      <c r="I14">
        <v>2.44</v>
      </c>
      <c r="J14">
        <v>2</v>
      </c>
      <c r="K14">
        <v>0</v>
      </c>
      <c r="L14">
        <v>2</v>
      </c>
      <c r="M14" s="3">
        <v>0.114</v>
      </c>
      <c r="N14" s="2">
        <v>0</v>
      </c>
      <c r="O14" s="3">
        <v>0.114</v>
      </c>
      <c r="P14" s="2">
        <v>0.82</v>
      </c>
      <c r="Q14" s="2">
        <v>0</v>
      </c>
      <c r="R14" s="2">
        <v>0.82</v>
      </c>
      <c r="S14" t="s">
        <v>840</v>
      </c>
      <c r="U14" t="s">
        <v>863</v>
      </c>
    </row>
    <row r="15" spans="1:21" x14ac:dyDescent="0.6">
      <c r="A15">
        <v>298</v>
      </c>
      <c r="B15" t="str">
        <f>"8905"</f>
        <v>8905</v>
      </c>
      <c r="C15" t="s">
        <v>380</v>
      </c>
      <c r="D15" s="1">
        <v>42923</v>
      </c>
      <c r="E15">
        <v>17.600000000000001</v>
      </c>
      <c r="F15">
        <v>-0.1</v>
      </c>
      <c r="G15" s="3">
        <v>-5.5999999999999999E-3</v>
      </c>
      <c r="H15">
        <v>2014</v>
      </c>
      <c r="I15">
        <v>3.53</v>
      </c>
      <c r="J15">
        <v>2</v>
      </c>
      <c r="K15">
        <v>0</v>
      </c>
      <c r="L15">
        <v>2</v>
      </c>
      <c r="M15" s="3">
        <v>0.114</v>
      </c>
      <c r="N15" s="2">
        <v>0</v>
      </c>
      <c r="O15" s="3">
        <v>0.114</v>
      </c>
      <c r="P15" s="3">
        <v>0.56699999999999995</v>
      </c>
      <c r="Q15" s="2">
        <v>0</v>
      </c>
      <c r="R15" s="3">
        <v>0.56699999999999995</v>
      </c>
      <c r="S15" t="s">
        <v>831</v>
      </c>
      <c r="U15" t="s">
        <v>863</v>
      </c>
    </row>
    <row r="16" spans="1:21" x14ac:dyDescent="0.6">
      <c r="A16">
        <v>356</v>
      </c>
      <c r="B16" t="str">
        <f>"3607"</f>
        <v>3607</v>
      </c>
      <c r="C16" t="s">
        <v>439</v>
      </c>
      <c r="D16" s="1">
        <v>42923</v>
      </c>
      <c r="E16">
        <v>27.9</v>
      </c>
      <c r="F16">
        <v>-0.25</v>
      </c>
      <c r="G16" s="3">
        <v>-8.8999999999999999E-3</v>
      </c>
      <c r="H16">
        <v>2014</v>
      </c>
      <c r="I16">
        <v>3.57</v>
      </c>
      <c r="J16">
        <v>3.19</v>
      </c>
      <c r="K16">
        <v>0</v>
      </c>
      <c r="L16">
        <v>3.19</v>
      </c>
      <c r="M16" s="3">
        <v>0.114</v>
      </c>
      <c r="N16" s="2">
        <v>0</v>
      </c>
      <c r="O16" s="3">
        <v>0.114</v>
      </c>
      <c r="P16" s="3">
        <v>0.89400000000000002</v>
      </c>
      <c r="Q16" s="2">
        <v>0</v>
      </c>
      <c r="R16" s="3">
        <v>0.89400000000000002</v>
      </c>
      <c r="S16" t="s">
        <v>815</v>
      </c>
    </row>
    <row r="17" spans="1:21" x14ac:dyDescent="0.6">
      <c r="A17">
        <v>484</v>
      </c>
      <c r="B17" t="str">
        <f>"2374"</f>
        <v>2374</v>
      </c>
      <c r="C17" t="s">
        <v>577</v>
      </c>
      <c r="D17" s="1">
        <v>42923</v>
      </c>
      <c r="E17">
        <v>18.850000000000001</v>
      </c>
      <c r="F17">
        <v>-0.15</v>
      </c>
      <c r="G17" s="3">
        <v>-7.9000000000000008E-3</v>
      </c>
      <c r="H17">
        <v>2014</v>
      </c>
      <c r="I17">
        <v>1.08</v>
      </c>
      <c r="J17">
        <v>2.1</v>
      </c>
      <c r="K17">
        <v>0</v>
      </c>
      <c r="L17">
        <v>2.1</v>
      </c>
      <c r="M17" s="3">
        <v>0.111</v>
      </c>
      <c r="N17" s="2">
        <v>0</v>
      </c>
      <c r="O17" s="3">
        <v>0.111</v>
      </c>
      <c r="P17" s="2">
        <v>1.94</v>
      </c>
      <c r="Q17" s="2">
        <v>0</v>
      </c>
      <c r="R17" s="2">
        <v>1.94</v>
      </c>
      <c r="S17" t="s">
        <v>817</v>
      </c>
      <c r="U17" t="s">
        <v>844</v>
      </c>
    </row>
    <row r="18" spans="1:21" x14ac:dyDescent="0.6">
      <c r="A18">
        <v>194</v>
      </c>
      <c r="B18" t="str">
        <f>"5520"</f>
        <v>5520</v>
      </c>
      <c r="C18" t="s">
        <v>271</v>
      </c>
      <c r="D18" s="1">
        <v>42923</v>
      </c>
      <c r="E18">
        <v>27.8</v>
      </c>
      <c r="F18">
        <v>0.2</v>
      </c>
      <c r="G18" s="3">
        <v>7.1999999999999998E-3</v>
      </c>
      <c r="H18">
        <v>2014</v>
      </c>
      <c r="I18">
        <v>2.2200000000000002</v>
      </c>
      <c r="J18">
        <v>3</v>
      </c>
      <c r="K18">
        <v>0</v>
      </c>
      <c r="L18">
        <v>3</v>
      </c>
      <c r="M18" s="3">
        <v>0.108</v>
      </c>
      <c r="N18" s="2">
        <v>0</v>
      </c>
      <c r="O18" s="3">
        <v>0.108</v>
      </c>
      <c r="P18" s="2">
        <v>1.35</v>
      </c>
      <c r="Q18" s="2">
        <v>0</v>
      </c>
      <c r="R18" s="2">
        <v>1.35</v>
      </c>
      <c r="S18" t="s">
        <v>815</v>
      </c>
    </row>
    <row r="19" spans="1:21" x14ac:dyDescent="0.6">
      <c r="A19">
        <v>361</v>
      </c>
      <c r="B19" t="str">
        <f>"5515"</f>
        <v>5515</v>
      </c>
      <c r="C19" t="s">
        <v>444</v>
      </c>
      <c r="D19" s="1">
        <v>42923</v>
      </c>
      <c r="E19">
        <v>9.32</v>
      </c>
      <c r="F19">
        <v>-0.05</v>
      </c>
      <c r="G19" s="3">
        <v>-5.3E-3</v>
      </c>
      <c r="H19">
        <v>2014</v>
      </c>
      <c r="I19">
        <v>3.03</v>
      </c>
      <c r="J19">
        <v>1</v>
      </c>
      <c r="K19">
        <v>0</v>
      </c>
      <c r="L19">
        <v>1</v>
      </c>
      <c r="M19" s="3">
        <v>0.107</v>
      </c>
      <c r="N19" s="2">
        <v>0</v>
      </c>
      <c r="O19" s="3">
        <v>0.107</v>
      </c>
      <c r="P19" s="2">
        <v>0.33</v>
      </c>
      <c r="Q19" s="2">
        <v>0</v>
      </c>
      <c r="R19" s="2">
        <v>0.33</v>
      </c>
      <c r="S19" t="s">
        <v>820</v>
      </c>
    </row>
    <row r="20" spans="1:21" x14ac:dyDescent="0.6">
      <c r="A20">
        <v>51</v>
      </c>
      <c r="B20" t="str">
        <f>"2489"</f>
        <v>2489</v>
      </c>
      <c r="C20" t="s">
        <v>100</v>
      </c>
      <c r="D20" s="1">
        <v>42923</v>
      </c>
      <c r="E20">
        <v>20.8</v>
      </c>
      <c r="F20">
        <v>-0.05</v>
      </c>
      <c r="G20" s="3">
        <v>-2.3999999999999998E-3</v>
      </c>
      <c r="H20">
        <v>2014</v>
      </c>
      <c r="I20">
        <v>1.4</v>
      </c>
      <c r="J20">
        <v>2.21</v>
      </c>
      <c r="K20">
        <v>0</v>
      </c>
      <c r="L20">
        <v>2.21</v>
      </c>
      <c r="M20" s="3">
        <v>0.106</v>
      </c>
      <c r="N20" s="2">
        <v>0</v>
      </c>
      <c r="O20" s="3">
        <v>0.106</v>
      </c>
      <c r="P20" s="2">
        <v>1.58</v>
      </c>
      <c r="Q20" s="2">
        <v>0</v>
      </c>
      <c r="R20" s="2">
        <v>1.58</v>
      </c>
      <c r="S20" t="s">
        <v>841</v>
      </c>
      <c r="U20" t="s">
        <v>842</v>
      </c>
    </row>
    <row r="21" spans="1:21" x14ac:dyDescent="0.6">
      <c r="A21">
        <v>152</v>
      </c>
      <c r="B21" t="str">
        <f>"6176"</f>
        <v>6176</v>
      </c>
      <c r="C21" t="s">
        <v>221</v>
      </c>
      <c r="D21" s="1">
        <v>42923</v>
      </c>
      <c r="E21">
        <v>66.900000000000006</v>
      </c>
      <c r="F21">
        <v>-0.6</v>
      </c>
      <c r="G21" s="3">
        <v>-8.8999999999999999E-3</v>
      </c>
      <c r="H21">
        <v>2014</v>
      </c>
      <c r="I21">
        <v>10.130000000000001</v>
      </c>
      <c r="J21">
        <v>7</v>
      </c>
      <c r="K21">
        <v>0</v>
      </c>
      <c r="L21">
        <v>7</v>
      </c>
      <c r="M21" s="3">
        <v>0.105</v>
      </c>
      <c r="N21" s="2">
        <v>0</v>
      </c>
      <c r="O21" s="3">
        <v>0.105</v>
      </c>
      <c r="P21" s="3">
        <v>0.69099999999999995</v>
      </c>
      <c r="Q21" s="2">
        <v>0</v>
      </c>
      <c r="R21" s="3">
        <v>0.69099999999999995</v>
      </c>
      <c r="S21" t="s">
        <v>832</v>
      </c>
      <c r="U21" t="s">
        <v>802</v>
      </c>
    </row>
    <row r="22" spans="1:21" x14ac:dyDescent="0.6">
      <c r="A22">
        <v>221</v>
      </c>
      <c r="B22" t="str">
        <f>"2010"</f>
        <v>2010</v>
      </c>
      <c r="C22" t="s">
        <v>300</v>
      </c>
      <c r="D22" s="1">
        <v>42923</v>
      </c>
      <c r="E22">
        <v>11.4</v>
      </c>
      <c r="F22">
        <v>0</v>
      </c>
      <c r="G22" s="2">
        <v>0</v>
      </c>
      <c r="H22">
        <v>2014</v>
      </c>
      <c r="I22">
        <v>0.72</v>
      </c>
      <c r="J22">
        <v>1.2</v>
      </c>
      <c r="K22">
        <v>0</v>
      </c>
      <c r="L22">
        <v>1.2</v>
      </c>
      <c r="M22" s="3">
        <v>0.105</v>
      </c>
      <c r="N22" s="2">
        <v>0</v>
      </c>
      <c r="O22" s="3">
        <v>0.105</v>
      </c>
      <c r="P22" s="2">
        <v>1.67</v>
      </c>
      <c r="Q22" s="2">
        <v>0</v>
      </c>
      <c r="R22" s="2">
        <v>1.67</v>
      </c>
      <c r="S22" t="s">
        <v>816</v>
      </c>
    </row>
    <row r="23" spans="1:21" x14ac:dyDescent="0.6">
      <c r="A23">
        <v>176</v>
      </c>
      <c r="B23" t="str">
        <f>"3022"</f>
        <v>3022</v>
      </c>
      <c r="C23" t="s">
        <v>250</v>
      </c>
      <c r="D23" s="1">
        <v>42923</v>
      </c>
      <c r="E23">
        <v>46.25</v>
      </c>
      <c r="F23">
        <v>-0.1</v>
      </c>
      <c r="G23" s="3">
        <v>-2.2000000000000001E-3</v>
      </c>
      <c r="H23">
        <v>2014</v>
      </c>
      <c r="I23">
        <v>3.62</v>
      </c>
      <c r="J23">
        <v>4.8</v>
      </c>
      <c r="K23">
        <v>0.6</v>
      </c>
      <c r="L23">
        <v>5.4</v>
      </c>
      <c r="M23" s="3">
        <v>0.104</v>
      </c>
      <c r="N23" s="3">
        <v>1.2999999999999999E-2</v>
      </c>
      <c r="O23" s="3">
        <v>0.11700000000000001</v>
      </c>
      <c r="P23" s="2">
        <v>1.33</v>
      </c>
      <c r="Q23" s="3">
        <v>0.16600000000000001</v>
      </c>
      <c r="R23" s="2">
        <v>1.49</v>
      </c>
      <c r="S23" t="s">
        <v>869</v>
      </c>
      <c r="T23" t="s">
        <v>869</v>
      </c>
      <c r="U23" t="s">
        <v>870</v>
      </c>
    </row>
    <row r="24" spans="1:21" x14ac:dyDescent="0.6">
      <c r="A24">
        <v>44</v>
      </c>
      <c r="B24" t="str">
        <f>"5487"</f>
        <v>5487</v>
      </c>
      <c r="C24" t="s">
        <v>90</v>
      </c>
      <c r="D24" s="1">
        <v>42923</v>
      </c>
      <c r="E24">
        <v>24.2</v>
      </c>
      <c r="F24">
        <v>0.35</v>
      </c>
      <c r="G24" s="3">
        <v>1.47E-2</v>
      </c>
      <c r="H24">
        <v>2014</v>
      </c>
      <c r="I24">
        <v>1.86</v>
      </c>
      <c r="J24">
        <v>2.5</v>
      </c>
      <c r="K24">
        <v>0</v>
      </c>
      <c r="L24">
        <v>2.5</v>
      </c>
      <c r="M24" s="3">
        <v>0.10299999999999999</v>
      </c>
      <c r="N24" s="2">
        <v>0</v>
      </c>
      <c r="O24" s="3">
        <v>0.10299999999999999</v>
      </c>
      <c r="P24" s="2">
        <v>1.34</v>
      </c>
      <c r="Q24" s="2">
        <v>0</v>
      </c>
      <c r="R24" s="2">
        <v>1.34</v>
      </c>
      <c r="S24" t="s">
        <v>834</v>
      </c>
    </row>
    <row r="25" spans="1:21" x14ac:dyDescent="0.6">
      <c r="A25">
        <v>329</v>
      </c>
      <c r="B25" t="str">
        <f>"4933"</f>
        <v>4933</v>
      </c>
      <c r="C25" t="s">
        <v>411</v>
      </c>
      <c r="D25" s="1">
        <v>42923</v>
      </c>
      <c r="E25">
        <v>24.45</v>
      </c>
      <c r="F25">
        <v>-0.3</v>
      </c>
      <c r="G25" s="3">
        <v>-1.21E-2</v>
      </c>
      <c r="H25">
        <v>2014</v>
      </c>
      <c r="I25">
        <v>5.66</v>
      </c>
      <c r="J25">
        <v>2.5</v>
      </c>
      <c r="K25">
        <v>0</v>
      </c>
      <c r="L25">
        <v>2.5</v>
      </c>
      <c r="M25" s="3">
        <v>0.10199999999999999</v>
      </c>
      <c r="N25" s="2">
        <v>0</v>
      </c>
      <c r="O25" s="3">
        <v>0.10199999999999999</v>
      </c>
      <c r="P25" s="3">
        <v>0.442</v>
      </c>
      <c r="Q25" s="2">
        <v>0</v>
      </c>
      <c r="R25" s="3">
        <v>0.442</v>
      </c>
      <c r="S25" t="s">
        <v>820</v>
      </c>
      <c r="U25" t="s">
        <v>873</v>
      </c>
    </row>
    <row r="26" spans="1:21" x14ac:dyDescent="0.6">
      <c r="A26">
        <v>424</v>
      </c>
      <c r="B26" t="str">
        <f>"8930"</f>
        <v>8930</v>
      </c>
      <c r="C26" t="s">
        <v>511</v>
      </c>
      <c r="D26" s="1">
        <v>42923</v>
      </c>
      <c r="E26">
        <v>13.95</v>
      </c>
      <c r="F26">
        <v>0</v>
      </c>
      <c r="G26" s="2">
        <v>0</v>
      </c>
      <c r="H26">
        <v>2014</v>
      </c>
      <c r="I26">
        <v>3.7</v>
      </c>
      <c r="J26">
        <v>1.43</v>
      </c>
      <c r="K26">
        <v>0</v>
      </c>
      <c r="L26">
        <v>1.43</v>
      </c>
      <c r="M26" s="3">
        <v>0.10199999999999999</v>
      </c>
      <c r="N26" s="2">
        <v>0</v>
      </c>
      <c r="O26" s="3">
        <v>0.10199999999999999</v>
      </c>
      <c r="P26" s="3">
        <v>0.38600000000000001</v>
      </c>
      <c r="Q26" s="2">
        <v>0</v>
      </c>
      <c r="R26" s="3">
        <v>0.38600000000000001</v>
      </c>
      <c r="S26" t="s">
        <v>816</v>
      </c>
    </row>
    <row r="27" spans="1:21" x14ac:dyDescent="0.6">
      <c r="A27">
        <v>332</v>
      </c>
      <c r="B27" t="str">
        <f>"4909"</f>
        <v>4909</v>
      </c>
      <c r="C27" t="s">
        <v>414</v>
      </c>
      <c r="D27" s="1">
        <v>42923</v>
      </c>
      <c r="E27">
        <v>21.8</v>
      </c>
      <c r="F27">
        <v>-0.15</v>
      </c>
      <c r="G27" s="3">
        <v>-6.7999999999999996E-3</v>
      </c>
      <c r="H27">
        <v>2014</v>
      </c>
      <c r="I27">
        <v>3.08</v>
      </c>
      <c r="J27">
        <v>2.2000000000000002</v>
      </c>
      <c r="K27">
        <v>0</v>
      </c>
      <c r="L27">
        <v>2.2000000000000002</v>
      </c>
      <c r="M27" s="3">
        <v>0.10100000000000001</v>
      </c>
      <c r="N27" s="2">
        <v>0</v>
      </c>
      <c r="O27" s="3">
        <v>0.10100000000000001</v>
      </c>
      <c r="P27" s="3">
        <v>0.71399999999999997</v>
      </c>
      <c r="Q27" s="2">
        <v>0</v>
      </c>
      <c r="R27" s="3">
        <v>0.71399999999999997</v>
      </c>
      <c r="S27" t="s">
        <v>798</v>
      </c>
      <c r="U27" t="s">
        <v>799</v>
      </c>
    </row>
    <row r="28" spans="1:21" x14ac:dyDescent="0.6">
      <c r="A28">
        <v>417</v>
      </c>
      <c r="B28" t="str">
        <f>"8213"</f>
        <v>8213</v>
      </c>
      <c r="C28" t="s">
        <v>504</v>
      </c>
      <c r="D28" s="1">
        <v>42923</v>
      </c>
      <c r="E28">
        <v>29.75</v>
      </c>
      <c r="F28">
        <v>0.05</v>
      </c>
      <c r="G28" s="3">
        <v>1.6999999999999999E-3</v>
      </c>
      <c r="H28">
        <v>2014</v>
      </c>
      <c r="I28">
        <v>4.46</v>
      </c>
      <c r="J28">
        <v>3</v>
      </c>
      <c r="K28">
        <v>0</v>
      </c>
      <c r="L28">
        <v>3</v>
      </c>
      <c r="M28" s="3">
        <v>0.10100000000000001</v>
      </c>
      <c r="N28" s="2">
        <v>0</v>
      </c>
      <c r="O28" s="3">
        <v>0.10100000000000001</v>
      </c>
      <c r="P28" s="3">
        <v>0.67300000000000004</v>
      </c>
      <c r="Q28" s="2">
        <v>0</v>
      </c>
      <c r="R28" s="3">
        <v>0.67300000000000004</v>
      </c>
      <c r="S28" t="s">
        <v>848</v>
      </c>
    </row>
    <row r="29" spans="1:21" x14ac:dyDescent="0.6">
      <c r="A29">
        <v>258</v>
      </c>
      <c r="B29" t="str">
        <f>"6185"</f>
        <v>6185</v>
      </c>
      <c r="C29" t="s">
        <v>337</v>
      </c>
      <c r="D29" s="1">
        <v>42923</v>
      </c>
      <c r="E29">
        <v>22</v>
      </c>
      <c r="F29">
        <v>-0.1</v>
      </c>
      <c r="G29" s="3">
        <v>-4.4999999999999997E-3</v>
      </c>
      <c r="H29">
        <v>2014</v>
      </c>
      <c r="I29">
        <v>3.34</v>
      </c>
      <c r="J29">
        <v>2.2000000000000002</v>
      </c>
      <c r="K29">
        <v>0.6</v>
      </c>
      <c r="L29">
        <v>2.8</v>
      </c>
      <c r="M29" s="2">
        <v>0.1</v>
      </c>
      <c r="N29" s="3">
        <v>2.7300000000000001E-2</v>
      </c>
      <c r="O29" s="3">
        <v>0.127</v>
      </c>
      <c r="P29" s="3">
        <v>0.65900000000000003</v>
      </c>
      <c r="Q29" s="2">
        <v>0.18</v>
      </c>
      <c r="R29" s="3">
        <v>0.83799999999999997</v>
      </c>
      <c r="S29" t="s">
        <v>832</v>
      </c>
      <c r="T29" t="s">
        <v>832</v>
      </c>
      <c r="U29" t="s">
        <v>835</v>
      </c>
    </row>
    <row r="30" spans="1:21" x14ac:dyDescent="0.6">
      <c r="A30">
        <v>165</v>
      </c>
      <c r="B30" t="str">
        <f>"6203"</f>
        <v>6203</v>
      </c>
      <c r="C30" t="s">
        <v>237</v>
      </c>
      <c r="D30" s="1">
        <v>42923</v>
      </c>
      <c r="E30">
        <v>30.3</v>
      </c>
      <c r="F30">
        <v>0.1</v>
      </c>
      <c r="G30" s="3">
        <v>3.3E-3</v>
      </c>
      <c r="H30">
        <v>2014</v>
      </c>
      <c r="I30">
        <v>3.45</v>
      </c>
      <c r="J30">
        <v>3</v>
      </c>
      <c r="K30">
        <v>0</v>
      </c>
      <c r="L30">
        <v>3</v>
      </c>
      <c r="M30" s="3">
        <v>9.9000000000000005E-2</v>
      </c>
      <c r="N30" s="2">
        <v>0</v>
      </c>
      <c r="O30" s="3">
        <v>9.9000000000000005E-2</v>
      </c>
      <c r="P30" s="2">
        <v>0.87</v>
      </c>
      <c r="Q30" s="2">
        <v>0</v>
      </c>
      <c r="R30" s="2">
        <v>0.87</v>
      </c>
      <c r="S30" t="s">
        <v>867</v>
      </c>
      <c r="U30" t="s">
        <v>825</v>
      </c>
    </row>
    <row r="31" spans="1:21" x14ac:dyDescent="0.6">
      <c r="A31">
        <v>323</v>
      </c>
      <c r="B31" t="str">
        <f>"1532"</f>
        <v>1532</v>
      </c>
      <c r="C31" t="s">
        <v>405</v>
      </c>
      <c r="D31" s="1">
        <v>42923</v>
      </c>
      <c r="E31">
        <v>30.65</v>
      </c>
      <c r="F31">
        <v>0.15</v>
      </c>
      <c r="G31" s="3">
        <v>4.8999999999999998E-3</v>
      </c>
      <c r="H31">
        <v>2014</v>
      </c>
      <c r="I31">
        <v>8.2799999999999994</v>
      </c>
      <c r="J31">
        <v>3</v>
      </c>
      <c r="K31">
        <v>0.2</v>
      </c>
      <c r="L31">
        <v>3.2</v>
      </c>
      <c r="M31" s="3">
        <v>9.7900000000000001E-2</v>
      </c>
      <c r="N31" s="3">
        <v>6.4999999999999997E-3</v>
      </c>
      <c r="O31" s="3">
        <v>0.104</v>
      </c>
      <c r="P31" s="3">
        <v>0.36199999999999999</v>
      </c>
      <c r="Q31" s="3">
        <v>2.4199999999999999E-2</v>
      </c>
      <c r="R31" s="3">
        <v>0.38600000000000001</v>
      </c>
      <c r="S31" t="s">
        <v>839</v>
      </c>
      <c r="T31" t="s">
        <v>839</v>
      </c>
      <c r="U31" t="s">
        <v>802</v>
      </c>
    </row>
    <row r="32" spans="1:21" x14ac:dyDescent="0.6">
      <c r="A32">
        <v>92</v>
      </c>
      <c r="B32" t="str">
        <f>"6189"</f>
        <v>6189</v>
      </c>
      <c r="C32" t="s">
        <v>155</v>
      </c>
      <c r="D32" s="1">
        <v>42923</v>
      </c>
      <c r="E32">
        <v>30.75</v>
      </c>
      <c r="F32">
        <v>-0.15</v>
      </c>
      <c r="G32" s="3">
        <v>-4.8999999999999998E-3</v>
      </c>
      <c r="H32">
        <v>2014</v>
      </c>
      <c r="I32">
        <v>3.23</v>
      </c>
      <c r="J32">
        <v>3</v>
      </c>
      <c r="K32">
        <v>0</v>
      </c>
      <c r="L32">
        <v>3</v>
      </c>
      <c r="M32" s="3">
        <v>9.7600000000000006E-2</v>
      </c>
      <c r="N32" s="2">
        <v>0</v>
      </c>
      <c r="O32" s="3">
        <v>9.7600000000000006E-2</v>
      </c>
      <c r="P32" s="3">
        <v>0.92900000000000005</v>
      </c>
      <c r="Q32" s="2">
        <v>0</v>
      </c>
      <c r="R32" s="3">
        <v>0.92900000000000005</v>
      </c>
      <c r="S32" t="s">
        <v>843</v>
      </c>
    </row>
    <row r="33" spans="1:21" x14ac:dyDescent="0.6">
      <c r="A33">
        <v>35</v>
      </c>
      <c r="B33" t="str">
        <f>"6136"</f>
        <v>6136</v>
      </c>
      <c r="C33" t="s">
        <v>74</v>
      </c>
      <c r="D33" s="1">
        <v>42923</v>
      </c>
      <c r="E33">
        <v>23.6</v>
      </c>
      <c r="F33">
        <v>-0.1</v>
      </c>
      <c r="G33" s="3">
        <v>-4.1999999999999997E-3</v>
      </c>
      <c r="H33">
        <v>2014</v>
      </c>
      <c r="I33">
        <v>2.0099999999999998</v>
      </c>
      <c r="J33">
        <v>2.2999999999999998</v>
      </c>
      <c r="K33">
        <v>0</v>
      </c>
      <c r="L33">
        <v>2.2999999999999998</v>
      </c>
      <c r="M33" s="3">
        <v>9.7500000000000003E-2</v>
      </c>
      <c r="N33" s="2">
        <v>0</v>
      </c>
      <c r="O33" s="3">
        <v>9.7500000000000003E-2</v>
      </c>
      <c r="P33" s="2">
        <v>1.1399999999999999</v>
      </c>
      <c r="Q33" s="2">
        <v>0</v>
      </c>
      <c r="R33" s="2">
        <v>1.1399999999999999</v>
      </c>
      <c r="S33" t="s">
        <v>828</v>
      </c>
    </row>
    <row r="34" spans="1:21" x14ac:dyDescent="0.6">
      <c r="A34">
        <v>2</v>
      </c>
      <c r="B34" t="str">
        <f>"3056"</f>
        <v>3056</v>
      </c>
      <c r="C34" t="s">
        <v>23</v>
      </c>
      <c r="D34" s="1">
        <v>42923</v>
      </c>
      <c r="E34">
        <v>18.5</v>
      </c>
      <c r="F34">
        <v>-0.1</v>
      </c>
      <c r="G34" s="3">
        <v>-5.4000000000000003E-3</v>
      </c>
      <c r="H34">
        <v>2014</v>
      </c>
      <c r="I34">
        <v>9.27</v>
      </c>
      <c r="J34">
        <v>1.8</v>
      </c>
      <c r="K34">
        <v>0</v>
      </c>
      <c r="L34">
        <v>1.8</v>
      </c>
      <c r="M34" s="3">
        <v>9.7299999999999998E-2</v>
      </c>
      <c r="N34" s="2">
        <v>0</v>
      </c>
      <c r="O34" s="3">
        <v>9.7299999999999998E-2</v>
      </c>
      <c r="P34" s="3">
        <v>0.19400000000000001</v>
      </c>
      <c r="Q34" s="2">
        <v>0</v>
      </c>
      <c r="R34" s="3">
        <v>0.19400000000000001</v>
      </c>
      <c r="S34" t="s">
        <v>793</v>
      </c>
      <c r="T34" t="s">
        <v>793</v>
      </c>
    </row>
    <row r="35" spans="1:21" x14ac:dyDescent="0.6">
      <c r="A35">
        <v>294</v>
      </c>
      <c r="B35" t="str">
        <f>"5209"</f>
        <v>5209</v>
      </c>
      <c r="C35" t="s">
        <v>376</v>
      </c>
      <c r="D35" s="1">
        <v>42923</v>
      </c>
      <c r="E35">
        <v>43.95</v>
      </c>
      <c r="F35">
        <v>-0.15</v>
      </c>
      <c r="G35" s="3">
        <v>-3.3999999999999998E-3</v>
      </c>
      <c r="H35">
        <v>2014</v>
      </c>
      <c r="I35">
        <v>4.32</v>
      </c>
      <c r="J35">
        <v>4.24</v>
      </c>
      <c r="K35">
        <v>0</v>
      </c>
      <c r="L35">
        <v>4.24</v>
      </c>
      <c r="M35" s="3">
        <v>9.64E-2</v>
      </c>
      <c r="N35" s="2">
        <v>0</v>
      </c>
      <c r="O35" s="3">
        <v>9.64E-2</v>
      </c>
      <c r="P35" s="3">
        <v>0.98199999999999998</v>
      </c>
      <c r="Q35" s="2">
        <v>0</v>
      </c>
      <c r="R35" s="3">
        <v>0.98199999999999998</v>
      </c>
      <c r="S35" t="s">
        <v>861</v>
      </c>
      <c r="U35" t="s">
        <v>835</v>
      </c>
    </row>
    <row r="36" spans="1:21" x14ac:dyDescent="0.6">
      <c r="A36">
        <v>363</v>
      </c>
      <c r="B36" t="str">
        <f>"5471"</f>
        <v>5471</v>
      </c>
      <c r="C36" t="s">
        <v>446</v>
      </c>
      <c r="D36" s="1">
        <v>42923</v>
      </c>
      <c r="E36">
        <v>33.700000000000003</v>
      </c>
      <c r="F36">
        <v>-0.2</v>
      </c>
      <c r="G36" s="3">
        <v>-5.8999999999999999E-3</v>
      </c>
      <c r="H36">
        <v>2014</v>
      </c>
      <c r="I36">
        <v>3.07</v>
      </c>
      <c r="J36">
        <v>3.2</v>
      </c>
      <c r="K36">
        <v>0</v>
      </c>
      <c r="L36">
        <v>3.2</v>
      </c>
      <c r="M36" s="3">
        <v>9.5000000000000001E-2</v>
      </c>
      <c r="N36" s="2">
        <v>0</v>
      </c>
      <c r="O36" s="3">
        <v>9.5000000000000001E-2</v>
      </c>
      <c r="P36" s="2">
        <v>1.04</v>
      </c>
      <c r="Q36" s="2">
        <v>0</v>
      </c>
      <c r="R36" s="2">
        <v>1.04</v>
      </c>
      <c r="S36" t="s">
        <v>847</v>
      </c>
    </row>
    <row r="37" spans="1:21" x14ac:dyDescent="0.6">
      <c r="A37">
        <v>9</v>
      </c>
      <c r="B37" t="str">
        <f>"2545"</f>
        <v>2545</v>
      </c>
      <c r="C37" t="s">
        <v>33</v>
      </c>
      <c r="D37" s="1">
        <v>42923</v>
      </c>
      <c r="E37">
        <v>42.4</v>
      </c>
      <c r="F37">
        <v>0.15</v>
      </c>
      <c r="G37" s="3">
        <v>3.5999999999999999E-3</v>
      </c>
      <c r="H37">
        <v>2014</v>
      </c>
      <c r="I37">
        <v>5.04</v>
      </c>
      <c r="J37">
        <v>4</v>
      </c>
      <c r="K37">
        <v>0</v>
      </c>
      <c r="L37">
        <v>4</v>
      </c>
      <c r="M37" s="3">
        <v>9.4299999999999995E-2</v>
      </c>
      <c r="N37" s="2">
        <v>0</v>
      </c>
      <c r="O37" s="3">
        <v>9.4299999999999995E-2</v>
      </c>
      <c r="P37" s="3">
        <v>0.79400000000000004</v>
      </c>
      <c r="Q37" s="2">
        <v>0</v>
      </c>
      <c r="R37" s="3">
        <v>0.79400000000000004</v>
      </c>
      <c r="S37" t="s">
        <v>804</v>
      </c>
    </row>
    <row r="38" spans="1:21" x14ac:dyDescent="0.6">
      <c r="A38">
        <v>354</v>
      </c>
      <c r="B38" t="str">
        <f>"3260"</f>
        <v>3260</v>
      </c>
      <c r="C38" t="s">
        <v>437</v>
      </c>
      <c r="D38" s="1">
        <v>42923</v>
      </c>
      <c r="E38">
        <v>74.3</v>
      </c>
      <c r="F38">
        <v>-0.5</v>
      </c>
      <c r="G38" s="3">
        <v>-6.7000000000000002E-3</v>
      </c>
      <c r="H38">
        <v>2014</v>
      </c>
      <c r="I38">
        <v>9.08</v>
      </c>
      <c r="J38">
        <v>7</v>
      </c>
      <c r="K38">
        <v>7.0000000000000007E-2</v>
      </c>
      <c r="L38">
        <v>7.08</v>
      </c>
      <c r="M38" s="3">
        <v>9.4299999999999995E-2</v>
      </c>
      <c r="N38" s="3">
        <v>1E-3</v>
      </c>
      <c r="O38" s="3">
        <v>9.5200000000000007E-2</v>
      </c>
      <c r="P38" s="3">
        <v>0.77100000000000002</v>
      </c>
      <c r="Q38" s="3">
        <v>7.7000000000000002E-3</v>
      </c>
      <c r="R38" s="2">
        <v>0.78</v>
      </c>
      <c r="S38" t="s">
        <v>813</v>
      </c>
      <c r="T38" t="s">
        <v>792</v>
      </c>
    </row>
    <row r="39" spans="1:21" x14ac:dyDescent="0.6">
      <c r="A39">
        <v>191</v>
      </c>
      <c r="B39" t="str">
        <f>"2433"</f>
        <v>2433</v>
      </c>
      <c r="C39" t="s">
        <v>268</v>
      </c>
      <c r="D39" s="1">
        <v>42923</v>
      </c>
      <c r="E39">
        <v>42.65</v>
      </c>
      <c r="F39">
        <v>0</v>
      </c>
      <c r="G39" s="2">
        <v>0</v>
      </c>
      <c r="H39">
        <v>2014</v>
      </c>
      <c r="I39">
        <v>5.55</v>
      </c>
      <c r="J39">
        <v>4</v>
      </c>
      <c r="K39">
        <v>0</v>
      </c>
      <c r="L39">
        <v>4</v>
      </c>
      <c r="M39" s="3">
        <v>9.3799999999999994E-2</v>
      </c>
      <c r="N39" s="2">
        <v>0</v>
      </c>
      <c r="O39" s="3">
        <v>9.3799999999999994E-2</v>
      </c>
      <c r="P39" s="3">
        <v>0.72099999999999997</v>
      </c>
      <c r="Q39" s="2">
        <v>0</v>
      </c>
      <c r="R39" s="3">
        <v>0.72099999999999997</v>
      </c>
      <c r="S39" t="s">
        <v>848</v>
      </c>
    </row>
    <row r="40" spans="1:21" x14ac:dyDescent="0.6">
      <c r="A40">
        <v>34</v>
      </c>
      <c r="B40" t="str">
        <f>"5534"</f>
        <v>5534</v>
      </c>
      <c r="C40" t="s">
        <v>72</v>
      </c>
      <c r="D40" s="1">
        <v>42923</v>
      </c>
      <c r="E40">
        <v>69.5</v>
      </c>
      <c r="F40">
        <v>-0.3</v>
      </c>
      <c r="G40" s="3">
        <v>-4.3E-3</v>
      </c>
      <c r="H40">
        <v>2014</v>
      </c>
      <c r="I40">
        <v>20.36</v>
      </c>
      <c r="J40">
        <v>6.5</v>
      </c>
      <c r="K40">
        <v>0.5</v>
      </c>
      <c r="L40">
        <v>7</v>
      </c>
      <c r="M40" s="3">
        <v>9.35E-2</v>
      </c>
      <c r="N40" s="3">
        <v>7.1999999999999998E-3</v>
      </c>
      <c r="O40" s="3">
        <v>0.10100000000000001</v>
      </c>
      <c r="P40" s="3">
        <v>0.31900000000000001</v>
      </c>
      <c r="Q40" s="3">
        <v>2.46E-2</v>
      </c>
      <c r="R40" s="3">
        <v>0.34399999999999997</v>
      </c>
      <c r="S40" t="s">
        <v>826</v>
      </c>
      <c r="T40" t="s">
        <v>826</v>
      </c>
      <c r="U40" t="s">
        <v>827</v>
      </c>
    </row>
    <row r="41" spans="1:21" x14ac:dyDescent="0.6">
      <c r="A41">
        <v>334</v>
      </c>
      <c r="B41" t="str">
        <f>"3537"</f>
        <v>3537</v>
      </c>
      <c r="C41" t="s">
        <v>416</v>
      </c>
      <c r="D41" s="1">
        <v>42923</v>
      </c>
      <c r="E41">
        <v>21.9</v>
      </c>
      <c r="F41">
        <v>0</v>
      </c>
      <c r="G41" s="2">
        <v>0</v>
      </c>
      <c r="H41">
        <v>2014</v>
      </c>
      <c r="I41">
        <v>2.33</v>
      </c>
      <c r="J41">
        <v>2</v>
      </c>
      <c r="K41">
        <v>0</v>
      </c>
      <c r="L41">
        <v>2</v>
      </c>
      <c r="M41" s="3">
        <v>9.1300000000000006E-2</v>
      </c>
      <c r="N41" s="2">
        <v>0</v>
      </c>
      <c r="O41" s="3">
        <v>9.1300000000000006E-2</v>
      </c>
      <c r="P41" s="3">
        <v>0.85799999999999998</v>
      </c>
      <c r="Q41" s="2">
        <v>0</v>
      </c>
      <c r="R41" s="3">
        <v>0.85799999999999998</v>
      </c>
      <c r="S41" t="s">
        <v>832</v>
      </c>
      <c r="U41" t="s">
        <v>797</v>
      </c>
    </row>
    <row r="42" spans="1:21" x14ac:dyDescent="0.6">
      <c r="A42">
        <v>22</v>
      </c>
      <c r="B42" t="str">
        <f>"6292"</f>
        <v>6292</v>
      </c>
      <c r="C42" t="s">
        <v>54</v>
      </c>
      <c r="D42" s="1">
        <v>42923</v>
      </c>
      <c r="E42">
        <v>35.200000000000003</v>
      </c>
      <c r="F42">
        <v>-0.1</v>
      </c>
      <c r="G42" s="3">
        <v>-2.8E-3</v>
      </c>
      <c r="H42">
        <v>2014</v>
      </c>
      <c r="I42">
        <v>2.72</v>
      </c>
      <c r="J42">
        <v>3.2</v>
      </c>
      <c r="K42">
        <v>0</v>
      </c>
      <c r="L42">
        <v>3.2</v>
      </c>
      <c r="M42" s="3">
        <v>9.0899999999999995E-2</v>
      </c>
      <c r="N42" s="2">
        <v>0</v>
      </c>
      <c r="O42" s="3">
        <v>9.0899999999999995E-2</v>
      </c>
      <c r="P42" s="2">
        <v>1.18</v>
      </c>
      <c r="Q42" s="2">
        <v>0</v>
      </c>
      <c r="R42" s="2">
        <v>1.18</v>
      </c>
      <c r="S42" t="s">
        <v>817</v>
      </c>
      <c r="U42" t="s">
        <v>807</v>
      </c>
    </row>
    <row r="43" spans="1:21" x14ac:dyDescent="0.6">
      <c r="A43">
        <v>479</v>
      </c>
      <c r="B43" t="str">
        <f>"6155"</f>
        <v>6155</v>
      </c>
      <c r="C43" t="s">
        <v>572</v>
      </c>
      <c r="D43" s="1">
        <v>42923</v>
      </c>
      <c r="E43">
        <v>17.75</v>
      </c>
      <c r="F43">
        <v>-0.25</v>
      </c>
      <c r="G43" s="3">
        <v>-1.3899999999999999E-2</v>
      </c>
      <c r="H43">
        <v>2014</v>
      </c>
      <c r="I43">
        <v>1.45</v>
      </c>
      <c r="J43">
        <v>1.6</v>
      </c>
      <c r="K43">
        <v>0.1</v>
      </c>
      <c r="L43">
        <v>1.7</v>
      </c>
      <c r="M43" s="3">
        <v>9.01E-2</v>
      </c>
      <c r="N43" s="3">
        <v>5.5999999999999999E-3</v>
      </c>
      <c r="O43" s="3">
        <v>9.5799999999999996E-2</v>
      </c>
      <c r="P43" s="2">
        <v>1.1000000000000001</v>
      </c>
      <c r="Q43" s="3">
        <v>6.9000000000000006E-2</v>
      </c>
      <c r="R43" s="2">
        <v>1.17</v>
      </c>
      <c r="S43" t="s">
        <v>840</v>
      </c>
      <c r="T43" t="s">
        <v>867</v>
      </c>
    </row>
    <row r="44" spans="1:21" x14ac:dyDescent="0.6">
      <c r="A44">
        <v>3</v>
      </c>
      <c r="B44" t="str">
        <f>"2596"</f>
        <v>2596</v>
      </c>
      <c r="C44" t="s">
        <v>25</v>
      </c>
      <c r="D44" s="1">
        <v>42923</v>
      </c>
      <c r="E44">
        <v>17.850000000000001</v>
      </c>
      <c r="F44">
        <v>-0.4</v>
      </c>
      <c r="G44" s="3">
        <v>-2.1899999999999999E-2</v>
      </c>
      <c r="H44">
        <v>2014</v>
      </c>
      <c r="I44">
        <v>3.05</v>
      </c>
      <c r="J44">
        <v>1.6</v>
      </c>
      <c r="K44">
        <v>0</v>
      </c>
      <c r="L44">
        <v>1.6</v>
      </c>
      <c r="M44" s="3">
        <v>8.9599999999999999E-2</v>
      </c>
      <c r="N44" s="2">
        <v>0</v>
      </c>
      <c r="O44" s="3">
        <v>8.9599999999999999E-2</v>
      </c>
      <c r="P44" s="3">
        <v>0.52500000000000002</v>
      </c>
      <c r="Q44" s="2">
        <v>0</v>
      </c>
      <c r="R44" s="3">
        <v>0.52500000000000002</v>
      </c>
      <c r="S44" t="s">
        <v>794</v>
      </c>
      <c r="U44" t="s">
        <v>795</v>
      </c>
    </row>
    <row r="45" spans="1:21" x14ac:dyDescent="0.6">
      <c r="A45">
        <v>53</v>
      </c>
      <c r="B45" t="str">
        <f>"3030"</f>
        <v>3030</v>
      </c>
      <c r="C45" t="s">
        <v>102</v>
      </c>
      <c r="D45" s="1">
        <v>42923</v>
      </c>
      <c r="E45">
        <v>36.9</v>
      </c>
      <c r="F45">
        <v>-0.25</v>
      </c>
      <c r="G45" s="3">
        <v>-6.7000000000000002E-3</v>
      </c>
      <c r="H45">
        <v>2014</v>
      </c>
      <c r="I45">
        <v>3.41</v>
      </c>
      <c r="J45">
        <v>3.3</v>
      </c>
      <c r="K45">
        <v>0</v>
      </c>
      <c r="L45">
        <v>3.3</v>
      </c>
      <c r="M45" s="3">
        <v>8.9399999999999993E-2</v>
      </c>
      <c r="N45" s="2">
        <v>0</v>
      </c>
      <c r="O45" s="3">
        <v>8.9399999999999993E-2</v>
      </c>
      <c r="P45" s="3">
        <v>0.96799999999999997</v>
      </c>
      <c r="Q45" s="2">
        <v>0</v>
      </c>
      <c r="R45" s="3">
        <v>0.96799999999999997</v>
      </c>
      <c r="S45" t="s">
        <v>843</v>
      </c>
    </row>
    <row r="46" spans="1:21" x14ac:dyDescent="0.6">
      <c r="A46">
        <v>362</v>
      </c>
      <c r="B46" t="str">
        <f>"6195"</f>
        <v>6195</v>
      </c>
      <c r="C46" t="s">
        <v>445</v>
      </c>
      <c r="D46" s="1">
        <v>42923</v>
      </c>
      <c r="E46">
        <v>56</v>
      </c>
      <c r="F46">
        <v>-0.2</v>
      </c>
      <c r="G46" s="3">
        <v>-3.5999999999999999E-3</v>
      </c>
      <c r="H46">
        <v>2014</v>
      </c>
      <c r="I46">
        <v>6.62</v>
      </c>
      <c r="J46">
        <v>5</v>
      </c>
      <c r="K46">
        <v>0.5</v>
      </c>
      <c r="L46">
        <v>5.5</v>
      </c>
      <c r="M46" s="3">
        <v>8.9300000000000004E-2</v>
      </c>
      <c r="N46" s="3">
        <v>8.8999999999999999E-3</v>
      </c>
      <c r="O46" s="3">
        <v>9.8199999999999996E-2</v>
      </c>
      <c r="P46" s="3">
        <v>0.755</v>
      </c>
      <c r="Q46" s="3">
        <v>7.5499999999999998E-2</v>
      </c>
      <c r="R46" s="3">
        <v>0.83099999999999996</v>
      </c>
      <c r="S46" t="s">
        <v>881</v>
      </c>
      <c r="T46" t="s">
        <v>881</v>
      </c>
      <c r="U46" t="s">
        <v>846</v>
      </c>
    </row>
    <row r="47" spans="1:21" x14ac:dyDescent="0.6">
      <c r="A47">
        <v>114</v>
      </c>
      <c r="B47" t="str">
        <f>"8032"</f>
        <v>8032</v>
      </c>
      <c r="C47" t="s">
        <v>178</v>
      </c>
      <c r="D47" s="1">
        <v>42923</v>
      </c>
      <c r="E47">
        <v>24.95</v>
      </c>
      <c r="F47">
        <v>-0.25</v>
      </c>
      <c r="G47" s="3">
        <v>-9.9000000000000008E-3</v>
      </c>
      <c r="H47">
        <v>2014</v>
      </c>
      <c r="I47">
        <v>4.09</v>
      </c>
      <c r="J47">
        <v>2.2000000000000002</v>
      </c>
      <c r="K47">
        <v>0</v>
      </c>
      <c r="L47">
        <v>2.2000000000000002</v>
      </c>
      <c r="M47" s="3">
        <v>8.8200000000000001E-2</v>
      </c>
      <c r="N47" s="2">
        <v>0</v>
      </c>
      <c r="O47" s="3">
        <v>8.8200000000000001E-2</v>
      </c>
      <c r="P47" s="3">
        <v>0.53800000000000003</v>
      </c>
      <c r="Q47" s="2">
        <v>0</v>
      </c>
      <c r="R47" s="3">
        <v>0.53800000000000003</v>
      </c>
      <c r="S47" t="s">
        <v>791</v>
      </c>
      <c r="U47" t="s">
        <v>799</v>
      </c>
    </row>
    <row r="48" spans="1:21" x14ac:dyDescent="0.6">
      <c r="A48">
        <v>276</v>
      </c>
      <c r="B48" t="str">
        <f>"6154"</f>
        <v>6154</v>
      </c>
      <c r="C48" t="s">
        <v>356</v>
      </c>
      <c r="D48" s="1">
        <v>42923</v>
      </c>
      <c r="E48">
        <v>17.25</v>
      </c>
      <c r="F48">
        <v>0</v>
      </c>
      <c r="G48" s="2">
        <v>0</v>
      </c>
      <c r="H48">
        <v>2014</v>
      </c>
      <c r="I48">
        <v>1.74</v>
      </c>
      <c r="J48">
        <v>1.5</v>
      </c>
      <c r="K48">
        <v>0</v>
      </c>
      <c r="L48">
        <v>1.5</v>
      </c>
      <c r="M48" s="3">
        <v>8.6999999999999994E-2</v>
      </c>
      <c r="N48" s="2">
        <v>0</v>
      </c>
      <c r="O48" s="3">
        <v>8.6999999999999994E-2</v>
      </c>
      <c r="P48" s="3">
        <v>0.86199999999999999</v>
      </c>
      <c r="Q48" s="2">
        <v>0</v>
      </c>
      <c r="R48" s="3">
        <v>0.86199999999999999</v>
      </c>
      <c r="S48" t="s">
        <v>831</v>
      </c>
      <c r="U48" t="s">
        <v>863</v>
      </c>
    </row>
    <row r="49" spans="1:21" x14ac:dyDescent="0.6">
      <c r="A49">
        <v>15</v>
      </c>
      <c r="B49" t="str">
        <f>"8426"</f>
        <v>8426</v>
      </c>
      <c r="C49" t="s">
        <v>44</v>
      </c>
      <c r="D49" s="1">
        <v>42923</v>
      </c>
      <c r="E49">
        <v>40.6</v>
      </c>
      <c r="F49">
        <v>-0.35</v>
      </c>
      <c r="G49" s="3">
        <v>-8.5000000000000006E-3</v>
      </c>
      <c r="H49">
        <v>2014</v>
      </c>
      <c r="I49">
        <v>5.48</v>
      </c>
      <c r="J49">
        <v>3.5</v>
      </c>
      <c r="K49">
        <v>0.5</v>
      </c>
      <c r="L49">
        <v>4</v>
      </c>
      <c r="M49" s="3">
        <v>8.6199999999999999E-2</v>
      </c>
      <c r="N49" s="3">
        <v>1.23E-2</v>
      </c>
      <c r="O49" s="3">
        <v>9.8500000000000004E-2</v>
      </c>
      <c r="P49" s="3">
        <v>0.63900000000000001</v>
      </c>
      <c r="Q49" s="3">
        <v>9.1200000000000003E-2</v>
      </c>
      <c r="R49" s="2">
        <v>0.73</v>
      </c>
      <c r="S49" t="s">
        <v>812</v>
      </c>
      <c r="T49" t="s">
        <v>812</v>
      </c>
    </row>
    <row r="50" spans="1:21" x14ac:dyDescent="0.6">
      <c r="A50">
        <v>446</v>
      </c>
      <c r="B50" t="str">
        <f>"6210"</f>
        <v>6210</v>
      </c>
      <c r="C50" t="s">
        <v>536</v>
      </c>
      <c r="D50" s="1">
        <v>42923</v>
      </c>
      <c r="E50">
        <v>40.700000000000003</v>
      </c>
      <c r="F50">
        <v>-0.25</v>
      </c>
      <c r="G50" s="3">
        <v>-6.1000000000000004E-3</v>
      </c>
      <c r="H50">
        <v>2014</v>
      </c>
      <c r="I50">
        <v>4.28</v>
      </c>
      <c r="J50">
        <v>3.5</v>
      </c>
      <c r="K50">
        <v>0</v>
      </c>
      <c r="L50">
        <v>3.5</v>
      </c>
      <c r="M50" s="3">
        <v>8.5999999999999993E-2</v>
      </c>
      <c r="N50" s="2">
        <v>0</v>
      </c>
      <c r="O50" s="3">
        <v>8.5999999999999993E-2</v>
      </c>
      <c r="P50" s="3">
        <v>0.81799999999999995</v>
      </c>
      <c r="Q50" s="2">
        <v>0</v>
      </c>
      <c r="R50" s="3">
        <v>0.81799999999999995</v>
      </c>
      <c r="S50" t="s">
        <v>832</v>
      </c>
      <c r="U50" t="s">
        <v>835</v>
      </c>
    </row>
    <row r="51" spans="1:21" x14ac:dyDescent="0.6">
      <c r="A51">
        <v>104</v>
      </c>
      <c r="B51" t="str">
        <f>"2483"</f>
        <v>2483</v>
      </c>
      <c r="C51" t="s">
        <v>167</v>
      </c>
      <c r="D51" s="1">
        <v>42923</v>
      </c>
      <c r="E51">
        <v>17.7</v>
      </c>
      <c r="F51">
        <v>0.1</v>
      </c>
      <c r="G51" s="3">
        <v>5.7000000000000002E-3</v>
      </c>
      <c r="H51">
        <v>2014</v>
      </c>
      <c r="I51">
        <v>1.1000000000000001</v>
      </c>
      <c r="J51">
        <v>1.5</v>
      </c>
      <c r="K51">
        <v>0</v>
      </c>
      <c r="L51">
        <v>1.5</v>
      </c>
      <c r="M51" s="3">
        <v>8.4699999999999998E-2</v>
      </c>
      <c r="N51" s="2">
        <v>0</v>
      </c>
      <c r="O51" s="3">
        <v>8.4699999999999998E-2</v>
      </c>
      <c r="P51" s="2">
        <v>1.36</v>
      </c>
      <c r="Q51" s="2">
        <v>0</v>
      </c>
      <c r="R51" s="2">
        <v>1.36</v>
      </c>
      <c r="S51" t="s">
        <v>855</v>
      </c>
    </row>
    <row r="52" spans="1:21" x14ac:dyDescent="0.6">
      <c r="A52">
        <v>36</v>
      </c>
      <c r="B52" t="str">
        <f>"2064"</f>
        <v>2064</v>
      </c>
      <c r="C52" t="s">
        <v>76</v>
      </c>
      <c r="D52" s="1">
        <v>42923</v>
      </c>
      <c r="E52">
        <v>17.75</v>
      </c>
      <c r="F52">
        <v>0</v>
      </c>
      <c r="G52" s="2">
        <v>0</v>
      </c>
      <c r="H52">
        <v>2014</v>
      </c>
      <c r="I52">
        <v>2.2200000000000002</v>
      </c>
      <c r="J52">
        <v>1.5</v>
      </c>
      <c r="K52">
        <v>0</v>
      </c>
      <c r="L52">
        <v>1.5</v>
      </c>
      <c r="M52" s="3">
        <v>8.4500000000000006E-2</v>
      </c>
      <c r="N52" s="2">
        <v>0</v>
      </c>
      <c r="O52" s="3">
        <v>8.4500000000000006E-2</v>
      </c>
      <c r="P52" s="3">
        <v>0.67600000000000005</v>
      </c>
      <c r="Q52" s="2">
        <v>0</v>
      </c>
      <c r="R52" s="3">
        <v>0.67600000000000005</v>
      </c>
      <c r="S52" t="s">
        <v>829</v>
      </c>
    </row>
    <row r="53" spans="1:21" x14ac:dyDescent="0.6">
      <c r="A53">
        <v>175</v>
      </c>
      <c r="B53" t="str">
        <f>"1540"</f>
        <v>1540</v>
      </c>
      <c r="C53" t="s">
        <v>249</v>
      </c>
      <c r="D53" s="1">
        <v>42923</v>
      </c>
      <c r="E53">
        <v>15.4</v>
      </c>
      <c r="F53">
        <v>0.1</v>
      </c>
      <c r="G53" s="3">
        <v>6.4999999999999997E-3</v>
      </c>
      <c r="H53">
        <v>2014</v>
      </c>
      <c r="I53">
        <v>1.48</v>
      </c>
      <c r="J53">
        <v>1.3</v>
      </c>
      <c r="K53">
        <v>0</v>
      </c>
      <c r="L53">
        <v>1.3</v>
      </c>
      <c r="M53" s="3">
        <v>8.4400000000000003E-2</v>
      </c>
      <c r="N53" s="2">
        <v>0</v>
      </c>
      <c r="O53" s="3">
        <v>8.4400000000000003E-2</v>
      </c>
      <c r="P53" s="3">
        <v>0.878</v>
      </c>
      <c r="Q53" s="2">
        <v>0</v>
      </c>
      <c r="R53" s="3">
        <v>0.878</v>
      </c>
      <c r="S53" t="s">
        <v>791</v>
      </c>
      <c r="U53" t="s">
        <v>868</v>
      </c>
    </row>
    <row r="54" spans="1:21" x14ac:dyDescent="0.6">
      <c r="A54">
        <v>7</v>
      </c>
      <c r="B54" t="str">
        <f>"1416"</f>
        <v>1416</v>
      </c>
      <c r="C54" t="s">
        <v>30</v>
      </c>
      <c r="D54" s="1">
        <v>42923</v>
      </c>
      <c r="E54">
        <v>27.5</v>
      </c>
      <c r="F54">
        <v>0</v>
      </c>
      <c r="G54" s="2">
        <v>0</v>
      </c>
      <c r="H54">
        <v>2014</v>
      </c>
      <c r="I54">
        <v>0.19</v>
      </c>
      <c r="J54">
        <v>2.31</v>
      </c>
      <c r="K54">
        <v>0</v>
      </c>
      <c r="L54">
        <v>2.31</v>
      </c>
      <c r="M54" s="3">
        <v>8.4000000000000005E-2</v>
      </c>
      <c r="N54" s="2">
        <v>0</v>
      </c>
      <c r="O54" s="3">
        <v>8.4000000000000005E-2</v>
      </c>
      <c r="P54" s="2">
        <v>12.16</v>
      </c>
      <c r="Q54" s="2">
        <v>0</v>
      </c>
      <c r="R54" s="2">
        <v>12.16</v>
      </c>
      <c r="S54" t="s">
        <v>800</v>
      </c>
      <c r="U54" t="s">
        <v>801</v>
      </c>
    </row>
    <row r="55" spans="1:21" x14ac:dyDescent="0.6">
      <c r="A55">
        <v>96</v>
      </c>
      <c r="B55" t="str">
        <f>"8081"</f>
        <v>8081</v>
      </c>
      <c r="C55" t="s">
        <v>159</v>
      </c>
      <c r="D55" s="1">
        <v>42923</v>
      </c>
      <c r="E55">
        <v>67.3</v>
      </c>
      <c r="F55">
        <v>-0.4</v>
      </c>
      <c r="G55" s="3">
        <v>-5.8999999999999999E-3</v>
      </c>
      <c r="H55">
        <v>2014</v>
      </c>
      <c r="I55">
        <v>6.33</v>
      </c>
      <c r="J55">
        <v>5.65</v>
      </c>
      <c r="K55">
        <v>0</v>
      </c>
      <c r="L55">
        <v>5.65</v>
      </c>
      <c r="M55" s="3">
        <v>8.4000000000000005E-2</v>
      </c>
      <c r="N55" s="2">
        <v>0</v>
      </c>
      <c r="O55" s="3">
        <v>8.4000000000000005E-2</v>
      </c>
      <c r="P55" s="3">
        <v>0.89300000000000002</v>
      </c>
      <c r="Q55" s="2">
        <v>0</v>
      </c>
      <c r="R55" s="3">
        <v>0.89300000000000002</v>
      </c>
      <c r="S55" t="s">
        <v>812</v>
      </c>
    </row>
    <row r="56" spans="1:21" x14ac:dyDescent="0.6">
      <c r="A56">
        <v>202</v>
      </c>
      <c r="B56" t="str">
        <f>"1451"</f>
        <v>1451</v>
      </c>
      <c r="C56" t="s">
        <v>280</v>
      </c>
      <c r="D56" s="1">
        <v>42923</v>
      </c>
      <c r="E56">
        <v>23.95</v>
      </c>
      <c r="F56">
        <v>-0.1</v>
      </c>
      <c r="G56" s="3">
        <v>-4.1999999999999997E-3</v>
      </c>
      <c r="H56">
        <v>2014</v>
      </c>
      <c r="I56">
        <v>1.89</v>
      </c>
      <c r="J56">
        <v>2</v>
      </c>
      <c r="K56">
        <v>0</v>
      </c>
      <c r="L56">
        <v>2</v>
      </c>
      <c r="M56" s="3">
        <v>8.3500000000000005E-2</v>
      </c>
      <c r="N56" s="2">
        <v>0</v>
      </c>
      <c r="O56" s="3">
        <v>8.3500000000000005E-2</v>
      </c>
      <c r="P56" s="2">
        <v>1.06</v>
      </c>
      <c r="Q56" s="2">
        <v>0</v>
      </c>
      <c r="R56" s="2">
        <v>1.06</v>
      </c>
      <c r="S56" t="s">
        <v>828</v>
      </c>
    </row>
    <row r="57" spans="1:21" x14ac:dyDescent="0.6">
      <c r="A57">
        <v>228</v>
      </c>
      <c r="B57" t="str">
        <f>"3093"</f>
        <v>3093</v>
      </c>
      <c r="C57" t="s">
        <v>307</v>
      </c>
      <c r="D57" s="1">
        <v>42923</v>
      </c>
      <c r="E57">
        <v>30</v>
      </c>
      <c r="F57">
        <v>-0.25</v>
      </c>
      <c r="G57" s="3">
        <v>-8.3000000000000001E-3</v>
      </c>
      <c r="H57">
        <v>2014</v>
      </c>
      <c r="I57">
        <v>2.72</v>
      </c>
      <c r="J57">
        <v>2.4500000000000002</v>
      </c>
      <c r="K57">
        <v>0</v>
      </c>
      <c r="L57">
        <v>2.4500000000000002</v>
      </c>
      <c r="M57" s="3">
        <v>8.1699999999999995E-2</v>
      </c>
      <c r="N57" s="2">
        <v>0</v>
      </c>
      <c r="O57" s="3">
        <v>8.1699999999999995E-2</v>
      </c>
      <c r="P57" s="3">
        <v>0.90100000000000002</v>
      </c>
      <c r="Q57" s="2">
        <v>0</v>
      </c>
      <c r="R57" s="3">
        <v>0.90100000000000002</v>
      </c>
      <c r="S57" t="s">
        <v>815</v>
      </c>
    </row>
    <row r="58" spans="1:21" x14ac:dyDescent="0.6">
      <c r="A58">
        <v>345</v>
      </c>
      <c r="B58" t="str">
        <f>"5706"</f>
        <v>5706</v>
      </c>
      <c r="C58" t="s">
        <v>427</v>
      </c>
      <c r="D58" s="1">
        <v>42923</v>
      </c>
      <c r="E58">
        <v>36.950000000000003</v>
      </c>
      <c r="F58">
        <v>0.35</v>
      </c>
      <c r="G58" s="3">
        <v>9.5999999999999992E-3</v>
      </c>
      <c r="H58">
        <v>2014</v>
      </c>
      <c r="I58">
        <v>3.03</v>
      </c>
      <c r="J58">
        <v>3</v>
      </c>
      <c r="K58">
        <v>0</v>
      </c>
      <c r="L58">
        <v>3</v>
      </c>
      <c r="M58" s="3">
        <v>8.1199999999999994E-2</v>
      </c>
      <c r="N58" s="2">
        <v>0</v>
      </c>
      <c r="O58" s="3">
        <v>8.1199999999999994E-2</v>
      </c>
      <c r="P58" s="2">
        <v>0.99</v>
      </c>
      <c r="Q58" s="2">
        <v>0</v>
      </c>
      <c r="R58" s="2">
        <v>0.99</v>
      </c>
      <c r="S58" t="s">
        <v>861</v>
      </c>
      <c r="U58" t="s">
        <v>792</v>
      </c>
    </row>
    <row r="59" spans="1:21" x14ac:dyDescent="0.6">
      <c r="A59">
        <v>150</v>
      </c>
      <c r="B59" t="str">
        <f>"5493"</f>
        <v>5493</v>
      </c>
      <c r="C59" t="s">
        <v>218</v>
      </c>
      <c r="D59" s="1">
        <v>42923</v>
      </c>
      <c r="E59">
        <v>29.7</v>
      </c>
      <c r="F59">
        <v>0.05</v>
      </c>
      <c r="G59" s="3">
        <v>1.6999999999999999E-3</v>
      </c>
      <c r="H59">
        <v>2014</v>
      </c>
      <c r="I59">
        <v>2.91</v>
      </c>
      <c r="J59">
        <v>2.4</v>
      </c>
      <c r="K59">
        <v>0</v>
      </c>
      <c r="L59">
        <v>2.4</v>
      </c>
      <c r="M59" s="3">
        <v>8.0799999999999997E-2</v>
      </c>
      <c r="N59" s="2">
        <v>0</v>
      </c>
      <c r="O59" s="3">
        <v>8.0799999999999997E-2</v>
      </c>
      <c r="P59" s="3">
        <v>0.82499999999999996</v>
      </c>
      <c r="Q59" s="2">
        <v>0</v>
      </c>
      <c r="R59" s="3">
        <v>0.82499999999999996</v>
      </c>
      <c r="S59" t="s">
        <v>865</v>
      </c>
    </row>
    <row r="60" spans="1:21" x14ac:dyDescent="0.6">
      <c r="A60">
        <v>151</v>
      </c>
      <c r="B60" t="str">
        <f>"6174"</f>
        <v>6174</v>
      </c>
      <c r="C60" t="s">
        <v>219</v>
      </c>
      <c r="D60" s="1">
        <v>42923</v>
      </c>
      <c r="E60">
        <v>14.85</v>
      </c>
      <c r="F60">
        <v>-0.05</v>
      </c>
      <c r="G60" s="3">
        <v>-3.3999999999999998E-3</v>
      </c>
      <c r="H60">
        <v>2014</v>
      </c>
      <c r="I60">
        <v>1.88</v>
      </c>
      <c r="J60">
        <v>1.2</v>
      </c>
      <c r="K60">
        <v>0</v>
      </c>
      <c r="L60">
        <v>1.2</v>
      </c>
      <c r="M60" s="3">
        <v>8.0799999999999997E-2</v>
      </c>
      <c r="N60" s="2">
        <v>0</v>
      </c>
      <c r="O60" s="3">
        <v>8.0799999999999997E-2</v>
      </c>
      <c r="P60" s="3">
        <v>0.63800000000000001</v>
      </c>
      <c r="Q60" s="2">
        <v>0</v>
      </c>
      <c r="R60" s="3">
        <v>0.63800000000000001</v>
      </c>
      <c r="S60" t="s">
        <v>792</v>
      </c>
      <c r="U60" t="s">
        <v>866</v>
      </c>
    </row>
    <row r="61" spans="1:21" x14ac:dyDescent="0.6">
      <c r="A61">
        <v>187</v>
      </c>
      <c r="B61" t="str">
        <f>"2509"</f>
        <v>2509</v>
      </c>
      <c r="C61" t="s">
        <v>263</v>
      </c>
      <c r="D61" s="1">
        <v>42923</v>
      </c>
      <c r="E61">
        <v>18.850000000000001</v>
      </c>
      <c r="F61">
        <v>0.1</v>
      </c>
      <c r="G61" s="3">
        <v>5.3E-3</v>
      </c>
      <c r="H61">
        <v>2014</v>
      </c>
      <c r="I61">
        <v>2.61</v>
      </c>
      <c r="J61">
        <v>1.5</v>
      </c>
      <c r="K61">
        <v>0</v>
      </c>
      <c r="L61">
        <v>1.5</v>
      </c>
      <c r="M61" s="3">
        <v>7.9600000000000004E-2</v>
      </c>
      <c r="N61" s="2">
        <v>0</v>
      </c>
      <c r="O61" s="3">
        <v>7.9600000000000004E-2</v>
      </c>
      <c r="P61" s="3">
        <v>0.57499999999999996</v>
      </c>
      <c r="Q61" s="2">
        <v>0</v>
      </c>
      <c r="R61" s="3">
        <v>0.57499999999999996</v>
      </c>
      <c r="S61" t="s">
        <v>865</v>
      </c>
      <c r="U61" t="s">
        <v>792</v>
      </c>
    </row>
    <row r="62" spans="1:21" x14ac:dyDescent="0.6">
      <c r="A62">
        <v>140</v>
      </c>
      <c r="B62" t="str">
        <f>"2376"</f>
        <v>2376</v>
      </c>
      <c r="C62" t="s">
        <v>207</v>
      </c>
      <c r="D62" s="1">
        <v>42923</v>
      </c>
      <c r="E62">
        <v>37.9</v>
      </c>
      <c r="F62">
        <v>-0.4</v>
      </c>
      <c r="G62" s="3">
        <v>-1.04E-2</v>
      </c>
      <c r="H62">
        <v>2014</v>
      </c>
      <c r="I62">
        <v>3.76</v>
      </c>
      <c r="J62">
        <v>3</v>
      </c>
      <c r="K62">
        <v>0</v>
      </c>
      <c r="L62">
        <v>3</v>
      </c>
      <c r="M62" s="3">
        <v>7.9200000000000007E-2</v>
      </c>
      <c r="N62" s="2">
        <v>0</v>
      </c>
      <c r="O62" s="3">
        <v>7.9200000000000007E-2</v>
      </c>
      <c r="P62" s="3">
        <v>0.79800000000000004</v>
      </c>
      <c r="Q62" s="2">
        <v>0</v>
      </c>
      <c r="R62" s="3">
        <v>0.79800000000000004</v>
      </c>
      <c r="S62" t="s">
        <v>840</v>
      </c>
    </row>
    <row r="63" spans="1:21" x14ac:dyDescent="0.6">
      <c r="A63">
        <v>31</v>
      </c>
      <c r="B63" t="str">
        <f>"5356"</f>
        <v>5356</v>
      </c>
      <c r="C63" t="s">
        <v>66</v>
      </c>
      <c r="D63" s="1">
        <v>42923</v>
      </c>
      <c r="E63">
        <v>45.5</v>
      </c>
      <c r="F63">
        <v>-0.5</v>
      </c>
      <c r="G63" s="3">
        <v>-1.09E-2</v>
      </c>
      <c r="H63">
        <v>2014</v>
      </c>
      <c r="I63">
        <v>6.08</v>
      </c>
      <c r="J63">
        <v>3.6</v>
      </c>
      <c r="K63">
        <v>0</v>
      </c>
      <c r="L63">
        <v>3.6</v>
      </c>
      <c r="M63" s="3">
        <v>7.9100000000000004E-2</v>
      </c>
      <c r="N63" s="2">
        <v>0</v>
      </c>
      <c r="O63" s="3">
        <v>7.9100000000000004E-2</v>
      </c>
      <c r="P63" s="3">
        <v>0.59199999999999997</v>
      </c>
      <c r="Q63" s="2">
        <v>0</v>
      </c>
      <c r="R63" s="3">
        <v>0.59199999999999997</v>
      </c>
      <c r="S63" t="s">
        <v>822</v>
      </c>
    </row>
    <row r="64" spans="1:21" x14ac:dyDescent="0.6">
      <c r="A64">
        <v>496</v>
      </c>
      <c r="B64" t="str">
        <f>"2852"</f>
        <v>2852</v>
      </c>
      <c r="C64" t="s">
        <v>590</v>
      </c>
      <c r="D64" s="1">
        <v>42923</v>
      </c>
      <c r="E64">
        <v>13.9</v>
      </c>
      <c r="F64">
        <v>0</v>
      </c>
      <c r="G64" s="2">
        <v>0</v>
      </c>
      <c r="H64">
        <v>2014</v>
      </c>
      <c r="I64">
        <v>2.34</v>
      </c>
      <c r="J64">
        <v>1.1000000000000001</v>
      </c>
      <c r="K64">
        <v>0</v>
      </c>
      <c r="L64">
        <v>1.1000000000000001</v>
      </c>
      <c r="M64" s="3">
        <v>7.9100000000000004E-2</v>
      </c>
      <c r="N64" s="2">
        <v>0</v>
      </c>
      <c r="O64" s="3">
        <v>7.9100000000000004E-2</v>
      </c>
      <c r="P64" s="2">
        <v>0.47</v>
      </c>
      <c r="Q64" s="2">
        <v>0</v>
      </c>
      <c r="R64" s="2">
        <v>0.47</v>
      </c>
      <c r="S64" t="s">
        <v>796</v>
      </c>
      <c r="U64" t="s">
        <v>817</v>
      </c>
    </row>
    <row r="65" spans="1:21" x14ac:dyDescent="0.6">
      <c r="A65">
        <v>160</v>
      </c>
      <c r="B65" t="str">
        <f>"6261"</f>
        <v>6261</v>
      </c>
      <c r="C65" t="s">
        <v>230</v>
      </c>
      <c r="D65" s="1">
        <v>42923</v>
      </c>
      <c r="E65">
        <v>46.6</v>
      </c>
      <c r="F65">
        <v>0.3</v>
      </c>
      <c r="G65" s="3">
        <v>6.4999999999999997E-3</v>
      </c>
      <c r="H65">
        <v>2014</v>
      </c>
      <c r="I65">
        <v>4.25</v>
      </c>
      <c r="J65">
        <v>3.67</v>
      </c>
      <c r="K65">
        <v>0.1</v>
      </c>
      <c r="L65">
        <v>3.77</v>
      </c>
      <c r="M65" s="3">
        <v>7.8700000000000006E-2</v>
      </c>
      <c r="N65" s="3">
        <v>2.0999999999999999E-3</v>
      </c>
      <c r="O65" s="3">
        <v>8.09E-2</v>
      </c>
      <c r="P65" s="3">
        <v>0.86399999999999999</v>
      </c>
      <c r="Q65" s="3">
        <v>2.35E-2</v>
      </c>
      <c r="R65" s="3">
        <v>0.88700000000000001</v>
      </c>
      <c r="S65" t="s">
        <v>794</v>
      </c>
      <c r="T65" t="s">
        <v>794</v>
      </c>
      <c r="U65" t="s">
        <v>833</v>
      </c>
    </row>
    <row r="66" spans="1:21" x14ac:dyDescent="0.6">
      <c r="A66">
        <v>72</v>
      </c>
      <c r="B66" t="str">
        <f>"9943"</f>
        <v>9943</v>
      </c>
      <c r="C66" t="s">
        <v>131</v>
      </c>
      <c r="D66" s="1">
        <v>42923</v>
      </c>
      <c r="E66">
        <v>50.9</v>
      </c>
      <c r="F66">
        <v>0</v>
      </c>
      <c r="G66" s="2">
        <v>0</v>
      </c>
      <c r="H66">
        <v>2014</v>
      </c>
      <c r="I66">
        <v>2.69</v>
      </c>
      <c r="J66">
        <v>4</v>
      </c>
      <c r="K66">
        <v>0</v>
      </c>
      <c r="L66">
        <v>4</v>
      </c>
      <c r="M66" s="3">
        <v>7.8600000000000003E-2</v>
      </c>
      <c r="N66" s="2">
        <v>0</v>
      </c>
      <c r="O66" s="3">
        <v>7.8600000000000003E-2</v>
      </c>
      <c r="P66" s="2">
        <v>1.49</v>
      </c>
      <c r="Q66" s="2">
        <v>0</v>
      </c>
      <c r="R66" s="2">
        <v>1.49</v>
      </c>
      <c r="S66" t="s">
        <v>848</v>
      </c>
    </row>
    <row r="67" spans="1:21" x14ac:dyDescent="0.6">
      <c r="A67">
        <v>158</v>
      </c>
      <c r="B67" t="str">
        <f>"6164"</f>
        <v>6164</v>
      </c>
      <c r="C67" t="s">
        <v>228</v>
      </c>
      <c r="D67" s="1">
        <v>42923</v>
      </c>
      <c r="E67">
        <v>12.75</v>
      </c>
      <c r="F67">
        <v>-0.05</v>
      </c>
      <c r="G67" s="3">
        <v>-3.8999999999999998E-3</v>
      </c>
      <c r="H67">
        <v>2014</v>
      </c>
      <c r="I67">
        <v>1.33</v>
      </c>
      <c r="J67">
        <v>1</v>
      </c>
      <c r="K67">
        <v>0</v>
      </c>
      <c r="L67">
        <v>1</v>
      </c>
      <c r="M67" s="3">
        <v>7.8399999999999997E-2</v>
      </c>
      <c r="N67" s="2">
        <v>0</v>
      </c>
      <c r="O67" s="3">
        <v>7.8399999999999997E-2</v>
      </c>
      <c r="P67" s="3">
        <v>0.752</v>
      </c>
      <c r="Q67" s="2">
        <v>0</v>
      </c>
      <c r="R67" s="3">
        <v>0.752</v>
      </c>
      <c r="S67" t="s">
        <v>834</v>
      </c>
    </row>
    <row r="68" spans="1:21" x14ac:dyDescent="0.6">
      <c r="A68">
        <v>199</v>
      </c>
      <c r="B68" t="str">
        <f>"3388"</f>
        <v>3388</v>
      </c>
      <c r="C68" t="s">
        <v>277</v>
      </c>
      <c r="D68" s="1">
        <v>42923</v>
      </c>
      <c r="E68">
        <v>63.8</v>
      </c>
      <c r="F68">
        <v>0.7</v>
      </c>
      <c r="G68" s="3">
        <v>1.11E-2</v>
      </c>
      <c r="H68">
        <v>2014</v>
      </c>
      <c r="I68">
        <v>5.42</v>
      </c>
      <c r="J68">
        <v>5</v>
      </c>
      <c r="K68">
        <v>0</v>
      </c>
      <c r="L68">
        <v>5</v>
      </c>
      <c r="M68" s="3">
        <v>7.8399999999999997E-2</v>
      </c>
      <c r="N68" s="2">
        <v>0</v>
      </c>
      <c r="O68" s="3">
        <v>7.8399999999999997E-2</v>
      </c>
      <c r="P68" s="3">
        <v>0.92200000000000004</v>
      </c>
      <c r="Q68" s="2">
        <v>0</v>
      </c>
      <c r="R68" s="3">
        <v>0.92200000000000004</v>
      </c>
      <c r="S68" t="s">
        <v>834</v>
      </c>
    </row>
    <row r="69" spans="1:21" x14ac:dyDescent="0.6">
      <c r="A69">
        <v>352</v>
      </c>
      <c r="B69" t="str">
        <f>"3454"</f>
        <v>3454</v>
      </c>
      <c r="C69" t="s">
        <v>435</v>
      </c>
      <c r="D69" s="1">
        <v>42923</v>
      </c>
      <c r="E69">
        <v>88.1</v>
      </c>
      <c r="F69">
        <v>1.2</v>
      </c>
      <c r="G69" s="3">
        <v>1.38E-2</v>
      </c>
      <c r="H69">
        <v>2014</v>
      </c>
      <c r="I69">
        <v>10.28</v>
      </c>
      <c r="J69">
        <v>6.9</v>
      </c>
      <c r="K69">
        <v>0.35</v>
      </c>
      <c r="L69">
        <v>7.25</v>
      </c>
      <c r="M69" s="3">
        <v>7.8299999999999995E-2</v>
      </c>
      <c r="N69" s="3">
        <v>3.8999999999999998E-3</v>
      </c>
      <c r="O69" s="3">
        <v>8.2299999999999998E-2</v>
      </c>
      <c r="P69" s="3">
        <v>0.67100000000000004</v>
      </c>
      <c r="Q69" s="3">
        <v>3.4000000000000002E-2</v>
      </c>
      <c r="R69" s="3">
        <v>0.70499999999999996</v>
      </c>
      <c r="S69" t="s">
        <v>863</v>
      </c>
      <c r="T69" t="s">
        <v>863</v>
      </c>
      <c r="U69" t="s">
        <v>810</v>
      </c>
    </row>
    <row r="70" spans="1:21" x14ac:dyDescent="0.6">
      <c r="A70">
        <v>39</v>
      </c>
      <c r="B70" t="str">
        <f>"2420"</f>
        <v>2420</v>
      </c>
      <c r="C70" t="s">
        <v>81</v>
      </c>
      <c r="D70" s="1">
        <v>42923</v>
      </c>
      <c r="E70">
        <v>35.9</v>
      </c>
      <c r="F70">
        <v>-0.1</v>
      </c>
      <c r="G70" s="3">
        <v>-2.8E-3</v>
      </c>
      <c r="H70">
        <v>2014</v>
      </c>
      <c r="I70">
        <v>3.27</v>
      </c>
      <c r="J70">
        <v>2.8</v>
      </c>
      <c r="K70">
        <v>0</v>
      </c>
      <c r="L70">
        <v>2.8</v>
      </c>
      <c r="M70" s="3">
        <v>7.8E-2</v>
      </c>
      <c r="N70" s="2">
        <v>0</v>
      </c>
      <c r="O70" s="3">
        <v>7.8E-2</v>
      </c>
      <c r="P70" s="3">
        <v>0.85599999999999998</v>
      </c>
      <c r="Q70" s="2">
        <v>0</v>
      </c>
      <c r="R70" s="3">
        <v>0.85599999999999998</v>
      </c>
      <c r="S70" t="s">
        <v>830</v>
      </c>
      <c r="U70" t="s">
        <v>792</v>
      </c>
    </row>
    <row r="71" spans="1:21" x14ac:dyDescent="0.6">
      <c r="A71">
        <v>233</v>
      </c>
      <c r="B71" t="str">
        <f>"6282"</f>
        <v>6282</v>
      </c>
      <c r="C71" t="s">
        <v>312</v>
      </c>
      <c r="D71" s="1">
        <v>42923</v>
      </c>
      <c r="E71">
        <v>23.15</v>
      </c>
      <c r="F71">
        <v>-0.3</v>
      </c>
      <c r="G71" s="3">
        <v>-1.2800000000000001E-2</v>
      </c>
      <c r="H71">
        <v>2014</v>
      </c>
      <c r="I71">
        <v>2.42</v>
      </c>
      <c r="J71">
        <v>1.8</v>
      </c>
      <c r="K71">
        <v>0</v>
      </c>
      <c r="L71">
        <v>1.8</v>
      </c>
      <c r="M71" s="3">
        <v>7.7600000000000002E-2</v>
      </c>
      <c r="N71" s="2">
        <v>0</v>
      </c>
      <c r="O71" s="3">
        <v>7.7600000000000002E-2</v>
      </c>
      <c r="P71" s="3">
        <v>0.74399999999999999</v>
      </c>
      <c r="Q71" s="2">
        <v>0</v>
      </c>
      <c r="R71" s="3">
        <v>0.74399999999999999</v>
      </c>
      <c r="S71" t="s">
        <v>839</v>
      </c>
      <c r="U71" t="s">
        <v>874</v>
      </c>
    </row>
    <row r="72" spans="1:21" x14ac:dyDescent="0.6">
      <c r="A72">
        <v>147</v>
      </c>
      <c r="B72" t="str">
        <f>"4987"</f>
        <v>4987</v>
      </c>
      <c r="C72" t="s">
        <v>215</v>
      </c>
      <c r="D72" s="1">
        <v>42923</v>
      </c>
      <c r="E72">
        <v>51.8</v>
      </c>
      <c r="F72">
        <v>0.3</v>
      </c>
      <c r="G72" s="3">
        <v>5.7999999999999996E-3</v>
      </c>
      <c r="H72">
        <v>2014</v>
      </c>
      <c r="I72">
        <v>6.25</v>
      </c>
      <c r="J72">
        <v>4</v>
      </c>
      <c r="K72">
        <v>0</v>
      </c>
      <c r="L72">
        <v>4</v>
      </c>
      <c r="M72" s="3">
        <v>7.7200000000000005E-2</v>
      </c>
      <c r="N72" s="2">
        <v>0</v>
      </c>
      <c r="O72" s="3">
        <v>7.7200000000000005E-2</v>
      </c>
      <c r="P72" s="2">
        <v>0.64</v>
      </c>
      <c r="Q72" s="2">
        <v>0</v>
      </c>
      <c r="R72" s="2">
        <v>0.64</v>
      </c>
      <c r="S72" t="s">
        <v>820</v>
      </c>
      <c r="U72" t="s">
        <v>807</v>
      </c>
    </row>
    <row r="73" spans="1:21" x14ac:dyDescent="0.6">
      <c r="A73">
        <v>82</v>
      </c>
      <c r="B73" t="str">
        <f>"5426"</f>
        <v>5426</v>
      </c>
      <c r="C73" t="s">
        <v>144</v>
      </c>
      <c r="D73" s="1">
        <v>42923</v>
      </c>
      <c r="E73">
        <v>13</v>
      </c>
      <c r="F73">
        <v>-0.05</v>
      </c>
      <c r="G73" s="3">
        <v>-3.8E-3</v>
      </c>
      <c r="H73">
        <v>2014</v>
      </c>
      <c r="I73">
        <v>1.1599999999999999</v>
      </c>
      <c r="J73">
        <v>1</v>
      </c>
      <c r="K73">
        <v>0</v>
      </c>
      <c r="L73">
        <v>1</v>
      </c>
      <c r="M73" s="3">
        <v>7.6899999999999996E-2</v>
      </c>
      <c r="N73" s="2">
        <v>0</v>
      </c>
      <c r="O73" s="3">
        <v>7.6899999999999996E-2</v>
      </c>
      <c r="P73" s="3">
        <v>0.86199999999999999</v>
      </c>
      <c r="Q73" s="2">
        <v>0</v>
      </c>
      <c r="R73" s="3">
        <v>0.86199999999999999</v>
      </c>
      <c r="S73" t="s">
        <v>798</v>
      </c>
      <c r="U73" t="s">
        <v>792</v>
      </c>
    </row>
    <row r="74" spans="1:21" x14ac:dyDescent="0.6">
      <c r="A74">
        <v>181</v>
      </c>
      <c r="B74" t="str">
        <f>"3015"</f>
        <v>3015</v>
      </c>
      <c r="C74" t="s">
        <v>257</v>
      </c>
      <c r="D74" s="1">
        <v>42923</v>
      </c>
      <c r="E74">
        <v>23.4</v>
      </c>
      <c r="F74">
        <v>-0.1</v>
      </c>
      <c r="G74" s="3">
        <v>-4.3E-3</v>
      </c>
      <c r="H74">
        <v>2014</v>
      </c>
      <c r="I74">
        <v>2.14</v>
      </c>
      <c r="J74">
        <v>1.8</v>
      </c>
      <c r="K74">
        <v>0</v>
      </c>
      <c r="L74">
        <v>1.8</v>
      </c>
      <c r="M74" s="3">
        <v>7.6899999999999996E-2</v>
      </c>
      <c r="N74" s="2">
        <v>0</v>
      </c>
      <c r="O74" s="3">
        <v>7.6899999999999996E-2</v>
      </c>
      <c r="P74" s="3">
        <v>0.84099999999999997</v>
      </c>
      <c r="Q74" s="2">
        <v>0</v>
      </c>
      <c r="R74" s="3">
        <v>0.84099999999999997</v>
      </c>
      <c r="S74" t="s">
        <v>823</v>
      </c>
    </row>
    <row r="75" spans="1:21" x14ac:dyDescent="0.6">
      <c r="A75">
        <v>395</v>
      </c>
      <c r="B75" t="str">
        <f>"8921"</f>
        <v>8921</v>
      </c>
      <c r="C75" t="s">
        <v>480</v>
      </c>
      <c r="D75" s="1">
        <v>42923</v>
      </c>
      <c r="E75">
        <v>15.35</v>
      </c>
      <c r="F75">
        <v>0.65</v>
      </c>
      <c r="G75" s="3">
        <v>4.4200000000000003E-2</v>
      </c>
      <c r="H75">
        <v>2014</v>
      </c>
      <c r="I75">
        <v>1.58</v>
      </c>
      <c r="J75">
        <v>1.18</v>
      </c>
      <c r="K75">
        <v>0</v>
      </c>
      <c r="L75">
        <v>1.18</v>
      </c>
      <c r="M75" s="3">
        <v>7.6899999999999996E-2</v>
      </c>
      <c r="N75" s="2">
        <v>0</v>
      </c>
      <c r="O75" s="3">
        <v>7.6899999999999996E-2</v>
      </c>
      <c r="P75" s="3">
        <v>0.747</v>
      </c>
      <c r="Q75" s="2">
        <v>0</v>
      </c>
      <c r="R75" s="3">
        <v>0.747</v>
      </c>
      <c r="S75" t="s">
        <v>854</v>
      </c>
      <c r="U75" t="s">
        <v>814</v>
      </c>
    </row>
    <row r="76" spans="1:21" x14ac:dyDescent="0.6">
      <c r="A76">
        <v>78</v>
      </c>
      <c r="B76" t="str">
        <f>"2548"</f>
        <v>2548</v>
      </c>
      <c r="C76" t="s">
        <v>138</v>
      </c>
      <c r="D76" s="1">
        <v>42923</v>
      </c>
      <c r="E76">
        <v>72</v>
      </c>
      <c r="F76">
        <v>-0.3</v>
      </c>
      <c r="G76" s="3">
        <v>-4.1000000000000003E-3</v>
      </c>
      <c r="H76">
        <v>2014</v>
      </c>
      <c r="I76">
        <v>11.08</v>
      </c>
      <c r="J76">
        <v>5.5</v>
      </c>
      <c r="K76">
        <v>0</v>
      </c>
      <c r="L76">
        <v>5.5</v>
      </c>
      <c r="M76" s="3">
        <v>7.6399999999999996E-2</v>
      </c>
      <c r="N76" s="2">
        <v>0</v>
      </c>
      <c r="O76" s="3">
        <v>7.6399999999999996E-2</v>
      </c>
      <c r="P76" s="3">
        <v>0.496</v>
      </c>
      <c r="Q76" s="2">
        <v>0</v>
      </c>
      <c r="R76" s="3">
        <v>0.496</v>
      </c>
      <c r="S76" t="s">
        <v>809</v>
      </c>
    </row>
    <row r="77" spans="1:21" x14ac:dyDescent="0.6">
      <c r="A77">
        <v>212</v>
      </c>
      <c r="B77" t="str">
        <f>"8099"</f>
        <v>8099</v>
      </c>
      <c r="C77" t="s">
        <v>291</v>
      </c>
      <c r="D77" s="1">
        <v>42923</v>
      </c>
      <c r="E77">
        <v>18.350000000000001</v>
      </c>
      <c r="F77">
        <v>-0.15</v>
      </c>
      <c r="G77" s="3">
        <v>-8.0999999999999996E-3</v>
      </c>
      <c r="H77">
        <v>2014</v>
      </c>
      <c r="I77">
        <v>1.73</v>
      </c>
      <c r="J77">
        <v>1.4</v>
      </c>
      <c r="K77">
        <v>0</v>
      </c>
      <c r="L77">
        <v>1.4</v>
      </c>
      <c r="M77" s="3">
        <v>7.6300000000000007E-2</v>
      </c>
      <c r="N77" s="2">
        <v>0</v>
      </c>
      <c r="O77" s="3">
        <v>7.6300000000000007E-2</v>
      </c>
      <c r="P77" s="3">
        <v>0.80900000000000005</v>
      </c>
      <c r="Q77" s="2">
        <v>0</v>
      </c>
      <c r="R77" s="3">
        <v>0.80900000000000005</v>
      </c>
      <c r="S77" t="s">
        <v>797</v>
      </c>
      <c r="U77" t="s">
        <v>844</v>
      </c>
    </row>
    <row r="78" spans="1:21" x14ac:dyDescent="0.6">
      <c r="A78">
        <v>85</v>
      </c>
      <c r="B78" t="str">
        <f>"2430"</f>
        <v>2430</v>
      </c>
      <c r="C78" t="s">
        <v>147</v>
      </c>
      <c r="D78" s="1">
        <v>42923</v>
      </c>
      <c r="E78">
        <v>26.25</v>
      </c>
      <c r="F78">
        <v>-0.15</v>
      </c>
      <c r="G78" s="3">
        <v>-5.7000000000000002E-3</v>
      </c>
      <c r="H78">
        <v>2014</v>
      </c>
      <c r="I78">
        <v>3.11</v>
      </c>
      <c r="J78">
        <v>2</v>
      </c>
      <c r="K78">
        <v>0</v>
      </c>
      <c r="L78">
        <v>2</v>
      </c>
      <c r="M78" s="3">
        <v>7.6200000000000004E-2</v>
      </c>
      <c r="N78" s="2">
        <v>0</v>
      </c>
      <c r="O78" s="3">
        <v>7.6200000000000004E-2</v>
      </c>
      <c r="P78" s="3">
        <v>0.64300000000000002</v>
      </c>
      <c r="Q78" s="2">
        <v>0</v>
      </c>
      <c r="R78" s="3">
        <v>0.64300000000000002</v>
      </c>
      <c r="S78" t="s">
        <v>853</v>
      </c>
    </row>
    <row r="79" spans="1:21" x14ac:dyDescent="0.6">
      <c r="A79">
        <v>29</v>
      </c>
      <c r="B79" t="str">
        <f>"6115"</f>
        <v>6115</v>
      </c>
      <c r="C79" t="s">
        <v>63</v>
      </c>
      <c r="D79" s="1">
        <v>42923</v>
      </c>
      <c r="E79">
        <v>45.3</v>
      </c>
      <c r="F79">
        <v>-0.5</v>
      </c>
      <c r="G79" s="3">
        <v>-1.09E-2</v>
      </c>
      <c r="H79">
        <v>2014</v>
      </c>
      <c r="I79">
        <v>3.84</v>
      </c>
      <c r="J79">
        <v>3.44</v>
      </c>
      <c r="K79">
        <v>0</v>
      </c>
      <c r="L79">
        <v>3.44</v>
      </c>
      <c r="M79" s="3">
        <v>7.5999999999999998E-2</v>
      </c>
      <c r="N79" s="2">
        <v>0</v>
      </c>
      <c r="O79" s="3">
        <v>7.5999999999999998E-2</v>
      </c>
      <c r="P79" s="3">
        <v>0.89600000000000002</v>
      </c>
      <c r="Q79" s="2">
        <v>0</v>
      </c>
      <c r="R79" s="3">
        <v>0.89600000000000002</v>
      </c>
      <c r="S79" t="s">
        <v>791</v>
      </c>
      <c r="U79" t="s">
        <v>799</v>
      </c>
    </row>
    <row r="80" spans="1:21" x14ac:dyDescent="0.6">
      <c r="A80">
        <v>162</v>
      </c>
      <c r="B80" t="str">
        <f>"8050"</f>
        <v>8050</v>
      </c>
      <c r="C80" t="s">
        <v>233</v>
      </c>
      <c r="D80" s="1">
        <v>42923</v>
      </c>
      <c r="E80">
        <v>60.4</v>
      </c>
      <c r="F80">
        <v>-0.1</v>
      </c>
      <c r="G80" s="3">
        <v>-1.6999999999999999E-3</v>
      </c>
      <c r="H80">
        <v>2014</v>
      </c>
      <c r="I80">
        <v>2.89</v>
      </c>
      <c r="J80">
        <v>4.5199999999999996</v>
      </c>
      <c r="K80">
        <v>0.51</v>
      </c>
      <c r="L80">
        <v>5.03</v>
      </c>
      <c r="M80" s="3">
        <v>7.4899999999999994E-2</v>
      </c>
      <c r="N80" s="3">
        <v>8.5000000000000006E-3</v>
      </c>
      <c r="O80" s="3">
        <v>8.3299999999999999E-2</v>
      </c>
      <c r="P80" s="2">
        <v>1.56</v>
      </c>
      <c r="Q80" s="3">
        <v>0.17599999999999999</v>
      </c>
      <c r="R80" s="2">
        <v>1.74</v>
      </c>
      <c r="S80" t="s">
        <v>838</v>
      </c>
      <c r="T80" t="s">
        <v>807</v>
      </c>
    </row>
    <row r="81" spans="1:21" x14ac:dyDescent="0.6">
      <c r="A81">
        <v>247</v>
      </c>
      <c r="B81" t="str">
        <f>"5251"</f>
        <v>5251</v>
      </c>
      <c r="C81" t="s">
        <v>326</v>
      </c>
      <c r="D81" s="1">
        <v>42923</v>
      </c>
      <c r="E81">
        <v>33.6</v>
      </c>
      <c r="F81">
        <v>-1</v>
      </c>
      <c r="G81" s="3">
        <v>-2.8899999999999999E-2</v>
      </c>
      <c r="H81">
        <v>2014</v>
      </c>
      <c r="I81">
        <v>7.35</v>
      </c>
      <c r="J81">
        <v>2.5</v>
      </c>
      <c r="K81">
        <v>2</v>
      </c>
      <c r="L81">
        <v>4.5</v>
      </c>
      <c r="M81" s="3">
        <v>7.4399999999999994E-2</v>
      </c>
      <c r="N81" s="3">
        <v>5.9499999999999997E-2</v>
      </c>
      <c r="O81" s="3">
        <v>0.13400000000000001</v>
      </c>
      <c r="P81" s="2">
        <v>0.34</v>
      </c>
      <c r="Q81" s="3">
        <v>0.27200000000000002</v>
      </c>
      <c r="R81" s="3">
        <v>0.61199999999999999</v>
      </c>
      <c r="S81" t="s">
        <v>820</v>
      </c>
      <c r="T81" t="s">
        <v>820</v>
      </c>
    </row>
    <row r="82" spans="1:21" x14ac:dyDescent="0.6">
      <c r="A82">
        <v>370</v>
      </c>
      <c r="B82" t="str">
        <f>"3332"</f>
        <v>3332</v>
      </c>
      <c r="C82" t="s">
        <v>453</v>
      </c>
      <c r="D82" s="1">
        <v>42923</v>
      </c>
      <c r="E82">
        <v>37.9</v>
      </c>
      <c r="F82">
        <v>0</v>
      </c>
      <c r="G82" s="2">
        <v>0</v>
      </c>
      <c r="H82">
        <v>2014</v>
      </c>
      <c r="I82">
        <v>3.52</v>
      </c>
      <c r="J82">
        <v>2.8</v>
      </c>
      <c r="K82">
        <v>0</v>
      </c>
      <c r="L82">
        <v>2.8</v>
      </c>
      <c r="M82" s="3">
        <v>7.3899999999999993E-2</v>
      </c>
      <c r="N82" s="2">
        <v>0</v>
      </c>
      <c r="O82" s="3">
        <v>7.3899999999999993E-2</v>
      </c>
      <c r="P82" s="3">
        <v>0.79600000000000004</v>
      </c>
      <c r="Q82" s="2">
        <v>0</v>
      </c>
      <c r="R82" s="3">
        <v>0.79600000000000004</v>
      </c>
      <c r="S82" t="s">
        <v>799</v>
      </c>
      <c r="U82" t="s">
        <v>826</v>
      </c>
    </row>
    <row r="83" spans="1:21" x14ac:dyDescent="0.6">
      <c r="A83">
        <v>38</v>
      </c>
      <c r="B83" t="str">
        <f>"2493"</f>
        <v>2493</v>
      </c>
      <c r="C83" t="s">
        <v>79</v>
      </c>
      <c r="D83" s="1">
        <v>42923</v>
      </c>
      <c r="E83">
        <v>27.35</v>
      </c>
      <c r="F83">
        <v>0</v>
      </c>
      <c r="G83" s="2">
        <v>0</v>
      </c>
      <c r="H83">
        <v>2014</v>
      </c>
      <c r="I83">
        <v>2.27</v>
      </c>
      <c r="J83">
        <v>2</v>
      </c>
      <c r="K83">
        <v>0</v>
      </c>
      <c r="L83">
        <v>2</v>
      </c>
      <c r="M83" s="3">
        <v>7.3099999999999998E-2</v>
      </c>
      <c r="N83" s="2">
        <v>0</v>
      </c>
      <c r="O83" s="3">
        <v>7.3099999999999998E-2</v>
      </c>
      <c r="P83" s="3">
        <v>0.88100000000000001</v>
      </c>
      <c r="Q83" s="2">
        <v>0</v>
      </c>
      <c r="R83" s="3">
        <v>0.88100000000000001</v>
      </c>
      <c r="S83" t="s">
        <v>809</v>
      </c>
    </row>
    <row r="84" spans="1:21" x14ac:dyDescent="0.6">
      <c r="A84">
        <v>279</v>
      </c>
      <c r="B84" t="str">
        <f>"4432"</f>
        <v>4432</v>
      </c>
      <c r="C84" t="s">
        <v>359</v>
      </c>
      <c r="D84" s="1">
        <v>42923</v>
      </c>
      <c r="E84">
        <v>41.5</v>
      </c>
      <c r="F84">
        <v>-0.2</v>
      </c>
      <c r="G84" s="3">
        <v>-4.7999999999999996E-3</v>
      </c>
      <c r="H84">
        <v>2014</v>
      </c>
      <c r="I84">
        <v>5.09</v>
      </c>
      <c r="J84">
        <v>3</v>
      </c>
      <c r="K84">
        <v>1</v>
      </c>
      <c r="L84">
        <v>4</v>
      </c>
      <c r="M84" s="3">
        <v>7.2300000000000003E-2</v>
      </c>
      <c r="N84" s="3">
        <v>2.41E-2</v>
      </c>
      <c r="O84" s="3">
        <v>9.64E-2</v>
      </c>
      <c r="P84" s="3">
        <v>0.58899999999999997</v>
      </c>
      <c r="Q84" s="3">
        <v>0.19600000000000001</v>
      </c>
      <c r="R84" s="3">
        <v>0.78600000000000003</v>
      </c>
      <c r="S84" t="s">
        <v>854</v>
      </c>
      <c r="T84" t="s">
        <v>854</v>
      </c>
      <c r="U84" t="s">
        <v>867</v>
      </c>
    </row>
    <row r="85" spans="1:21" x14ac:dyDescent="0.6">
      <c r="A85">
        <v>343</v>
      </c>
      <c r="B85" t="str">
        <f>"9905"</f>
        <v>9905</v>
      </c>
      <c r="C85" t="s">
        <v>425</v>
      </c>
      <c r="D85" s="1">
        <v>42923</v>
      </c>
      <c r="E85">
        <v>27.65</v>
      </c>
      <c r="F85">
        <v>-0.1</v>
      </c>
      <c r="G85" s="3">
        <v>-3.5999999999999999E-3</v>
      </c>
      <c r="H85">
        <v>2014</v>
      </c>
      <c r="I85">
        <v>2.88</v>
      </c>
      <c r="J85">
        <v>2</v>
      </c>
      <c r="K85">
        <v>0</v>
      </c>
      <c r="L85">
        <v>2</v>
      </c>
      <c r="M85" s="3">
        <v>7.2300000000000003E-2</v>
      </c>
      <c r="N85" s="2">
        <v>0</v>
      </c>
      <c r="O85" s="3">
        <v>7.2300000000000003E-2</v>
      </c>
      <c r="P85" s="3">
        <v>0.69399999999999995</v>
      </c>
      <c r="Q85" s="2">
        <v>0</v>
      </c>
      <c r="R85" s="3">
        <v>0.69399999999999995</v>
      </c>
      <c r="S85" t="s">
        <v>849</v>
      </c>
      <c r="U85" t="s">
        <v>792</v>
      </c>
    </row>
    <row r="86" spans="1:21" x14ac:dyDescent="0.6">
      <c r="A86">
        <v>396</v>
      </c>
      <c r="B86" t="str">
        <f>"3693"</f>
        <v>3693</v>
      </c>
      <c r="C86" t="s">
        <v>482</v>
      </c>
      <c r="D86" s="1">
        <v>42923</v>
      </c>
      <c r="E86">
        <v>58.5</v>
      </c>
      <c r="F86">
        <v>5.3</v>
      </c>
      <c r="G86" s="3">
        <v>9.9599999999999994E-2</v>
      </c>
      <c r="H86">
        <v>2014</v>
      </c>
      <c r="I86">
        <v>8.4</v>
      </c>
      <c r="J86">
        <v>4.2</v>
      </c>
      <c r="K86">
        <v>0</v>
      </c>
      <c r="L86">
        <v>4.2</v>
      </c>
      <c r="M86" s="3">
        <v>7.1800000000000003E-2</v>
      </c>
      <c r="N86" s="2">
        <v>0</v>
      </c>
      <c r="O86" s="3">
        <v>7.1800000000000003E-2</v>
      </c>
      <c r="P86" s="2">
        <v>0.5</v>
      </c>
      <c r="Q86" s="2">
        <v>0</v>
      </c>
      <c r="R86" s="2">
        <v>0.5</v>
      </c>
      <c r="S86" t="s">
        <v>868</v>
      </c>
      <c r="U86" t="s">
        <v>845</v>
      </c>
    </row>
    <row r="87" spans="1:21" x14ac:dyDescent="0.6">
      <c r="A87">
        <v>183</v>
      </c>
      <c r="B87" t="str">
        <f>"2451"</f>
        <v>2451</v>
      </c>
      <c r="C87" t="s">
        <v>259</v>
      </c>
      <c r="D87" s="1">
        <v>42923</v>
      </c>
      <c r="E87">
        <v>93.7</v>
      </c>
      <c r="F87">
        <v>0.2</v>
      </c>
      <c r="G87" s="3">
        <v>2.0999999999999999E-3</v>
      </c>
      <c r="H87">
        <v>2014</v>
      </c>
      <c r="I87">
        <v>7.43</v>
      </c>
      <c r="J87">
        <v>6.7</v>
      </c>
      <c r="K87">
        <v>0</v>
      </c>
      <c r="L87">
        <v>6.7</v>
      </c>
      <c r="M87" s="3">
        <v>7.1499999999999994E-2</v>
      </c>
      <c r="N87" s="2">
        <v>0</v>
      </c>
      <c r="O87" s="3">
        <v>7.1499999999999994E-2</v>
      </c>
      <c r="P87" s="3">
        <v>0.90200000000000002</v>
      </c>
      <c r="Q87" s="2">
        <v>0</v>
      </c>
      <c r="R87" s="3">
        <v>0.90200000000000002</v>
      </c>
      <c r="S87" t="s">
        <v>855</v>
      </c>
    </row>
    <row r="88" spans="1:21" x14ac:dyDescent="0.6">
      <c r="A88">
        <v>442</v>
      </c>
      <c r="B88" t="str">
        <f>"6229"</f>
        <v>6229</v>
      </c>
      <c r="C88" t="s">
        <v>532</v>
      </c>
      <c r="D88" s="1">
        <v>42923</v>
      </c>
      <c r="E88">
        <v>13.6</v>
      </c>
      <c r="F88">
        <v>-0.1</v>
      </c>
      <c r="G88" s="3">
        <v>-7.3000000000000001E-3</v>
      </c>
      <c r="H88">
        <v>2014</v>
      </c>
      <c r="I88">
        <v>0.9</v>
      </c>
      <c r="J88">
        <v>0.97</v>
      </c>
      <c r="K88">
        <v>0</v>
      </c>
      <c r="L88">
        <v>0.97</v>
      </c>
      <c r="M88" s="3">
        <v>7.1400000000000005E-2</v>
      </c>
      <c r="N88" s="2">
        <v>0</v>
      </c>
      <c r="O88" s="3">
        <v>7.1400000000000005E-2</v>
      </c>
      <c r="P88" s="2">
        <v>1.08</v>
      </c>
      <c r="Q88" s="2">
        <v>0</v>
      </c>
      <c r="R88" s="2">
        <v>1.08</v>
      </c>
      <c r="S88" t="s">
        <v>840</v>
      </c>
    </row>
    <row r="89" spans="1:21" x14ac:dyDescent="0.6">
      <c r="A89">
        <v>130</v>
      </c>
      <c r="B89" t="str">
        <f>"2450"</f>
        <v>2450</v>
      </c>
      <c r="C89" t="s">
        <v>196</v>
      </c>
      <c r="D89" s="1">
        <v>42923</v>
      </c>
      <c r="E89">
        <v>56.9</v>
      </c>
      <c r="F89">
        <v>0.1</v>
      </c>
      <c r="G89" s="3">
        <v>1.8E-3</v>
      </c>
      <c r="H89">
        <v>2014</v>
      </c>
      <c r="I89">
        <v>5.55</v>
      </c>
      <c r="J89">
        <v>4</v>
      </c>
      <c r="K89">
        <v>0</v>
      </c>
      <c r="L89">
        <v>4</v>
      </c>
      <c r="M89" s="3">
        <v>7.0300000000000001E-2</v>
      </c>
      <c r="N89" s="2">
        <v>0</v>
      </c>
      <c r="O89" s="3">
        <v>7.0300000000000001E-2</v>
      </c>
      <c r="P89" s="3">
        <v>0.72099999999999997</v>
      </c>
      <c r="Q89" s="2">
        <v>0</v>
      </c>
      <c r="R89" s="3">
        <v>0.72099999999999997</v>
      </c>
      <c r="S89" t="s">
        <v>815</v>
      </c>
    </row>
    <row r="90" spans="1:21" x14ac:dyDescent="0.6">
      <c r="A90">
        <v>303</v>
      </c>
      <c r="B90" t="str">
        <f>"4545"</f>
        <v>4545</v>
      </c>
      <c r="C90" t="s">
        <v>385</v>
      </c>
      <c r="D90" s="1">
        <v>42923</v>
      </c>
      <c r="E90">
        <v>39.85</v>
      </c>
      <c r="F90">
        <v>-0.3</v>
      </c>
      <c r="G90" s="3">
        <v>-7.4999999999999997E-3</v>
      </c>
      <c r="H90">
        <v>2014</v>
      </c>
      <c r="I90">
        <v>4.25</v>
      </c>
      <c r="J90">
        <v>2.8</v>
      </c>
      <c r="K90">
        <v>1</v>
      </c>
      <c r="L90">
        <v>3.8</v>
      </c>
      <c r="M90" s="3">
        <v>7.0300000000000001E-2</v>
      </c>
      <c r="N90" s="3">
        <v>2.5100000000000001E-2</v>
      </c>
      <c r="O90" s="3">
        <v>9.5399999999999999E-2</v>
      </c>
      <c r="P90" s="3">
        <v>0.65900000000000003</v>
      </c>
      <c r="Q90" s="3">
        <v>0.23499999999999999</v>
      </c>
      <c r="R90" s="3">
        <v>0.89400000000000002</v>
      </c>
      <c r="S90" t="s">
        <v>877</v>
      </c>
      <c r="T90" t="s">
        <v>877</v>
      </c>
    </row>
    <row r="91" spans="1:21" x14ac:dyDescent="0.6">
      <c r="A91">
        <v>380</v>
      </c>
      <c r="B91" t="str">
        <f>"3588"</f>
        <v>3588</v>
      </c>
      <c r="C91" t="s">
        <v>464</v>
      </c>
      <c r="D91" s="1">
        <v>42923</v>
      </c>
      <c r="E91">
        <v>28.65</v>
      </c>
      <c r="F91">
        <v>-0.05</v>
      </c>
      <c r="G91" s="3">
        <v>-1.6999999999999999E-3</v>
      </c>
      <c r="H91">
        <v>2014</v>
      </c>
      <c r="I91">
        <v>2.5099999999999998</v>
      </c>
      <c r="J91">
        <v>2</v>
      </c>
      <c r="K91">
        <v>0</v>
      </c>
      <c r="L91">
        <v>2</v>
      </c>
      <c r="M91" s="3">
        <v>6.9900000000000004E-2</v>
      </c>
      <c r="N91" s="2">
        <v>0</v>
      </c>
      <c r="O91" s="3">
        <v>6.9900000000000004E-2</v>
      </c>
      <c r="P91" s="3">
        <v>0.79700000000000004</v>
      </c>
      <c r="Q91" s="2">
        <v>0</v>
      </c>
      <c r="R91" s="3">
        <v>0.79700000000000004</v>
      </c>
      <c r="S91" t="s">
        <v>802</v>
      </c>
      <c r="U91" t="s">
        <v>866</v>
      </c>
    </row>
    <row r="92" spans="1:21" x14ac:dyDescent="0.6">
      <c r="A92">
        <v>68</v>
      </c>
      <c r="B92" t="str">
        <f>"2227"</f>
        <v>2227</v>
      </c>
      <c r="C92" t="s">
        <v>125</v>
      </c>
      <c r="D92" s="1">
        <v>42923</v>
      </c>
      <c r="E92">
        <v>279</v>
      </c>
      <c r="F92">
        <v>-1.5</v>
      </c>
      <c r="G92" s="3">
        <v>-5.3E-3</v>
      </c>
      <c r="H92">
        <v>2014</v>
      </c>
      <c r="I92">
        <v>24.33</v>
      </c>
      <c r="J92">
        <v>19.47</v>
      </c>
      <c r="K92">
        <v>0</v>
      </c>
      <c r="L92">
        <v>19.47</v>
      </c>
      <c r="M92" s="3">
        <v>6.9800000000000001E-2</v>
      </c>
      <c r="N92" s="2">
        <v>0</v>
      </c>
      <c r="O92" s="3">
        <v>6.9800000000000001E-2</v>
      </c>
      <c r="P92" s="2">
        <v>0.8</v>
      </c>
      <c r="Q92" s="2">
        <v>0</v>
      </c>
      <c r="R92" s="2">
        <v>0.8</v>
      </c>
      <c r="S92" t="s">
        <v>796</v>
      </c>
    </row>
    <row r="93" spans="1:21" x14ac:dyDescent="0.6">
      <c r="A93">
        <v>135</v>
      </c>
      <c r="B93" t="str">
        <f>"5234"</f>
        <v>5234</v>
      </c>
      <c r="C93" t="s">
        <v>201</v>
      </c>
      <c r="D93" s="1">
        <v>42923</v>
      </c>
      <c r="E93">
        <v>43.25</v>
      </c>
      <c r="F93">
        <v>-0.5</v>
      </c>
      <c r="G93" s="3">
        <v>-1.14E-2</v>
      </c>
      <c r="H93">
        <v>2014</v>
      </c>
      <c r="I93">
        <v>4.62</v>
      </c>
      <c r="J93">
        <v>3</v>
      </c>
      <c r="K93">
        <v>0.5</v>
      </c>
      <c r="L93">
        <v>3.5</v>
      </c>
      <c r="M93" s="3">
        <v>6.9400000000000003E-2</v>
      </c>
      <c r="N93" s="3">
        <v>1.1599999999999999E-2</v>
      </c>
      <c r="O93" s="3">
        <v>8.09E-2</v>
      </c>
      <c r="P93" s="3">
        <v>0.64900000000000002</v>
      </c>
      <c r="Q93" s="3">
        <v>0.108</v>
      </c>
      <c r="R93" s="3">
        <v>0.75800000000000001</v>
      </c>
      <c r="S93" t="s">
        <v>830</v>
      </c>
      <c r="T93" t="s">
        <v>830</v>
      </c>
      <c r="U93" t="s">
        <v>792</v>
      </c>
    </row>
    <row r="94" spans="1:21" x14ac:dyDescent="0.6">
      <c r="A94">
        <v>219</v>
      </c>
      <c r="B94" t="str">
        <f>"3026"</f>
        <v>3026</v>
      </c>
      <c r="C94" t="s">
        <v>298</v>
      </c>
      <c r="D94" s="1">
        <v>42923</v>
      </c>
      <c r="E94">
        <v>40.6</v>
      </c>
      <c r="F94">
        <v>-0.3</v>
      </c>
      <c r="G94" s="3">
        <v>-7.3000000000000001E-3</v>
      </c>
      <c r="H94">
        <v>2014</v>
      </c>
      <c r="I94">
        <v>2.44</v>
      </c>
      <c r="J94">
        <v>2.8</v>
      </c>
      <c r="K94">
        <v>0</v>
      </c>
      <c r="L94">
        <v>2.8</v>
      </c>
      <c r="M94" s="3">
        <v>6.9000000000000006E-2</v>
      </c>
      <c r="N94" s="2">
        <v>0</v>
      </c>
      <c r="O94" s="3">
        <v>6.9000000000000006E-2</v>
      </c>
      <c r="P94" s="2">
        <v>1.1499999999999999</v>
      </c>
      <c r="Q94" s="2">
        <v>0</v>
      </c>
      <c r="R94" s="2">
        <v>1.1499999999999999</v>
      </c>
      <c r="S94" t="s">
        <v>819</v>
      </c>
      <c r="U94" t="s">
        <v>826</v>
      </c>
    </row>
    <row r="95" spans="1:21" x14ac:dyDescent="0.6">
      <c r="A95">
        <v>17</v>
      </c>
      <c r="B95" t="str">
        <f>"4952"</f>
        <v>4952</v>
      </c>
      <c r="C95" t="s">
        <v>48</v>
      </c>
      <c r="D95" s="1">
        <v>42923</v>
      </c>
      <c r="E95">
        <v>36.5</v>
      </c>
      <c r="F95">
        <v>-0.15</v>
      </c>
      <c r="G95" s="3">
        <v>-4.1000000000000003E-3</v>
      </c>
      <c r="H95">
        <v>2014</v>
      </c>
      <c r="I95">
        <v>2.81</v>
      </c>
      <c r="J95">
        <v>2.5</v>
      </c>
      <c r="K95">
        <v>0</v>
      </c>
      <c r="L95">
        <v>2.5</v>
      </c>
      <c r="M95" s="3">
        <v>6.8500000000000005E-2</v>
      </c>
      <c r="N95" s="2">
        <v>0</v>
      </c>
      <c r="O95" s="3">
        <v>6.8500000000000005E-2</v>
      </c>
      <c r="P95" s="2">
        <v>0.89</v>
      </c>
      <c r="Q95" s="2">
        <v>0</v>
      </c>
      <c r="R95" s="2">
        <v>0.89</v>
      </c>
      <c r="S95" t="s">
        <v>815</v>
      </c>
    </row>
    <row r="96" spans="1:21" x14ac:dyDescent="0.6">
      <c r="A96">
        <v>27</v>
      </c>
      <c r="B96" t="str">
        <f>"4550"</f>
        <v>4550</v>
      </c>
      <c r="C96" t="s">
        <v>61</v>
      </c>
      <c r="D96" s="1">
        <v>42923</v>
      </c>
      <c r="E96">
        <v>22.3</v>
      </c>
      <c r="F96">
        <v>0.3</v>
      </c>
      <c r="G96" s="3">
        <v>1.3599999999999999E-2</v>
      </c>
      <c r="H96">
        <v>2014</v>
      </c>
      <c r="I96">
        <v>3.11</v>
      </c>
      <c r="J96">
        <v>1.5</v>
      </c>
      <c r="K96">
        <v>0</v>
      </c>
      <c r="L96">
        <v>1.5</v>
      </c>
      <c r="M96" s="3">
        <v>6.7299999999999999E-2</v>
      </c>
      <c r="N96" s="2">
        <v>0</v>
      </c>
      <c r="O96" s="3">
        <v>6.7299999999999999E-2</v>
      </c>
      <c r="P96" s="3">
        <v>0.48199999999999998</v>
      </c>
      <c r="Q96" s="2">
        <v>0</v>
      </c>
      <c r="R96" s="3">
        <v>0.48199999999999998</v>
      </c>
      <c r="S96" t="s">
        <v>820</v>
      </c>
      <c r="U96" t="s">
        <v>792</v>
      </c>
    </row>
    <row r="97" spans="1:21" x14ac:dyDescent="0.6">
      <c r="A97">
        <v>126</v>
      </c>
      <c r="B97" t="str">
        <f>"2480"</f>
        <v>2480</v>
      </c>
      <c r="C97" t="s">
        <v>192</v>
      </c>
      <c r="D97" s="1">
        <v>42923</v>
      </c>
      <c r="E97">
        <v>29.75</v>
      </c>
      <c r="F97">
        <v>-0.1</v>
      </c>
      <c r="G97" s="3">
        <v>-3.3999999999999998E-3</v>
      </c>
      <c r="H97">
        <v>2014</v>
      </c>
      <c r="I97">
        <v>2.0099999999999998</v>
      </c>
      <c r="J97">
        <v>2</v>
      </c>
      <c r="K97">
        <v>0</v>
      </c>
      <c r="L97">
        <v>2</v>
      </c>
      <c r="M97" s="3">
        <v>6.7199999999999996E-2</v>
      </c>
      <c r="N97" s="2">
        <v>0</v>
      </c>
      <c r="O97" s="3">
        <v>6.7199999999999996E-2</v>
      </c>
      <c r="P97" s="3">
        <v>0.995</v>
      </c>
      <c r="Q97" s="2">
        <v>0</v>
      </c>
      <c r="R97" s="3">
        <v>0.995</v>
      </c>
      <c r="S97" t="s">
        <v>806</v>
      </c>
    </row>
    <row r="98" spans="1:21" x14ac:dyDescent="0.6">
      <c r="A98">
        <v>268</v>
      </c>
      <c r="B98" t="str">
        <f>"2357"</f>
        <v>2357</v>
      </c>
      <c r="C98" t="s">
        <v>348</v>
      </c>
      <c r="D98" s="1">
        <v>42923</v>
      </c>
      <c r="E98">
        <v>290</v>
      </c>
      <c r="F98">
        <v>0</v>
      </c>
      <c r="G98" s="2">
        <v>0</v>
      </c>
      <c r="H98">
        <v>2014</v>
      </c>
      <c r="I98">
        <v>28.66</v>
      </c>
      <c r="J98">
        <v>19.5</v>
      </c>
      <c r="K98">
        <v>0</v>
      </c>
      <c r="L98">
        <v>19.5</v>
      </c>
      <c r="M98" s="3">
        <v>6.7199999999999996E-2</v>
      </c>
      <c r="N98" s="2">
        <v>0</v>
      </c>
      <c r="O98" s="3">
        <v>6.7199999999999996E-2</v>
      </c>
      <c r="P98" s="2">
        <v>0.68</v>
      </c>
      <c r="Q98" s="2">
        <v>0</v>
      </c>
      <c r="R98" s="2">
        <v>0.68</v>
      </c>
      <c r="S98" t="s">
        <v>841</v>
      </c>
      <c r="U98" t="s">
        <v>800</v>
      </c>
    </row>
    <row r="99" spans="1:21" x14ac:dyDescent="0.6">
      <c r="A99">
        <v>153</v>
      </c>
      <c r="B99" t="str">
        <f>"2114"</f>
        <v>2114</v>
      </c>
      <c r="C99" t="s">
        <v>222</v>
      </c>
      <c r="D99" s="1">
        <v>42923</v>
      </c>
      <c r="E99">
        <v>74.5</v>
      </c>
      <c r="F99">
        <v>0.8</v>
      </c>
      <c r="G99" s="3">
        <v>1.09E-2</v>
      </c>
      <c r="H99">
        <v>2014</v>
      </c>
      <c r="I99">
        <v>7.11</v>
      </c>
      <c r="J99">
        <v>5</v>
      </c>
      <c r="K99">
        <v>1</v>
      </c>
      <c r="L99">
        <v>6</v>
      </c>
      <c r="M99" s="3">
        <v>6.7100000000000007E-2</v>
      </c>
      <c r="N99" s="3">
        <v>1.34E-2</v>
      </c>
      <c r="O99" s="3">
        <v>8.0500000000000002E-2</v>
      </c>
      <c r="P99" s="3">
        <v>0.70299999999999996</v>
      </c>
      <c r="Q99" s="3">
        <v>0.14099999999999999</v>
      </c>
      <c r="R99" s="3">
        <v>0.84399999999999997</v>
      </c>
      <c r="S99" t="s">
        <v>841</v>
      </c>
      <c r="T99" t="s">
        <v>841</v>
      </c>
      <c r="U99" t="s">
        <v>825</v>
      </c>
    </row>
    <row r="100" spans="1:21" x14ac:dyDescent="0.6">
      <c r="A100">
        <v>45</v>
      </c>
      <c r="B100" t="str">
        <f>"6538"</f>
        <v>6538</v>
      </c>
      <c r="C100" t="s">
        <v>91</v>
      </c>
      <c r="D100" s="1">
        <v>42923</v>
      </c>
      <c r="E100">
        <v>52.2</v>
      </c>
      <c r="F100">
        <v>-0.2</v>
      </c>
      <c r="G100" s="3">
        <v>-3.8E-3</v>
      </c>
      <c r="H100">
        <v>2014</v>
      </c>
      <c r="J100">
        <v>3.5</v>
      </c>
      <c r="K100">
        <v>0</v>
      </c>
      <c r="L100">
        <v>3.5</v>
      </c>
      <c r="M100" s="3">
        <v>6.7000000000000004E-2</v>
      </c>
      <c r="N100" s="2">
        <v>0</v>
      </c>
      <c r="O100" s="3">
        <v>6.7000000000000004E-2</v>
      </c>
    </row>
    <row r="101" spans="1:21" x14ac:dyDescent="0.6">
      <c r="A101">
        <v>293</v>
      </c>
      <c r="B101" t="str">
        <f>"9962"</f>
        <v>9962</v>
      </c>
      <c r="C101" t="s">
        <v>375</v>
      </c>
      <c r="D101" s="1">
        <v>42923</v>
      </c>
      <c r="E101">
        <v>10.5</v>
      </c>
      <c r="F101">
        <v>-0.15</v>
      </c>
      <c r="G101" s="3">
        <v>-1.41E-2</v>
      </c>
      <c r="H101">
        <v>2014</v>
      </c>
      <c r="I101">
        <v>0.77</v>
      </c>
      <c r="J101">
        <v>0.7</v>
      </c>
      <c r="K101">
        <v>0</v>
      </c>
      <c r="L101">
        <v>0.7</v>
      </c>
      <c r="M101" s="3">
        <v>6.6699999999999995E-2</v>
      </c>
      <c r="N101" s="2">
        <v>0</v>
      </c>
      <c r="O101" s="3">
        <v>6.6699999999999995E-2</v>
      </c>
      <c r="P101" s="3">
        <v>0.90900000000000003</v>
      </c>
      <c r="Q101" s="2">
        <v>0</v>
      </c>
      <c r="R101" s="3">
        <v>0.90900000000000003</v>
      </c>
      <c r="S101" t="s">
        <v>823</v>
      </c>
    </row>
    <row r="102" spans="1:21" x14ac:dyDescent="0.6">
      <c r="A102">
        <v>56</v>
      </c>
      <c r="B102" t="str">
        <f>"3305"</f>
        <v>3305</v>
      </c>
      <c r="C102" t="s">
        <v>107</v>
      </c>
      <c r="D102" s="1">
        <v>42923</v>
      </c>
      <c r="E102">
        <v>29.4</v>
      </c>
      <c r="F102">
        <v>0</v>
      </c>
      <c r="G102" s="2">
        <v>0</v>
      </c>
      <c r="H102">
        <v>2014</v>
      </c>
      <c r="I102">
        <v>3.02</v>
      </c>
      <c r="J102">
        <v>1.96</v>
      </c>
      <c r="K102">
        <v>0</v>
      </c>
      <c r="L102">
        <v>1.96</v>
      </c>
      <c r="M102" s="3">
        <v>6.6600000000000006E-2</v>
      </c>
      <c r="N102" s="2">
        <v>0</v>
      </c>
      <c r="O102" s="3">
        <v>6.6600000000000006E-2</v>
      </c>
      <c r="P102" s="3">
        <v>0.64900000000000002</v>
      </c>
      <c r="Q102" s="2">
        <v>0</v>
      </c>
      <c r="R102" s="3">
        <v>0.64900000000000002</v>
      </c>
      <c r="S102" t="s">
        <v>815</v>
      </c>
    </row>
    <row r="103" spans="1:21" x14ac:dyDescent="0.6">
      <c r="A103">
        <v>269</v>
      </c>
      <c r="B103" t="str">
        <f>"6121"</f>
        <v>6121</v>
      </c>
      <c r="C103" t="s">
        <v>349</v>
      </c>
      <c r="D103" s="1">
        <v>42923</v>
      </c>
      <c r="E103">
        <v>102.5</v>
      </c>
      <c r="F103">
        <v>-1.5</v>
      </c>
      <c r="G103" s="3">
        <v>-1.44E-2</v>
      </c>
      <c r="H103">
        <v>2014</v>
      </c>
      <c r="I103">
        <v>10.5</v>
      </c>
      <c r="J103">
        <v>6.8</v>
      </c>
      <c r="K103">
        <v>0</v>
      </c>
      <c r="L103">
        <v>6.8</v>
      </c>
      <c r="M103" s="3">
        <v>6.6299999999999998E-2</v>
      </c>
      <c r="N103" s="2">
        <v>0</v>
      </c>
      <c r="O103" s="3">
        <v>6.6299999999999998E-2</v>
      </c>
      <c r="P103" s="3">
        <v>0.64800000000000002</v>
      </c>
      <c r="Q103" s="2">
        <v>0</v>
      </c>
      <c r="R103" s="3">
        <v>0.64800000000000002</v>
      </c>
      <c r="S103" t="s">
        <v>821</v>
      </c>
      <c r="U103" t="s">
        <v>868</v>
      </c>
    </row>
    <row r="104" spans="1:21" x14ac:dyDescent="0.6">
      <c r="A104">
        <v>131</v>
      </c>
      <c r="B104" t="str">
        <f>"1558"</f>
        <v>1558</v>
      </c>
      <c r="C104" t="s">
        <v>197</v>
      </c>
      <c r="D104" s="1">
        <v>42923</v>
      </c>
      <c r="E104">
        <v>136</v>
      </c>
      <c r="F104">
        <v>-0.5</v>
      </c>
      <c r="G104" s="3">
        <v>-3.7000000000000002E-3</v>
      </c>
      <c r="H104">
        <v>2014</v>
      </c>
      <c r="I104">
        <v>13.05</v>
      </c>
      <c r="J104">
        <v>9</v>
      </c>
      <c r="K104">
        <v>0</v>
      </c>
      <c r="L104">
        <v>9</v>
      </c>
      <c r="M104" s="3">
        <v>6.6199999999999995E-2</v>
      </c>
      <c r="N104" s="2">
        <v>0</v>
      </c>
      <c r="O104" s="3">
        <v>6.6199999999999995E-2</v>
      </c>
      <c r="P104" s="2">
        <v>0.69</v>
      </c>
      <c r="Q104" s="2">
        <v>0</v>
      </c>
      <c r="R104" s="2">
        <v>0.69</v>
      </c>
      <c r="S104" t="s">
        <v>834</v>
      </c>
    </row>
    <row r="105" spans="1:21" x14ac:dyDescent="0.6">
      <c r="A105">
        <v>105</v>
      </c>
      <c r="B105" t="str">
        <f>"6224"</f>
        <v>6224</v>
      </c>
      <c r="C105" t="s">
        <v>168</v>
      </c>
      <c r="D105" s="1">
        <v>42923</v>
      </c>
      <c r="E105">
        <v>62.1</v>
      </c>
      <c r="F105">
        <v>-0.3</v>
      </c>
      <c r="G105" s="3">
        <v>-4.7999999999999996E-3</v>
      </c>
      <c r="H105">
        <v>2014</v>
      </c>
      <c r="I105">
        <v>4.72</v>
      </c>
      <c r="J105">
        <v>4.0999999999999996</v>
      </c>
      <c r="K105">
        <v>0</v>
      </c>
      <c r="L105">
        <v>4.0999999999999996</v>
      </c>
      <c r="M105" s="3">
        <v>6.6000000000000003E-2</v>
      </c>
      <c r="N105" s="2">
        <v>0</v>
      </c>
      <c r="O105" s="3">
        <v>6.6000000000000003E-2</v>
      </c>
      <c r="P105" s="3">
        <v>0.86899999999999999</v>
      </c>
      <c r="Q105" s="2">
        <v>0</v>
      </c>
      <c r="R105" s="3">
        <v>0.86899999999999999</v>
      </c>
      <c r="S105" t="s">
        <v>831</v>
      </c>
      <c r="U105" t="s">
        <v>856</v>
      </c>
    </row>
    <row r="106" spans="1:21" x14ac:dyDescent="0.6">
      <c r="A106">
        <v>491</v>
      </c>
      <c r="B106" t="str">
        <f>"3060"</f>
        <v>3060</v>
      </c>
      <c r="C106" t="s">
        <v>584</v>
      </c>
      <c r="D106" s="1">
        <v>42923</v>
      </c>
      <c r="E106">
        <v>31.8</v>
      </c>
      <c r="F106">
        <v>-0.8</v>
      </c>
      <c r="G106" s="3">
        <v>-2.4500000000000001E-2</v>
      </c>
      <c r="H106">
        <v>2014</v>
      </c>
      <c r="I106">
        <v>3</v>
      </c>
      <c r="J106">
        <v>2.1</v>
      </c>
      <c r="K106">
        <v>0</v>
      </c>
      <c r="L106">
        <v>2.1</v>
      </c>
      <c r="M106" s="3">
        <v>6.6000000000000003E-2</v>
      </c>
      <c r="N106" s="2">
        <v>0</v>
      </c>
      <c r="O106" s="3">
        <v>6.6000000000000003E-2</v>
      </c>
      <c r="P106" s="2">
        <v>0.7</v>
      </c>
      <c r="Q106" s="2">
        <v>0</v>
      </c>
      <c r="R106" s="2">
        <v>0.7</v>
      </c>
      <c r="S106" t="s">
        <v>840</v>
      </c>
    </row>
    <row r="107" spans="1:21" x14ac:dyDescent="0.6">
      <c r="A107">
        <v>232</v>
      </c>
      <c r="B107" t="str">
        <f>"4942"</f>
        <v>4942</v>
      </c>
      <c r="C107" t="s">
        <v>311</v>
      </c>
      <c r="D107" s="1">
        <v>42923</v>
      </c>
      <c r="E107">
        <v>24.8</v>
      </c>
      <c r="F107">
        <v>0</v>
      </c>
      <c r="G107" s="2">
        <v>0</v>
      </c>
      <c r="H107">
        <v>2014</v>
      </c>
      <c r="I107">
        <v>3.27</v>
      </c>
      <c r="J107">
        <v>1.64</v>
      </c>
      <c r="K107">
        <v>0</v>
      </c>
      <c r="L107">
        <v>1.64</v>
      </c>
      <c r="M107" s="3">
        <v>6.59E-2</v>
      </c>
      <c r="N107" s="2">
        <v>0</v>
      </c>
      <c r="O107" s="3">
        <v>6.59E-2</v>
      </c>
      <c r="P107" s="3">
        <v>0.502</v>
      </c>
      <c r="Q107" s="2">
        <v>0</v>
      </c>
      <c r="R107" s="3">
        <v>0.502</v>
      </c>
      <c r="S107" t="s">
        <v>868</v>
      </c>
      <c r="U107" t="s">
        <v>811</v>
      </c>
    </row>
    <row r="108" spans="1:21" x14ac:dyDescent="0.6">
      <c r="A108">
        <v>360</v>
      </c>
      <c r="B108" t="str">
        <f>"1730"</f>
        <v>1730</v>
      </c>
      <c r="C108" t="s">
        <v>443</v>
      </c>
      <c r="D108" s="1">
        <v>42923</v>
      </c>
      <c r="E108">
        <v>41</v>
      </c>
      <c r="F108">
        <v>0.05</v>
      </c>
      <c r="G108" s="3">
        <v>1.1999999999999999E-3</v>
      </c>
      <c r="H108">
        <v>2014</v>
      </c>
      <c r="I108">
        <v>3.72</v>
      </c>
      <c r="J108">
        <v>2.7</v>
      </c>
      <c r="K108">
        <v>0</v>
      </c>
      <c r="L108">
        <v>2.7</v>
      </c>
      <c r="M108" s="3">
        <v>6.59E-2</v>
      </c>
      <c r="N108" s="2">
        <v>0</v>
      </c>
      <c r="O108" s="3">
        <v>6.59E-2</v>
      </c>
      <c r="P108" s="3">
        <v>0.72599999999999998</v>
      </c>
      <c r="Q108" s="2">
        <v>0</v>
      </c>
      <c r="R108" s="3">
        <v>0.72599999999999998</v>
      </c>
      <c r="S108" t="s">
        <v>796</v>
      </c>
      <c r="U108" t="s">
        <v>792</v>
      </c>
    </row>
    <row r="109" spans="1:21" x14ac:dyDescent="0.6">
      <c r="A109">
        <v>87</v>
      </c>
      <c r="B109" t="str">
        <f>"3303"</f>
        <v>3303</v>
      </c>
      <c r="C109" t="s">
        <v>150</v>
      </c>
      <c r="D109" s="1">
        <v>42923</v>
      </c>
      <c r="E109">
        <v>19.8</v>
      </c>
      <c r="F109">
        <v>0</v>
      </c>
      <c r="G109" s="2">
        <v>0</v>
      </c>
      <c r="H109">
        <v>2014</v>
      </c>
      <c r="I109">
        <v>1.59</v>
      </c>
      <c r="J109">
        <v>1.3</v>
      </c>
      <c r="K109">
        <v>0</v>
      </c>
      <c r="L109">
        <v>1.3</v>
      </c>
      <c r="M109" s="3">
        <v>6.5699999999999995E-2</v>
      </c>
      <c r="N109" s="2">
        <v>0</v>
      </c>
      <c r="O109" s="3">
        <v>6.5699999999999995E-2</v>
      </c>
      <c r="P109" s="3">
        <v>0.81799999999999995</v>
      </c>
      <c r="Q109" s="2">
        <v>0</v>
      </c>
      <c r="R109" s="3">
        <v>0.81799999999999995</v>
      </c>
      <c r="S109" t="s">
        <v>798</v>
      </c>
    </row>
    <row r="110" spans="1:21" x14ac:dyDescent="0.6">
      <c r="A110">
        <v>248</v>
      </c>
      <c r="B110" t="str">
        <f>"6257"</f>
        <v>6257</v>
      </c>
      <c r="C110" t="s">
        <v>327</v>
      </c>
      <c r="D110" s="1">
        <v>42923</v>
      </c>
      <c r="E110">
        <v>27.75</v>
      </c>
      <c r="F110">
        <v>-0.3</v>
      </c>
      <c r="G110" s="3">
        <v>-1.0699999999999999E-2</v>
      </c>
      <c r="H110">
        <v>2014</v>
      </c>
      <c r="I110">
        <v>2.44</v>
      </c>
      <c r="J110">
        <v>1.8</v>
      </c>
      <c r="K110">
        <v>0</v>
      </c>
      <c r="L110">
        <v>1.8</v>
      </c>
      <c r="M110" s="3">
        <v>6.4899999999999999E-2</v>
      </c>
      <c r="N110" s="2">
        <v>0</v>
      </c>
      <c r="O110" s="3">
        <v>6.4899999999999999E-2</v>
      </c>
      <c r="P110" s="3">
        <v>0.73799999999999999</v>
      </c>
      <c r="Q110" s="2">
        <v>0</v>
      </c>
      <c r="R110" s="3">
        <v>0.73799999999999999</v>
      </c>
      <c r="S110" t="s">
        <v>791</v>
      </c>
      <c r="U110" t="s">
        <v>863</v>
      </c>
    </row>
    <row r="111" spans="1:21" x14ac:dyDescent="0.6">
      <c r="A111">
        <v>385</v>
      </c>
      <c r="B111" t="str">
        <f>"8039"</f>
        <v>8039</v>
      </c>
      <c r="C111" t="s">
        <v>469</v>
      </c>
      <c r="D111" s="1">
        <v>42923</v>
      </c>
      <c r="E111">
        <v>38.5</v>
      </c>
      <c r="F111">
        <v>-0.25</v>
      </c>
      <c r="G111" s="3">
        <v>-6.4999999999999997E-3</v>
      </c>
      <c r="H111">
        <v>2014</v>
      </c>
      <c r="I111">
        <v>4.96</v>
      </c>
      <c r="J111">
        <v>2.5</v>
      </c>
      <c r="K111">
        <v>0</v>
      </c>
      <c r="L111">
        <v>2.5</v>
      </c>
      <c r="M111" s="3">
        <v>6.4899999999999999E-2</v>
      </c>
      <c r="N111" s="2">
        <v>0</v>
      </c>
      <c r="O111" s="3">
        <v>6.4899999999999999E-2</v>
      </c>
      <c r="P111" s="3">
        <v>0.504</v>
      </c>
      <c r="Q111" s="2">
        <v>0</v>
      </c>
      <c r="R111" s="3">
        <v>0.504</v>
      </c>
      <c r="S111" t="s">
        <v>798</v>
      </c>
      <c r="U111" t="s">
        <v>799</v>
      </c>
    </row>
    <row r="112" spans="1:21" x14ac:dyDescent="0.6">
      <c r="A112">
        <v>493</v>
      </c>
      <c r="B112" t="str">
        <f>"3047"</f>
        <v>3047</v>
      </c>
      <c r="C112" t="s">
        <v>587</v>
      </c>
      <c r="D112" s="1">
        <v>42923</v>
      </c>
      <c r="E112">
        <v>10.65</v>
      </c>
      <c r="F112">
        <v>-0.15</v>
      </c>
      <c r="G112" s="3">
        <v>-1.3899999999999999E-2</v>
      </c>
      <c r="H112">
        <v>2014</v>
      </c>
      <c r="I112">
        <v>0.75</v>
      </c>
      <c r="J112">
        <v>0.69</v>
      </c>
      <c r="K112">
        <v>0</v>
      </c>
      <c r="L112">
        <v>0.69</v>
      </c>
      <c r="M112" s="3">
        <v>6.4899999999999999E-2</v>
      </c>
      <c r="N112" s="2">
        <v>0</v>
      </c>
      <c r="O112" s="3">
        <v>6.4899999999999999E-2</v>
      </c>
      <c r="P112" s="2">
        <v>0.92</v>
      </c>
      <c r="Q112" s="2">
        <v>0</v>
      </c>
      <c r="R112" s="2">
        <v>0.92</v>
      </c>
      <c r="S112" t="s">
        <v>815</v>
      </c>
    </row>
    <row r="113" spans="1:21" x14ac:dyDescent="0.6">
      <c r="A113">
        <v>461</v>
      </c>
      <c r="B113" t="str">
        <f>"6112"</f>
        <v>6112</v>
      </c>
      <c r="C113" t="s">
        <v>552</v>
      </c>
      <c r="D113" s="1">
        <v>42923</v>
      </c>
      <c r="E113">
        <v>30.9</v>
      </c>
      <c r="F113">
        <v>0.05</v>
      </c>
      <c r="G113" s="3">
        <v>1.6000000000000001E-3</v>
      </c>
      <c r="H113">
        <v>2014</v>
      </c>
      <c r="I113">
        <v>2.52</v>
      </c>
      <c r="J113">
        <v>2</v>
      </c>
      <c r="K113">
        <v>1</v>
      </c>
      <c r="L113">
        <v>3</v>
      </c>
      <c r="M113" s="3">
        <v>6.4699999999999994E-2</v>
      </c>
      <c r="N113" s="3">
        <v>3.2399999999999998E-2</v>
      </c>
      <c r="O113" s="3">
        <v>9.7100000000000006E-2</v>
      </c>
      <c r="P113" s="3">
        <v>0.79400000000000004</v>
      </c>
      <c r="Q113" s="3">
        <v>0.39700000000000002</v>
      </c>
      <c r="R113" s="2">
        <v>1.19</v>
      </c>
      <c r="S113" t="s">
        <v>832</v>
      </c>
      <c r="T113" t="s">
        <v>832</v>
      </c>
      <c r="U113" t="s">
        <v>807</v>
      </c>
    </row>
    <row r="114" spans="1:21" x14ac:dyDescent="0.6">
      <c r="A114">
        <v>375</v>
      </c>
      <c r="B114" t="str">
        <f>"2006"</f>
        <v>2006</v>
      </c>
      <c r="C114" t="s">
        <v>458</v>
      </c>
      <c r="D114" s="1">
        <v>42923</v>
      </c>
      <c r="E114">
        <v>24.75</v>
      </c>
      <c r="F114">
        <v>-0.05</v>
      </c>
      <c r="G114" s="3">
        <v>-2E-3</v>
      </c>
      <c r="H114">
        <v>2014</v>
      </c>
      <c r="I114">
        <v>2.12</v>
      </c>
      <c r="J114">
        <v>1.6</v>
      </c>
      <c r="K114">
        <v>0</v>
      </c>
      <c r="L114">
        <v>1.6</v>
      </c>
      <c r="M114" s="3">
        <v>6.4600000000000005E-2</v>
      </c>
      <c r="N114" s="2">
        <v>0</v>
      </c>
      <c r="O114" s="3">
        <v>6.4600000000000005E-2</v>
      </c>
      <c r="P114" s="3">
        <v>0.755</v>
      </c>
      <c r="Q114" s="2">
        <v>0</v>
      </c>
      <c r="R114" s="3">
        <v>0.755</v>
      </c>
      <c r="S114" t="s">
        <v>819</v>
      </c>
      <c r="U114" t="s">
        <v>842</v>
      </c>
    </row>
    <row r="115" spans="1:21" x14ac:dyDescent="0.6">
      <c r="A115">
        <v>138</v>
      </c>
      <c r="B115" t="str">
        <f>"5878"</f>
        <v>5878</v>
      </c>
      <c r="C115" t="s">
        <v>205</v>
      </c>
      <c r="D115" s="1">
        <v>42923</v>
      </c>
      <c r="E115">
        <v>46.5</v>
      </c>
      <c r="F115">
        <v>-0.3</v>
      </c>
      <c r="G115" s="3">
        <v>-6.4000000000000003E-3</v>
      </c>
      <c r="H115">
        <v>2014</v>
      </c>
      <c r="I115">
        <v>3.9</v>
      </c>
      <c r="J115">
        <v>3</v>
      </c>
      <c r="K115">
        <v>0</v>
      </c>
      <c r="L115">
        <v>3</v>
      </c>
      <c r="M115" s="3">
        <v>6.4500000000000002E-2</v>
      </c>
      <c r="N115" s="2">
        <v>0</v>
      </c>
      <c r="O115" s="3">
        <v>6.4500000000000002E-2</v>
      </c>
      <c r="P115" s="3">
        <v>0.76900000000000002</v>
      </c>
      <c r="Q115" s="2">
        <v>0</v>
      </c>
      <c r="R115" s="3">
        <v>0.76900000000000002</v>
      </c>
      <c r="S115" t="s">
        <v>862</v>
      </c>
    </row>
    <row r="116" spans="1:21" x14ac:dyDescent="0.6">
      <c r="A116">
        <v>439</v>
      </c>
      <c r="B116" t="str">
        <f>"4906"</f>
        <v>4906</v>
      </c>
      <c r="C116" t="s">
        <v>529</v>
      </c>
      <c r="D116" s="1">
        <v>42923</v>
      </c>
      <c r="E116">
        <v>29.6</v>
      </c>
      <c r="F116">
        <v>-0.1</v>
      </c>
      <c r="G116" s="3">
        <v>-3.3999999999999998E-3</v>
      </c>
      <c r="H116">
        <v>2014</v>
      </c>
      <c r="I116">
        <v>1.48</v>
      </c>
      <c r="J116">
        <v>1.9</v>
      </c>
      <c r="K116">
        <v>0</v>
      </c>
      <c r="L116">
        <v>1.9</v>
      </c>
      <c r="M116" s="3">
        <v>6.4199999999999993E-2</v>
      </c>
      <c r="N116" s="2">
        <v>0</v>
      </c>
      <c r="O116" s="3">
        <v>6.4199999999999993E-2</v>
      </c>
      <c r="P116" s="2">
        <v>1.28</v>
      </c>
      <c r="Q116" s="2">
        <v>0</v>
      </c>
      <c r="R116" s="2">
        <v>1.28</v>
      </c>
      <c r="S116" t="s">
        <v>832</v>
      </c>
      <c r="U116" t="s">
        <v>807</v>
      </c>
    </row>
    <row r="117" spans="1:21" x14ac:dyDescent="0.6">
      <c r="A117">
        <v>287</v>
      </c>
      <c r="B117" t="str">
        <f>"2356"</f>
        <v>2356</v>
      </c>
      <c r="C117" t="s">
        <v>369</v>
      </c>
      <c r="D117" s="1">
        <v>42923</v>
      </c>
      <c r="E117">
        <v>25.35</v>
      </c>
      <c r="F117">
        <v>0.15</v>
      </c>
      <c r="G117" s="3">
        <v>6.0000000000000001E-3</v>
      </c>
      <c r="H117">
        <v>2014</v>
      </c>
      <c r="I117">
        <v>1.97</v>
      </c>
      <c r="J117">
        <v>1.6</v>
      </c>
      <c r="K117">
        <v>0</v>
      </c>
      <c r="L117">
        <v>1.6</v>
      </c>
      <c r="M117" s="3">
        <v>6.3100000000000003E-2</v>
      </c>
      <c r="N117" s="2">
        <v>0</v>
      </c>
      <c r="O117" s="3">
        <v>6.3100000000000003E-2</v>
      </c>
      <c r="P117" s="3">
        <v>0.81200000000000006</v>
      </c>
      <c r="Q117" s="2">
        <v>0</v>
      </c>
      <c r="R117" s="3">
        <v>0.81200000000000006</v>
      </c>
      <c r="S117" t="s">
        <v>831</v>
      </c>
    </row>
    <row r="118" spans="1:21" x14ac:dyDescent="0.6">
      <c r="A118">
        <v>330</v>
      </c>
      <c r="B118" t="str">
        <f>"8109"</f>
        <v>8109</v>
      </c>
      <c r="C118" t="s">
        <v>412</v>
      </c>
      <c r="D118" s="1">
        <v>42923</v>
      </c>
      <c r="E118">
        <v>63.4</v>
      </c>
      <c r="F118">
        <v>-0.2</v>
      </c>
      <c r="G118" s="3">
        <v>-3.0999999999999999E-3</v>
      </c>
      <c r="H118">
        <v>2014</v>
      </c>
      <c r="I118">
        <v>4.3600000000000003</v>
      </c>
      <c r="J118">
        <v>4</v>
      </c>
      <c r="K118">
        <v>0</v>
      </c>
      <c r="L118">
        <v>4</v>
      </c>
      <c r="M118" s="3">
        <v>6.3100000000000003E-2</v>
      </c>
      <c r="N118" s="2">
        <v>0</v>
      </c>
      <c r="O118" s="3">
        <v>6.3100000000000003E-2</v>
      </c>
      <c r="P118" s="3">
        <v>0.91700000000000004</v>
      </c>
      <c r="Q118" s="2">
        <v>0</v>
      </c>
      <c r="R118" s="3">
        <v>0.91700000000000004</v>
      </c>
      <c r="S118" t="s">
        <v>861</v>
      </c>
      <c r="U118" t="s">
        <v>799</v>
      </c>
    </row>
    <row r="119" spans="1:21" x14ac:dyDescent="0.6">
      <c r="A119">
        <v>91</v>
      </c>
      <c r="B119" t="str">
        <f>"3528"</f>
        <v>3528</v>
      </c>
      <c r="C119" t="s">
        <v>154</v>
      </c>
      <c r="D119" s="1">
        <v>42923</v>
      </c>
      <c r="E119">
        <v>31.9</v>
      </c>
      <c r="F119">
        <v>-0.1</v>
      </c>
      <c r="G119" s="3">
        <v>-3.0999999999999999E-3</v>
      </c>
      <c r="H119">
        <v>2014</v>
      </c>
      <c r="I119">
        <v>2.79</v>
      </c>
      <c r="J119">
        <v>2</v>
      </c>
      <c r="K119">
        <v>0.3</v>
      </c>
      <c r="L119">
        <v>2.2999999999999998</v>
      </c>
      <c r="M119" s="3">
        <v>6.2700000000000006E-2</v>
      </c>
      <c r="N119" s="3">
        <v>9.4000000000000004E-3</v>
      </c>
      <c r="O119" s="3">
        <v>7.2099999999999997E-2</v>
      </c>
      <c r="P119" s="3">
        <v>0.71699999999999997</v>
      </c>
      <c r="Q119" s="3">
        <v>0.108</v>
      </c>
      <c r="R119" s="3">
        <v>0.82399999999999995</v>
      </c>
      <c r="S119" t="s">
        <v>828</v>
      </c>
      <c r="T119" t="s">
        <v>828</v>
      </c>
    </row>
    <row r="120" spans="1:21" x14ac:dyDescent="0.6">
      <c r="A120">
        <v>311</v>
      </c>
      <c r="B120" t="str">
        <f>"8923"</f>
        <v>8923</v>
      </c>
      <c r="C120" t="s">
        <v>393</v>
      </c>
      <c r="D120" s="1">
        <v>42923</v>
      </c>
      <c r="E120">
        <v>16</v>
      </c>
      <c r="F120">
        <v>0</v>
      </c>
      <c r="G120" s="2">
        <v>0</v>
      </c>
      <c r="H120">
        <v>2014</v>
      </c>
      <c r="I120">
        <v>0.74</v>
      </c>
      <c r="J120">
        <v>1</v>
      </c>
      <c r="K120">
        <v>0</v>
      </c>
      <c r="L120">
        <v>1</v>
      </c>
      <c r="M120" s="3">
        <v>6.25E-2</v>
      </c>
      <c r="N120" s="2">
        <v>0</v>
      </c>
      <c r="O120" s="3">
        <v>6.25E-2</v>
      </c>
      <c r="P120" s="2">
        <v>1.35</v>
      </c>
      <c r="Q120" s="2">
        <v>0</v>
      </c>
      <c r="R120" s="2">
        <v>1.35</v>
      </c>
      <c r="S120" t="s">
        <v>878</v>
      </c>
    </row>
    <row r="121" spans="1:21" x14ac:dyDescent="0.6">
      <c r="A121">
        <v>101</v>
      </c>
      <c r="B121" t="str">
        <f>"2034"</f>
        <v>2034</v>
      </c>
      <c r="C121" t="s">
        <v>164</v>
      </c>
      <c r="D121" s="1">
        <v>42923</v>
      </c>
      <c r="E121">
        <v>24.35</v>
      </c>
      <c r="F121">
        <v>-0.2</v>
      </c>
      <c r="G121" s="3">
        <v>-8.0999999999999996E-3</v>
      </c>
      <c r="H121">
        <v>2014</v>
      </c>
      <c r="I121">
        <v>1.76</v>
      </c>
      <c r="J121">
        <v>1.5</v>
      </c>
      <c r="K121">
        <v>0</v>
      </c>
      <c r="L121">
        <v>1.5</v>
      </c>
      <c r="M121" s="3">
        <v>6.1600000000000002E-2</v>
      </c>
      <c r="N121" s="2">
        <v>0</v>
      </c>
      <c r="O121" s="3">
        <v>6.1600000000000002E-2</v>
      </c>
      <c r="P121" s="3">
        <v>0.85199999999999998</v>
      </c>
      <c r="Q121" s="2">
        <v>0</v>
      </c>
      <c r="R121" s="3">
        <v>0.85199999999999998</v>
      </c>
      <c r="S121" t="s">
        <v>816</v>
      </c>
    </row>
    <row r="122" spans="1:21" x14ac:dyDescent="0.6">
      <c r="A122">
        <v>401</v>
      </c>
      <c r="B122" t="str">
        <f>"3131"</f>
        <v>3131</v>
      </c>
      <c r="C122" t="s">
        <v>487</v>
      </c>
      <c r="D122" s="1">
        <v>42923</v>
      </c>
      <c r="E122">
        <v>195.5</v>
      </c>
      <c r="F122">
        <v>2</v>
      </c>
      <c r="G122" s="3">
        <v>1.03E-2</v>
      </c>
      <c r="H122">
        <v>2014</v>
      </c>
      <c r="I122">
        <v>20.3</v>
      </c>
      <c r="J122">
        <v>12</v>
      </c>
      <c r="K122">
        <v>0</v>
      </c>
      <c r="L122">
        <v>12</v>
      </c>
      <c r="M122" s="3">
        <v>6.1400000000000003E-2</v>
      </c>
      <c r="N122" s="2">
        <v>0</v>
      </c>
      <c r="O122" s="3">
        <v>6.1400000000000003E-2</v>
      </c>
      <c r="P122" s="3">
        <v>0.59099999999999997</v>
      </c>
      <c r="Q122" s="2">
        <v>0</v>
      </c>
      <c r="R122" s="3">
        <v>0.59099999999999997</v>
      </c>
      <c r="S122" t="s">
        <v>847</v>
      </c>
    </row>
    <row r="123" spans="1:21" x14ac:dyDescent="0.6">
      <c r="A123">
        <v>402</v>
      </c>
      <c r="B123" t="str">
        <f>"6206"</f>
        <v>6206</v>
      </c>
      <c r="C123" t="s">
        <v>488</v>
      </c>
      <c r="D123" s="1">
        <v>42923</v>
      </c>
      <c r="E123">
        <v>97.9</v>
      </c>
      <c r="F123">
        <v>-0.5</v>
      </c>
      <c r="G123" s="3">
        <v>-5.1000000000000004E-3</v>
      </c>
      <c r="H123">
        <v>2014</v>
      </c>
      <c r="I123">
        <v>7.38</v>
      </c>
      <c r="J123">
        <v>6</v>
      </c>
      <c r="K123">
        <v>1</v>
      </c>
      <c r="L123">
        <v>7</v>
      </c>
      <c r="M123" s="3">
        <v>6.13E-2</v>
      </c>
      <c r="N123" s="3">
        <v>1.0200000000000001E-2</v>
      </c>
      <c r="O123" s="3">
        <v>7.1499999999999994E-2</v>
      </c>
      <c r="P123" s="3">
        <v>0.81299999999999994</v>
      </c>
      <c r="Q123" s="3">
        <v>0.13600000000000001</v>
      </c>
      <c r="R123" s="3">
        <v>0.94799999999999995</v>
      </c>
      <c r="S123" t="s">
        <v>817</v>
      </c>
      <c r="T123" t="s">
        <v>817</v>
      </c>
      <c r="U123" t="s">
        <v>837</v>
      </c>
    </row>
    <row r="124" spans="1:21" x14ac:dyDescent="0.6">
      <c r="A124">
        <v>49</v>
      </c>
      <c r="B124" t="str">
        <f>"2471"</f>
        <v>2471</v>
      </c>
      <c r="C124" t="s">
        <v>97</v>
      </c>
      <c r="D124" s="1">
        <v>42923</v>
      </c>
      <c r="E124">
        <v>16.350000000000001</v>
      </c>
      <c r="F124">
        <v>-0.05</v>
      </c>
      <c r="G124" s="3">
        <v>-3.0000000000000001E-3</v>
      </c>
      <c r="H124">
        <v>2014</v>
      </c>
      <c r="I124">
        <v>1.08</v>
      </c>
      <c r="J124">
        <v>1</v>
      </c>
      <c r="K124">
        <v>0</v>
      </c>
      <c r="L124">
        <v>1</v>
      </c>
      <c r="M124" s="3">
        <v>6.1199999999999997E-2</v>
      </c>
      <c r="N124" s="2">
        <v>0</v>
      </c>
      <c r="O124" s="3">
        <v>6.1199999999999997E-2</v>
      </c>
      <c r="P124" s="3">
        <v>0.92600000000000005</v>
      </c>
      <c r="Q124" s="2">
        <v>0</v>
      </c>
      <c r="R124" s="3">
        <v>0.92600000000000005</v>
      </c>
      <c r="S124" t="s">
        <v>839</v>
      </c>
      <c r="U124" t="s">
        <v>794</v>
      </c>
    </row>
    <row r="125" spans="1:21" x14ac:dyDescent="0.6">
      <c r="A125">
        <v>224</v>
      </c>
      <c r="B125" t="str">
        <f>"2393"</f>
        <v>2393</v>
      </c>
      <c r="C125" t="s">
        <v>303</v>
      </c>
      <c r="D125" s="1">
        <v>42923</v>
      </c>
      <c r="E125">
        <v>48.95</v>
      </c>
      <c r="F125">
        <v>0</v>
      </c>
      <c r="G125" s="2">
        <v>0</v>
      </c>
      <c r="H125">
        <v>2014</v>
      </c>
      <c r="I125">
        <v>3.51</v>
      </c>
      <c r="J125">
        <v>2.97</v>
      </c>
      <c r="K125">
        <v>0</v>
      </c>
      <c r="L125">
        <v>2.97</v>
      </c>
      <c r="M125" s="3">
        <v>6.0699999999999997E-2</v>
      </c>
      <c r="N125" s="2">
        <v>0</v>
      </c>
      <c r="O125" s="3">
        <v>6.0699999999999997E-2</v>
      </c>
      <c r="P125" s="3">
        <v>0.84599999999999997</v>
      </c>
      <c r="Q125" s="2">
        <v>0</v>
      </c>
      <c r="R125" s="3">
        <v>0.84599999999999997</v>
      </c>
      <c r="S125" t="s">
        <v>813</v>
      </c>
      <c r="U125" t="s">
        <v>868</v>
      </c>
    </row>
    <row r="126" spans="1:21" x14ac:dyDescent="0.6">
      <c r="A126">
        <v>240</v>
      </c>
      <c r="B126" t="str">
        <f>"8042"</f>
        <v>8042</v>
      </c>
      <c r="C126" t="s">
        <v>319</v>
      </c>
      <c r="D126" s="1">
        <v>42923</v>
      </c>
      <c r="E126">
        <v>57.8</v>
      </c>
      <c r="F126">
        <v>-0.3</v>
      </c>
      <c r="G126" s="3">
        <v>-5.1999999999999998E-3</v>
      </c>
      <c r="H126">
        <v>2014</v>
      </c>
      <c r="I126">
        <v>5.3</v>
      </c>
      <c r="J126">
        <v>3.5</v>
      </c>
      <c r="K126">
        <v>0</v>
      </c>
      <c r="L126">
        <v>3.5</v>
      </c>
      <c r="M126" s="3">
        <v>6.0499999999999998E-2</v>
      </c>
      <c r="N126" s="2">
        <v>0</v>
      </c>
      <c r="O126" s="3">
        <v>6.0499999999999998E-2</v>
      </c>
      <c r="P126" s="2">
        <v>0.66</v>
      </c>
      <c r="Q126" s="2">
        <v>0</v>
      </c>
      <c r="R126" s="2">
        <v>0.66</v>
      </c>
      <c r="S126" t="s">
        <v>849</v>
      </c>
      <c r="U126" t="s">
        <v>799</v>
      </c>
    </row>
    <row r="127" spans="1:21" x14ac:dyDescent="0.6">
      <c r="A127">
        <v>208</v>
      </c>
      <c r="B127" t="str">
        <f>"8435"</f>
        <v>8435</v>
      </c>
      <c r="C127" t="s">
        <v>287</v>
      </c>
      <c r="D127" s="1">
        <v>42923</v>
      </c>
      <c r="E127">
        <v>48</v>
      </c>
      <c r="F127">
        <v>0.5</v>
      </c>
      <c r="G127" s="3">
        <v>1.0500000000000001E-2</v>
      </c>
      <c r="H127">
        <v>2014</v>
      </c>
      <c r="I127">
        <v>3.7</v>
      </c>
      <c r="J127">
        <v>2.9</v>
      </c>
      <c r="K127">
        <v>0.4</v>
      </c>
      <c r="L127">
        <v>3.3</v>
      </c>
      <c r="M127" s="3">
        <v>6.0400000000000002E-2</v>
      </c>
      <c r="N127" s="3">
        <v>8.3000000000000001E-3</v>
      </c>
      <c r="O127" s="3">
        <v>6.88E-2</v>
      </c>
      <c r="P127" s="3">
        <v>0.78400000000000003</v>
      </c>
      <c r="Q127" s="3">
        <v>0.108</v>
      </c>
      <c r="R127" s="3">
        <v>0.89200000000000002</v>
      </c>
      <c r="S127" t="s">
        <v>822</v>
      </c>
      <c r="T127" t="s">
        <v>822</v>
      </c>
      <c r="U127" t="s">
        <v>792</v>
      </c>
    </row>
    <row r="128" spans="1:21" x14ac:dyDescent="0.6">
      <c r="A128">
        <v>318</v>
      </c>
      <c r="B128" t="str">
        <f>"2385"</f>
        <v>2385</v>
      </c>
      <c r="C128" t="s">
        <v>400</v>
      </c>
      <c r="D128" s="1">
        <v>42923</v>
      </c>
      <c r="E128">
        <v>76.2</v>
      </c>
      <c r="F128">
        <v>0.3</v>
      </c>
      <c r="G128" s="3">
        <v>4.0000000000000001E-3</v>
      </c>
      <c r="H128">
        <v>2014</v>
      </c>
      <c r="I128">
        <v>5.83</v>
      </c>
      <c r="J128">
        <v>4.5999999999999996</v>
      </c>
      <c r="K128">
        <v>0.05</v>
      </c>
      <c r="L128">
        <v>4.6500000000000004</v>
      </c>
      <c r="M128" s="3">
        <v>6.0400000000000002E-2</v>
      </c>
      <c r="N128" s="3">
        <v>6.9999999999999999E-4</v>
      </c>
      <c r="O128" s="3">
        <v>6.0999999999999999E-2</v>
      </c>
      <c r="P128" s="3">
        <v>0.78900000000000003</v>
      </c>
      <c r="Q128" s="3">
        <v>8.6E-3</v>
      </c>
      <c r="R128" s="3">
        <v>0.79800000000000004</v>
      </c>
      <c r="S128" t="s">
        <v>880</v>
      </c>
      <c r="T128" t="s">
        <v>804</v>
      </c>
    </row>
    <row r="129" spans="1:21" x14ac:dyDescent="0.6">
      <c r="A129">
        <v>238</v>
      </c>
      <c r="B129" t="str">
        <f>"5604"</f>
        <v>5604</v>
      </c>
      <c r="C129" t="s">
        <v>317</v>
      </c>
      <c r="D129" s="1">
        <v>42923</v>
      </c>
      <c r="E129">
        <v>29.9</v>
      </c>
      <c r="F129">
        <v>0.1</v>
      </c>
      <c r="G129" s="3">
        <v>3.3999999999999998E-3</v>
      </c>
      <c r="H129">
        <v>2014</v>
      </c>
      <c r="I129">
        <v>1.25</v>
      </c>
      <c r="J129">
        <v>1.8</v>
      </c>
      <c r="K129">
        <v>0</v>
      </c>
      <c r="L129">
        <v>1.8</v>
      </c>
      <c r="M129" s="3">
        <v>6.0199999999999997E-2</v>
      </c>
      <c r="N129" s="2">
        <v>0</v>
      </c>
      <c r="O129" s="3">
        <v>6.0199999999999997E-2</v>
      </c>
      <c r="P129" s="2">
        <v>1.44</v>
      </c>
      <c r="Q129" s="2">
        <v>0</v>
      </c>
      <c r="R129" s="2">
        <v>1.44</v>
      </c>
      <c r="S129" t="s">
        <v>855</v>
      </c>
    </row>
    <row r="130" spans="1:21" x14ac:dyDescent="0.6">
      <c r="A130">
        <v>473</v>
      </c>
      <c r="B130" t="str">
        <f>"9942"</f>
        <v>9942</v>
      </c>
      <c r="C130" t="s">
        <v>566</v>
      </c>
      <c r="D130" s="1">
        <v>42923</v>
      </c>
      <c r="E130">
        <v>83.2</v>
      </c>
      <c r="F130">
        <v>1</v>
      </c>
      <c r="G130" s="3">
        <v>1.2200000000000001E-2</v>
      </c>
      <c r="H130">
        <v>2014</v>
      </c>
      <c r="I130">
        <v>6.06</v>
      </c>
      <c r="J130">
        <v>5</v>
      </c>
      <c r="K130">
        <v>0</v>
      </c>
      <c r="L130">
        <v>5</v>
      </c>
      <c r="M130" s="3">
        <v>6.0100000000000001E-2</v>
      </c>
      <c r="N130" s="2">
        <v>0</v>
      </c>
      <c r="O130" s="3">
        <v>6.0100000000000001E-2</v>
      </c>
      <c r="P130" s="3">
        <v>0.82499999999999996</v>
      </c>
      <c r="Q130" s="2">
        <v>0</v>
      </c>
      <c r="R130" s="3">
        <v>0.82499999999999996</v>
      </c>
      <c r="S130" t="s">
        <v>834</v>
      </c>
    </row>
    <row r="131" spans="1:21" x14ac:dyDescent="0.6">
      <c r="A131">
        <v>188</v>
      </c>
      <c r="B131" t="str">
        <f>"6202"</f>
        <v>6202</v>
      </c>
      <c r="C131" t="s">
        <v>265</v>
      </c>
      <c r="D131" s="1">
        <v>42923</v>
      </c>
      <c r="E131">
        <v>55</v>
      </c>
      <c r="F131">
        <v>-0.4</v>
      </c>
      <c r="G131" s="3">
        <v>-7.1999999999999998E-3</v>
      </c>
      <c r="H131">
        <v>2014</v>
      </c>
      <c r="I131">
        <v>3.32</v>
      </c>
      <c r="J131">
        <v>3.3</v>
      </c>
      <c r="K131">
        <v>0</v>
      </c>
      <c r="L131">
        <v>3.3</v>
      </c>
      <c r="M131" s="2">
        <v>0.06</v>
      </c>
      <c r="N131" s="2">
        <v>0</v>
      </c>
      <c r="O131" s="2">
        <v>0.06</v>
      </c>
      <c r="P131" s="3">
        <v>0.99399999999999999</v>
      </c>
      <c r="Q131" s="2">
        <v>0</v>
      </c>
      <c r="R131" s="3">
        <v>0.99399999999999999</v>
      </c>
      <c r="S131" t="s">
        <v>841</v>
      </c>
      <c r="U131" t="s">
        <v>868</v>
      </c>
    </row>
    <row r="132" spans="1:21" x14ac:dyDescent="0.6">
      <c r="A132">
        <v>134</v>
      </c>
      <c r="B132" t="str">
        <f>"6277"</f>
        <v>6277</v>
      </c>
      <c r="C132" t="s">
        <v>200</v>
      </c>
      <c r="D132" s="1">
        <v>42923</v>
      </c>
      <c r="E132">
        <v>83.5</v>
      </c>
      <c r="F132">
        <v>-0.2</v>
      </c>
      <c r="G132" s="3">
        <v>-2.3999999999999998E-3</v>
      </c>
      <c r="H132">
        <v>2014</v>
      </c>
      <c r="I132">
        <v>6.2</v>
      </c>
      <c r="J132">
        <v>5</v>
      </c>
      <c r="K132">
        <v>0</v>
      </c>
      <c r="L132">
        <v>5</v>
      </c>
      <c r="M132" s="3">
        <v>5.9900000000000002E-2</v>
      </c>
      <c r="N132" s="2">
        <v>0</v>
      </c>
      <c r="O132" s="3">
        <v>5.9900000000000002E-2</v>
      </c>
      <c r="P132" s="3">
        <v>0.80600000000000005</v>
      </c>
      <c r="Q132" s="2">
        <v>0</v>
      </c>
      <c r="R132" s="3">
        <v>0.80600000000000005</v>
      </c>
      <c r="S132" t="s">
        <v>861</v>
      </c>
      <c r="U132" t="s">
        <v>810</v>
      </c>
    </row>
    <row r="133" spans="1:21" x14ac:dyDescent="0.6">
      <c r="A133">
        <v>413</v>
      </c>
      <c r="B133" t="str">
        <f>"9930"</f>
        <v>9930</v>
      </c>
      <c r="C133" t="s">
        <v>500</v>
      </c>
      <c r="D133" s="1">
        <v>42923</v>
      </c>
      <c r="E133">
        <v>55.3</v>
      </c>
      <c r="F133">
        <v>-0.1</v>
      </c>
      <c r="G133" s="3">
        <v>-1.8E-3</v>
      </c>
      <c r="H133">
        <v>2014</v>
      </c>
      <c r="I133">
        <v>3.92</v>
      </c>
      <c r="J133">
        <v>3.3</v>
      </c>
      <c r="K133">
        <v>0</v>
      </c>
      <c r="L133">
        <v>3.3</v>
      </c>
      <c r="M133" s="3">
        <v>5.9700000000000003E-2</v>
      </c>
      <c r="N133" s="2">
        <v>0</v>
      </c>
      <c r="O133" s="3">
        <v>5.9700000000000003E-2</v>
      </c>
      <c r="P133" s="3">
        <v>0.84199999999999997</v>
      </c>
      <c r="Q133" s="2">
        <v>0</v>
      </c>
      <c r="R133" s="3">
        <v>0.84199999999999997</v>
      </c>
      <c r="S133" t="s">
        <v>815</v>
      </c>
    </row>
    <row r="134" spans="1:21" x14ac:dyDescent="0.6">
      <c r="A134">
        <v>391</v>
      </c>
      <c r="B134" t="str">
        <f>"3010"</f>
        <v>3010</v>
      </c>
      <c r="C134" t="s">
        <v>475</v>
      </c>
      <c r="D134" s="1">
        <v>42923</v>
      </c>
      <c r="E134">
        <v>50.3</v>
      </c>
      <c r="F134">
        <v>0</v>
      </c>
      <c r="G134" s="2">
        <v>0</v>
      </c>
      <c r="H134">
        <v>2014</v>
      </c>
      <c r="I134">
        <v>5.01</v>
      </c>
      <c r="J134">
        <v>3</v>
      </c>
      <c r="K134">
        <v>0</v>
      </c>
      <c r="L134">
        <v>3</v>
      </c>
      <c r="M134" s="3">
        <v>5.96E-2</v>
      </c>
      <c r="N134" s="2">
        <v>0</v>
      </c>
      <c r="O134" s="3">
        <v>5.96E-2</v>
      </c>
      <c r="P134" s="3">
        <v>0.59899999999999998</v>
      </c>
      <c r="Q134" s="2">
        <v>0</v>
      </c>
      <c r="R134" s="3">
        <v>0.59899999999999998</v>
      </c>
      <c r="S134" t="s">
        <v>828</v>
      </c>
    </row>
    <row r="135" spans="1:21" x14ac:dyDescent="0.6">
      <c r="A135">
        <v>288</v>
      </c>
      <c r="B135" t="str">
        <f>"9188"</f>
        <v>9188</v>
      </c>
      <c r="C135" t="s">
        <v>370</v>
      </c>
      <c r="D135" s="1">
        <v>42923</v>
      </c>
      <c r="E135">
        <v>4.8499999999999996</v>
      </c>
      <c r="F135">
        <v>0</v>
      </c>
      <c r="G135" s="2">
        <v>0</v>
      </c>
      <c r="H135">
        <v>2014</v>
      </c>
      <c r="J135">
        <v>0.28999999999999998</v>
      </c>
      <c r="K135">
        <v>0</v>
      </c>
      <c r="L135">
        <v>0.28999999999999998</v>
      </c>
      <c r="M135" s="3">
        <v>5.9499999999999997E-2</v>
      </c>
      <c r="N135" s="2">
        <v>0</v>
      </c>
      <c r="O135" s="3">
        <v>5.9499999999999997E-2</v>
      </c>
      <c r="S135" t="s">
        <v>828</v>
      </c>
    </row>
    <row r="136" spans="1:21" x14ac:dyDescent="0.6">
      <c r="A136">
        <v>249</v>
      </c>
      <c r="B136" t="str">
        <f>"1234"</f>
        <v>1234</v>
      </c>
      <c r="C136" t="s">
        <v>328</v>
      </c>
      <c r="D136" s="1">
        <v>42923</v>
      </c>
      <c r="E136">
        <v>33.65</v>
      </c>
      <c r="F136">
        <v>-0.25</v>
      </c>
      <c r="G136" s="3">
        <v>-7.4000000000000003E-3</v>
      </c>
      <c r="H136">
        <v>2014</v>
      </c>
      <c r="I136">
        <v>0.64</v>
      </c>
      <c r="J136">
        <v>2</v>
      </c>
      <c r="K136">
        <v>0</v>
      </c>
      <c r="L136">
        <v>2</v>
      </c>
      <c r="M136" s="3">
        <v>5.9400000000000001E-2</v>
      </c>
      <c r="N136" s="2">
        <v>0</v>
      </c>
      <c r="O136" s="3">
        <v>5.9400000000000001E-2</v>
      </c>
      <c r="P136" s="2">
        <v>3.12</v>
      </c>
      <c r="Q136" s="2">
        <v>0</v>
      </c>
      <c r="R136" s="2">
        <v>3.12</v>
      </c>
      <c r="S136" t="s">
        <v>861</v>
      </c>
      <c r="U136" t="s">
        <v>799</v>
      </c>
    </row>
    <row r="137" spans="1:21" x14ac:dyDescent="0.6">
      <c r="A137">
        <v>25</v>
      </c>
      <c r="B137" t="str">
        <f>"6201"</f>
        <v>6201</v>
      </c>
      <c r="C137" t="s">
        <v>59</v>
      </c>
      <c r="D137" s="1">
        <v>42923</v>
      </c>
      <c r="E137">
        <v>33.75</v>
      </c>
      <c r="F137">
        <v>0</v>
      </c>
      <c r="G137" s="2">
        <v>0</v>
      </c>
      <c r="H137">
        <v>2014</v>
      </c>
      <c r="I137">
        <v>1.1499999999999999</v>
      </c>
      <c r="J137">
        <v>2</v>
      </c>
      <c r="K137">
        <v>0</v>
      </c>
      <c r="L137">
        <v>2</v>
      </c>
      <c r="M137" s="3">
        <v>5.9299999999999999E-2</v>
      </c>
      <c r="N137" s="2">
        <v>0</v>
      </c>
      <c r="O137" s="3">
        <v>5.9299999999999999E-2</v>
      </c>
      <c r="P137" s="2">
        <v>1.74</v>
      </c>
      <c r="Q137" s="2">
        <v>0</v>
      </c>
      <c r="R137" s="2">
        <v>1.74</v>
      </c>
      <c r="S137" t="s">
        <v>819</v>
      </c>
      <c r="U137" t="s">
        <v>792</v>
      </c>
    </row>
    <row r="138" spans="1:21" x14ac:dyDescent="0.6">
      <c r="A138">
        <v>253</v>
      </c>
      <c r="B138" t="str">
        <f>"2015"</f>
        <v>2015</v>
      </c>
      <c r="C138" t="s">
        <v>332</v>
      </c>
      <c r="D138" s="1">
        <v>42923</v>
      </c>
      <c r="E138">
        <v>50.6</v>
      </c>
      <c r="F138">
        <v>-0.4</v>
      </c>
      <c r="G138" s="3">
        <v>-7.7999999999999996E-3</v>
      </c>
      <c r="H138">
        <v>2014</v>
      </c>
      <c r="I138">
        <v>2.4900000000000002</v>
      </c>
      <c r="J138">
        <v>3</v>
      </c>
      <c r="K138">
        <v>0</v>
      </c>
      <c r="L138">
        <v>3</v>
      </c>
      <c r="M138" s="3">
        <v>5.9299999999999999E-2</v>
      </c>
      <c r="N138" s="2">
        <v>0</v>
      </c>
      <c r="O138" s="3">
        <v>5.9299999999999999E-2</v>
      </c>
      <c r="P138" s="2">
        <v>1.2</v>
      </c>
      <c r="Q138" s="2">
        <v>0</v>
      </c>
      <c r="R138" s="2">
        <v>1.2</v>
      </c>
      <c r="S138" t="s">
        <v>843</v>
      </c>
    </row>
    <row r="139" spans="1:21" x14ac:dyDescent="0.6">
      <c r="A139">
        <v>121</v>
      </c>
      <c r="B139" t="str">
        <f>"3628"</f>
        <v>3628</v>
      </c>
      <c r="C139" t="s">
        <v>186</v>
      </c>
      <c r="D139" s="1">
        <v>42923</v>
      </c>
      <c r="E139">
        <v>42.3</v>
      </c>
      <c r="F139">
        <v>-0.5</v>
      </c>
      <c r="G139" s="3">
        <v>-1.17E-2</v>
      </c>
      <c r="H139">
        <v>2014</v>
      </c>
      <c r="I139">
        <v>3.2</v>
      </c>
      <c r="J139">
        <v>2.5</v>
      </c>
      <c r="K139">
        <v>0</v>
      </c>
      <c r="L139">
        <v>2.5</v>
      </c>
      <c r="M139" s="3">
        <v>5.91E-2</v>
      </c>
      <c r="N139" s="2">
        <v>0</v>
      </c>
      <c r="O139" s="3">
        <v>5.91E-2</v>
      </c>
      <c r="P139" s="3">
        <v>0.78100000000000003</v>
      </c>
      <c r="Q139" s="2">
        <v>0</v>
      </c>
      <c r="R139" s="3">
        <v>0.78100000000000003</v>
      </c>
      <c r="S139" t="s">
        <v>791</v>
      </c>
      <c r="U139" t="s">
        <v>799</v>
      </c>
    </row>
    <row r="140" spans="1:21" x14ac:dyDescent="0.6">
      <c r="A140">
        <v>122</v>
      </c>
      <c r="B140" t="str">
        <f>"5410"</f>
        <v>5410</v>
      </c>
      <c r="C140" t="s">
        <v>187</v>
      </c>
      <c r="D140" s="1">
        <v>42923</v>
      </c>
      <c r="E140">
        <v>14.1</v>
      </c>
      <c r="F140">
        <v>0</v>
      </c>
      <c r="G140" s="2">
        <v>0</v>
      </c>
      <c r="H140">
        <v>2014</v>
      </c>
      <c r="I140">
        <v>0.97</v>
      </c>
      <c r="J140">
        <v>0.83</v>
      </c>
      <c r="K140">
        <v>0</v>
      </c>
      <c r="L140">
        <v>0.83</v>
      </c>
      <c r="M140" s="3">
        <v>5.8900000000000001E-2</v>
      </c>
      <c r="N140" s="2">
        <v>0</v>
      </c>
      <c r="O140" s="3">
        <v>5.8900000000000001E-2</v>
      </c>
      <c r="P140" s="3">
        <v>0.85599999999999998</v>
      </c>
      <c r="Q140" s="2">
        <v>0</v>
      </c>
      <c r="R140" s="3">
        <v>0.85599999999999998</v>
      </c>
      <c r="S140" t="s">
        <v>830</v>
      </c>
      <c r="U140" t="s">
        <v>792</v>
      </c>
    </row>
    <row r="141" spans="1:21" x14ac:dyDescent="0.6">
      <c r="A141">
        <v>364</v>
      </c>
      <c r="B141" t="str">
        <f>"8091"</f>
        <v>8091</v>
      </c>
      <c r="C141" t="s">
        <v>447</v>
      </c>
      <c r="D141" s="1">
        <v>42923</v>
      </c>
      <c r="E141">
        <v>68</v>
      </c>
      <c r="F141">
        <v>-0.2</v>
      </c>
      <c r="G141" s="3">
        <v>-2.8999999999999998E-3</v>
      </c>
      <c r="H141">
        <v>2014</v>
      </c>
      <c r="I141">
        <v>4.53</v>
      </c>
      <c r="J141">
        <v>3.97</v>
      </c>
      <c r="K141">
        <v>0</v>
      </c>
      <c r="L141">
        <v>3.97</v>
      </c>
      <c r="M141" s="3">
        <v>5.8299999999999998E-2</v>
      </c>
      <c r="N141" s="2">
        <v>0</v>
      </c>
      <c r="O141" s="3">
        <v>5.8299999999999998E-2</v>
      </c>
      <c r="P141" s="3">
        <v>0.876</v>
      </c>
      <c r="Q141" s="2">
        <v>0</v>
      </c>
      <c r="R141" s="3">
        <v>0.876</v>
      </c>
      <c r="S141" t="s">
        <v>791</v>
      </c>
      <c r="U141" t="s">
        <v>814</v>
      </c>
    </row>
    <row r="142" spans="1:21" x14ac:dyDescent="0.6">
      <c r="A142">
        <v>499</v>
      </c>
      <c r="B142" t="str">
        <f>"5536"</f>
        <v>5536</v>
      </c>
      <c r="C142" t="s">
        <v>593</v>
      </c>
      <c r="D142" s="1">
        <v>42923</v>
      </c>
      <c r="E142">
        <v>172</v>
      </c>
      <c r="F142">
        <v>4</v>
      </c>
      <c r="G142" s="3">
        <v>2.3800000000000002E-2</v>
      </c>
      <c r="H142">
        <v>2014</v>
      </c>
      <c r="I142">
        <v>10.11</v>
      </c>
      <c r="J142">
        <v>10</v>
      </c>
      <c r="K142">
        <v>0</v>
      </c>
      <c r="L142">
        <v>10</v>
      </c>
      <c r="M142" s="3">
        <v>5.8099999999999999E-2</v>
      </c>
      <c r="N142" s="2">
        <v>0</v>
      </c>
      <c r="O142" s="3">
        <v>5.8099999999999999E-2</v>
      </c>
      <c r="P142" s="3">
        <v>0.98899999999999999</v>
      </c>
      <c r="Q142" s="2">
        <v>0</v>
      </c>
      <c r="R142" s="3">
        <v>0.98899999999999999</v>
      </c>
      <c r="S142" t="s">
        <v>823</v>
      </c>
    </row>
    <row r="143" spans="1:21" x14ac:dyDescent="0.6">
      <c r="A143">
        <v>113</v>
      </c>
      <c r="B143" t="str">
        <f>"6128"</f>
        <v>6128</v>
      </c>
      <c r="C143" t="s">
        <v>177</v>
      </c>
      <c r="D143" s="1">
        <v>42923</v>
      </c>
      <c r="E143">
        <v>38.799999999999997</v>
      </c>
      <c r="F143">
        <v>0.05</v>
      </c>
      <c r="G143" s="3">
        <v>1.2999999999999999E-3</v>
      </c>
      <c r="H143">
        <v>2014</v>
      </c>
      <c r="I143">
        <v>2.41</v>
      </c>
      <c r="J143">
        <v>2.25</v>
      </c>
      <c r="K143">
        <v>0</v>
      </c>
      <c r="L143">
        <v>2.25</v>
      </c>
      <c r="M143" s="3">
        <v>5.8000000000000003E-2</v>
      </c>
      <c r="N143" s="2">
        <v>0</v>
      </c>
      <c r="O143" s="3">
        <v>5.8000000000000003E-2</v>
      </c>
      <c r="P143" s="3">
        <v>0.93400000000000005</v>
      </c>
      <c r="Q143" s="2">
        <v>0</v>
      </c>
      <c r="R143" s="3">
        <v>0.93400000000000005</v>
      </c>
      <c r="S143" t="s">
        <v>804</v>
      </c>
    </row>
    <row r="144" spans="1:21" x14ac:dyDescent="0.6">
      <c r="A144">
        <v>400</v>
      </c>
      <c r="B144" t="str">
        <f>"8410"</f>
        <v>8410</v>
      </c>
      <c r="C144" t="s">
        <v>486</v>
      </c>
      <c r="D144" s="1">
        <v>42923</v>
      </c>
      <c r="E144">
        <v>29.3</v>
      </c>
      <c r="F144">
        <v>0.2</v>
      </c>
      <c r="G144" s="3">
        <v>6.8999999999999999E-3</v>
      </c>
      <c r="H144">
        <v>2014</v>
      </c>
      <c r="I144">
        <v>3.45</v>
      </c>
      <c r="J144">
        <v>1.7</v>
      </c>
      <c r="K144">
        <v>0</v>
      </c>
      <c r="L144">
        <v>1.7</v>
      </c>
      <c r="M144" s="3">
        <v>5.8000000000000003E-2</v>
      </c>
      <c r="N144" s="2">
        <v>0</v>
      </c>
      <c r="O144" s="3">
        <v>5.8000000000000003E-2</v>
      </c>
      <c r="P144" s="3">
        <v>0.49299999999999999</v>
      </c>
      <c r="Q144" s="2">
        <v>0</v>
      </c>
      <c r="R144" s="3">
        <v>0.49299999999999999</v>
      </c>
      <c r="S144" t="s">
        <v>867</v>
      </c>
      <c r="U144" t="s">
        <v>795</v>
      </c>
    </row>
    <row r="145" spans="1:21" x14ac:dyDescent="0.6">
      <c r="A145">
        <v>486</v>
      </c>
      <c r="B145" t="str">
        <f>"2832"</f>
        <v>2832</v>
      </c>
      <c r="C145" t="s">
        <v>579</v>
      </c>
      <c r="D145" s="1">
        <v>42923</v>
      </c>
      <c r="E145">
        <v>19</v>
      </c>
      <c r="F145">
        <v>0.05</v>
      </c>
      <c r="G145" s="3">
        <v>2.5999999999999999E-3</v>
      </c>
      <c r="H145">
        <v>2014</v>
      </c>
      <c r="I145">
        <v>2.2599999999999998</v>
      </c>
      <c r="J145">
        <v>1.1000000000000001</v>
      </c>
      <c r="K145">
        <v>0</v>
      </c>
      <c r="L145">
        <v>1.1000000000000001</v>
      </c>
      <c r="M145" s="3">
        <v>5.79E-2</v>
      </c>
      <c r="N145" s="2">
        <v>0</v>
      </c>
      <c r="O145" s="3">
        <v>5.79E-2</v>
      </c>
      <c r="P145" s="3">
        <v>0.48699999999999999</v>
      </c>
      <c r="Q145" s="2">
        <v>0</v>
      </c>
      <c r="R145" s="3">
        <v>0.48699999999999999</v>
      </c>
      <c r="S145" t="s">
        <v>847</v>
      </c>
    </row>
    <row r="146" spans="1:21" x14ac:dyDescent="0.6">
      <c r="A146">
        <v>471</v>
      </c>
      <c r="B146" t="str">
        <f>"1528"</f>
        <v>1528</v>
      </c>
      <c r="C146" t="s">
        <v>564</v>
      </c>
      <c r="D146" s="1">
        <v>42923</v>
      </c>
      <c r="E146">
        <v>10.4</v>
      </c>
      <c r="F146">
        <v>0.05</v>
      </c>
      <c r="G146" s="3">
        <v>4.7999999999999996E-3</v>
      </c>
      <c r="H146">
        <v>2014</v>
      </c>
      <c r="I146">
        <v>0.73</v>
      </c>
      <c r="J146">
        <v>0.6</v>
      </c>
      <c r="K146">
        <v>0</v>
      </c>
      <c r="L146">
        <v>0.6</v>
      </c>
      <c r="M146" s="3">
        <v>5.7700000000000001E-2</v>
      </c>
      <c r="N146" s="2">
        <v>0</v>
      </c>
      <c r="O146" s="3">
        <v>5.7700000000000001E-2</v>
      </c>
      <c r="P146" s="3">
        <v>0.82199999999999995</v>
      </c>
      <c r="Q146" s="2">
        <v>0</v>
      </c>
      <c r="R146" s="3">
        <v>0.82199999999999995</v>
      </c>
      <c r="S146" t="s">
        <v>823</v>
      </c>
    </row>
    <row r="147" spans="1:21" x14ac:dyDescent="0.6">
      <c r="A147">
        <v>440</v>
      </c>
      <c r="B147" t="str">
        <f>"5312"</f>
        <v>5312</v>
      </c>
      <c r="C147" t="s">
        <v>530</v>
      </c>
      <c r="D147" s="1">
        <v>42923</v>
      </c>
      <c r="E147">
        <v>73</v>
      </c>
      <c r="F147">
        <v>-0.4</v>
      </c>
      <c r="G147" s="3">
        <v>-5.4000000000000003E-3</v>
      </c>
      <c r="H147">
        <v>2014</v>
      </c>
      <c r="I147">
        <v>5.94</v>
      </c>
      <c r="J147">
        <v>4.2</v>
      </c>
      <c r="K147">
        <v>0</v>
      </c>
      <c r="L147">
        <v>4.2</v>
      </c>
      <c r="M147" s="3">
        <v>5.7500000000000002E-2</v>
      </c>
      <c r="N147" s="2">
        <v>0</v>
      </c>
      <c r="O147" s="3">
        <v>5.7500000000000002E-2</v>
      </c>
      <c r="P147" s="3">
        <v>0.70699999999999996</v>
      </c>
      <c r="Q147" s="2">
        <v>0</v>
      </c>
      <c r="R147" s="3">
        <v>0.70699999999999996</v>
      </c>
      <c r="S147" t="s">
        <v>813</v>
      </c>
    </row>
    <row r="148" spans="1:21" x14ac:dyDescent="0.6">
      <c r="A148">
        <v>285</v>
      </c>
      <c r="B148" t="s">
        <v>366</v>
      </c>
      <c r="C148" t="s">
        <v>367</v>
      </c>
      <c r="D148" s="1">
        <v>42923</v>
      </c>
      <c r="E148">
        <v>27.9</v>
      </c>
      <c r="F148">
        <v>0.05</v>
      </c>
      <c r="G148" s="3">
        <v>1.8E-3</v>
      </c>
      <c r="H148">
        <v>2014</v>
      </c>
      <c r="J148">
        <v>1.6</v>
      </c>
      <c r="K148">
        <v>0</v>
      </c>
      <c r="L148">
        <v>1.6</v>
      </c>
      <c r="M148" s="3">
        <v>5.7299999999999997E-2</v>
      </c>
      <c r="N148" s="2">
        <v>0</v>
      </c>
      <c r="O148" s="3">
        <v>5.7299999999999997E-2</v>
      </c>
      <c r="S148" t="s">
        <v>849</v>
      </c>
      <c r="U148" t="s">
        <v>799</v>
      </c>
    </row>
    <row r="149" spans="1:21" x14ac:dyDescent="0.6">
      <c r="A149">
        <v>305</v>
      </c>
      <c r="B149" t="str">
        <f>"2373"</f>
        <v>2373</v>
      </c>
      <c r="C149" t="s">
        <v>387</v>
      </c>
      <c r="D149" s="1">
        <v>42923</v>
      </c>
      <c r="E149">
        <v>57.6</v>
      </c>
      <c r="F149">
        <v>-0.4</v>
      </c>
      <c r="G149" s="3">
        <v>-6.8999999999999999E-3</v>
      </c>
      <c r="H149">
        <v>2014</v>
      </c>
      <c r="I149">
        <v>3.9</v>
      </c>
      <c r="J149">
        <v>3.3</v>
      </c>
      <c r="K149">
        <v>0</v>
      </c>
      <c r="L149">
        <v>3.3</v>
      </c>
      <c r="M149" s="3">
        <v>5.7299999999999997E-2</v>
      </c>
      <c r="N149" s="2">
        <v>0</v>
      </c>
      <c r="O149" s="3">
        <v>5.7299999999999997E-2</v>
      </c>
      <c r="P149" s="3">
        <v>0.84599999999999997</v>
      </c>
      <c r="Q149" s="2">
        <v>0</v>
      </c>
      <c r="R149" s="3">
        <v>0.84599999999999997</v>
      </c>
      <c r="S149" t="s">
        <v>806</v>
      </c>
    </row>
    <row r="150" spans="1:21" x14ac:dyDescent="0.6">
      <c r="A150">
        <v>449</v>
      </c>
      <c r="B150" t="str">
        <f>"6271"</f>
        <v>6271</v>
      </c>
      <c r="C150" t="s">
        <v>539</v>
      </c>
      <c r="D150" s="1">
        <v>42923</v>
      </c>
      <c r="E150">
        <v>122.5</v>
      </c>
      <c r="F150">
        <v>-2.5</v>
      </c>
      <c r="G150" s="2">
        <v>-0.02</v>
      </c>
      <c r="H150">
        <v>2014</v>
      </c>
      <c r="I150">
        <v>9.7200000000000006</v>
      </c>
      <c r="J150">
        <v>7</v>
      </c>
      <c r="K150">
        <v>0</v>
      </c>
      <c r="L150">
        <v>7</v>
      </c>
      <c r="M150" s="3">
        <v>5.7099999999999998E-2</v>
      </c>
      <c r="N150" s="2">
        <v>0</v>
      </c>
      <c r="O150" s="3">
        <v>5.7099999999999998E-2</v>
      </c>
      <c r="P150" s="2">
        <v>0.72</v>
      </c>
      <c r="Q150" s="2">
        <v>0</v>
      </c>
      <c r="R150" s="2">
        <v>0.72</v>
      </c>
      <c r="S150" t="s">
        <v>813</v>
      </c>
      <c r="U150" t="s">
        <v>792</v>
      </c>
    </row>
    <row r="151" spans="1:21" x14ac:dyDescent="0.6">
      <c r="A151">
        <v>60</v>
      </c>
      <c r="B151" t="str">
        <f>"8916"</f>
        <v>8916</v>
      </c>
      <c r="C151" t="s">
        <v>113</v>
      </c>
      <c r="D151" s="1">
        <v>42923</v>
      </c>
      <c r="E151">
        <v>45.1</v>
      </c>
      <c r="F151">
        <v>0.1</v>
      </c>
      <c r="G151" s="3">
        <v>2.2000000000000001E-3</v>
      </c>
      <c r="H151">
        <v>2014</v>
      </c>
      <c r="I151">
        <v>4.03</v>
      </c>
      <c r="J151">
        <v>2.57</v>
      </c>
      <c r="K151">
        <v>0</v>
      </c>
      <c r="L151">
        <v>2.57</v>
      </c>
      <c r="M151" s="3">
        <v>5.7000000000000002E-2</v>
      </c>
      <c r="N151" s="2">
        <v>0</v>
      </c>
      <c r="O151" s="3">
        <v>5.7000000000000002E-2</v>
      </c>
      <c r="P151" s="3">
        <v>0.63800000000000001</v>
      </c>
      <c r="Q151" s="2">
        <v>0</v>
      </c>
      <c r="R151" s="3">
        <v>0.63800000000000001</v>
      </c>
      <c r="S151" t="s">
        <v>845</v>
      </c>
      <c r="U151" t="s">
        <v>846</v>
      </c>
    </row>
    <row r="152" spans="1:21" x14ac:dyDescent="0.6">
      <c r="A152">
        <v>292</v>
      </c>
      <c r="B152" t="str">
        <f>"8103"</f>
        <v>8103</v>
      </c>
      <c r="C152" t="s">
        <v>374</v>
      </c>
      <c r="D152" s="1">
        <v>42923</v>
      </c>
      <c r="E152">
        <v>31.5</v>
      </c>
      <c r="F152">
        <v>-0.2</v>
      </c>
      <c r="G152" s="3">
        <v>-6.3E-3</v>
      </c>
      <c r="H152">
        <v>2014</v>
      </c>
      <c r="I152">
        <v>3.67</v>
      </c>
      <c r="J152">
        <v>1.79</v>
      </c>
      <c r="K152">
        <v>0</v>
      </c>
      <c r="L152">
        <v>1.79</v>
      </c>
      <c r="M152" s="3">
        <v>5.6800000000000003E-2</v>
      </c>
      <c r="N152" s="2">
        <v>0</v>
      </c>
      <c r="O152" s="3">
        <v>5.6800000000000003E-2</v>
      </c>
      <c r="P152" s="3">
        <v>0.48799999999999999</v>
      </c>
      <c r="Q152" s="2">
        <v>0</v>
      </c>
      <c r="R152" s="3">
        <v>0.48799999999999999</v>
      </c>
      <c r="S152" t="s">
        <v>838</v>
      </c>
      <c r="U152" t="s">
        <v>799</v>
      </c>
    </row>
    <row r="153" spans="1:21" x14ac:dyDescent="0.6">
      <c r="A153">
        <v>43</v>
      </c>
      <c r="B153" t="str">
        <f>"2065"</f>
        <v>2065</v>
      </c>
      <c r="C153" t="s">
        <v>88</v>
      </c>
      <c r="D153" s="1">
        <v>42923</v>
      </c>
      <c r="E153">
        <v>36.299999999999997</v>
      </c>
      <c r="F153">
        <v>-0.7</v>
      </c>
      <c r="G153" s="3">
        <v>-1.89E-2</v>
      </c>
      <c r="H153">
        <v>2014</v>
      </c>
      <c r="I153">
        <v>26.1</v>
      </c>
      <c r="J153">
        <v>2.06</v>
      </c>
      <c r="K153">
        <v>0</v>
      </c>
      <c r="L153">
        <v>2.06</v>
      </c>
      <c r="M153" s="3">
        <v>5.6599999999999998E-2</v>
      </c>
      <c r="N153" s="2">
        <v>0</v>
      </c>
      <c r="O153" s="3">
        <v>5.6599999999999998E-2</v>
      </c>
      <c r="P153" s="3">
        <v>7.8899999999999998E-2</v>
      </c>
      <c r="Q153" s="2">
        <v>0</v>
      </c>
      <c r="R153" s="3">
        <v>7.8899999999999998E-2</v>
      </c>
    </row>
    <row r="154" spans="1:21" x14ac:dyDescent="0.6">
      <c r="A154">
        <v>133</v>
      </c>
      <c r="B154" t="str">
        <f>"6281"</f>
        <v>6281</v>
      </c>
      <c r="C154" t="s">
        <v>199</v>
      </c>
      <c r="D154" s="1">
        <v>42923</v>
      </c>
      <c r="E154">
        <v>61.8</v>
      </c>
      <c r="F154">
        <v>0.2</v>
      </c>
      <c r="G154" s="3">
        <v>3.2000000000000002E-3</v>
      </c>
      <c r="H154">
        <v>2014</v>
      </c>
      <c r="I154">
        <v>4.1900000000000004</v>
      </c>
      <c r="J154">
        <v>3.5</v>
      </c>
      <c r="K154">
        <v>0</v>
      </c>
      <c r="L154">
        <v>3.5</v>
      </c>
      <c r="M154" s="3">
        <v>5.6599999999999998E-2</v>
      </c>
      <c r="N154" s="2">
        <v>0</v>
      </c>
      <c r="O154" s="3">
        <v>5.6599999999999998E-2</v>
      </c>
      <c r="P154" s="3">
        <v>0.83499999999999996</v>
      </c>
      <c r="Q154" s="2">
        <v>0</v>
      </c>
      <c r="R154" s="3">
        <v>0.83499999999999996</v>
      </c>
      <c r="S154" t="s">
        <v>804</v>
      </c>
    </row>
    <row r="155" spans="1:21" x14ac:dyDescent="0.6">
      <c r="A155">
        <v>90</v>
      </c>
      <c r="B155" t="str">
        <f>"3501"</f>
        <v>3501</v>
      </c>
      <c r="C155" t="s">
        <v>153</v>
      </c>
      <c r="D155" s="1">
        <v>42923</v>
      </c>
      <c r="E155">
        <v>53.1</v>
      </c>
      <c r="F155">
        <v>-0.1</v>
      </c>
      <c r="G155" s="3">
        <v>-1.9E-3</v>
      </c>
      <c r="H155">
        <v>2014</v>
      </c>
      <c r="I155">
        <v>4.25</v>
      </c>
      <c r="J155">
        <v>3</v>
      </c>
      <c r="K155">
        <v>0</v>
      </c>
      <c r="L155">
        <v>3</v>
      </c>
      <c r="M155" s="3">
        <v>5.6500000000000002E-2</v>
      </c>
      <c r="N155" s="2">
        <v>0</v>
      </c>
      <c r="O155" s="3">
        <v>5.6500000000000002E-2</v>
      </c>
      <c r="P155" s="3">
        <v>0.70599999999999996</v>
      </c>
      <c r="Q155" s="2">
        <v>0</v>
      </c>
      <c r="R155" s="3">
        <v>0.70599999999999996</v>
      </c>
      <c r="S155" t="s">
        <v>798</v>
      </c>
      <c r="U155" t="s">
        <v>799</v>
      </c>
    </row>
    <row r="156" spans="1:21" x14ac:dyDescent="0.6">
      <c r="A156">
        <v>177</v>
      </c>
      <c r="B156" t="str">
        <f>"5490"</f>
        <v>5490</v>
      </c>
      <c r="C156" t="s">
        <v>252</v>
      </c>
      <c r="D156" s="1">
        <v>42923</v>
      </c>
      <c r="E156">
        <v>62</v>
      </c>
      <c r="F156">
        <v>-0.2</v>
      </c>
      <c r="G156" s="3">
        <v>-3.2000000000000002E-3</v>
      </c>
      <c r="H156">
        <v>2014</v>
      </c>
      <c r="I156">
        <v>3.38</v>
      </c>
      <c r="J156">
        <v>3.5</v>
      </c>
      <c r="K156">
        <v>0</v>
      </c>
      <c r="L156">
        <v>3.5</v>
      </c>
      <c r="M156" s="3">
        <v>5.6500000000000002E-2</v>
      </c>
      <c r="N156" s="2">
        <v>0</v>
      </c>
      <c r="O156" s="3">
        <v>5.6500000000000002E-2</v>
      </c>
      <c r="P156" s="2">
        <v>1.04</v>
      </c>
      <c r="Q156" s="2">
        <v>0</v>
      </c>
      <c r="R156" s="2">
        <v>1.04</v>
      </c>
      <c r="S156" t="s">
        <v>871</v>
      </c>
    </row>
    <row r="157" spans="1:21" x14ac:dyDescent="0.6">
      <c r="A157">
        <v>358</v>
      </c>
      <c r="B157" t="str">
        <f>"4103"</f>
        <v>4103</v>
      </c>
      <c r="C157" t="s">
        <v>441</v>
      </c>
      <c r="D157" s="1">
        <v>42923</v>
      </c>
      <c r="E157">
        <v>74.5</v>
      </c>
      <c r="F157">
        <v>0.2</v>
      </c>
      <c r="G157" s="3">
        <v>2.7000000000000001E-3</v>
      </c>
      <c r="H157">
        <v>2014</v>
      </c>
      <c r="I157">
        <v>5.76</v>
      </c>
      <c r="J157">
        <v>4.2</v>
      </c>
      <c r="K157">
        <v>0</v>
      </c>
      <c r="L157">
        <v>4.2</v>
      </c>
      <c r="M157" s="3">
        <v>5.6399999999999999E-2</v>
      </c>
      <c r="N157" s="2">
        <v>0</v>
      </c>
      <c r="O157" s="3">
        <v>5.6399999999999999E-2</v>
      </c>
      <c r="P157" s="3">
        <v>0.72899999999999998</v>
      </c>
      <c r="Q157" s="2">
        <v>0</v>
      </c>
      <c r="R157" s="3">
        <v>0.72899999999999998</v>
      </c>
      <c r="S157" t="s">
        <v>840</v>
      </c>
      <c r="U157" t="s">
        <v>863</v>
      </c>
    </row>
    <row r="158" spans="1:21" x14ac:dyDescent="0.6">
      <c r="A158">
        <v>148</v>
      </c>
      <c r="B158" t="str">
        <f>"3479"</f>
        <v>3479</v>
      </c>
      <c r="C158" t="s">
        <v>216</v>
      </c>
      <c r="D158" s="1">
        <v>42923</v>
      </c>
      <c r="E158">
        <v>53.3</v>
      </c>
      <c r="F158">
        <v>0.3</v>
      </c>
      <c r="G158" s="3">
        <v>5.7000000000000002E-3</v>
      </c>
      <c r="H158">
        <v>2014</v>
      </c>
      <c r="I158">
        <v>3.65</v>
      </c>
      <c r="J158">
        <v>3</v>
      </c>
      <c r="K158">
        <v>0</v>
      </c>
      <c r="L158">
        <v>3</v>
      </c>
      <c r="M158" s="3">
        <v>5.6300000000000003E-2</v>
      </c>
      <c r="N158" s="2">
        <v>0</v>
      </c>
      <c r="O158" s="3">
        <v>5.6300000000000003E-2</v>
      </c>
      <c r="P158" s="3">
        <v>0.82199999999999995</v>
      </c>
      <c r="Q158" s="2">
        <v>0</v>
      </c>
      <c r="R158" s="3">
        <v>0.82199999999999995</v>
      </c>
      <c r="S158" t="s">
        <v>812</v>
      </c>
    </row>
    <row r="159" spans="1:21" x14ac:dyDescent="0.6">
      <c r="A159">
        <v>263</v>
      </c>
      <c r="B159" t="str">
        <f>"3702"</f>
        <v>3702</v>
      </c>
      <c r="C159" t="s">
        <v>343</v>
      </c>
      <c r="D159" s="1">
        <v>42923</v>
      </c>
      <c r="E159">
        <v>40.85</v>
      </c>
      <c r="F159">
        <v>0.1</v>
      </c>
      <c r="G159" s="3">
        <v>2.5000000000000001E-3</v>
      </c>
      <c r="H159">
        <v>2014</v>
      </c>
      <c r="I159">
        <v>2.87</v>
      </c>
      <c r="J159">
        <v>2.2999999999999998</v>
      </c>
      <c r="K159">
        <v>0</v>
      </c>
      <c r="L159">
        <v>2.2999999999999998</v>
      </c>
      <c r="M159" s="3">
        <v>5.6300000000000003E-2</v>
      </c>
      <c r="N159" s="2">
        <v>0</v>
      </c>
      <c r="O159" s="3">
        <v>5.6300000000000003E-2</v>
      </c>
      <c r="P159" s="3">
        <v>0.80100000000000005</v>
      </c>
      <c r="Q159" s="2">
        <v>0</v>
      </c>
      <c r="R159" s="3">
        <v>0.80100000000000005</v>
      </c>
      <c r="S159" t="s">
        <v>820</v>
      </c>
      <c r="U159" t="s">
        <v>851</v>
      </c>
    </row>
    <row r="160" spans="1:21" x14ac:dyDescent="0.6">
      <c r="A160">
        <v>110</v>
      </c>
      <c r="B160" t="str">
        <f>"4527"</f>
        <v>4527</v>
      </c>
      <c r="C160" t="s">
        <v>173</v>
      </c>
      <c r="D160" s="1">
        <v>42923</v>
      </c>
      <c r="E160">
        <v>30.3</v>
      </c>
      <c r="F160">
        <v>-1.65</v>
      </c>
      <c r="G160" s="3">
        <v>-5.16E-2</v>
      </c>
      <c r="H160">
        <v>2014</v>
      </c>
      <c r="I160">
        <v>2.15</v>
      </c>
      <c r="J160">
        <v>1.7</v>
      </c>
      <c r="K160">
        <v>0</v>
      </c>
      <c r="L160">
        <v>1.7</v>
      </c>
      <c r="M160" s="3">
        <v>5.6099999999999997E-2</v>
      </c>
      <c r="N160" s="2">
        <v>0</v>
      </c>
      <c r="O160" s="3">
        <v>5.6099999999999997E-2</v>
      </c>
      <c r="P160" s="3">
        <v>0.79100000000000004</v>
      </c>
      <c r="Q160" s="2">
        <v>0</v>
      </c>
      <c r="R160" s="3">
        <v>0.79100000000000004</v>
      </c>
      <c r="S160" t="s">
        <v>828</v>
      </c>
    </row>
    <row r="161" spans="1:21" x14ac:dyDescent="0.6">
      <c r="A161">
        <v>355</v>
      </c>
      <c r="B161" t="str">
        <f>"3036"</f>
        <v>3036</v>
      </c>
      <c r="C161" t="s">
        <v>438</v>
      </c>
      <c r="D161" s="1">
        <v>42923</v>
      </c>
      <c r="E161">
        <v>44.6</v>
      </c>
      <c r="F161">
        <v>-0.35</v>
      </c>
      <c r="G161" s="3">
        <v>-7.7999999999999996E-3</v>
      </c>
      <c r="H161">
        <v>2014</v>
      </c>
      <c r="I161">
        <v>3.86</v>
      </c>
      <c r="J161">
        <v>2.5</v>
      </c>
      <c r="K161">
        <v>0.5</v>
      </c>
      <c r="L161">
        <v>3</v>
      </c>
      <c r="M161" s="3">
        <v>5.6099999999999997E-2</v>
      </c>
      <c r="N161" s="3">
        <v>1.12E-2</v>
      </c>
      <c r="O161" s="3">
        <v>6.7299999999999999E-2</v>
      </c>
      <c r="P161" s="3">
        <v>0.64800000000000002</v>
      </c>
      <c r="Q161" s="2">
        <v>0.13</v>
      </c>
      <c r="R161" s="3">
        <v>0.77700000000000002</v>
      </c>
      <c r="S161" t="s">
        <v>861</v>
      </c>
      <c r="T161" t="s">
        <v>861</v>
      </c>
      <c r="U161" t="s">
        <v>851</v>
      </c>
    </row>
    <row r="162" spans="1:21" x14ac:dyDescent="0.6">
      <c r="A162">
        <v>480</v>
      </c>
      <c r="B162" t="str">
        <f>"3163"</f>
        <v>3163</v>
      </c>
      <c r="C162" t="s">
        <v>573</v>
      </c>
      <c r="D162" s="1">
        <v>42923</v>
      </c>
      <c r="E162">
        <v>45.95</v>
      </c>
      <c r="F162">
        <v>-0.45</v>
      </c>
      <c r="G162" s="3">
        <v>-9.7000000000000003E-3</v>
      </c>
      <c r="H162">
        <v>2014</v>
      </c>
      <c r="I162">
        <v>5.66</v>
      </c>
      <c r="J162">
        <v>2.56</v>
      </c>
      <c r="K162">
        <v>0</v>
      </c>
      <c r="L162">
        <v>2.56</v>
      </c>
      <c r="M162" s="3">
        <v>5.57E-2</v>
      </c>
      <c r="N162" s="2">
        <v>0</v>
      </c>
      <c r="O162" s="3">
        <v>5.57E-2</v>
      </c>
      <c r="P162" s="3">
        <v>0.45200000000000001</v>
      </c>
      <c r="Q162" s="2">
        <v>0</v>
      </c>
      <c r="R162" s="3">
        <v>0.45200000000000001</v>
      </c>
      <c r="S162" t="s">
        <v>857</v>
      </c>
      <c r="U162" t="s">
        <v>866</v>
      </c>
    </row>
    <row r="163" spans="1:21" x14ac:dyDescent="0.6">
      <c r="A163">
        <v>41</v>
      </c>
      <c r="B163" t="str">
        <f>"3550"</f>
        <v>3550</v>
      </c>
      <c r="C163" t="s">
        <v>84</v>
      </c>
      <c r="D163" s="1">
        <v>42923</v>
      </c>
      <c r="E163">
        <v>18</v>
      </c>
      <c r="F163">
        <v>0</v>
      </c>
      <c r="G163" s="2">
        <v>0</v>
      </c>
      <c r="H163">
        <v>2014</v>
      </c>
      <c r="I163">
        <v>1.07</v>
      </c>
      <c r="J163">
        <v>1</v>
      </c>
      <c r="K163">
        <v>0</v>
      </c>
      <c r="L163">
        <v>1</v>
      </c>
      <c r="M163" s="3">
        <v>5.5599999999999997E-2</v>
      </c>
      <c r="N163" s="2">
        <v>0</v>
      </c>
      <c r="O163" s="3">
        <v>5.5599999999999997E-2</v>
      </c>
      <c r="P163" s="3">
        <v>0.93500000000000005</v>
      </c>
      <c r="Q163" s="2">
        <v>0</v>
      </c>
      <c r="R163" s="3">
        <v>0.93500000000000005</v>
      </c>
      <c r="S163" t="s">
        <v>831</v>
      </c>
      <c r="U163" t="s">
        <v>832</v>
      </c>
    </row>
    <row r="164" spans="1:21" x14ac:dyDescent="0.6">
      <c r="A164">
        <v>103</v>
      </c>
      <c r="B164" t="str">
        <f>"4305"</f>
        <v>4305</v>
      </c>
      <c r="C164" t="s">
        <v>166</v>
      </c>
      <c r="D164" s="1">
        <v>42923</v>
      </c>
      <c r="E164">
        <v>32.549999999999997</v>
      </c>
      <c r="F164">
        <v>0</v>
      </c>
      <c r="G164" s="2">
        <v>0</v>
      </c>
      <c r="H164">
        <v>2014</v>
      </c>
      <c r="I164">
        <v>2.5499999999999998</v>
      </c>
      <c r="J164">
        <v>1.8</v>
      </c>
      <c r="K164">
        <v>0</v>
      </c>
      <c r="L164">
        <v>1.8</v>
      </c>
      <c r="M164" s="3">
        <v>5.5300000000000002E-2</v>
      </c>
      <c r="N164" s="2">
        <v>0</v>
      </c>
      <c r="O164" s="3">
        <v>5.5300000000000002E-2</v>
      </c>
      <c r="P164" s="3">
        <v>0.70599999999999996</v>
      </c>
      <c r="Q164" s="2">
        <v>0</v>
      </c>
      <c r="R164" s="3">
        <v>0.70599999999999996</v>
      </c>
      <c r="S164" t="s">
        <v>854</v>
      </c>
      <c r="U164" t="s">
        <v>792</v>
      </c>
    </row>
    <row r="165" spans="1:21" x14ac:dyDescent="0.6">
      <c r="A165">
        <v>327</v>
      </c>
      <c r="B165" t="str">
        <f>"3570"</f>
        <v>3570</v>
      </c>
      <c r="C165" t="s">
        <v>409</v>
      </c>
      <c r="D165" s="1">
        <v>42923</v>
      </c>
      <c r="E165">
        <v>54.3</v>
      </c>
      <c r="F165">
        <v>-0.8</v>
      </c>
      <c r="G165" s="3">
        <v>-1.4500000000000001E-2</v>
      </c>
      <c r="H165">
        <v>2014</v>
      </c>
      <c r="I165">
        <v>4.62</v>
      </c>
      <c r="J165">
        <v>3</v>
      </c>
      <c r="K165">
        <v>0</v>
      </c>
      <c r="L165">
        <v>3</v>
      </c>
      <c r="M165" s="3">
        <v>5.5199999999999999E-2</v>
      </c>
      <c r="N165" s="2">
        <v>0</v>
      </c>
      <c r="O165" s="3">
        <v>5.5199999999999999E-2</v>
      </c>
      <c r="P165" s="3">
        <v>0.64900000000000002</v>
      </c>
      <c r="Q165" s="2">
        <v>0</v>
      </c>
      <c r="R165" s="3">
        <v>0.64900000000000002</v>
      </c>
      <c r="S165" t="s">
        <v>867</v>
      </c>
      <c r="U165" t="s">
        <v>795</v>
      </c>
    </row>
    <row r="166" spans="1:21" x14ac:dyDescent="0.6">
      <c r="A166">
        <v>139</v>
      </c>
      <c r="B166" t="str">
        <f>"3684"</f>
        <v>3684</v>
      </c>
      <c r="C166" t="s">
        <v>206</v>
      </c>
      <c r="D166" s="1">
        <v>42923</v>
      </c>
      <c r="E166">
        <v>36.35</v>
      </c>
      <c r="F166">
        <v>-0.7</v>
      </c>
      <c r="G166" s="3">
        <v>-1.89E-2</v>
      </c>
      <c r="H166">
        <v>2014</v>
      </c>
      <c r="I166">
        <v>2.4300000000000002</v>
      </c>
      <c r="J166">
        <v>2</v>
      </c>
      <c r="K166">
        <v>0</v>
      </c>
      <c r="L166">
        <v>2</v>
      </c>
      <c r="M166" s="3">
        <v>5.5E-2</v>
      </c>
      <c r="N166" s="2">
        <v>0</v>
      </c>
      <c r="O166" s="3">
        <v>5.5E-2</v>
      </c>
      <c r="P166" s="3">
        <v>0.82299999999999995</v>
      </c>
      <c r="Q166" s="2">
        <v>0</v>
      </c>
      <c r="R166" s="3">
        <v>0.82299999999999995</v>
      </c>
      <c r="S166" t="s">
        <v>812</v>
      </c>
    </row>
    <row r="167" spans="1:21" x14ac:dyDescent="0.6">
      <c r="A167">
        <v>48</v>
      </c>
      <c r="B167" t="str">
        <f>"5403"</f>
        <v>5403</v>
      </c>
      <c r="C167" t="s">
        <v>96</v>
      </c>
      <c r="D167" s="1">
        <v>42923</v>
      </c>
      <c r="E167">
        <v>36.5</v>
      </c>
      <c r="F167">
        <v>-0.05</v>
      </c>
      <c r="G167" s="3">
        <v>-1.4E-3</v>
      </c>
      <c r="H167">
        <v>2014</v>
      </c>
      <c r="I167">
        <v>2.6</v>
      </c>
      <c r="J167">
        <v>2</v>
      </c>
      <c r="K167">
        <v>0</v>
      </c>
      <c r="L167">
        <v>2</v>
      </c>
      <c r="M167" s="3">
        <v>5.4800000000000001E-2</v>
      </c>
      <c r="N167" s="2">
        <v>0</v>
      </c>
      <c r="O167" s="3">
        <v>5.4800000000000001E-2</v>
      </c>
      <c r="P167" s="3">
        <v>0.76900000000000002</v>
      </c>
      <c r="Q167" s="2">
        <v>0</v>
      </c>
      <c r="R167" s="3">
        <v>0.76900000000000002</v>
      </c>
      <c r="S167" t="s">
        <v>838</v>
      </c>
      <c r="U167" t="s">
        <v>817</v>
      </c>
    </row>
    <row r="168" spans="1:21" x14ac:dyDescent="0.6">
      <c r="A168">
        <v>301</v>
      </c>
      <c r="B168" t="str">
        <f>"4999"</f>
        <v>4999</v>
      </c>
      <c r="C168" t="s">
        <v>383</v>
      </c>
      <c r="D168" s="1">
        <v>42923</v>
      </c>
      <c r="E168">
        <v>54.7</v>
      </c>
      <c r="F168">
        <v>-0.5</v>
      </c>
      <c r="G168" s="3">
        <v>-9.1000000000000004E-3</v>
      </c>
      <c r="H168">
        <v>2014</v>
      </c>
      <c r="I168">
        <v>5.52</v>
      </c>
      <c r="J168">
        <v>3</v>
      </c>
      <c r="K168">
        <v>0</v>
      </c>
      <c r="L168">
        <v>3</v>
      </c>
      <c r="M168" s="3">
        <v>5.4800000000000001E-2</v>
      </c>
      <c r="N168" s="2">
        <v>0</v>
      </c>
      <c r="O168" s="3">
        <v>5.4800000000000001E-2</v>
      </c>
      <c r="P168" s="3">
        <v>0.54400000000000004</v>
      </c>
      <c r="Q168" s="2">
        <v>0</v>
      </c>
      <c r="R168" s="3">
        <v>0.54400000000000004</v>
      </c>
      <c r="S168" t="s">
        <v>818</v>
      </c>
      <c r="U168" t="s">
        <v>792</v>
      </c>
    </row>
    <row r="169" spans="1:21" x14ac:dyDescent="0.6">
      <c r="A169">
        <v>337</v>
      </c>
      <c r="B169" t="str">
        <f>"1788"</f>
        <v>1788</v>
      </c>
      <c r="C169" t="s">
        <v>419</v>
      </c>
      <c r="D169" s="1">
        <v>42923</v>
      </c>
      <c r="E169">
        <v>91.5</v>
      </c>
      <c r="F169">
        <v>-0.5</v>
      </c>
      <c r="G169" s="3">
        <v>-5.4000000000000003E-3</v>
      </c>
      <c r="H169">
        <v>2014</v>
      </c>
      <c r="I169">
        <v>6.26</v>
      </c>
      <c r="J169">
        <v>5</v>
      </c>
      <c r="K169">
        <v>0</v>
      </c>
      <c r="L169">
        <v>5</v>
      </c>
      <c r="M169" s="3">
        <v>5.4600000000000003E-2</v>
      </c>
      <c r="N169" s="2">
        <v>0</v>
      </c>
      <c r="O169" s="3">
        <v>5.4600000000000003E-2</v>
      </c>
      <c r="P169" s="3">
        <v>0.79900000000000004</v>
      </c>
      <c r="Q169" s="2">
        <v>0</v>
      </c>
      <c r="R169" s="3">
        <v>0.79900000000000004</v>
      </c>
      <c r="S169" t="s">
        <v>809</v>
      </c>
    </row>
    <row r="170" spans="1:21" x14ac:dyDescent="0.6">
      <c r="A170">
        <v>215</v>
      </c>
      <c r="B170" t="str">
        <f>"6213"</f>
        <v>6213</v>
      </c>
      <c r="C170" t="s">
        <v>294</v>
      </c>
      <c r="D170" s="1">
        <v>42923</v>
      </c>
      <c r="E170">
        <v>40.35</v>
      </c>
      <c r="F170">
        <v>-0.2</v>
      </c>
      <c r="G170" s="3">
        <v>-4.8999999999999998E-3</v>
      </c>
      <c r="H170">
        <v>2014</v>
      </c>
      <c r="I170">
        <v>2.52</v>
      </c>
      <c r="J170">
        <v>2.2000000000000002</v>
      </c>
      <c r="K170">
        <v>0</v>
      </c>
      <c r="L170">
        <v>2.2000000000000002</v>
      </c>
      <c r="M170" s="3">
        <v>5.45E-2</v>
      </c>
      <c r="N170" s="2">
        <v>0</v>
      </c>
      <c r="O170" s="3">
        <v>5.45E-2</v>
      </c>
      <c r="P170" s="3">
        <v>0.873</v>
      </c>
      <c r="Q170" s="2">
        <v>0</v>
      </c>
      <c r="R170" s="3">
        <v>0.873</v>
      </c>
      <c r="S170" t="s">
        <v>799</v>
      </c>
      <c r="U170" t="s">
        <v>873</v>
      </c>
    </row>
    <row r="171" spans="1:21" x14ac:dyDescent="0.6">
      <c r="A171">
        <v>267</v>
      </c>
      <c r="B171" t="str">
        <f>"2301"</f>
        <v>2301</v>
      </c>
      <c r="C171" t="s">
        <v>347</v>
      </c>
      <c r="D171" s="1">
        <v>42923</v>
      </c>
      <c r="E171">
        <v>49.8</v>
      </c>
      <c r="F171">
        <v>-0.2</v>
      </c>
      <c r="G171" s="3">
        <v>-4.0000000000000001E-3</v>
      </c>
      <c r="H171">
        <v>2014</v>
      </c>
      <c r="I171">
        <v>3.83</v>
      </c>
      <c r="J171">
        <v>2.71</v>
      </c>
      <c r="K171">
        <v>0.05</v>
      </c>
      <c r="L171">
        <v>2.76</v>
      </c>
      <c r="M171" s="3">
        <v>5.45E-2</v>
      </c>
      <c r="N171" s="3">
        <v>1E-3</v>
      </c>
      <c r="O171" s="3">
        <v>5.5500000000000001E-2</v>
      </c>
      <c r="P171" s="3">
        <v>0.70799999999999996</v>
      </c>
      <c r="Q171" s="3">
        <v>1.3100000000000001E-2</v>
      </c>
      <c r="R171" s="3">
        <v>0.72099999999999997</v>
      </c>
      <c r="S171" t="s">
        <v>832</v>
      </c>
      <c r="T171" t="s">
        <v>832</v>
      </c>
      <c r="U171" t="s">
        <v>826</v>
      </c>
    </row>
    <row r="172" spans="1:21" x14ac:dyDescent="0.6">
      <c r="A172">
        <v>111</v>
      </c>
      <c r="B172" t="str">
        <f>"8249"</f>
        <v>8249</v>
      </c>
      <c r="C172" t="s">
        <v>175</v>
      </c>
      <c r="D172" s="1">
        <v>42923</v>
      </c>
      <c r="E172">
        <v>22.15</v>
      </c>
      <c r="F172">
        <v>-0.05</v>
      </c>
      <c r="G172" s="3">
        <v>-2.3E-3</v>
      </c>
      <c r="H172">
        <v>2014</v>
      </c>
      <c r="I172">
        <v>1.49</v>
      </c>
      <c r="J172">
        <v>1.2</v>
      </c>
      <c r="K172">
        <v>0</v>
      </c>
      <c r="L172">
        <v>1.2</v>
      </c>
      <c r="M172" s="3">
        <v>5.4199999999999998E-2</v>
      </c>
      <c r="N172" s="2">
        <v>0</v>
      </c>
      <c r="O172" s="3">
        <v>5.4199999999999998E-2</v>
      </c>
      <c r="P172" s="3">
        <v>0.80500000000000005</v>
      </c>
      <c r="Q172" s="2">
        <v>0</v>
      </c>
      <c r="R172" s="3">
        <v>0.80500000000000005</v>
      </c>
      <c r="S172" t="s">
        <v>816</v>
      </c>
    </row>
    <row r="173" spans="1:21" x14ac:dyDescent="0.6">
      <c r="A173">
        <v>487</v>
      </c>
      <c r="B173" t="str">
        <f>"3527"</f>
        <v>3527</v>
      </c>
      <c r="C173" t="s">
        <v>580</v>
      </c>
      <c r="D173" s="1">
        <v>42923</v>
      </c>
      <c r="E173">
        <v>73.900000000000006</v>
      </c>
      <c r="F173">
        <v>0.1</v>
      </c>
      <c r="G173" s="3">
        <v>1.4E-3</v>
      </c>
      <c r="H173">
        <v>2014</v>
      </c>
      <c r="I173">
        <v>4.8600000000000003</v>
      </c>
      <c r="J173">
        <v>4</v>
      </c>
      <c r="K173">
        <v>0</v>
      </c>
      <c r="L173">
        <v>4</v>
      </c>
      <c r="M173" s="3">
        <v>5.4100000000000002E-2</v>
      </c>
      <c r="N173" s="2">
        <v>0</v>
      </c>
      <c r="O173" s="3">
        <v>5.4100000000000002E-2</v>
      </c>
      <c r="P173" s="3">
        <v>0.82299999999999995</v>
      </c>
      <c r="Q173" s="2">
        <v>0</v>
      </c>
      <c r="R173" s="3">
        <v>0.82299999999999995</v>
      </c>
      <c r="S173" t="s">
        <v>855</v>
      </c>
    </row>
    <row r="174" spans="1:21" x14ac:dyDescent="0.6">
      <c r="A174">
        <v>178</v>
      </c>
      <c r="B174" t="str">
        <f>"6023"</f>
        <v>6023</v>
      </c>
      <c r="C174" t="s">
        <v>254</v>
      </c>
      <c r="D174" s="1">
        <v>42923</v>
      </c>
      <c r="E174">
        <v>38.35</v>
      </c>
      <c r="F174">
        <v>0.25</v>
      </c>
      <c r="G174" s="3">
        <v>6.6E-3</v>
      </c>
      <c r="H174">
        <v>2014</v>
      </c>
      <c r="I174">
        <v>2.82</v>
      </c>
      <c r="J174">
        <v>2.0699999999999998</v>
      </c>
      <c r="K174">
        <v>0</v>
      </c>
      <c r="L174">
        <v>2.0699999999999998</v>
      </c>
      <c r="M174" s="3">
        <v>5.3999999999999999E-2</v>
      </c>
      <c r="N174" s="2">
        <v>0</v>
      </c>
      <c r="O174" s="3">
        <v>5.3999999999999999E-2</v>
      </c>
      <c r="P174" s="3">
        <v>0.73399999999999999</v>
      </c>
      <c r="Q174" s="2">
        <v>0</v>
      </c>
      <c r="R174" s="3">
        <v>0.73399999999999999</v>
      </c>
      <c r="S174" t="s">
        <v>871</v>
      </c>
    </row>
    <row r="175" spans="1:21" x14ac:dyDescent="0.6">
      <c r="A175">
        <v>237</v>
      </c>
      <c r="B175" t="str">
        <f>"3118"</f>
        <v>3118</v>
      </c>
      <c r="C175" t="s">
        <v>316</v>
      </c>
      <c r="D175" s="1">
        <v>42923</v>
      </c>
      <c r="E175">
        <v>31.55</v>
      </c>
      <c r="F175">
        <v>0.05</v>
      </c>
      <c r="G175" s="3">
        <v>1.6000000000000001E-3</v>
      </c>
      <c r="H175">
        <v>2014</v>
      </c>
      <c r="I175">
        <v>1.99</v>
      </c>
      <c r="J175">
        <v>1.7</v>
      </c>
      <c r="K175">
        <v>0</v>
      </c>
      <c r="L175">
        <v>1.7</v>
      </c>
      <c r="M175" s="3">
        <v>5.3900000000000003E-2</v>
      </c>
      <c r="N175" s="2">
        <v>0</v>
      </c>
      <c r="O175" s="3">
        <v>5.3900000000000003E-2</v>
      </c>
      <c r="P175" s="3">
        <v>0.85399999999999998</v>
      </c>
      <c r="Q175" s="2">
        <v>0</v>
      </c>
      <c r="R175" s="3">
        <v>0.85399999999999998</v>
      </c>
      <c r="S175" t="s">
        <v>812</v>
      </c>
    </row>
    <row r="176" spans="1:21" x14ac:dyDescent="0.6">
      <c r="A176">
        <v>477</v>
      </c>
      <c r="B176" t="str">
        <f>"8287"</f>
        <v>8287</v>
      </c>
      <c r="C176" t="s">
        <v>570</v>
      </c>
      <c r="D176" s="1">
        <v>42923</v>
      </c>
      <c r="E176">
        <v>16.7</v>
      </c>
      <c r="F176">
        <v>-0.15</v>
      </c>
      <c r="G176" s="3">
        <v>-8.8999999999999999E-3</v>
      </c>
      <c r="H176">
        <v>2014</v>
      </c>
      <c r="I176">
        <v>2.0699999999999998</v>
      </c>
      <c r="J176">
        <v>0.9</v>
      </c>
      <c r="K176">
        <v>0</v>
      </c>
      <c r="L176">
        <v>0.9</v>
      </c>
      <c r="M176" s="3">
        <v>5.3900000000000003E-2</v>
      </c>
      <c r="N176" s="2">
        <v>0</v>
      </c>
      <c r="O176" s="3">
        <v>5.3900000000000003E-2</v>
      </c>
      <c r="P176" s="3">
        <v>0.435</v>
      </c>
      <c r="Q176" s="2">
        <v>0</v>
      </c>
      <c r="R176" s="3">
        <v>0.435</v>
      </c>
      <c r="S176" t="s">
        <v>831</v>
      </c>
      <c r="U176" t="s">
        <v>860</v>
      </c>
    </row>
    <row r="177" spans="1:21" x14ac:dyDescent="0.6">
      <c r="A177">
        <v>494</v>
      </c>
      <c r="B177" t="str">
        <f>"1477"</f>
        <v>1477</v>
      </c>
      <c r="C177" t="s">
        <v>588</v>
      </c>
      <c r="D177" s="1">
        <v>42923</v>
      </c>
      <c r="E177">
        <v>143</v>
      </c>
      <c r="F177">
        <v>-2.5</v>
      </c>
      <c r="G177" s="3">
        <v>-1.72E-2</v>
      </c>
      <c r="H177">
        <v>2014</v>
      </c>
      <c r="I177">
        <v>8.02</v>
      </c>
      <c r="J177">
        <v>7.69</v>
      </c>
      <c r="K177">
        <v>0</v>
      </c>
      <c r="L177">
        <v>7.69</v>
      </c>
      <c r="M177" s="3">
        <v>5.3800000000000001E-2</v>
      </c>
      <c r="N177" s="2">
        <v>0</v>
      </c>
      <c r="O177" s="3">
        <v>5.3800000000000001E-2</v>
      </c>
      <c r="P177" s="3">
        <v>0.95899999999999996</v>
      </c>
      <c r="Q177" s="2">
        <v>0</v>
      </c>
      <c r="R177" s="3">
        <v>0.95899999999999996</v>
      </c>
      <c r="S177" t="s">
        <v>822</v>
      </c>
      <c r="T177" t="s">
        <v>822</v>
      </c>
      <c r="U177" t="s">
        <v>863</v>
      </c>
    </row>
    <row r="178" spans="1:21" x14ac:dyDescent="0.6">
      <c r="A178">
        <v>108</v>
      </c>
      <c r="B178" t="str">
        <f>"1593"</f>
        <v>1593</v>
      </c>
      <c r="C178" t="s">
        <v>171</v>
      </c>
      <c r="D178" s="1">
        <v>42923</v>
      </c>
      <c r="E178">
        <v>41.1</v>
      </c>
      <c r="F178">
        <v>-0.2</v>
      </c>
      <c r="G178" s="3">
        <v>-4.7999999999999996E-3</v>
      </c>
      <c r="H178">
        <v>2014</v>
      </c>
      <c r="I178">
        <v>1.83</v>
      </c>
      <c r="J178">
        <v>2.2000000000000002</v>
      </c>
      <c r="K178">
        <v>0.6</v>
      </c>
      <c r="L178">
        <v>2.8</v>
      </c>
      <c r="M178" s="3">
        <v>5.3499999999999999E-2</v>
      </c>
      <c r="N178" s="3">
        <v>1.46E-2</v>
      </c>
      <c r="O178" s="3">
        <v>6.8099999999999994E-2</v>
      </c>
      <c r="P178" s="2">
        <v>1.2</v>
      </c>
      <c r="Q178" s="3">
        <v>0.32800000000000001</v>
      </c>
      <c r="R178" s="2">
        <v>1.53</v>
      </c>
      <c r="S178" t="s">
        <v>791</v>
      </c>
      <c r="T178" t="s">
        <v>857</v>
      </c>
    </row>
    <row r="179" spans="1:21" x14ac:dyDescent="0.6">
      <c r="A179">
        <v>436</v>
      </c>
      <c r="B179" t="str">
        <f>"5460"</f>
        <v>5460</v>
      </c>
      <c r="C179" t="s">
        <v>526</v>
      </c>
      <c r="D179" s="1">
        <v>42923</v>
      </c>
      <c r="E179">
        <v>13.1</v>
      </c>
      <c r="F179">
        <v>0.05</v>
      </c>
      <c r="G179" s="3">
        <v>3.8E-3</v>
      </c>
      <c r="H179">
        <v>2014</v>
      </c>
      <c r="I179">
        <v>0.73</v>
      </c>
      <c r="J179">
        <v>0.7</v>
      </c>
      <c r="K179">
        <v>0</v>
      </c>
      <c r="L179">
        <v>0.7</v>
      </c>
      <c r="M179" s="3">
        <v>5.3400000000000003E-2</v>
      </c>
      <c r="N179" s="2">
        <v>0</v>
      </c>
      <c r="O179" s="3">
        <v>5.3400000000000003E-2</v>
      </c>
      <c r="P179" s="3">
        <v>0.95899999999999996</v>
      </c>
      <c r="Q179" s="2">
        <v>0</v>
      </c>
      <c r="R179" s="3">
        <v>0.95899999999999996</v>
      </c>
      <c r="S179" t="s">
        <v>820</v>
      </c>
      <c r="U179" t="s">
        <v>826</v>
      </c>
    </row>
    <row r="180" spans="1:21" x14ac:dyDescent="0.6">
      <c r="A180">
        <v>136</v>
      </c>
      <c r="B180" t="str">
        <f>"2414"</f>
        <v>2414</v>
      </c>
      <c r="C180" t="s">
        <v>202</v>
      </c>
      <c r="D180" s="1">
        <v>42923</v>
      </c>
      <c r="E180">
        <v>18.75</v>
      </c>
      <c r="F180">
        <v>-0.05</v>
      </c>
      <c r="G180" s="3">
        <v>-2.7000000000000001E-3</v>
      </c>
      <c r="H180">
        <v>2014</v>
      </c>
      <c r="I180">
        <v>0.97</v>
      </c>
      <c r="J180">
        <v>1</v>
      </c>
      <c r="K180">
        <v>0</v>
      </c>
      <c r="L180">
        <v>1</v>
      </c>
      <c r="M180" s="3">
        <v>5.33E-2</v>
      </c>
      <c r="N180" s="2">
        <v>0</v>
      </c>
      <c r="O180" s="3">
        <v>5.33E-2</v>
      </c>
      <c r="P180" s="2">
        <v>1.03</v>
      </c>
      <c r="Q180" s="2">
        <v>0</v>
      </c>
      <c r="R180" s="2">
        <v>1.03</v>
      </c>
      <c r="S180" t="s">
        <v>813</v>
      </c>
      <c r="U180" t="s">
        <v>814</v>
      </c>
    </row>
    <row r="181" spans="1:21" x14ac:dyDescent="0.6">
      <c r="A181">
        <v>61</v>
      </c>
      <c r="B181" t="str">
        <f>"2546"</f>
        <v>2546</v>
      </c>
      <c r="C181" t="s">
        <v>115</v>
      </c>
      <c r="D181" s="1">
        <v>42923</v>
      </c>
      <c r="E181">
        <v>18.8</v>
      </c>
      <c r="F181">
        <v>0</v>
      </c>
      <c r="G181" s="2">
        <v>0</v>
      </c>
      <c r="H181">
        <v>2014</v>
      </c>
      <c r="I181">
        <v>1.68</v>
      </c>
      <c r="J181">
        <v>1</v>
      </c>
      <c r="K181">
        <v>0</v>
      </c>
      <c r="L181">
        <v>1</v>
      </c>
      <c r="M181" s="3">
        <v>5.3199999999999997E-2</v>
      </c>
      <c r="N181" s="2">
        <v>0</v>
      </c>
      <c r="O181" s="3">
        <v>5.3199999999999997E-2</v>
      </c>
      <c r="P181" s="3">
        <v>0.59499999999999997</v>
      </c>
      <c r="Q181" s="2">
        <v>0</v>
      </c>
      <c r="R181" s="3">
        <v>0.59499999999999997</v>
      </c>
      <c r="S181" t="s">
        <v>847</v>
      </c>
    </row>
    <row r="182" spans="1:21" x14ac:dyDescent="0.6">
      <c r="A182">
        <v>367</v>
      </c>
      <c r="B182" t="str">
        <f>"4974"</f>
        <v>4974</v>
      </c>
      <c r="C182" t="s">
        <v>450</v>
      </c>
      <c r="D182" s="1">
        <v>42923</v>
      </c>
      <c r="E182">
        <v>46.95</v>
      </c>
      <c r="F182">
        <v>0</v>
      </c>
      <c r="G182" s="2">
        <v>0</v>
      </c>
      <c r="H182">
        <v>2014</v>
      </c>
      <c r="I182">
        <v>3.87</v>
      </c>
      <c r="J182">
        <v>2.5</v>
      </c>
      <c r="K182">
        <v>0</v>
      </c>
      <c r="L182">
        <v>2.5</v>
      </c>
      <c r="M182" s="3">
        <v>5.3199999999999997E-2</v>
      </c>
      <c r="N182" s="2">
        <v>0</v>
      </c>
      <c r="O182" s="3">
        <v>5.3199999999999997E-2</v>
      </c>
      <c r="P182" s="3">
        <v>0.64600000000000002</v>
      </c>
      <c r="Q182" s="2">
        <v>0</v>
      </c>
      <c r="R182" s="3">
        <v>0.64600000000000002</v>
      </c>
      <c r="S182" t="s">
        <v>822</v>
      </c>
      <c r="U182" t="s">
        <v>818</v>
      </c>
    </row>
    <row r="183" spans="1:21" x14ac:dyDescent="0.6">
      <c r="A183">
        <v>467</v>
      </c>
      <c r="B183" t="str">
        <f>"6204"</f>
        <v>6204</v>
      </c>
      <c r="C183" t="s">
        <v>558</v>
      </c>
      <c r="D183" s="1">
        <v>42923</v>
      </c>
      <c r="E183">
        <v>20.75</v>
      </c>
      <c r="F183">
        <v>-0.05</v>
      </c>
      <c r="G183" s="3">
        <v>-2.3999999999999998E-3</v>
      </c>
      <c r="H183">
        <v>2014</v>
      </c>
      <c r="I183">
        <v>2.31</v>
      </c>
      <c r="J183">
        <v>1.1000000000000001</v>
      </c>
      <c r="K183">
        <v>0</v>
      </c>
      <c r="L183">
        <v>1.1000000000000001</v>
      </c>
      <c r="M183" s="3">
        <v>5.2999999999999999E-2</v>
      </c>
      <c r="N183" s="2">
        <v>0</v>
      </c>
      <c r="O183" s="3">
        <v>5.2999999999999999E-2</v>
      </c>
      <c r="P183" s="3">
        <v>0.47599999999999998</v>
      </c>
      <c r="Q183" s="2">
        <v>0</v>
      </c>
      <c r="R183" s="3">
        <v>0.47599999999999998</v>
      </c>
      <c r="S183" t="s">
        <v>854</v>
      </c>
      <c r="U183" t="s">
        <v>810</v>
      </c>
    </row>
    <row r="184" spans="1:21" x14ac:dyDescent="0.6">
      <c r="A184">
        <v>62</v>
      </c>
      <c r="B184" t="str">
        <f>"3028"</f>
        <v>3028</v>
      </c>
      <c r="C184" t="s">
        <v>116</v>
      </c>
      <c r="D184" s="1">
        <v>42923</v>
      </c>
      <c r="E184">
        <v>18.899999999999999</v>
      </c>
      <c r="F184">
        <v>-0.05</v>
      </c>
      <c r="G184" s="3">
        <v>-2.5999999999999999E-3</v>
      </c>
      <c r="H184">
        <v>2014</v>
      </c>
      <c r="I184">
        <v>1.08</v>
      </c>
      <c r="J184">
        <v>1</v>
      </c>
      <c r="K184">
        <v>0</v>
      </c>
      <c r="L184">
        <v>1</v>
      </c>
      <c r="M184" s="3">
        <v>5.2900000000000003E-2</v>
      </c>
      <c r="N184" s="2">
        <v>0</v>
      </c>
      <c r="O184" s="3">
        <v>5.2900000000000003E-2</v>
      </c>
      <c r="P184" s="3">
        <v>0.92600000000000005</v>
      </c>
      <c r="Q184" s="2">
        <v>0</v>
      </c>
      <c r="R184" s="3">
        <v>0.92600000000000005</v>
      </c>
      <c r="S184" t="s">
        <v>834</v>
      </c>
    </row>
    <row r="185" spans="1:21" x14ac:dyDescent="0.6">
      <c r="A185">
        <v>454</v>
      </c>
      <c r="B185" t="str">
        <f>"2382"</f>
        <v>2382</v>
      </c>
      <c r="C185" t="s">
        <v>544</v>
      </c>
      <c r="D185" s="1">
        <v>42923</v>
      </c>
      <c r="E185">
        <v>71.8</v>
      </c>
      <c r="F185">
        <v>0.2</v>
      </c>
      <c r="G185" s="3">
        <v>2.8E-3</v>
      </c>
      <c r="H185">
        <v>2014</v>
      </c>
      <c r="I185">
        <v>4.84</v>
      </c>
      <c r="J185">
        <v>3.8</v>
      </c>
      <c r="K185">
        <v>0</v>
      </c>
      <c r="L185">
        <v>3.8</v>
      </c>
      <c r="M185" s="3">
        <v>5.2900000000000003E-2</v>
      </c>
      <c r="N185" s="2">
        <v>0</v>
      </c>
      <c r="O185" s="3">
        <v>5.2900000000000003E-2</v>
      </c>
      <c r="P185" s="3">
        <v>0.78500000000000003</v>
      </c>
      <c r="Q185" s="2">
        <v>0</v>
      </c>
      <c r="R185" s="3">
        <v>0.78500000000000003</v>
      </c>
      <c r="S185" t="s">
        <v>865</v>
      </c>
      <c r="U185" t="s">
        <v>794</v>
      </c>
    </row>
    <row r="186" spans="1:21" x14ac:dyDescent="0.6">
      <c r="A186">
        <v>372</v>
      </c>
      <c r="B186" t="str">
        <f>"3416"</f>
        <v>3416</v>
      </c>
      <c r="C186" t="s">
        <v>455</v>
      </c>
      <c r="D186" s="1">
        <v>42923</v>
      </c>
      <c r="E186">
        <v>56.9</v>
      </c>
      <c r="F186">
        <v>-0.4</v>
      </c>
      <c r="G186" s="3">
        <v>-7.0000000000000001E-3</v>
      </c>
      <c r="H186">
        <v>2014</v>
      </c>
      <c r="I186">
        <v>4.5999999999999996</v>
      </c>
      <c r="J186">
        <v>3</v>
      </c>
      <c r="K186">
        <v>1</v>
      </c>
      <c r="L186">
        <v>4</v>
      </c>
      <c r="M186" s="3">
        <v>5.2699999999999997E-2</v>
      </c>
      <c r="N186" s="3">
        <v>1.7600000000000001E-2</v>
      </c>
      <c r="O186" s="3">
        <v>7.0300000000000001E-2</v>
      </c>
      <c r="P186" s="3">
        <v>0.65200000000000002</v>
      </c>
      <c r="Q186" s="3">
        <v>0.217</v>
      </c>
      <c r="R186" s="2">
        <v>0.87</v>
      </c>
      <c r="S186" t="s">
        <v>796</v>
      </c>
      <c r="T186" t="s">
        <v>796</v>
      </c>
      <c r="U186" t="s">
        <v>792</v>
      </c>
    </row>
    <row r="187" spans="1:21" x14ac:dyDescent="0.6">
      <c r="A187">
        <v>378</v>
      </c>
      <c r="B187" t="str">
        <f>"2233"</f>
        <v>2233</v>
      </c>
      <c r="C187" t="s">
        <v>461</v>
      </c>
      <c r="D187" s="1">
        <v>42923</v>
      </c>
      <c r="E187">
        <v>95.4</v>
      </c>
      <c r="F187">
        <v>0</v>
      </c>
      <c r="G187" s="2">
        <v>0</v>
      </c>
      <c r="H187">
        <v>2014</v>
      </c>
      <c r="I187">
        <v>6.94</v>
      </c>
      <c r="J187">
        <v>5</v>
      </c>
      <c r="K187">
        <v>0</v>
      </c>
      <c r="L187">
        <v>5</v>
      </c>
      <c r="M187" s="3">
        <v>5.2400000000000002E-2</v>
      </c>
      <c r="N187" s="2">
        <v>0</v>
      </c>
      <c r="O187" s="3">
        <v>5.2400000000000002E-2</v>
      </c>
      <c r="P187" s="2">
        <v>0.72</v>
      </c>
      <c r="Q187" s="2">
        <v>0</v>
      </c>
      <c r="R187" s="2">
        <v>0.72</v>
      </c>
      <c r="S187" t="s">
        <v>856</v>
      </c>
      <c r="T187" t="s">
        <v>856</v>
      </c>
      <c r="U187" t="s">
        <v>826</v>
      </c>
    </row>
    <row r="188" spans="1:21" x14ac:dyDescent="0.6">
      <c r="A188">
        <v>457</v>
      </c>
      <c r="B188" t="str">
        <f>"6508"</f>
        <v>6508</v>
      </c>
      <c r="C188" t="s">
        <v>547</v>
      </c>
      <c r="D188" s="1">
        <v>42923</v>
      </c>
      <c r="E188">
        <v>26.7</v>
      </c>
      <c r="F188">
        <v>-0.1</v>
      </c>
      <c r="G188" s="3">
        <v>-3.7000000000000002E-3</v>
      </c>
      <c r="H188">
        <v>2014</v>
      </c>
      <c r="I188">
        <v>2.23</v>
      </c>
      <c r="J188">
        <v>1.4</v>
      </c>
      <c r="K188">
        <v>0.2</v>
      </c>
      <c r="L188">
        <v>1.6</v>
      </c>
      <c r="M188" s="3">
        <v>5.2400000000000002E-2</v>
      </c>
      <c r="N188" s="3">
        <v>7.4999999999999997E-3</v>
      </c>
      <c r="O188" s="3">
        <v>5.9900000000000002E-2</v>
      </c>
      <c r="P188" s="3">
        <v>0.628</v>
      </c>
      <c r="Q188" s="3">
        <v>8.9700000000000002E-2</v>
      </c>
      <c r="R188" s="3">
        <v>0.71799999999999997</v>
      </c>
      <c r="S188" t="s">
        <v>868</v>
      </c>
      <c r="T188" t="s">
        <v>868</v>
      </c>
      <c r="U188" t="s">
        <v>852</v>
      </c>
    </row>
    <row r="189" spans="1:21" x14ac:dyDescent="0.6">
      <c r="A189">
        <v>218</v>
      </c>
      <c r="B189" t="str">
        <f>"8255"</f>
        <v>8255</v>
      </c>
      <c r="C189" t="s">
        <v>297</v>
      </c>
      <c r="D189" s="1">
        <v>42923</v>
      </c>
      <c r="E189">
        <v>105.5</v>
      </c>
      <c r="F189">
        <v>-1.5</v>
      </c>
      <c r="G189" s="3">
        <v>-1.4E-2</v>
      </c>
      <c r="H189">
        <v>2014</v>
      </c>
      <c r="I189">
        <v>7.99</v>
      </c>
      <c r="J189">
        <v>5.5</v>
      </c>
      <c r="K189">
        <v>0</v>
      </c>
      <c r="L189">
        <v>5.5</v>
      </c>
      <c r="M189" s="3">
        <v>5.21E-2</v>
      </c>
      <c r="N189" s="2">
        <v>0</v>
      </c>
      <c r="O189" s="3">
        <v>5.21E-2</v>
      </c>
      <c r="P189" s="3">
        <v>0.68799999999999994</v>
      </c>
      <c r="Q189" s="2">
        <v>0</v>
      </c>
      <c r="R189" s="3">
        <v>0.68799999999999994</v>
      </c>
      <c r="S189" t="s">
        <v>798</v>
      </c>
      <c r="U189" t="s">
        <v>835</v>
      </c>
    </row>
    <row r="190" spans="1:21" x14ac:dyDescent="0.6">
      <c r="A190">
        <v>387</v>
      </c>
      <c r="B190" t="str">
        <f>"6125"</f>
        <v>6125</v>
      </c>
      <c r="C190" t="s">
        <v>471</v>
      </c>
      <c r="D190" s="1">
        <v>42923</v>
      </c>
      <c r="E190">
        <v>9.6300000000000008</v>
      </c>
      <c r="F190">
        <v>0</v>
      </c>
      <c r="G190" s="2">
        <v>0</v>
      </c>
      <c r="H190">
        <v>2014</v>
      </c>
      <c r="I190">
        <v>-1.83</v>
      </c>
      <c r="J190">
        <v>0.5</v>
      </c>
      <c r="K190">
        <v>0</v>
      </c>
      <c r="L190">
        <v>0.5</v>
      </c>
      <c r="M190" s="3">
        <v>5.1900000000000002E-2</v>
      </c>
      <c r="N190" s="2">
        <v>0</v>
      </c>
      <c r="O190" s="3">
        <v>5.1900000000000002E-2</v>
      </c>
      <c r="P190" s="3">
        <v>-0.27300000000000002</v>
      </c>
      <c r="Q190" s="2">
        <v>0</v>
      </c>
      <c r="R190" s="3">
        <v>-0.27300000000000002</v>
      </c>
      <c r="S190" t="s">
        <v>840</v>
      </c>
    </row>
    <row r="191" spans="1:21" x14ac:dyDescent="0.6">
      <c r="A191">
        <v>392</v>
      </c>
      <c r="B191" t="str">
        <f>"5512"</f>
        <v>5512</v>
      </c>
      <c r="C191" t="s">
        <v>476</v>
      </c>
      <c r="D191" s="1">
        <v>42923</v>
      </c>
      <c r="E191">
        <v>9.69</v>
      </c>
      <c r="F191">
        <v>-0.11</v>
      </c>
      <c r="G191" s="3">
        <v>-1.12E-2</v>
      </c>
      <c r="H191">
        <v>2014</v>
      </c>
      <c r="I191">
        <v>0.97</v>
      </c>
      <c r="J191">
        <v>0.5</v>
      </c>
      <c r="K191">
        <v>0</v>
      </c>
      <c r="L191">
        <v>0.5</v>
      </c>
      <c r="M191" s="3">
        <v>5.1900000000000002E-2</v>
      </c>
      <c r="N191" s="2">
        <v>0</v>
      </c>
      <c r="O191" s="3">
        <v>5.1900000000000002E-2</v>
      </c>
      <c r="P191" s="3">
        <v>0.51600000000000001</v>
      </c>
      <c r="Q191" s="2">
        <v>0</v>
      </c>
      <c r="R191" s="3">
        <v>0.51600000000000001</v>
      </c>
      <c r="S191" t="s">
        <v>849</v>
      </c>
      <c r="U191" t="s">
        <v>799</v>
      </c>
    </row>
    <row r="192" spans="1:21" x14ac:dyDescent="0.6">
      <c r="A192">
        <v>489</v>
      </c>
      <c r="B192" t="str">
        <f>"1527"</f>
        <v>1527</v>
      </c>
      <c r="C192" t="s">
        <v>582</v>
      </c>
      <c r="D192" s="1">
        <v>42923</v>
      </c>
      <c r="E192">
        <v>86.8</v>
      </c>
      <c r="F192">
        <v>-0.8</v>
      </c>
      <c r="G192" s="3">
        <v>-9.1000000000000004E-3</v>
      </c>
      <c r="H192">
        <v>2014</v>
      </c>
      <c r="I192">
        <v>3.43</v>
      </c>
      <c r="J192">
        <v>4.5</v>
      </c>
      <c r="K192">
        <v>0</v>
      </c>
      <c r="L192">
        <v>4.5</v>
      </c>
      <c r="M192" s="3">
        <v>5.1799999999999999E-2</v>
      </c>
      <c r="N192" s="2">
        <v>0</v>
      </c>
      <c r="O192" s="3">
        <v>5.1799999999999999E-2</v>
      </c>
      <c r="P192" s="2">
        <v>1.31</v>
      </c>
      <c r="Q192" s="2">
        <v>0</v>
      </c>
      <c r="R192" s="2">
        <v>1.31</v>
      </c>
      <c r="S192" t="s">
        <v>863</v>
      </c>
      <c r="U192" t="s">
        <v>873</v>
      </c>
    </row>
    <row r="193" spans="1:21" x14ac:dyDescent="0.6">
      <c r="A193">
        <v>213</v>
      </c>
      <c r="B193" t="str">
        <f>"8416"</f>
        <v>8416</v>
      </c>
      <c r="C193" t="s">
        <v>292</v>
      </c>
      <c r="D193" s="1">
        <v>42923</v>
      </c>
      <c r="E193">
        <v>96.8</v>
      </c>
      <c r="F193">
        <v>0</v>
      </c>
      <c r="G193" s="2">
        <v>0</v>
      </c>
      <c r="H193">
        <v>2014</v>
      </c>
      <c r="I193">
        <v>6.18</v>
      </c>
      <c r="J193">
        <v>5</v>
      </c>
      <c r="K193">
        <v>0</v>
      </c>
      <c r="L193">
        <v>5</v>
      </c>
      <c r="M193" s="3">
        <v>5.1700000000000003E-2</v>
      </c>
      <c r="N193" s="2">
        <v>0</v>
      </c>
      <c r="O193" s="3">
        <v>5.1700000000000003E-2</v>
      </c>
      <c r="P193" s="3">
        <v>0.80900000000000005</v>
      </c>
      <c r="Q193" s="2">
        <v>0</v>
      </c>
      <c r="R193" s="3">
        <v>0.80900000000000005</v>
      </c>
      <c r="S193" t="s">
        <v>872</v>
      </c>
    </row>
    <row r="194" spans="1:21" x14ac:dyDescent="0.6">
      <c r="A194">
        <v>116</v>
      </c>
      <c r="B194" t="str">
        <f>"4711"</f>
        <v>4711</v>
      </c>
      <c r="C194" t="s">
        <v>180</v>
      </c>
      <c r="D194" s="1">
        <v>42923</v>
      </c>
      <c r="E194">
        <v>19.5</v>
      </c>
      <c r="F194">
        <v>0.1</v>
      </c>
      <c r="G194" s="3">
        <v>5.1999999999999998E-3</v>
      </c>
      <c r="H194">
        <v>2014</v>
      </c>
      <c r="I194">
        <v>0.65</v>
      </c>
      <c r="J194">
        <v>1</v>
      </c>
      <c r="K194">
        <v>0</v>
      </c>
      <c r="L194">
        <v>1</v>
      </c>
      <c r="M194" s="3">
        <v>5.1299999999999998E-2</v>
      </c>
      <c r="N194" s="2">
        <v>0</v>
      </c>
      <c r="O194" s="3">
        <v>5.1299999999999998E-2</v>
      </c>
      <c r="P194" s="2">
        <v>1.54</v>
      </c>
      <c r="Q194" s="2">
        <v>0</v>
      </c>
      <c r="R194" s="2">
        <v>1.54</v>
      </c>
      <c r="S194" t="s">
        <v>815</v>
      </c>
    </row>
    <row r="195" spans="1:21" x14ac:dyDescent="0.6">
      <c r="A195">
        <v>398</v>
      </c>
      <c r="B195" t="str">
        <f>"8926"</f>
        <v>8926</v>
      </c>
      <c r="C195" t="s">
        <v>484</v>
      </c>
      <c r="D195" s="1">
        <v>42923</v>
      </c>
      <c r="E195">
        <v>23.4</v>
      </c>
      <c r="F195">
        <v>-0.1</v>
      </c>
      <c r="G195" s="3">
        <v>-4.3E-3</v>
      </c>
      <c r="H195">
        <v>2014</v>
      </c>
      <c r="I195">
        <v>1.3</v>
      </c>
      <c r="J195">
        <v>1.2</v>
      </c>
      <c r="K195">
        <v>0</v>
      </c>
      <c r="L195">
        <v>1.2</v>
      </c>
      <c r="M195" s="3">
        <v>5.1299999999999998E-2</v>
      </c>
      <c r="N195" s="2">
        <v>0</v>
      </c>
      <c r="O195" s="3">
        <v>5.1299999999999998E-2</v>
      </c>
      <c r="P195" s="3">
        <v>0.92300000000000004</v>
      </c>
      <c r="Q195" s="2">
        <v>0</v>
      </c>
      <c r="R195" s="3">
        <v>0.92300000000000004</v>
      </c>
      <c r="S195" t="s">
        <v>831</v>
      </c>
      <c r="U195" t="s">
        <v>820</v>
      </c>
    </row>
    <row r="196" spans="1:21" x14ac:dyDescent="0.6">
      <c r="A196">
        <v>441</v>
      </c>
      <c r="B196" t="str">
        <f>"1507"</f>
        <v>1507</v>
      </c>
      <c r="C196" t="s">
        <v>531</v>
      </c>
      <c r="D196" s="1">
        <v>42923</v>
      </c>
      <c r="E196">
        <v>48.7</v>
      </c>
      <c r="F196">
        <v>-0.9</v>
      </c>
      <c r="G196" s="3">
        <v>-1.8100000000000002E-2</v>
      </c>
      <c r="H196">
        <v>2014</v>
      </c>
      <c r="I196">
        <v>4.1900000000000004</v>
      </c>
      <c r="J196">
        <v>2.5</v>
      </c>
      <c r="K196">
        <v>0</v>
      </c>
      <c r="L196">
        <v>2.5</v>
      </c>
      <c r="M196" s="3">
        <v>5.1299999999999998E-2</v>
      </c>
      <c r="N196" s="2">
        <v>0</v>
      </c>
      <c r="O196" s="3">
        <v>5.1299999999999998E-2</v>
      </c>
      <c r="P196" s="3">
        <v>0.59699999999999998</v>
      </c>
      <c r="Q196" s="2">
        <v>0</v>
      </c>
      <c r="R196" s="3">
        <v>0.59699999999999998</v>
      </c>
      <c r="S196" t="s">
        <v>843</v>
      </c>
    </row>
    <row r="197" spans="1:21" x14ac:dyDescent="0.6">
      <c r="A197">
        <v>455</v>
      </c>
      <c r="B197" t="str">
        <f>"1726"</f>
        <v>1726</v>
      </c>
      <c r="C197" t="s">
        <v>545</v>
      </c>
      <c r="D197" s="1">
        <v>42923</v>
      </c>
      <c r="E197">
        <v>82.1</v>
      </c>
      <c r="F197">
        <v>-0.5</v>
      </c>
      <c r="G197" s="3">
        <v>-6.1000000000000004E-3</v>
      </c>
      <c r="H197">
        <v>2014</v>
      </c>
      <c r="I197">
        <v>6.33</v>
      </c>
      <c r="J197">
        <v>4.2</v>
      </c>
      <c r="K197">
        <v>0</v>
      </c>
      <c r="L197">
        <v>4.2</v>
      </c>
      <c r="M197" s="3">
        <v>5.1200000000000002E-2</v>
      </c>
      <c r="N197" s="2">
        <v>0</v>
      </c>
      <c r="O197" s="3">
        <v>5.1200000000000002E-2</v>
      </c>
      <c r="P197" s="3">
        <v>0.66400000000000003</v>
      </c>
      <c r="Q197" s="2">
        <v>0</v>
      </c>
      <c r="R197" s="3">
        <v>0.66400000000000003</v>
      </c>
      <c r="S197" t="s">
        <v>868</v>
      </c>
      <c r="U197" t="s">
        <v>811</v>
      </c>
    </row>
    <row r="198" spans="1:21" x14ac:dyDescent="0.6">
      <c r="A198">
        <v>225</v>
      </c>
      <c r="B198" t="str">
        <f>"2472"</f>
        <v>2472</v>
      </c>
      <c r="C198" t="s">
        <v>304</v>
      </c>
      <c r="D198" s="1">
        <v>42923</v>
      </c>
      <c r="E198">
        <v>39.25</v>
      </c>
      <c r="F198">
        <v>0</v>
      </c>
      <c r="G198" s="2">
        <v>0</v>
      </c>
      <c r="H198">
        <v>2014</v>
      </c>
      <c r="I198">
        <v>2.42</v>
      </c>
      <c r="J198">
        <v>2</v>
      </c>
      <c r="K198">
        <v>0</v>
      </c>
      <c r="L198">
        <v>2</v>
      </c>
      <c r="M198" s="3">
        <v>5.0999999999999997E-2</v>
      </c>
      <c r="N198" s="2">
        <v>0</v>
      </c>
      <c r="O198" s="3">
        <v>5.0999999999999997E-2</v>
      </c>
      <c r="P198" s="3">
        <v>0.82599999999999996</v>
      </c>
      <c r="Q198" s="2">
        <v>0</v>
      </c>
      <c r="R198" s="3">
        <v>0.82599999999999996</v>
      </c>
      <c r="S198" t="s">
        <v>835</v>
      </c>
      <c r="U198" t="s">
        <v>866</v>
      </c>
    </row>
    <row r="199" spans="1:21" x14ac:dyDescent="0.6">
      <c r="A199">
        <v>180</v>
      </c>
      <c r="B199" t="str">
        <f>"6803"</f>
        <v>6803</v>
      </c>
      <c r="C199" t="s">
        <v>256</v>
      </c>
      <c r="D199" s="1">
        <v>42923</v>
      </c>
      <c r="E199">
        <v>177</v>
      </c>
      <c r="F199">
        <v>0</v>
      </c>
      <c r="G199" s="2">
        <v>0</v>
      </c>
      <c r="H199">
        <v>2014</v>
      </c>
      <c r="I199">
        <v>10.06</v>
      </c>
      <c r="J199">
        <v>9.01</v>
      </c>
      <c r="K199">
        <v>0</v>
      </c>
      <c r="L199">
        <v>9.01</v>
      </c>
      <c r="M199" s="3">
        <v>5.0900000000000001E-2</v>
      </c>
      <c r="N199" s="2">
        <v>0</v>
      </c>
      <c r="O199" s="3">
        <v>5.0900000000000001E-2</v>
      </c>
      <c r="P199" s="3">
        <v>0.89600000000000002</v>
      </c>
      <c r="Q199" s="2">
        <v>0</v>
      </c>
      <c r="R199" s="3">
        <v>0.89600000000000002</v>
      </c>
      <c r="S199" t="s">
        <v>798</v>
      </c>
      <c r="U199" t="s">
        <v>799</v>
      </c>
    </row>
    <row r="200" spans="1:21" x14ac:dyDescent="0.6">
      <c r="A200">
        <v>189</v>
      </c>
      <c r="B200" t="str">
        <f>"9927"</f>
        <v>9927</v>
      </c>
      <c r="C200" t="s">
        <v>266</v>
      </c>
      <c r="D200" s="1">
        <v>42923</v>
      </c>
      <c r="E200">
        <v>39.299999999999997</v>
      </c>
      <c r="F200">
        <v>-0.1</v>
      </c>
      <c r="G200" s="3">
        <v>-2.5000000000000001E-3</v>
      </c>
      <c r="H200">
        <v>2014</v>
      </c>
      <c r="I200">
        <v>3.4</v>
      </c>
      <c r="J200">
        <v>2</v>
      </c>
      <c r="K200">
        <v>0</v>
      </c>
      <c r="L200">
        <v>2</v>
      </c>
      <c r="M200" s="3">
        <v>5.0900000000000001E-2</v>
      </c>
      <c r="N200" s="2">
        <v>0</v>
      </c>
      <c r="O200" s="3">
        <v>5.0900000000000001E-2</v>
      </c>
      <c r="P200" s="3">
        <v>0.58799999999999997</v>
      </c>
      <c r="Q200" s="2">
        <v>0</v>
      </c>
      <c r="R200" s="3">
        <v>0.58799999999999997</v>
      </c>
      <c r="S200" t="s">
        <v>792</v>
      </c>
      <c r="U200" t="s">
        <v>827</v>
      </c>
    </row>
    <row r="201" spans="1:21" x14ac:dyDescent="0.6">
      <c r="A201">
        <v>407</v>
      </c>
      <c r="B201" t="str">
        <f>"2534"</f>
        <v>2534</v>
      </c>
      <c r="C201" t="s">
        <v>493</v>
      </c>
      <c r="D201" s="1">
        <v>42923</v>
      </c>
      <c r="E201">
        <v>19.649999999999999</v>
      </c>
      <c r="F201">
        <v>-0.05</v>
      </c>
      <c r="G201" s="3">
        <v>-2.5000000000000001E-3</v>
      </c>
      <c r="H201">
        <v>2014</v>
      </c>
      <c r="I201">
        <v>-0.25</v>
      </c>
      <c r="J201">
        <v>1</v>
      </c>
      <c r="K201">
        <v>0</v>
      </c>
      <c r="L201">
        <v>1</v>
      </c>
      <c r="M201" s="3">
        <v>5.0900000000000001E-2</v>
      </c>
      <c r="N201" s="2">
        <v>0</v>
      </c>
      <c r="O201" s="3">
        <v>5.0900000000000001E-2</v>
      </c>
      <c r="P201" s="2">
        <v>-4</v>
      </c>
      <c r="Q201" s="2">
        <v>0</v>
      </c>
      <c r="R201" s="2">
        <v>-4</v>
      </c>
      <c r="S201" t="s">
        <v>824</v>
      </c>
      <c r="U201" t="s">
        <v>866</v>
      </c>
    </row>
    <row r="202" spans="1:21" x14ac:dyDescent="0.6">
      <c r="A202">
        <v>94</v>
      </c>
      <c r="B202" t="str">
        <f>"3338"</f>
        <v>3338</v>
      </c>
      <c r="C202" t="s">
        <v>157</v>
      </c>
      <c r="D202" s="1">
        <v>42923</v>
      </c>
      <c r="E202">
        <v>29.5</v>
      </c>
      <c r="F202">
        <v>-0.25</v>
      </c>
      <c r="G202" s="3">
        <v>-8.3999999999999995E-3</v>
      </c>
      <c r="H202">
        <v>2014</v>
      </c>
      <c r="I202">
        <v>2.34</v>
      </c>
      <c r="J202">
        <v>1.5</v>
      </c>
      <c r="K202">
        <v>0</v>
      </c>
      <c r="L202">
        <v>1.5</v>
      </c>
      <c r="M202" s="3">
        <v>5.0799999999999998E-2</v>
      </c>
      <c r="N202" s="2">
        <v>0</v>
      </c>
      <c r="O202" s="3">
        <v>5.0799999999999998E-2</v>
      </c>
      <c r="P202" s="3">
        <v>0.64100000000000001</v>
      </c>
      <c r="Q202" s="2">
        <v>0</v>
      </c>
      <c r="R202" s="3">
        <v>0.64100000000000001</v>
      </c>
      <c r="S202" t="s">
        <v>804</v>
      </c>
    </row>
    <row r="203" spans="1:21" x14ac:dyDescent="0.6">
      <c r="A203">
        <v>163</v>
      </c>
      <c r="B203" t="str">
        <f>"3213"</f>
        <v>3213</v>
      </c>
      <c r="C203" t="s">
        <v>235</v>
      </c>
      <c r="D203" s="1">
        <v>42923</v>
      </c>
      <c r="E203">
        <v>51.4</v>
      </c>
      <c r="F203">
        <v>0.4</v>
      </c>
      <c r="G203" s="3">
        <v>7.7999999999999996E-3</v>
      </c>
      <c r="H203">
        <v>2014</v>
      </c>
      <c r="I203">
        <v>3.28</v>
      </c>
      <c r="J203">
        <v>2.6</v>
      </c>
      <c r="K203">
        <v>0</v>
      </c>
      <c r="L203">
        <v>2.6</v>
      </c>
      <c r="M203" s="3">
        <v>5.0599999999999999E-2</v>
      </c>
      <c r="N203" s="2">
        <v>0</v>
      </c>
      <c r="O203" s="3">
        <v>5.0599999999999999E-2</v>
      </c>
      <c r="P203" s="3">
        <v>0.79300000000000004</v>
      </c>
      <c r="Q203" s="2">
        <v>0</v>
      </c>
      <c r="R203" s="3">
        <v>0.79300000000000004</v>
      </c>
      <c r="S203" t="s">
        <v>804</v>
      </c>
    </row>
    <row r="204" spans="1:21" x14ac:dyDescent="0.6">
      <c r="A204">
        <v>30</v>
      </c>
      <c r="B204" t="str">
        <f>"2488"</f>
        <v>2488</v>
      </c>
      <c r="C204" t="s">
        <v>64</v>
      </c>
      <c r="D204" s="1">
        <v>42923</v>
      </c>
      <c r="E204">
        <v>39.65</v>
      </c>
      <c r="F204">
        <v>0.4</v>
      </c>
      <c r="G204" s="3">
        <v>1.0200000000000001E-2</v>
      </c>
      <c r="H204">
        <v>2014</v>
      </c>
      <c r="I204">
        <v>3.43</v>
      </c>
      <c r="J204">
        <v>2</v>
      </c>
      <c r="K204">
        <v>0</v>
      </c>
      <c r="L204">
        <v>2</v>
      </c>
      <c r="M204" s="3">
        <v>5.04E-2</v>
      </c>
      <c r="N204" s="2">
        <v>0</v>
      </c>
      <c r="O204" s="3">
        <v>5.04E-2</v>
      </c>
      <c r="P204" s="3">
        <v>0.58299999999999996</v>
      </c>
      <c r="Q204" s="2">
        <v>0</v>
      </c>
      <c r="R204" s="3">
        <v>0.58299999999999996</v>
      </c>
      <c r="S204" t="s">
        <v>821</v>
      </c>
      <c r="U204" t="s">
        <v>817</v>
      </c>
    </row>
    <row r="205" spans="1:21" x14ac:dyDescent="0.6">
      <c r="A205">
        <v>40</v>
      </c>
      <c r="B205" t="str">
        <f>"6216"</f>
        <v>6216</v>
      </c>
      <c r="C205" t="s">
        <v>83</v>
      </c>
      <c r="D205" s="1">
        <v>42923</v>
      </c>
      <c r="E205">
        <v>32.200000000000003</v>
      </c>
      <c r="F205">
        <v>-0.25</v>
      </c>
      <c r="G205" s="3">
        <v>-7.7000000000000002E-3</v>
      </c>
      <c r="H205">
        <v>2014</v>
      </c>
      <c r="I205">
        <v>2</v>
      </c>
      <c r="J205">
        <v>1.62</v>
      </c>
      <c r="K205">
        <v>0</v>
      </c>
      <c r="L205">
        <v>1.62</v>
      </c>
      <c r="M205" s="3">
        <v>5.04E-2</v>
      </c>
      <c r="N205" s="2">
        <v>0</v>
      </c>
      <c r="O205" s="3">
        <v>5.04E-2</v>
      </c>
      <c r="P205" s="2">
        <v>0.81</v>
      </c>
      <c r="Q205" s="2">
        <v>0</v>
      </c>
      <c r="R205" s="2">
        <v>0.81</v>
      </c>
      <c r="S205" t="s">
        <v>802</v>
      </c>
      <c r="U205" t="s">
        <v>801</v>
      </c>
    </row>
    <row r="206" spans="1:21" x14ac:dyDescent="0.6">
      <c r="A206">
        <v>433</v>
      </c>
      <c r="B206" t="str">
        <f>"2707"</f>
        <v>2707</v>
      </c>
      <c r="C206" t="s">
        <v>521</v>
      </c>
      <c r="D206" s="1">
        <v>42923</v>
      </c>
      <c r="E206">
        <v>164</v>
      </c>
      <c r="F206">
        <v>-1</v>
      </c>
      <c r="G206" s="3">
        <v>-6.1000000000000004E-3</v>
      </c>
      <c r="H206">
        <v>2014</v>
      </c>
      <c r="I206">
        <v>10.66</v>
      </c>
      <c r="J206">
        <v>8.27</v>
      </c>
      <c r="K206">
        <v>1</v>
      </c>
      <c r="L206">
        <v>9.27</v>
      </c>
      <c r="M206" s="3">
        <v>5.04E-2</v>
      </c>
      <c r="N206" s="3">
        <v>6.1000000000000004E-3</v>
      </c>
      <c r="O206" s="3">
        <v>5.6500000000000002E-2</v>
      </c>
      <c r="P206" s="3">
        <v>0.77600000000000002</v>
      </c>
      <c r="Q206" s="3">
        <v>9.3799999999999994E-2</v>
      </c>
      <c r="R206" s="2">
        <v>0.87</v>
      </c>
      <c r="S206" t="s">
        <v>822</v>
      </c>
      <c r="T206" t="s">
        <v>841</v>
      </c>
    </row>
    <row r="207" spans="1:21" x14ac:dyDescent="0.6">
      <c r="A207">
        <v>89</v>
      </c>
      <c r="B207" t="str">
        <f>"2501"</f>
        <v>2501</v>
      </c>
      <c r="C207" t="s">
        <v>152</v>
      </c>
      <c r="D207" s="1">
        <v>42923</v>
      </c>
      <c r="E207">
        <v>19.899999999999999</v>
      </c>
      <c r="F207">
        <v>0</v>
      </c>
      <c r="G207" s="2">
        <v>0</v>
      </c>
      <c r="H207">
        <v>2014</v>
      </c>
      <c r="I207">
        <v>1.02</v>
      </c>
      <c r="J207">
        <v>1</v>
      </c>
      <c r="K207">
        <v>0</v>
      </c>
      <c r="L207">
        <v>1</v>
      </c>
      <c r="M207" s="3">
        <v>5.0299999999999997E-2</v>
      </c>
      <c r="N207" s="2">
        <v>0</v>
      </c>
      <c r="O207" s="3">
        <v>5.0299999999999997E-2</v>
      </c>
      <c r="P207" s="2">
        <v>0.98</v>
      </c>
      <c r="Q207" s="2">
        <v>0</v>
      </c>
      <c r="R207" s="2">
        <v>0.98</v>
      </c>
      <c r="S207" t="s">
        <v>834</v>
      </c>
    </row>
    <row r="208" spans="1:21" x14ac:dyDescent="0.6">
      <c r="A208">
        <v>235</v>
      </c>
      <c r="B208" t="str">
        <f>"8271"</f>
        <v>8271</v>
      </c>
      <c r="C208" t="s">
        <v>314</v>
      </c>
      <c r="D208" s="1">
        <v>42923</v>
      </c>
      <c r="E208">
        <v>39.75</v>
      </c>
      <c r="F208">
        <v>-0.25</v>
      </c>
      <c r="G208" s="3">
        <v>-6.1999999999999998E-3</v>
      </c>
      <c r="H208">
        <v>2014</v>
      </c>
      <c r="I208">
        <v>3.33</v>
      </c>
      <c r="J208">
        <v>2</v>
      </c>
      <c r="K208">
        <v>0</v>
      </c>
      <c r="L208">
        <v>2</v>
      </c>
      <c r="M208" s="3">
        <v>5.0299999999999997E-2</v>
      </c>
      <c r="N208" s="2">
        <v>0</v>
      </c>
      <c r="O208" s="3">
        <v>5.0299999999999997E-2</v>
      </c>
      <c r="P208" s="3">
        <v>0.60099999999999998</v>
      </c>
      <c r="Q208" s="2">
        <v>0</v>
      </c>
      <c r="R208" s="3">
        <v>0.60099999999999998</v>
      </c>
      <c r="S208" t="s">
        <v>791</v>
      </c>
      <c r="U208" t="s">
        <v>814</v>
      </c>
    </row>
    <row r="209" spans="1:21" x14ac:dyDescent="0.6">
      <c r="A209">
        <v>184</v>
      </c>
      <c r="B209" t="str">
        <f>"3042"</f>
        <v>3042</v>
      </c>
      <c r="C209" t="s">
        <v>260</v>
      </c>
      <c r="D209" s="1">
        <v>42923</v>
      </c>
      <c r="E209">
        <v>43.8</v>
      </c>
      <c r="F209">
        <v>-0.95</v>
      </c>
      <c r="G209" s="3">
        <v>-2.12E-2</v>
      </c>
      <c r="H209">
        <v>2014</v>
      </c>
      <c r="I209">
        <v>3.02</v>
      </c>
      <c r="J209">
        <v>2.2000000000000002</v>
      </c>
      <c r="K209">
        <v>0</v>
      </c>
      <c r="L209">
        <v>2.2000000000000002</v>
      </c>
      <c r="M209" s="3">
        <v>5.0200000000000002E-2</v>
      </c>
      <c r="N209" s="2">
        <v>0</v>
      </c>
      <c r="O209" s="3">
        <v>5.0200000000000002E-2</v>
      </c>
      <c r="P209" s="3">
        <v>0.72799999999999998</v>
      </c>
      <c r="Q209" s="2">
        <v>0</v>
      </c>
      <c r="R209" s="3">
        <v>0.72799999999999998</v>
      </c>
      <c r="S209" t="s">
        <v>841</v>
      </c>
      <c r="U209" t="s">
        <v>807</v>
      </c>
    </row>
    <row r="210" spans="1:21" x14ac:dyDescent="0.6">
      <c r="A210">
        <v>254</v>
      </c>
      <c r="B210" t="str">
        <f>"1712"</f>
        <v>1712</v>
      </c>
      <c r="C210" t="s">
        <v>333</v>
      </c>
      <c r="D210" s="1">
        <v>42923</v>
      </c>
      <c r="E210">
        <v>15.85</v>
      </c>
      <c r="F210">
        <v>-0.1</v>
      </c>
      <c r="G210" s="3">
        <v>-6.3E-3</v>
      </c>
      <c r="H210">
        <v>2014</v>
      </c>
      <c r="I210">
        <v>1.37</v>
      </c>
      <c r="J210">
        <v>0.8</v>
      </c>
      <c r="K210">
        <v>0</v>
      </c>
      <c r="L210">
        <v>0.8</v>
      </c>
      <c r="M210" s="3">
        <v>5.0200000000000002E-2</v>
      </c>
      <c r="N210" s="2">
        <v>0</v>
      </c>
      <c r="O210" s="3">
        <v>5.0200000000000002E-2</v>
      </c>
      <c r="P210" s="3">
        <v>0.58399999999999996</v>
      </c>
      <c r="Q210" s="2">
        <v>0</v>
      </c>
      <c r="R210" s="3">
        <v>0.58399999999999996</v>
      </c>
      <c r="S210" t="s">
        <v>821</v>
      </c>
      <c r="U210" t="s">
        <v>797</v>
      </c>
    </row>
    <row r="211" spans="1:21" x14ac:dyDescent="0.6">
      <c r="A211">
        <v>76</v>
      </c>
      <c r="B211" t="str">
        <f>"1582"</f>
        <v>1582</v>
      </c>
      <c r="C211" t="s">
        <v>135</v>
      </c>
      <c r="D211" s="1">
        <v>42923</v>
      </c>
      <c r="E211">
        <v>69.900000000000006</v>
      </c>
      <c r="F211">
        <v>-0.2</v>
      </c>
      <c r="G211" s="3">
        <v>-2.8999999999999998E-3</v>
      </c>
      <c r="H211">
        <v>2014</v>
      </c>
      <c r="I211">
        <v>4.43</v>
      </c>
      <c r="J211">
        <v>3.5</v>
      </c>
      <c r="K211">
        <v>0</v>
      </c>
      <c r="L211">
        <v>3.5</v>
      </c>
      <c r="M211" s="3">
        <v>5.0099999999999999E-2</v>
      </c>
      <c r="N211" s="2">
        <v>0</v>
      </c>
      <c r="O211" s="3">
        <v>5.0099999999999999E-2</v>
      </c>
      <c r="P211" s="2">
        <v>0.79</v>
      </c>
      <c r="Q211" s="2">
        <v>0</v>
      </c>
      <c r="R211" s="2">
        <v>0.79</v>
      </c>
      <c r="S211" t="s">
        <v>847</v>
      </c>
    </row>
    <row r="212" spans="1:21" x14ac:dyDescent="0.6">
      <c r="A212">
        <v>167</v>
      </c>
      <c r="B212" t="str">
        <f>"2476"</f>
        <v>2476</v>
      </c>
      <c r="C212" t="s">
        <v>239</v>
      </c>
      <c r="D212" s="1">
        <v>42923</v>
      </c>
      <c r="E212">
        <v>25.8</v>
      </c>
      <c r="F212">
        <v>0</v>
      </c>
      <c r="G212" s="2">
        <v>0</v>
      </c>
      <c r="H212">
        <v>2014</v>
      </c>
      <c r="I212">
        <v>1.41</v>
      </c>
      <c r="J212">
        <v>1.28</v>
      </c>
      <c r="K212">
        <v>0</v>
      </c>
      <c r="L212">
        <v>1.28</v>
      </c>
      <c r="M212" s="3">
        <v>4.9599999999999998E-2</v>
      </c>
      <c r="N212" s="2">
        <v>0</v>
      </c>
      <c r="O212" s="3">
        <v>4.9599999999999998E-2</v>
      </c>
      <c r="P212" s="3">
        <v>0.90800000000000003</v>
      </c>
      <c r="Q212" s="2">
        <v>0</v>
      </c>
      <c r="R212" s="3">
        <v>0.90800000000000003</v>
      </c>
      <c r="S212" t="s">
        <v>810</v>
      </c>
      <c r="U212" t="s">
        <v>826</v>
      </c>
    </row>
    <row r="213" spans="1:21" x14ac:dyDescent="0.6">
      <c r="A213">
        <v>437</v>
      </c>
      <c r="B213" t="str">
        <f>"3058"</f>
        <v>3058</v>
      </c>
      <c r="C213" t="s">
        <v>527</v>
      </c>
      <c r="D213" s="1">
        <v>42923</v>
      </c>
      <c r="E213">
        <v>10.1</v>
      </c>
      <c r="F213">
        <v>-0.15</v>
      </c>
      <c r="G213" s="3">
        <v>-1.46E-2</v>
      </c>
      <c r="H213">
        <v>2014</v>
      </c>
      <c r="I213">
        <v>0.73</v>
      </c>
      <c r="J213">
        <v>0.5</v>
      </c>
      <c r="K213">
        <v>0</v>
      </c>
      <c r="L213">
        <v>0.5</v>
      </c>
      <c r="M213" s="3">
        <v>4.9500000000000002E-2</v>
      </c>
      <c r="N213" s="2">
        <v>0</v>
      </c>
      <c r="O213" s="3">
        <v>4.9500000000000002E-2</v>
      </c>
      <c r="P213" s="3">
        <v>0.68500000000000005</v>
      </c>
      <c r="Q213" s="2">
        <v>0</v>
      </c>
      <c r="R213" s="3">
        <v>0.68500000000000005</v>
      </c>
      <c r="S213" t="s">
        <v>863</v>
      </c>
      <c r="U213" t="s">
        <v>794</v>
      </c>
    </row>
    <row r="214" spans="1:21" x14ac:dyDescent="0.6">
      <c r="A214">
        <v>462</v>
      </c>
      <c r="B214" t="str">
        <f>"3094"</f>
        <v>3094</v>
      </c>
      <c r="C214" t="s">
        <v>553</v>
      </c>
      <c r="D214" s="1">
        <v>42923</v>
      </c>
      <c r="E214">
        <v>22.7</v>
      </c>
      <c r="F214">
        <v>-0.15</v>
      </c>
      <c r="G214" s="3">
        <v>-6.6E-3</v>
      </c>
      <c r="H214">
        <v>2014</v>
      </c>
      <c r="I214">
        <v>0.87</v>
      </c>
      <c r="J214">
        <v>1.1200000000000001</v>
      </c>
      <c r="K214">
        <v>0</v>
      </c>
      <c r="L214">
        <v>1.1200000000000001</v>
      </c>
      <c r="M214" s="3">
        <v>4.9299999999999997E-2</v>
      </c>
      <c r="N214" s="2">
        <v>0</v>
      </c>
      <c r="O214" s="3">
        <v>4.9299999999999997E-2</v>
      </c>
      <c r="P214" s="2">
        <v>1.29</v>
      </c>
      <c r="Q214" s="2">
        <v>0</v>
      </c>
      <c r="R214" s="2">
        <v>1.29</v>
      </c>
      <c r="S214" t="s">
        <v>887</v>
      </c>
    </row>
    <row r="215" spans="1:21" x14ac:dyDescent="0.6">
      <c r="A215">
        <v>256</v>
      </c>
      <c r="B215" t="str">
        <f>"2324"</f>
        <v>2324</v>
      </c>
      <c r="C215" t="s">
        <v>335</v>
      </c>
      <c r="D215" s="1">
        <v>42923</v>
      </c>
      <c r="E215">
        <v>20.3</v>
      </c>
      <c r="F215">
        <v>-0.15</v>
      </c>
      <c r="G215" s="3">
        <v>-7.3000000000000001E-3</v>
      </c>
      <c r="H215">
        <v>2014</v>
      </c>
      <c r="I215">
        <v>0.56999999999999995</v>
      </c>
      <c r="J215">
        <v>1</v>
      </c>
      <c r="K215">
        <v>0</v>
      </c>
      <c r="L215">
        <v>1</v>
      </c>
      <c r="M215" s="3">
        <v>4.9200000000000001E-2</v>
      </c>
      <c r="N215" s="2">
        <v>0</v>
      </c>
      <c r="O215" s="3">
        <v>4.9200000000000001E-2</v>
      </c>
      <c r="P215" s="2">
        <v>1.75</v>
      </c>
      <c r="Q215" s="2">
        <v>0</v>
      </c>
      <c r="R215" s="2">
        <v>1.75</v>
      </c>
      <c r="S215" t="s">
        <v>820</v>
      </c>
      <c r="U215" t="s">
        <v>857</v>
      </c>
    </row>
    <row r="216" spans="1:21" x14ac:dyDescent="0.6">
      <c r="A216">
        <v>193</v>
      </c>
      <c r="B216" t="str">
        <f>"8074"</f>
        <v>8074</v>
      </c>
      <c r="C216" t="s">
        <v>270</v>
      </c>
      <c r="D216" s="1">
        <v>42923</v>
      </c>
      <c r="E216">
        <v>26.45</v>
      </c>
      <c r="F216">
        <v>-0.05</v>
      </c>
      <c r="G216" s="3">
        <v>-1.9E-3</v>
      </c>
      <c r="H216">
        <v>2014</v>
      </c>
      <c r="I216">
        <v>2.2400000000000002</v>
      </c>
      <c r="J216">
        <v>1.3</v>
      </c>
      <c r="K216">
        <v>0</v>
      </c>
      <c r="L216">
        <v>1.3</v>
      </c>
      <c r="M216" s="3">
        <v>4.9099999999999998E-2</v>
      </c>
      <c r="N216" s="2">
        <v>0</v>
      </c>
      <c r="O216" s="3">
        <v>4.9099999999999998E-2</v>
      </c>
      <c r="P216" s="2">
        <v>0.57999999999999996</v>
      </c>
      <c r="Q216" s="2">
        <v>0</v>
      </c>
      <c r="R216" s="2">
        <v>0.57999999999999996</v>
      </c>
      <c r="S216" t="s">
        <v>829</v>
      </c>
    </row>
    <row r="217" spans="1:21" x14ac:dyDescent="0.6">
      <c r="A217">
        <v>347</v>
      </c>
      <c r="B217" t="str">
        <f>"2520"</f>
        <v>2520</v>
      </c>
      <c r="C217" t="s">
        <v>429</v>
      </c>
      <c r="D217" s="1">
        <v>42923</v>
      </c>
      <c r="E217">
        <v>20.350000000000001</v>
      </c>
      <c r="F217">
        <v>0.1</v>
      </c>
      <c r="G217" s="3">
        <v>4.8999999999999998E-3</v>
      </c>
      <c r="H217">
        <v>2014</v>
      </c>
      <c r="I217">
        <v>2.42</v>
      </c>
      <c r="J217">
        <v>1</v>
      </c>
      <c r="K217">
        <v>0</v>
      </c>
      <c r="L217">
        <v>1</v>
      </c>
      <c r="M217" s="3">
        <v>4.9099999999999998E-2</v>
      </c>
      <c r="N217" s="2">
        <v>0</v>
      </c>
      <c r="O217" s="3">
        <v>4.9099999999999998E-2</v>
      </c>
      <c r="P217" s="3">
        <v>0.41299999999999998</v>
      </c>
      <c r="Q217" s="2">
        <v>0</v>
      </c>
      <c r="R217" s="3">
        <v>0.41299999999999998</v>
      </c>
      <c r="S217" t="s">
        <v>847</v>
      </c>
    </row>
    <row r="218" spans="1:21" x14ac:dyDescent="0.6">
      <c r="A218">
        <v>289</v>
      </c>
      <c r="B218" t="str">
        <f>"3034"</f>
        <v>3034</v>
      </c>
      <c r="C218" t="s">
        <v>371</v>
      </c>
      <c r="D218" s="1">
        <v>42923</v>
      </c>
      <c r="E218">
        <v>122.5</v>
      </c>
      <c r="F218">
        <v>-2</v>
      </c>
      <c r="G218" s="3">
        <v>-1.61E-2</v>
      </c>
      <c r="H218">
        <v>2014</v>
      </c>
      <c r="I218">
        <v>7.81</v>
      </c>
      <c r="J218">
        <v>6</v>
      </c>
      <c r="K218">
        <v>0</v>
      </c>
      <c r="L218">
        <v>6</v>
      </c>
      <c r="M218" s="3">
        <v>4.9000000000000002E-2</v>
      </c>
      <c r="N218" s="2">
        <v>0</v>
      </c>
      <c r="O218" s="3">
        <v>4.9000000000000002E-2</v>
      </c>
      <c r="P218" s="3">
        <v>0.76800000000000002</v>
      </c>
      <c r="Q218" s="2">
        <v>0</v>
      </c>
      <c r="R218" s="3">
        <v>0.76800000000000002</v>
      </c>
      <c r="S218" t="s">
        <v>814</v>
      </c>
      <c r="U218" t="s">
        <v>844</v>
      </c>
    </row>
    <row r="219" spans="1:21" x14ac:dyDescent="0.6">
      <c r="A219">
        <v>450</v>
      </c>
      <c r="B219" t="str">
        <f>"3045"</f>
        <v>3045</v>
      </c>
      <c r="C219" t="s">
        <v>540</v>
      </c>
      <c r="D219" s="1">
        <v>42923</v>
      </c>
      <c r="E219">
        <v>114.5</v>
      </c>
      <c r="F219">
        <v>-0.5</v>
      </c>
      <c r="G219" s="3">
        <v>-4.3E-3</v>
      </c>
      <c r="H219">
        <v>2014</v>
      </c>
      <c r="I219">
        <v>5.79</v>
      </c>
      <c r="J219">
        <v>5.6</v>
      </c>
      <c r="K219">
        <v>0</v>
      </c>
      <c r="L219">
        <v>5.6</v>
      </c>
      <c r="M219" s="3">
        <v>4.8899999999999999E-2</v>
      </c>
      <c r="N219" s="2">
        <v>0</v>
      </c>
      <c r="O219" s="3">
        <v>4.8899999999999999E-2</v>
      </c>
      <c r="P219" s="3">
        <v>0.96699999999999997</v>
      </c>
      <c r="Q219" s="2">
        <v>0</v>
      </c>
      <c r="R219" s="3">
        <v>0.96699999999999997</v>
      </c>
      <c r="S219" t="s">
        <v>806</v>
      </c>
    </row>
    <row r="220" spans="1:21" x14ac:dyDescent="0.6">
      <c r="A220">
        <v>456</v>
      </c>
      <c r="B220" t="str">
        <f>"4137"</f>
        <v>4137</v>
      </c>
      <c r="C220" t="s">
        <v>546</v>
      </c>
      <c r="D220" s="1">
        <v>42923</v>
      </c>
      <c r="E220">
        <v>133.5</v>
      </c>
      <c r="F220">
        <v>-0.5</v>
      </c>
      <c r="G220" s="3">
        <v>-3.7000000000000002E-3</v>
      </c>
      <c r="H220">
        <v>2014</v>
      </c>
      <c r="I220">
        <v>10.25</v>
      </c>
      <c r="J220">
        <v>6.5</v>
      </c>
      <c r="K220">
        <v>0.5</v>
      </c>
      <c r="L220">
        <v>7</v>
      </c>
      <c r="M220" s="3">
        <v>4.87E-2</v>
      </c>
      <c r="N220" s="3">
        <v>3.7000000000000002E-3</v>
      </c>
      <c r="O220" s="3">
        <v>5.2400000000000002E-2</v>
      </c>
      <c r="P220" s="3">
        <v>0.63400000000000001</v>
      </c>
      <c r="Q220" s="3">
        <v>4.8800000000000003E-2</v>
      </c>
      <c r="R220" s="3">
        <v>0.68300000000000005</v>
      </c>
      <c r="S220" t="s">
        <v>849</v>
      </c>
      <c r="T220" t="s">
        <v>849</v>
      </c>
      <c r="U220" t="s">
        <v>867</v>
      </c>
    </row>
    <row r="221" spans="1:21" x14ac:dyDescent="0.6">
      <c r="A221">
        <v>409</v>
      </c>
      <c r="B221" t="str">
        <f>"1722"</f>
        <v>1722</v>
      </c>
      <c r="C221" t="s">
        <v>496</v>
      </c>
      <c r="D221" s="1">
        <v>42923</v>
      </c>
      <c r="E221">
        <v>41.3</v>
      </c>
      <c r="F221">
        <v>-0.3</v>
      </c>
      <c r="G221" s="3">
        <v>-7.1999999999999998E-3</v>
      </c>
      <c r="H221">
        <v>2014</v>
      </c>
      <c r="I221">
        <v>2.59</v>
      </c>
      <c r="J221">
        <v>2</v>
      </c>
      <c r="K221">
        <v>0</v>
      </c>
      <c r="L221">
        <v>2</v>
      </c>
      <c r="M221" s="3">
        <v>4.8399999999999999E-2</v>
      </c>
      <c r="N221" s="2">
        <v>0</v>
      </c>
      <c r="O221" s="3">
        <v>4.8399999999999999E-2</v>
      </c>
      <c r="P221" s="3">
        <v>0.77200000000000002</v>
      </c>
      <c r="Q221" s="2">
        <v>0</v>
      </c>
      <c r="R221" s="3">
        <v>0.77200000000000002</v>
      </c>
      <c r="S221" t="s">
        <v>814</v>
      </c>
      <c r="U221" t="s">
        <v>795</v>
      </c>
    </row>
    <row r="222" spans="1:21" x14ac:dyDescent="0.6">
      <c r="A222">
        <v>472</v>
      </c>
      <c r="B222" t="str">
        <f>"8289"</f>
        <v>8289</v>
      </c>
      <c r="C222" t="s">
        <v>565</v>
      </c>
      <c r="D222" s="1">
        <v>42923</v>
      </c>
      <c r="E222">
        <v>10.4</v>
      </c>
      <c r="F222">
        <v>-0.05</v>
      </c>
      <c r="G222" s="3">
        <v>-4.7999999999999996E-3</v>
      </c>
      <c r="H222">
        <v>2014</v>
      </c>
      <c r="I222">
        <v>0.7</v>
      </c>
      <c r="J222">
        <v>0.5</v>
      </c>
      <c r="K222">
        <v>0</v>
      </c>
      <c r="L222">
        <v>0.5</v>
      </c>
      <c r="M222" s="3">
        <v>4.8399999999999999E-2</v>
      </c>
      <c r="N222" s="2">
        <v>0</v>
      </c>
      <c r="O222" s="3">
        <v>4.8399999999999999E-2</v>
      </c>
      <c r="P222" s="3">
        <v>0.71399999999999997</v>
      </c>
      <c r="Q222" s="2">
        <v>0</v>
      </c>
      <c r="R222" s="3">
        <v>0.71399999999999997</v>
      </c>
      <c r="S222" t="s">
        <v>798</v>
      </c>
      <c r="U222" t="s">
        <v>817</v>
      </c>
    </row>
    <row r="223" spans="1:21" x14ac:dyDescent="0.6">
      <c r="A223">
        <v>13</v>
      </c>
      <c r="B223" t="str">
        <f>"5015"</f>
        <v>5015</v>
      </c>
      <c r="C223" t="s">
        <v>41</v>
      </c>
      <c r="D223" s="1">
        <v>42923</v>
      </c>
      <c r="E223">
        <v>25</v>
      </c>
      <c r="F223">
        <v>-0.25</v>
      </c>
      <c r="G223" s="3">
        <v>-9.9000000000000008E-3</v>
      </c>
      <c r="H223">
        <v>2014</v>
      </c>
      <c r="I223">
        <v>1.62</v>
      </c>
      <c r="J223">
        <v>1.2</v>
      </c>
      <c r="K223">
        <v>0</v>
      </c>
      <c r="L223">
        <v>1.2</v>
      </c>
      <c r="M223" s="3">
        <v>4.8000000000000001E-2</v>
      </c>
      <c r="N223" s="2">
        <v>0</v>
      </c>
      <c r="O223" s="3">
        <v>4.8000000000000001E-2</v>
      </c>
      <c r="P223" s="3">
        <v>0.74099999999999999</v>
      </c>
      <c r="Q223" s="2">
        <v>0</v>
      </c>
      <c r="R223" s="3">
        <v>0.74099999999999999</v>
      </c>
      <c r="S223" t="s">
        <v>809</v>
      </c>
    </row>
    <row r="224" spans="1:21" x14ac:dyDescent="0.6">
      <c r="A224">
        <v>241</v>
      </c>
      <c r="B224" t="str">
        <f>"2883"</f>
        <v>2883</v>
      </c>
      <c r="C224" t="s">
        <v>320</v>
      </c>
      <c r="D224" s="1">
        <v>42923</v>
      </c>
      <c r="E224">
        <v>8.33</v>
      </c>
      <c r="F224">
        <v>-0.06</v>
      </c>
      <c r="G224" s="3">
        <v>-7.1999999999999998E-3</v>
      </c>
      <c r="H224">
        <v>2014</v>
      </c>
      <c r="I224">
        <v>0.56000000000000005</v>
      </c>
      <c r="J224">
        <v>0.4</v>
      </c>
      <c r="K224">
        <v>0</v>
      </c>
      <c r="L224">
        <v>0.4</v>
      </c>
      <c r="M224" s="3">
        <v>4.8000000000000001E-2</v>
      </c>
      <c r="N224" s="2">
        <v>0</v>
      </c>
      <c r="O224" s="3">
        <v>4.8000000000000001E-2</v>
      </c>
      <c r="P224" s="3">
        <v>0.71399999999999997</v>
      </c>
      <c r="Q224" s="2">
        <v>0</v>
      </c>
      <c r="R224" s="3">
        <v>0.71399999999999997</v>
      </c>
      <c r="S224" t="s">
        <v>815</v>
      </c>
    </row>
    <row r="225" spans="1:21" x14ac:dyDescent="0.6">
      <c r="A225">
        <v>403</v>
      </c>
      <c r="B225" t="str">
        <f>"3221"</f>
        <v>3221</v>
      </c>
      <c r="C225" t="s">
        <v>489</v>
      </c>
      <c r="D225" s="1">
        <v>42923</v>
      </c>
      <c r="E225">
        <v>19.600000000000001</v>
      </c>
      <c r="F225">
        <v>-0.35</v>
      </c>
      <c r="G225" s="3">
        <v>-1.7500000000000002E-2</v>
      </c>
      <c r="H225">
        <v>2014</v>
      </c>
      <c r="I225">
        <v>1.1299999999999999</v>
      </c>
      <c r="J225">
        <v>0.94</v>
      </c>
      <c r="K225">
        <v>0</v>
      </c>
      <c r="L225">
        <v>0.94</v>
      </c>
      <c r="M225" s="3">
        <v>4.8000000000000001E-2</v>
      </c>
      <c r="N225" s="2">
        <v>0</v>
      </c>
      <c r="O225" s="3">
        <v>4.8000000000000001E-2</v>
      </c>
      <c r="P225" s="3">
        <v>0.83199999999999996</v>
      </c>
      <c r="Q225" s="2">
        <v>0</v>
      </c>
      <c r="R225" s="3">
        <v>0.83199999999999996</v>
      </c>
      <c r="S225" t="s">
        <v>832</v>
      </c>
      <c r="U225" t="s">
        <v>844</v>
      </c>
    </row>
    <row r="226" spans="1:21" x14ac:dyDescent="0.6">
      <c r="A226">
        <v>478</v>
      </c>
      <c r="B226" t="str">
        <f>"4904"</f>
        <v>4904</v>
      </c>
      <c r="C226" t="s">
        <v>571</v>
      </c>
      <c r="D226" s="1">
        <v>42923</v>
      </c>
      <c r="E226">
        <v>78.3</v>
      </c>
      <c r="F226">
        <v>-0.3</v>
      </c>
      <c r="G226" s="3">
        <v>-3.8E-3</v>
      </c>
      <c r="H226">
        <v>2014</v>
      </c>
      <c r="I226">
        <v>3.61</v>
      </c>
      <c r="J226">
        <v>3.75</v>
      </c>
      <c r="K226">
        <v>0</v>
      </c>
      <c r="L226">
        <v>3.75</v>
      </c>
      <c r="M226" s="3">
        <v>4.7899999999999998E-2</v>
      </c>
      <c r="N226" s="2">
        <v>0</v>
      </c>
      <c r="O226" s="3">
        <v>4.7899999999999998E-2</v>
      </c>
      <c r="P226" s="2">
        <v>1.04</v>
      </c>
      <c r="Q226" s="2">
        <v>0</v>
      </c>
      <c r="R226" s="2">
        <v>1.04</v>
      </c>
      <c r="S226" t="s">
        <v>831</v>
      </c>
    </row>
    <row r="227" spans="1:21" x14ac:dyDescent="0.6">
      <c r="A227">
        <v>155</v>
      </c>
      <c r="B227" t="str">
        <f>"6142"</f>
        <v>6142</v>
      </c>
      <c r="C227" t="s">
        <v>224</v>
      </c>
      <c r="D227" s="1">
        <v>42923</v>
      </c>
      <c r="E227">
        <v>8.3699999999999992</v>
      </c>
      <c r="F227">
        <v>-0.11</v>
      </c>
      <c r="G227" s="3">
        <v>-1.2999999999999999E-2</v>
      </c>
      <c r="H227">
        <v>2014</v>
      </c>
      <c r="I227">
        <v>0.39</v>
      </c>
      <c r="J227">
        <v>0.4</v>
      </c>
      <c r="K227">
        <v>0</v>
      </c>
      <c r="L227">
        <v>0.4</v>
      </c>
      <c r="M227" s="3">
        <v>4.7800000000000002E-2</v>
      </c>
      <c r="N227" s="2">
        <v>0</v>
      </c>
      <c r="O227" s="3">
        <v>4.7800000000000002E-2</v>
      </c>
      <c r="P227" s="2">
        <v>1.03</v>
      </c>
      <c r="Q227" s="2">
        <v>0</v>
      </c>
      <c r="R227" s="2">
        <v>1.03</v>
      </c>
      <c r="S227" t="s">
        <v>867</v>
      </c>
      <c r="U227" t="s">
        <v>860</v>
      </c>
    </row>
    <row r="228" spans="1:21" x14ac:dyDescent="0.6">
      <c r="A228">
        <v>482</v>
      </c>
      <c r="B228" t="str">
        <f>"2809"</f>
        <v>2809</v>
      </c>
      <c r="C228" t="s">
        <v>575</v>
      </c>
      <c r="D228" s="1">
        <v>42923</v>
      </c>
      <c r="E228">
        <v>31.35</v>
      </c>
      <c r="F228">
        <v>-0.9</v>
      </c>
      <c r="G228" s="3">
        <v>-2.7900000000000001E-2</v>
      </c>
      <c r="H228">
        <v>2014</v>
      </c>
      <c r="I228">
        <v>3.53</v>
      </c>
      <c r="J228">
        <v>1.5</v>
      </c>
      <c r="K228">
        <v>0</v>
      </c>
      <c r="L228">
        <v>1.5</v>
      </c>
      <c r="M228" s="3">
        <v>4.7800000000000002E-2</v>
      </c>
      <c r="N228" s="2">
        <v>0</v>
      </c>
      <c r="O228" s="3">
        <v>4.7800000000000002E-2</v>
      </c>
      <c r="P228" s="3">
        <v>0.42499999999999999</v>
      </c>
      <c r="Q228" s="2">
        <v>0</v>
      </c>
      <c r="R228" s="3">
        <v>0.42499999999999999</v>
      </c>
      <c r="S228" t="s">
        <v>840</v>
      </c>
    </row>
    <row r="229" spans="1:21" x14ac:dyDescent="0.6">
      <c r="A229">
        <v>190</v>
      </c>
      <c r="B229" t="str">
        <f>"1108"</f>
        <v>1108</v>
      </c>
      <c r="C229" t="s">
        <v>267</v>
      </c>
      <c r="D229" s="1">
        <v>42923</v>
      </c>
      <c r="E229">
        <v>9.4499999999999993</v>
      </c>
      <c r="F229">
        <v>0</v>
      </c>
      <c r="G229" s="2">
        <v>0</v>
      </c>
      <c r="H229">
        <v>2014</v>
      </c>
      <c r="I229">
        <v>0.44</v>
      </c>
      <c r="J229">
        <v>0.45</v>
      </c>
      <c r="K229">
        <v>0</v>
      </c>
      <c r="L229">
        <v>0.45</v>
      </c>
      <c r="M229" s="3">
        <v>4.7600000000000003E-2</v>
      </c>
      <c r="N229" s="2">
        <v>0</v>
      </c>
      <c r="O229" s="3">
        <v>4.7600000000000003E-2</v>
      </c>
      <c r="P229" s="2">
        <v>1.02</v>
      </c>
      <c r="Q229" s="2">
        <v>0</v>
      </c>
      <c r="R229" s="2">
        <v>1.02</v>
      </c>
      <c r="S229" t="s">
        <v>831</v>
      </c>
      <c r="U229" t="s">
        <v>832</v>
      </c>
    </row>
    <row r="230" spans="1:21" x14ac:dyDescent="0.6">
      <c r="A230">
        <v>291</v>
      </c>
      <c r="B230" t="str">
        <f>"4536"</f>
        <v>4536</v>
      </c>
      <c r="C230" t="s">
        <v>373</v>
      </c>
      <c r="D230" s="1">
        <v>42923</v>
      </c>
      <c r="E230">
        <v>105</v>
      </c>
      <c r="F230">
        <v>0.5</v>
      </c>
      <c r="G230" s="3">
        <v>4.7999999999999996E-3</v>
      </c>
      <c r="H230">
        <v>2014</v>
      </c>
      <c r="I230">
        <v>6.31</v>
      </c>
      <c r="J230">
        <v>5</v>
      </c>
      <c r="K230">
        <v>0</v>
      </c>
      <c r="L230">
        <v>5</v>
      </c>
      <c r="M230" s="3">
        <v>4.7600000000000003E-2</v>
      </c>
      <c r="N230" s="2">
        <v>0</v>
      </c>
      <c r="O230" s="3">
        <v>4.7600000000000003E-2</v>
      </c>
      <c r="P230" s="3">
        <v>0.79200000000000004</v>
      </c>
      <c r="Q230" s="2">
        <v>0</v>
      </c>
      <c r="R230" s="3">
        <v>0.79200000000000004</v>
      </c>
      <c r="S230" t="s">
        <v>813</v>
      </c>
    </row>
    <row r="231" spans="1:21" x14ac:dyDescent="0.6">
      <c r="A231">
        <v>123</v>
      </c>
      <c r="B231" t="str">
        <f>"6263"</f>
        <v>6263</v>
      </c>
      <c r="C231" t="s">
        <v>188</v>
      </c>
      <c r="D231" s="1">
        <v>42923</v>
      </c>
      <c r="E231">
        <v>55</v>
      </c>
      <c r="F231">
        <v>0.1</v>
      </c>
      <c r="G231" s="3">
        <v>1.8E-3</v>
      </c>
      <c r="H231">
        <v>2014</v>
      </c>
      <c r="I231">
        <v>3.2</v>
      </c>
      <c r="J231">
        <v>2.6</v>
      </c>
      <c r="K231">
        <v>0.2</v>
      </c>
      <c r="L231">
        <v>2.8</v>
      </c>
      <c r="M231" s="3">
        <v>4.7300000000000002E-2</v>
      </c>
      <c r="N231" s="3">
        <v>3.5999999999999999E-3</v>
      </c>
      <c r="O231" s="3">
        <v>5.0900000000000001E-2</v>
      </c>
      <c r="P231" s="3">
        <v>0.81200000000000006</v>
      </c>
      <c r="Q231" s="3">
        <v>6.25E-2</v>
      </c>
      <c r="R231" s="3">
        <v>0.875</v>
      </c>
      <c r="S231" t="s">
        <v>814</v>
      </c>
      <c r="T231" t="s">
        <v>814</v>
      </c>
      <c r="U231" t="s">
        <v>860</v>
      </c>
    </row>
    <row r="232" spans="1:21" x14ac:dyDescent="0.6">
      <c r="A232">
        <v>69</v>
      </c>
      <c r="B232" t="str">
        <f>"5016"</f>
        <v>5016</v>
      </c>
      <c r="C232" t="s">
        <v>127</v>
      </c>
      <c r="D232" s="1">
        <v>42923</v>
      </c>
      <c r="E232">
        <v>31.75</v>
      </c>
      <c r="F232">
        <v>-0.15</v>
      </c>
      <c r="G232" s="3">
        <v>-4.7000000000000002E-3</v>
      </c>
      <c r="H232">
        <v>2014</v>
      </c>
      <c r="I232">
        <v>2.0099999999999998</v>
      </c>
      <c r="J232">
        <v>1.5</v>
      </c>
      <c r="K232">
        <v>0</v>
      </c>
      <c r="L232">
        <v>1.5</v>
      </c>
      <c r="M232" s="3">
        <v>4.7199999999999999E-2</v>
      </c>
      <c r="N232" s="2">
        <v>0</v>
      </c>
      <c r="O232" s="3">
        <v>4.7199999999999999E-2</v>
      </c>
      <c r="P232" s="3">
        <v>0.746</v>
      </c>
      <c r="Q232" s="2">
        <v>0</v>
      </c>
      <c r="R232" s="3">
        <v>0.746</v>
      </c>
      <c r="S232" t="s">
        <v>840</v>
      </c>
    </row>
    <row r="233" spans="1:21" x14ac:dyDescent="0.6">
      <c r="A233">
        <v>490</v>
      </c>
      <c r="B233" t="str">
        <f>"1312"</f>
        <v>1312</v>
      </c>
      <c r="C233" t="s">
        <v>583</v>
      </c>
      <c r="D233" s="1">
        <v>42923</v>
      </c>
      <c r="E233">
        <v>21.2</v>
      </c>
      <c r="F233">
        <v>-0.3</v>
      </c>
      <c r="G233" s="3">
        <v>-1.4E-2</v>
      </c>
      <c r="H233">
        <v>2014</v>
      </c>
      <c r="I233">
        <v>2.15</v>
      </c>
      <c r="J233">
        <v>1</v>
      </c>
      <c r="K233">
        <v>0</v>
      </c>
      <c r="L233">
        <v>1</v>
      </c>
      <c r="M233" s="3">
        <v>4.7199999999999999E-2</v>
      </c>
      <c r="N233" s="2">
        <v>0</v>
      </c>
      <c r="O233" s="3">
        <v>4.7199999999999999E-2</v>
      </c>
      <c r="P233" s="3">
        <v>0.46500000000000002</v>
      </c>
      <c r="Q233" s="2">
        <v>0</v>
      </c>
      <c r="R233" s="3">
        <v>0.46500000000000002</v>
      </c>
      <c r="S233" t="s">
        <v>849</v>
      </c>
      <c r="U233" t="s">
        <v>799</v>
      </c>
    </row>
    <row r="234" spans="1:21" x14ac:dyDescent="0.6">
      <c r="A234">
        <v>179</v>
      </c>
      <c r="B234" t="str">
        <f>"3088"</f>
        <v>3088</v>
      </c>
      <c r="C234" t="s">
        <v>255</v>
      </c>
      <c r="D234" s="1">
        <v>42923</v>
      </c>
      <c r="E234">
        <v>56.8</v>
      </c>
      <c r="F234">
        <v>-0.4</v>
      </c>
      <c r="G234" s="3">
        <v>-7.0000000000000001E-3</v>
      </c>
      <c r="H234">
        <v>2014</v>
      </c>
      <c r="I234">
        <v>3.47</v>
      </c>
      <c r="J234">
        <v>2.67</v>
      </c>
      <c r="K234">
        <v>0</v>
      </c>
      <c r="L234">
        <v>2.67</v>
      </c>
      <c r="M234" s="3">
        <v>4.7E-2</v>
      </c>
      <c r="N234" s="2">
        <v>0</v>
      </c>
      <c r="O234" s="3">
        <v>4.7E-2</v>
      </c>
      <c r="P234" s="2">
        <v>0.77</v>
      </c>
      <c r="Q234" s="2">
        <v>0</v>
      </c>
      <c r="R234" s="2">
        <v>0.77</v>
      </c>
      <c r="S234" t="s">
        <v>791</v>
      </c>
      <c r="U234" t="s">
        <v>835</v>
      </c>
    </row>
    <row r="235" spans="1:21" x14ac:dyDescent="0.6">
      <c r="A235">
        <v>307</v>
      </c>
      <c r="B235" t="str">
        <f>"8210"</f>
        <v>8210</v>
      </c>
      <c r="C235" t="s">
        <v>389</v>
      </c>
      <c r="D235" s="1">
        <v>42923</v>
      </c>
      <c r="E235">
        <v>53.2</v>
      </c>
      <c r="F235">
        <v>-0.6</v>
      </c>
      <c r="G235" s="3">
        <v>-1.12E-2</v>
      </c>
      <c r="H235">
        <v>2014</v>
      </c>
      <c r="I235">
        <v>2.85</v>
      </c>
      <c r="J235">
        <v>2.5</v>
      </c>
      <c r="K235">
        <v>0</v>
      </c>
      <c r="L235">
        <v>2.5</v>
      </c>
      <c r="M235" s="3">
        <v>4.7E-2</v>
      </c>
      <c r="N235" s="2">
        <v>0</v>
      </c>
      <c r="O235" s="3">
        <v>4.7E-2</v>
      </c>
      <c r="P235" s="3">
        <v>0.877</v>
      </c>
      <c r="Q235" s="2">
        <v>0</v>
      </c>
      <c r="R235" s="3">
        <v>0.877</v>
      </c>
      <c r="S235" t="s">
        <v>815</v>
      </c>
    </row>
    <row r="236" spans="1:21" x14ac:dyDescent="0.6">
      <c r="A236">
        <v>75</v>
      </c>
      <c r="B236" t="str">
        <f>"6214"</f>
        <v>6214</v>
      </c>
      <c r="C236" t="s">
        <v>134</v>
      </c>
      <c r="D236" s="1">
        <v>42923</v>
      </c>
      <c r="E236">
        <v>63.9</v>
      </c>
      <c r="F236">
        <v>-0.3</v>
      </c>
      <c r="G236" s="3">
        <v>-4.7000000000000002E-3</v>
      </c>
      <c r="H236">
        <v>2014</v>
      </c>
      <c r="I236">
        <v>3.51</v>
      </c>
      <c r="J236">
        <v>3</v>
      </c>
      <c r="K236">
        <v>0</v>
      </c>
      <c r="L236">
        <v>3</v>
      </c>
      <c r="M236" s="3">
        <v>4.6899999999999997E-2</v>
      </c>
      <c r="N236" s="2">
        <v>0</v>
      </c>
      <c r="O236" s="3">
        <v>4.6899999999999997E-2</v>
      </c>
      <c r="P236" s="3">
        <v>0.85499999999999998</v>
      </c>
      <c r="Q236" s="2">
        <v>0</v>
      </c>
      <c r="R236" s="3">
        <v>0.85499999999999998</v>
      </c>
      <c r="S236" t="s">
        <v>815</v>
      </c>
    </row>
    <row r="237" spans="1:21" x14ac:dyDescent="0.6">
      <c r="A237">
        <v>168</v>
      </c>
      <c r="B237" t="str">
        <f>"9924"</f>
        <v>9924</v>
      </c>
      <c r="C237" t="s">
        <v>241</v>
      </c>
      <c r="D237" s="1">
        <v>42923</v>
      </c>
      <c r="E237">
        <v>42.65</v>
      </c>
      <c r="F237">
        <v>-0.15</v>
      </c>
      <c r="G237" s="3">
        <v>-3.5000000000000001E-3</v>
      </c>
      <c r="H237">
        <v>2014</v>
      </c>
      <c r="I237">
        <v>3.08</v>
      </c>
      <c r="J237">
        <v>2</v>
      </c>
      <c r="K237">
        <v>0</v>
      </c>
      <c r="L237">
        <v>2</v>
      </c>
      <c r="M237" s="3">
        <v>4.6899999999999997E-2</v>
      </c>
      <c r="N237" s="2">
        <v>0</v>
      </c>
      <c r="O237" s="3">
        <v>4.6899999999999997E-2</v>
      </c>
      <c r="P237" s="3">
        <v>0.64900000000000002</v>
      </c>
      <c r="Q237" s="2">
        <v>0</v>
      </c>
      <c r="R237" s="3">
        <v>0.64900000000000002</v>
      </c>
      <c r="S237" t="s">
        <v>804</v>
      </c>
    </row>
    <row r="238" spans="1:21" x14ac:dyDescent="0.6">
      <c r="A238">
        <v>470</v>
      </c>
      <c r="B238" t="str">
        <f>"4736"</f>
        <v>4736</v>
      </c>
      <c r="C238" t="s">
        <v>563</v>
      </c>
      <c r="D238" s="1">
        <v>42923</v>
      </c>
      <c r="E238">
        <v>104</v>
      </c>
      <c r="F238">
        <v>-1.5</v>
      </c>
      <c r="G238" s="3">
        <v>-1.4200000000000001E-2</v>
      </c>
      <c r="H238">
        <v>2014</v>
      </c>
      <c r="I238">
        <v>5.42</v>
      </c>
      <c r="J238">
        <v>4.88</v>
      </c>
      <c r="K238">
        <v>0</v>
      </c>
      <c r="L238">
        <v>4.88</v>
      </c>
      <c r="M238" s="3">
        <v>4.6899999999999997E-2</v>
      </c>
      <c r="N238" s="2">
        <v>0</v>
      </c>
      <c r="O238" s="3">
        <v>4.6899999999999997E-2</v>
      </c>
      <c r="P238" s="2">
        <v>0.9</v>
      </c>
      <c r="Q238" s="2">
        <v>0</v>
      </c>
      <c r="R238" s="2">
        <v>0.9</v>
      </c>
      <c r="S238" t="s">
        <v>813</v>
      </c>
      <c r="U238" t="s">
        <v>824</v>
      </c>
    </row>
    <row r="239" spans="1:21" x14ac:dyDescent="0.6">
      <c r="A239">
        <v>313</v>
      </c>
      <c r="B239" t="str">
        <f>"2820"</f>
        <v>2820</v>
      </c>
      <c r="C239" t="s">
        <v>395</v>
      </c>
      <c r="D239" s="1">
        <v>42923</v>
      </c>
      <c r="E239">
        <v>14.95</v>
      </c>
      <c r="F239">
        <v>-0.1</v>
      </c>
      <c r="G239" s="3">
        <v>-6.6E-3</v>
      </c>
      <c r="H239">
        <v>2014</v>
      </c>
      <c r="I239">
        <v>1.04</v>
      </c>
      <c r="J239">
        <v>0.7</v>
      </c>
      <c r="K239">
        <v>0</v>
      </c>
      <c r="L239">
        <v>0.7</v>
      </c>
      <c r="M239" s="3">
        <v>4.6800000000000001E-2</v>
      </c>
      <c r="N239" s="2">
        <v>0</v>
      </c>
      <c r="O239" s="3">
        <v>4.6800000000000001E-2</v>
      </c>
      <c r="P239" s="3">
        <v>0.67300000000000004</v>
      </c>
      <c r="Q239" s="2">
        <v>0</v>
      </c>
      <c r="R239" s="3">
        <v>0.67300000000000004</v>
      </c>
      <c r="S239" t="s">
        <v>879</v>
      </c>
    </row>
    <row r="240" spans="1:21" x14ac:dyDescent="0.6">
      <c r="A240">
        <v>306</v>
      </c>
      <c r="B240" t="str">
        <f>"5439"</f>
        <v>5439</v>
      </c>
      <c r="C240" t="s">
        <v>388</v>
      </c>
      <c r="D240" s="1">
        <v>42923</v>
      </c>
      <c r="E240">
        <v>32.15</v>
      </c>
      <c r="F240">
        <v>0</v>
      </c>
      <c r="G240" s="2">
        <v>0</v>
      </c>
      <c r="H240">
        <v>2014</v>
      </c>
      <c r="I240">
        <v>1.29</v>
      </c>
      <c r="J240">
        <v>1.5</v>
      </c>
      <c r="K240">
        <v>0</v>
      </c>
      <c r="L240">
        <v>1.5</v>
      </c>
      <c r="M240" s="3">
        <v>4.6699999999999998E-2</v>
      </c>
      <c r="N240" s="2">
        <v>0</v>
      </c>
      <c r="O240" s="3">
        <v>4.6699999999999998E-2</v>
      </c>
      <c r="P240" s="2">
        <v>1.1599999999999999</v>
      </c>
      <c r="Q240" s="2">
        <v>0</v>
      </c>
      <c r="R240" s="2">
        <v>1.1599999999999999</v>
      </c>
      <c r="S240" t="s">
        <v>809</v>
      </c>
    </row>
    <row r="241" spans="1:21" x14ac:dyDescent="0.6">
      <c r="A241">
        <v>497</v>
      </c>
      <c r="B241" t="str">
        <f>"3611"</f>
        <v>3611</v>
      </c>
      <c r="C241" t="s">
        <v>591</v>
      </c>
      <c r="D241" s="1">
        <v>42923</v>
      </c>
      <c r="E241">
        <v>214</v>
      </c>
      <c r="F241">
        <v>1.5</v>
      </c>
      <c r="G241" s="3">
        <v>7.1000000000000004E-3</v>
      </c>
      <c r="H241">
        <v>2014</v>
      </c>
      <c r="I241">
        <v>13.01</v>
      </c>
      <c r="J241">
        <v>10</v>
      </c>
      <c r="K241">
        <v>0</v>
      </c>
      <c r="L241">
        <v>10</v>
      </c>
      <c r="M241" s="3">
        <v>4.6699999999999998E-2</v>
      </c>
      <c r="N241" s="2">
        <v>0</v>
      </c>
      <c r="O241" s="3">
        <v>4.6699999999999998E-2</v>
      </c>
      <c r="P241" s="3">
        <v>0.76900000000000002</v>
      </c>
      <c r="Q241" s="2">
        <v>0</v>
      </c>
      <c r="R241" s="3">
        <v>0.76900000000000002</v>
      </c>
      <c r="S241" t="s">
        <v>840</v>
      </c>
    </row>
    <row r="242" spans="1:21" x14ac:dyDescent="0.6">
      <c r="A242">
        <v>236</v>
      </c>
      <c r="B242" t="str">
        <f>"4706"</f>
        <v>4706</v>
      </c>
      <c r="C242" t="s">
        <v>315</v>
      </c>
      <c r="D242" s="1">
        <v>42923</v>
      </c>
      <c r="E242">
        <v>21.55</v>
      </c>
      <c r="F242">
        <v>0.15</v>
      </c>
      <c r="G242" s="3">
        <v>7.0000000000000001E-3</v>
      </c>
      <c r="H242">
        <v>2014</v>
      </c>
      <c r="I242">
        <v>1.27</v>
      </c>
      <c r="J242">
        <v>1</v>
      </c>
      <c r="K242">
        <v>0</v>
      </c>
      <c r="L242">
        <v>1</v>
      </c>
      <c r="M242" s="3">
        <v>4.6399999999999997E-2</v>
      </c>
      <c r="N242" s="2">
        <v>0</v>
      </c>
      <c r="O242" s="3">
        <v>4.6399999999999997E-2</v>
      </c>
      <c r="P242" s="3">
        <v>0.78700000000000003</v>
      </c>
      <c r="Q242" s="2">
        <v>0</v>
      </c>
      <c r="R242" s="3">
        <v>0.78700000000000003</v>
      </c>
      <c r="S242" t="s">
        <v>840</v>
      </c>
    </row>
    <row r="243" spans="1:21" x14ac:dyDescent="0.6">
      <c r="A243">
        <v>325</v>
      </c>
      <c r="B243" t="str">
        <f>"6218"</f>
        <v>6218</v>
      </c>
      <c r="C243" t="s">
        <v>407</v>
      </c>
      <c r="D243" s="1">
        <v>42923</v>
      </c>
      <c r="E243">
        <v>21.65</v>
      </c>
      <c r="F243">
        <v>-0.1</v>
      </c>
      <c r="G243" s="3">
        <v>-4.5999999999999999E-3</v>
      </c>
      <c r="H243">
        <v>2014</v>
      </c>
      <c r="I243">
        <v>1.28</v>
      </c>
      <c r="J243">
        <v>1</v>
      </c>
      <c r="K243">
        <v>0</v>
      </c>
      <c r="L243">
        <v>1</v>
      </c>
      <c r="M243" s="3">
        <v>4.6199999999999998E-2</v>
      </c>
      <c r="N243" s="2">
        <v>0</v>
      </c>
      <c r="O243" s="3">
        <v>4.6199999999999998E-2</v>
      </c>
      <c r="P243" s="3">
        <v>0.78100000000000003</v>
      </c>
      <c r="Q243" s="2">
        <v>0</v>
      </c>
      <c r="R243" s="3">
        <v>0.78100000000000003</v>
      </c>
      <c r="S243" t="s">
        <v>791</v>
      </c>
    </row>
    <row r="244" spans="1:21" x14ac:dyDescent="0.6">
      <c r="A244">
        <v>83</v>
      </c>
      <c r="B244" t="str">
        <f>"3217"</f>
        <v>3217</v>
      </c>
      <c r="C244" t="s">
        <v>145</v>
      </c>
      <c r="D244" s="1">
        <v>42923</v>
      </c>
      <c r="E244">
        <v>26.15</v>
      </c>
      <c r="F244">
        <v>-0.2</v>
      </c>
      <c r="G244" s="3">
        <v>-7.6E-3</v>
      </c>
      <c r="H244">
        <v>2014</v>
      </c>
      <c r="I244">
        <v>1.1399999999999999</v>
      </c>
      <c r="J244">
        <v>1.2</v>
      </c>
      <c r="K244">
        <v>0</v>
      </c>
      <c r="L244">
        <v>1.2</v>
      </c>
      <c r="M244" s="3">
        <v>4.5900000000000003E-2</v>
      </c>
      <c r="N244" s="2">
        <v>0</v>
      </c>
      <c r="O244" s="3">
        <v>4.5900000000000003E-2</v>
      </c>
      <c r="P244" s="2">
        <v>1.05</v>
      </c>
      <c r="Q244" s="2">
        <v>0</v>
      </c>
      <c r="R244" s="2">
        <v>1.05</v>
      </c>
      <c r="S244" t="s">
        <v>813</v>
      </c>
      <c r="U244" t="s">
        <v>817</v>
      </c>
    </row>
    <row r="245" spans="1:21" x14ac:dyDescent="0.6">
      <c r="A245">
        <v>63</v>
      </c>
      <c r="B245" t="str">
        <f>"4972"</f>
        <v>4972</v>
      </c>
      <c r="C245" t="s">
        <v>117</v>
      </c>
      <c r="D245" s="1">
        <v>42923</v>
      </c>
      <c r="E245">
        <v>32.799999999999997</v>
      </c>
      <c r="F245">
        <v>-0.2</v>
      </c>
      <c r="G245" s="3">
        <v>-6.1000000000000004E-3</v>
      </c>
      <c r="H245">
        <v>2014</v>
      </c>
      <c r="I245">
        <v>2.19</v>
      </c>
      <c r="J245">
        <v>1.5</v>
      </c>
      <c r="K245">
        <v>0.3</v>
      </c>
      <c r="L245">
        <v>1.8</v>
      </c>
      <c r="M245" s="3">
        <v>4.5699999999999998E-2</v>
      </c>
      <c r="N245" s="3">
        <v>9.1000000000000004E-3</v>
      </c>
      <c r="O245" s="3">
        <v>5.4899999999999997E-2</v>
      </c>
      <c r="P245" s="3">
        <v>0.68500000000000005</v>
      </c>
      <c r="Q245" s="3">
        <v>0.13700000000000001</v>
      </c>
      <c r="R245" s="3">
        <v>0.82199999999999995</v>
      </c>
      <c r="S245" t="s">
        <v>838</v>
      </c>
      <c r="T245" t="s">
        <v>838</v>
      </c>
      <c r="U245" t="s">
        <v>807</v>
      </c>
    </row>
    <row r="246" spans="1:21" x14ac:dyDescent="0.6">
      <c r="A246">
        <v>412</v>
      </c>
      <c r="B246" t="str">
        <f>"9925"</f>
        <v>9925</v>
      </c>
      <c r="C246" t="s">
        <v>499</v>
      </c>
      <c r="D246" s="1">
        <v>42923</v>
      </c>
      <c r="E246">
        <v>39.5</v>
      </c>
      <c r="F246">
        <v>-0.05</v>
      </c>
      <c r="G246" s="3">
        <v>-1.2999999999999999E-3</v>
      </c>
      <c r="H246">
        <v>2014</v>
      </c>
      <c r="I246">
        <v>2.71</v>
      </c>
      <c r="J246">
        <v>1.8</v>
      </c>
      <c r="K246">
        <v>0.1</v>
      </c>
      <c r="L246">
        <v>1.9</v>
      </c>
      <c r="M246" s="3">
        <v>4.5600000000000002E-2</v>
      </c>
      <c r="N246" s="3">
        <v>2.5000000000000001E-3</v>
      </c>
      <c r="O246" s="3">
        <v>4.8099999999999997E-2</v>
      </c>
      <c r="P246" s="3">
        <v>0.66400000000000003</v>
      </c>
      <c r="Q246" s="3">
        <v>3.6900000000000002E-2</v>
      </c>
      <c r="R246" s="3">
        <v>0.70099999999999996</v>
      </c>
      <c r="S246" t="s">
        <v>814</v>
      </c>
      <c r="T246" t="s">
        <v>814</v>
      </c>
      <c r="U246" t="s">
        <v>866</v>
      </c>
    </row>
    <row r="247" spans="1:21" x14ac:dyDescent="0.6">
      <c r="A247">
        <v>209</v>
      </c>
      <c r="B247" t="str">
        <f>"2449"</f>
        <v>2449</v>
      </c>
      <c r="C247" t="s">
        <v>288</v>
      </c>
      <c r="D247" s="1">
        <v>42923</v>
      </c>
      <c r="E247">
        <v>28.75</v>
      </c>
      <c r="F247">
        <v>-0.3</v>
      </c>
      <c r="G247" s="3">
        <v>-1.03E-2</v>
      </c>
      <c r="H247">
        <v>2014</v>
      </c>
      <c r="I247">
        <v>1.53</v>
      </c>
      <c r="J247">
        <v>1.3</v>
      </c>
      <c r="K247">
        <v>0</v>
      </c>
      <c r="L247">
        <v>1.3</v>
      </c>
      <c r="M247" s="3">
        <v>4.5199999999999997E-2</v>
      </c>
      <c r="N247" s="2">
        <v>0</v>
      </c>
      <c r="O247" s="3">
        <v>4.5199999999999997E-2</v>
      </c>
      <c r="P247" s="2">
        <v>0.85</v>
      </c>
      <c r="Q247" s="2">
        <v>0</v>
      </c>
      <c r="R247" s="2">
        <v>0.85</v>
      </c>
      <c r="S247" t="s">
        <v>815</v>
      </c>
    </row>
    <row r="248" spans="1:21" x14ac:dyDescent="0.6">
      <c r="A248">
        <v>157</v>
      </c>
      <c r="B248" t="str">
        <f>"6105"</f>
        <v>6105</v>
      </c>
      <c r="C248" t="s">
        <v>227</v>
      </c>
      <c r="D248" s="1">
        <v>42923</v>
      </c>
      <c r="E248">
        <v>44.3</v>
      </c>
      <c r="F248">
        <v>-0.4</v>
      </c>
      <c r="G248" s="3">
        <v>-8.8999999999999999E-3</v>
      </c>
      <c r="H248">
        <v>2014</v>
      </c>
      <c r="I248">
        <v>2.19</v>
      </c>
      <c r="J248">
        <v>2</v>
      </c>
      <c r="K248">
        <v>0</v>
      </c>
      <c r="L248">
        <v>2</v>
      </c>
      <c r="M248" s="3">
        <v>4.5100000000000001E-2</v>
      </c>
      <c r="N248" s="2">
        <v>0</v>
      </c>
      <c r="O248" s="3">
        <v>4.5100000000000001E-2</v>
      </c>
      <c r="P248" s="3">
        <v>0.91300000000000003</v>
      </c>
      <c r="Q248" s="2">
        <v>0</v>
      </c>
      <c r="R248" s="3">
        <v>0.91300000000000003</v>
      </c>
      <c r="S248" t="s">
        <v>840</v>
      </c>
    </row>
    <row r="249" spans="1:21" x14ac:dyDescent="0.6">
      <c r="A249">
        <v>426</v>
      </c>
      <c r="B249" t="str">
        <f>"2066"</f>
        <v>2066</v>
      </c>
      <c r="C249" t="s">
        <v>514</v>
      </c>
      <c r="D249" s="1">
        <v>42923</v>
      </c>
      <c r="E249">
        <v>100</v>
      </c>
      <c r="F249">
        <v>-3</v>
      </c>
      <c r="G249" s="3">
        <v>-2.9100000000000001E-2</v>
      </c>
      <c r="H249">
        <v>2014</v>
      </c>
      <c r="I249">
        <v>5.51</v>
      </c>
      <c r="J249">
        <v>4.5</v>
      </c>
      <c r="K249">
        <v>0.5</v>
      </c>
      <c r="L249">
        <v>5</v>
      </c>
      <c r="M249" s="3">
        <v>4.4999999999999998E-2</v>
      </c>
      <c r="N249" s="3">
        <v>5.0000000000000001E-3</v>
      </c>
      <c r="O249" s="2">
        <v>0.05</v>
      </c>
      <c r="P249" s="3">
        <v>0.81699999999999995</v>
      </c>
      <c r="Q249" s="3">
        <v>9.0700000000000003E-2</v>
      </c>
      <c r="R249" s="3">
        <v>0.90700000000000003</v>
      </c>
      <c r="S249" t="s">
        <v>818</v>
      </c>
      <c r="T249" t="s">
        <v>818</v>
      </c>
      <c r="U249" t="s">
        <v>807</v>
      </c>
    </row>
    <row r="250" spans="1:21" x14ac:dyDescent="0.6">
      <c r="A250">
        <v>438</v>
      </c>
      <c r="B250" t="str">
        <f>"1592"</f>
        <v>1592</v>
      </c>
      <c r="C250" t="s">
        <v>528</v>
      </c>
      <c r="D250" s="1">
        <v>42923</v>
      </c>
      <c r="E250">
        <v>44.5</v>
      </c>
      <c r="F250">
        <v>0</v>
      </c>
      <c r="G250" s="2">
        <v>0</v>
      </c>
      <c r="H250">
        <v>2014</v>
      </c>
      <c r="I250">
        <v>4.76</v>
      </c>
      <c r="J250">
        <v>2</v>
      </c>
      <c r="K250">
        <v>0</v>
      </c>
      <c r="L250">
        <v>2</v>
      </c>
      <c r="M250" s="3">
        <v>4.4900000000000002E-2</v>
      </c>
      <c r="N250" s="2">
        <v>0</v>
      </c>
      <c r="O250" s="3">
        <v>4.4900000000000002E-2</v>
      </c>
      <c r="P250" s="2">
        <v>0.42</v>
      </c>
      <c r="Q250" s="2">
        <v>0</v>
      </c>
      <c r="R250" s="2">
        <v>0.42</v>
      </c>
    </row>
    <row r="251" spans="1:21" x14ac:dyDescent="0.6">
      <c r="A251">
        <v>421</v>
      </c>
      <c r="B251" t="str">
        <f>"4535"</f>
        <v>4535</v>
      </c>
      <c r="C251" t="s">
        <v>508</v>
      </c>
      <c r="D251" s="1">
        <v>42923</v>
      </c>
      <c r="E251">
        <v>44.7</v>
      </c>
      <c r="F251">
        <v>-0.25</v>
      </c>
      <c r="G251" s="3">
        <v>-5.5999999999999999E-3</v>
      </c>
      <c r="H251">
        <v>2014</v>
      </c>
      <c r="I251">
        <v>2.91</v>
      </c>
      <c r="J251">
        <v>2</v>
      </c>
      <c r="K251">
        <v>0</v>
      </c>
      <c r="L251">
        <v>2</v>
      </c>
      <c r="M251" s="3">
        <v>4.4699999999999997E-2</v>
      </c>
      <c r="N251" s="2">
        <v>0</v>
      </c>
      <c r="O251" s="3">
        <v>4.4699999999999997E-2</v>
      </c>
      <c r="P251" s="3">
        <v>0.68700000000000006</v>
      </c>
      <c r="Q251" s="2">
        <v>0</v>
      </c>
      <c r="R251" s="3">
        <v>0.68700000000000006</v>
      </c>
      <c r="S251" t="s">
        <v>815</v>
      </c>
    </row>
    <row r="252" spans="1:21" x14ac:dyDescent="0.6">
      <c r="A252">
        <v>185</v>
      </c>
      <c r="B252" t="str">
        <f>"8422"</f>
        <v>8422</v>
      </c>
      <c r="C252" t="s">
        <v>261</v>
      </c>
      <c r="D252" s="1">
        <v>42923</v>
      </c>
      <c r="E252">
        <v>180</v>
      </c>
      <c r="F252">
        <v>-1</v>
      </c>
      <c r="G252" s="3">
        <v>-5.4999999999999997E-3</v>
      </c>
      <c r="H252">
        <v>2014</v>
      </c>
      <c r="I252">
        <v>11.46</v>
      </c>
      <c r="J252">
        <v>8</v>
      </c>
      <c r="K252">
        <v>0</v>
      </c>
      <c r="L252">
        <v>8</v>
      </c>
      <c r="M252" s="3">
        <v>4.4400000000000002E-2</v>
      </c>
      <c r="N252" s="2">
        <v>0</v>
      </c>
      <c r="O252" s="3">
        <v>4.4400000000000002E-2</v>
      </c>
      <c r="P252" s="3">
        <v>0.69799999999999995</v>
      </c>
      <c r="Q252" s="2">
        <v>0</v>
      </c>
      <c r="R252" s="3">
        <v>0.69799999999999995</v>
      </c>
      <c r="S252" t="s">
        <v>804</v>
      </c>
    </row>
    <row r="253" spans="1:21" x14ac:dyDescent="0.6">
      <c r="A253">
        <v>47</v>
      </c>
      <c r="B253" t="str">
        <f>"3596"</f>
        <v>3596</v>
      </c>
      <c r="C253" t="s">
        <v>94</v>
      </c>
      <c r="D253" s="1">
        <v>42923</v>
      </c>
      <c r="E253">
        <v>47.45</v>
      </c>
      <c r="F253">
        <v>0.3</v>
      </c>
      <c r="G253" s="3">
        <v>6.4000000000000003E-3</v>
      </c>
      <c r="H253">
        <v>2014</v>
      </c>
      <c r="I253">
        <v>4.1500000000000004</v>
      </c>
      <c r="J253">
        <v>2.1</v>
      </c>
      <c r="K253">
        <v>0</v>
      </c>
      <c r="L253">
        <v>2.1</v>
      </c>
      <c r="M253" s="3">
        <v>4.4299999999999999E-2</v>
      </c>
      <c r="N253" s="2">
        <v>0</v>
      </c>
      <c r="O253" s="3">
        <v>4.4299999999999999E-2</v>
      </c>
      <c r="P253" s="3">
        <v>0.50600000000000001</v>
      </c>
      <c r="Q253" s="2">
        <v>0</v>
      </c>
      <c r="R253" s="3">
        <v>0.50600000000000001</v>
      </c>
      <c r="S253" t="s">
        <v>815</v>
      </c>
    </row>
    <row r="254" spans="1:21" x14ac:dyDescent="0.6">
      <c r="A254">
        <v>205</v>
      </c>
      <c r="B254" t="str">
        <f>"3029"</f>
        <v>3029</v>
      </c>
      <c r="C254" t="s">
        <v>284</v>
      </c>
      <c r="D254" s="1">
        <v>42923</v>
      </c>
      <c r="E254">
        <v>19.2</v>
      </c>
      <c r="F254">
        <v>0.15</v>
      </c>
      <c r="G254" s="3">
        <v>7.9000000000000008E-3</v>
      </c>
      <c r="H254">
        <v>2014</v>
      </c>
      <c r="I254">
        <v>0.87</v>
      </c>
      <c r="J254">
        <v>0.85</v>
      </c>
      <c r="K254">
        <v>0</v>
      </c>
      <c r="L254">
        <v>0.85</v>
      </c>
      <c r="M254" s="3">
        <v>4.4299999999999999E-2</v>
      </c>
      <c r="N254" s="2">
        <v>0</v>
      </c>
      <c r="O254" s="3">
        <v>4.4299999999999999E-2</v>
      </c>
      <c r="P254" s="3">
        <v>0.97699999999999998</v>
      </c>
      <c r="Q254" s="2">
        <v>0</v>
      </c>
      <c r="R254" s="3">
        <v>0.97699999999999998</v>
      </c>
      <c r="S254" t="s">
        <v>809</v>
      </c>
    </row>
    <row r="255" spans="1:21" x14ac:dyDescent="0.6">
      <c r="A255">
        <v>324</v>
      </c>
      <c r="B255" t="str">
        <f>"2461"</f>
        <v>2461</v>
      </c>
      <c r="C255" t="s">
        <v>406</v>
      </c>
      <c r="D255" s="1">
        <v>42923</v>
      </c>
      <c r="E255">
        <v>14.7</v>
      </c>
      <c r="F255">
        <v>-0.15</v>
      </c>
      <c r="G255" s="3">
        <v>-1.01E-2</v>
      </c>
      <c r="H255">
        <v>2014</v>
      </c>
      <c r="I255">
        <v>1.49</v>
      </c>
      <c r="J255">
        <v>0.65</v>
      </c>
      <c r="K255">
        <v>0</v>
      </c>
      <c r="L255">
        <v>0.65</v>
      </c>
      <c r="M255" s="3">
        <v>4.4299999999999999E-2</v>
      </c>
      <c r="N255" s="2">
        <v>0</v>
      </c>
      <c r="O255" s="3">
        <v>4.4299999999999999E-2</v>
      </c>
      <c r="P255" s="3">
        <v>0.436</v>
      </c>
      <c r="Q255" s="2">
        <v>0</v>
      </c>
      <c r="R255" s="3">
        <v>0.436</v>
      </c>
      <c r="S255" t="s">
        <v>820</v>
      </c>
      <c r="U255" t="s">
        <v>867</v>
      </c>
    </row>
    <row r="256" spans="1:21" x14ac:dyDescent="0.6">
      <c r="A256">
        <v>57</v>
      </c>
      <c r="B256" t="str">
        <f>"3299"</f>
        <v>3299</v>
      </c>
      <c r="C256" t="s">
        <v>109</v>
      </c>
      <c r="D256" s="1">
        <v>42923</v>
      </c>
      <c r="E256">
        <v>63.7</v>
      </c>
      <c r="F256">
        <v>-1.7</v>
      </c>
      <c r="G256" s="3">
        <v>-2.5999999999999999E-2</v>
      </c>
      <c r="H256">
        <v>2014</v>
      </c>
      <c r="I256">
        <v>3.08</v>
      </c>
      <c r="J256">
        <v>2.8</v>
      </c>
      <c r="K256">
        <v>0</v>
      </c>
      <c r="L256">
        <v>2.8</v>
      </c>
      <c r="M256" s="3">
        <v>4.3999999999999997E-2</v>
      </c>
      <c r="N256" s="2">
        <v>0</v>
      </c>
      <c r="O256" s="3">
        <v>4.3999999999999997E-2</v>
      </c>
      <c r="P256" s="3">
        <v>0.90900000000000003</v>
      </c>
      <c r="Q256" s="2">
        <v>0</v>
      </c>
      <c r="R256" s="3">
        <v>0.90900000000000003</v>
      </c>
      <c r="S256" t="s">
        <v>832</v>
      </c>
      <c r="U256" t="s">
        <v>802</v>
      </c>
    </row>
    <row r="257" spans="1:21" x14ac:dyDescent="0.6">
      <c r="A257">
        <v>315</v>
      </c>
      <c r="B257" t="str">
        <f>"2886"</f>
        <v>2886</v>
      </c>
      <c r="C257" t="s">
        <v>397</v>
      </c>
      <c r="D257" s="1">
        <v>42923</v>
      </c>
      <c r="E257">
        <v>25.35</v>
      </c>
      <c r="F257">
        <v>-0.25</v>
      </c>
      <c r="G257" s="3">
        <v>-9.7999999999999997E-3</v>
      </c>
      <c r="H257">
        <v>2014</v>
      </c>
      <c r="I257">
        <v>1.96</v>
      </c>
      <c r="J257">
        <v>1.1100000000000001</v>
      </c>
      <c r="K257">
        <v>0</v>
      </c>
      <c r="L257">
        <v>1.1100000000000001</v>
      </c>
      <c r="M257" s="3">
        <v>4.3799999999999999E-2</v>
      </c>
      <c r="N257" s="2">
        <v>0</v>
      </c>
      <c r="O257" s="3">
        <v>4.3799999999999999E-2</v>
      </c>
      <c r="P257" s="3">
        <v>0.56599999999999995</v>
      </c>
      <c r="Q257" s="2">
        <v>0</v>
      </c>
      <c r="R257" s="3">
        <v>0.56599999999999995</v>
      </c>
      <c r="S257" t="s">
        <v>856</v>
      </c>
      <c r="U257" t="s">
        <v>807</v>
      </c>
    </row>
    <row r="258" spans="1:21" x14ac:dyDescent="0.6">
      <c r="A258">
        <v>154</v>
      </c>
      <c r="B258" t="str">
        <f>"4532"</f>
        <v>4532</v>
      </c>
      <c r="C258" t="s">
        <v>223</v>
      </c>
      <c r="D258" s="1">
        <v>42923</v>
      </c>
      <c r="E258">
        <v>34.299999999999997</v>
      </c>
      <c r="F258">
        <v>-0.35</v>
      </c>
      <c r="G258" s="3">
        <v>-1.01E-2</v>
      </c>
      <c r="H258">
        <v>2014</v>
      </c>
      <c r="I258">
        <v>2.02</v>
      </c>
      <c r="J258">
        <v>1.5</v>
      </c>
      <c r="K258">
        <v>0.3</v>
      </c>
      <c r="L258">
        <v>1.8</v>
      </c>
      <c r="M258" s="3">
        <v>4.3700000000000003E-2</v>
      </c>
      <c r="N258" s="3">
        <v>8.6999999999999994E-3</v>
      </c>
      <c r="O258" s="3">
        <v>5.2499999999999998E-2</v>
      </c>
      <c r="P258" s="3">
        <v>0.74299999999999999</v>
      </c>
      <c r="Q258" s="3">
        <v>0.14799999999999999</v>
      </c>
      <c r="R258" s="3">
        <v>0.89100000000000001</v>
      </c>
      <c r="S258" t="s">
        <v>822</v>
      </c>
      <c r="T258" t="s">
        <v>822</v>
      </c>
      <c r="U258" t="s">
        <v>802</v>
      </c>
    </row>
    <row r="259" spans="1:21" x14ac:dyDescent="0.6">
      <c r="A259">
        <v>492</v>
      </c>
      <c r="B259" t="str">
        <f>"2908"</f>
        <v>2908</v>
      </c>
      <c r="C259" t="s">
        <v>586</v>
      </c>
      <c r="D259" s="1">
        <v>42923</v>
      </c>
      <c r="E259">
        <v>22.95</v>
      </c>
      <c r="F259">
        <v>0.25</v>
      </c>
      <c r="G259" s="3">
        <v>1.0999999999999999E-2</v>
      </c>
      <c r="H259">
        <v>2014</v>
      </c>
      <c r="I259">
        <v>1.3</v>
      </c>
      <c r="J259">
        <v>1</v>
      </c>
      <c r="K259">
        <v>0</v>
      </c>
      <c r="L259">
        <v>1</v>
      </c>
      <c r="M259" s="3">
        <v>4.36E-2</v>
      </c>
      <c r="N259" s="2">
        <v>0</v>
      </c>
      <c r="O259" s="3">
        <v>4.36E-2</v>
      </c>
      <c r="P259" s="3">
        <v>0.76900000000000002</v>
      </c>
      <c r="Q259" s="2">
        <v>0</v>
      </c>
      <c r="R259" s="3">
        <v>0.76900000000000002</v>
      </c>
      <c r="S259" t="s">
        <v>804</v>
      </c>
    </row>
    <row r="260" spans="1:21" x14ac:dyDescent="0.6">
      <c r="A260">
        <v>250</v>
      </c>
      <c r="B260" t="str">
        <f>"2616"</f>
        <v>2616</v>
      </c>
      <c r="C260" t="s">
        <v>329</v>
      </c>
      <c r="D260" s="1">
        <v>42923</v>
      </c>
      <c r="E260">
        <v>34.6</v>
      </c>
      <c r="F260">
        <v>-0.1</v>
      </c>
      <c r="G260" s="3">
        <v>-2.8999999999999998E-3</v>
      </c>
      <c r="H260">
        <v>2014</v>
      </c>
      <c r="I260">
        <v>2.23</v>
      </c>
      <c r="J260">
        <v>1.5</v>
      </c>
      <c r="K260">
        <v>0</v>
      </c>
      <c r="L260">
        <v>1.5</v>
      </c>
      <c r="M260" s="3">
        <v>4.3400000000000001E-2</v>
      </c>
      <c r="N260" s="2">
        <v>0</v>
      </c>
      <c r="O260" s="3">
        <v>4.3400000000000001E-2</v>
      </c>
      <c r="P260" s="3">
        <v>0.67300000000000004</v>
      </c>
      <c r="Q260" s="2">
        <v>0</v>
      </c>
      <c r="R260" s="3">
        <v>0.67300000000000004</v>
      </c>
      <c r="S260" t="s">
        <v>830</v>
      </c>
      <c r="U260" t="s">
        <v>807</v>
      </c>
    </row>
    <row r="261" spans="1:21" x14ac:dyDescent="0.6">
      <c r="A261">
        <v>290</v>
      </c>
      <c r="B261" t="str">
        <f>"3558"</f>
        <v>3558</v>
      </c>
      <c r="C261" t="s">
        <v>372</v>
      </c>
      <c r="D261" s="1">
        <v>42923</v>
      </c>
      <c r="E261">
        <v>140</v>
      </c>
      <c r="F261">
        <v>0</v>
      </c>
      <c r="G261" s="2">
        <v>0</v>
      </c>
      <c r="H261">
        <v>2014</v>
      </c>
      <c r="I261">
        <v>10.029999999999999</v>
      </c>
      <c r="J261">
        <v>6.07</v>
      </c>
      <c r="K261">
        <v>0</v>
      </c>
      <c r="L261">
        <v>6.07</v>
      </c>
      <c r="M261" s="3">
        <v>4.3400000000000001E-2</v>
      </c>
      <c r="N261" s="2">
        <v>0</v>
      </c>
      <c r="O261" s="3">
        <v>4.3400000000000001E-2</v>
      </c>
      <c r="P261" s="3">
        <v>0.60499999999999998</v>
      </c>
      <c r="Q261" s="2">
        <v>0</v>
      </c>
      <c r="R261" s="3">
        <v>0.60499999999999998</v>
      </c>
      <c r="S261" t="s">
        <v>814</v>
      </c>
      <c r="U261" t="s">
        <v>800</v>
      </c>
    </row>
    <row r="262" spans="1:21" x14ac:dyDescent="0.6">
      <c r="A262">
        <v>365</v>
      </c>
      <c r="B262" t="str">
        <f>"2355"</f>
        <v>2355</v>
      </c>
      <c r="C262" t="s">
        <v>448</v>
      </c>
      <c r="D262" s="1">
        <v>42923</v>
      </c>
      <c r="E262">
        <v>60.1</v>
      </c>
      <c r="F262">
        <v>-0.7</v>
      </c>
      <c r="G262" s="3">
        <v>-1.15E-2</v>
      </c>
      <c r="H262">
        <v>2014</v>
      </c>
      <c r="I262">
        <v>4.3899999999999997</v>
      </c>
      <c r="J262">
        <v>2.6</v>
      </c>
      <c r="K262">
        <v>0</v>
      </c>
      <c r="L262">
        <v>2.6</v>
      </c>
      <c r="M262" s="3">
        <v>4.3299999999999998E-2</v>
      </c>
      <c r="N262" s="2">
        <v>0</v>
      </c>
      <c r="O262" s="3">
        <v>4.3299999999999998E-2</v>
      </c>
      <c r="P262" s="3">
        <v>0.59199999999999997</v>
      </c>
      <c r="Q262" s="2">
        <v>0</v>
      </c>
      <c r="R262" s="3">
        <v>0.59199999999999997</v>
      </c>
      <c r="S262" t="s">
        <v>861</v>
      </c>
      <c r="U262" t="s">
        <v>792</v>
      </c>
    </row>
    <row r="263" spans="1:21" x14ac:dyDescent="0.6">
      <c r="A263">
        <v>384</v>
      </c>
      <c r="B263" t="str">
        <f>"4163"</f>
        <v>4163</v>
      </c>
      <c r="C263" t="s">
        <v>468</v>
      </c>
      <c r="D263" s="1">
        <v>42923</v>
      </c>
      <c r="E263">
        <v>115.5</v>
      </c>
      <c r="F263">
        <v>-2</v>
      </c>
      <c r="G263" s="3">
        <v>-1.7000000000000001E-2</v>
      </c>
      <c r="H263">
        <v>2014</v>
      </c>
      <c r="I263">
        <v>6.05</v>
      </c>
      <c r="J263">
        <v>5</v>
      </c>
      <c r="K263">
        <v>0</v>
      </c>
      <c r="L263">
        <v>5</v>
      </c>
      <c r="M263" s="3">
        <v>4.3299999999999998E-2</v>
      </c>
      <c r="N263" s="2">
        <v>0</v>
      </c>
      <c r="O263" s="3">
        <v>4.3299999999999998E-2</v>
      </c>
      <c r="P263" s="3">
        <v>0.82599999999999996</v>
      </c>
      <c r="Q263" s="2">
        <v>0</v>
      </c>
      <c r="R263" s="3">
        <v>0.82599999999999996</v>
      </c>
      <c r="S263" t="s">
        <v>828</v>
      </c>
      <c r="U263" t="s">
        <v>813</v>
      </c>
    </row>
    <row r="264" spans="1:21" x14ac:dyDescent="0.6">
      <c r="A264">
        <v>231</v>
      </c>
      <c r="B264" t="str">
        <f>"1521"</f>
        <v>1521</v>
      </c>
      <c r="C264" t="s">
        <v>310</v>
      </c>
      <c r="D264" s="1">
        <v>42923</v>
      </c>
      <c r="E264">
        <v>85.9</v>
      </c>
      <c r="F264">
        <v>0</v>
      </c>
      <c r="G264" s="2">
        <v>0</v>
      </c>
      <c r="H264">
        <v>2014</v>
      </c>
      <c r="I264">
        <v>4.0199999999999996</v>
      </c>
      <c r="J264">
        <v>3.7</v>
      </c>
      <c r="K264">
        <v>0</v>
      </c>
      <c r="L264">
        <v>3.7</v>
      </c>
      <c r="M264" s="3">
        <v>4.3099999999999999E-2</v>
      </c>
      <c r="N264" s="2">
        <v>0</v>
      </c>
      <c r="O264" s="3">
        <v>4.3099999999999999E-2</v>
      </c>
      <c r="P264" s="2">
        <v>0.92</v>
      </c>
      <c r="Q264" s="2">
        <v>0</v>
      </c>
      <c r="R264" s="2">
        <v>0.92</v>
      </c>
      <c r="S264" t="s">
        <v>834</v>
      </c>
    </row>
    <row r="265" spans="1:21" x14ac:dyDescent="0.6">
      <c r="A265">
        <v>296</v>
      </c>
      <c r="B265" t="str">
        <f>"5474"</f>
        <v>5474</v>
      </c>
      <c r="C265" t="s">
        <v>378</v>
      </c>
      <c r="D265" s="1">
        <v>42923</v>
      </c>
      <c r="E265">
        <v>58</v>
      </c>
      <c r="F265">
        <v>0.4</v>
      </c>
      <c r="G265" s="3">
        <v>6.8999999999999999E-3</v>
      </c>
      <c r="H265">
        <v>2014</v>
      </c>
      <c r="I265">
        <v>2.68</v>
      </c>
      <c r="J265">
        <v>2.5</v>
      </c>
      <c r="K265">
        <v>0</v>
      </c>
      <c r="L265">
        <v>2.5</v>
      </c>
      <c r="M265" s="3">
        <v>4.3099999999999999E-2</v>
      </c>
      <c r="N265" s="2">
        <v>0</v>
      </c>
      <c r="O265" s="3">
        <v>4.3099999999999999E-2</v>
      </c>
      <c r="P265" s="3">
        <v>0.93300000000000005</v>
      </c>
      <c r="Q265" s="2">
        <v>0</v>
      </c>
      <c r="R265" s="3">
        <v>0.93300000000000005</v>
      </c>
      <c r="S265" t="s">
        <v>848</v>
      </c>
    </row>
    <row r="266" spans="1:21" x14ac:dyDescent="0.6">
      <c r="A266">
        <v>422</v>
      </c>
      <c r="B266" t="str">
        <f>"8114"</f>
        <v>8114</v>
      </c>
      <c r="C266" t="s">
        <v>509</v>
      </c>
      <c r="D266" s="1">
        <v>42923</v>
      </c>
      <c r="E266">
        <v>159</v>
      </c>
      <c r="F266">
        <v>-6</v>
      </c>
      <c r="G266" s="3">
        <v>-3.6400000000000002E-2</v>
      </c>
      <c r="H266">
        <v>2014</v>
      </c>
      <c r="I266">
        <v>7.81</v>
      </c>
      <c r="J266">
        <v>6.8</v>
      </c>
      <c r="K266">
        <v>0.05</v>
      </c>
      <c r="L266">
        <v>6.85</v>
      </c>
      <c r="M266" s="3">
        <v>4.2799999999999998E-2</v>
      </c>
      <c r="N266" s="3">
        <v>2.9999999999999997E-4</v>
      </c>
      <c r="O266" s="3">
        <v>4.3099999999999999E-2</v>
      </c>
      <c r="P266" s="3">
        <v>0.871</v>
      </c>
      <c r="Q266" s="3">
        <v>6.4000000000000003E-3</v>
      </c>
      <c r="R266" s="3">
        <v>0.877</v>
      </c>
      <c r="S266" t="s">
        <v>834</v>
      </c>
      <c r="T266" t="s">
        <v>834</v>
      </c>
    </row>
    <row r="267" spans="1:21" x14ac:dyDescent="0.6">
      <c r="A267">
        <v>475</v>
      </c>
      <c r="B267" t="str">
        <f>"1580"</f>
        <v>1580</v>
      </c>
      <c r="C267" t="s">
        <v>568</v>
      </c>
      <c r="D267" s="1">
        <v>42923</v>
      </c>
      <c r="E267">
        <v>177</v>
      </c>
      <c r="F267">
        <v>-0.5</v>
      </c>
      <c r="G267" s="3">
        <v>-2.8E-3</v>
      </c>
      <c r="H267">
        <v>2014</v>
      </c>
      <c r="I267">
        <v>11.05</v>
      </c>
      <c r="J267">
        <v>7.5</v>
      </c>
      <c r="K267">
        <v>0.6</v>
      </c>
      <c r="L267">
        <v>8.1</v>
      </c>
      <c r="M267" s="3">
        <v>4.24E-2</v>
      </c>
      <c r="N267" s="3">
        <v>3.3999999999999998E-3</v>
      </c>
      <c r="O267" s="3">
        <v>4.58E-2</v>
      </c>
      <c r="P267" s="3">
        <v>0.67900000000000005</v>
      </c>
      <c r="Q267" s="3">
        <v>5.4300000000000001E-2</v>
      </c>
      <c r="R267" s="3">
        <v>0.73299999999999998</v>
      </c>
      <c r="S267" t="s">
        <v>804</v>
      </c>
      <c r="T267" t="s">
        <v>868</v>
      </c>
    </row>
    <row r="268" spans="1:21" x14ac:dyDescent="0.6">
      <c r="A268">
        <v>430</v>
      </c>
      <c r="B268" t="str">
        <f>"3617"</f>
        <v>3617</v>
      </c>
      <c r="C268" t="s">
        <v>518</v>
      </c>
      <c r="D268" s="1">
        <v>42923</v>
      </c>
      <c r="E268">
        <v>95.2</v>
      </c>
      <c r="F268">
        <v>-0.1</v>
      </c>
      <c r="G268" s="3">
        <v>-1E-3</v>
      </c>
      <c r="H268">
        <v>2014</v>
      </c>
      <c r="I268">
        <v>5.36</v>
      </c>
      <c r="J268">
        <v>4.01</v>
      </c>
      <c r="K268">
        <v>0</v>
      </c>
      <c r="L268">
        <v>4.01</v>
      </c>
      <c r="M268" s="3">
        <v>4.2099999999999999E-2</v>
      </c>
      <c r="N268" s="2">
        <v>0</v>
      </c>
      <c r="O268" s="3">
        <v>4.2099999999999999E-2</v>
      </c>
      <c r="P268" s="3">
        <v>0.748</v>
      </c>
      <c r="Q268" s="2">
        <v>0</v>
      </c>
      <c r="R268" s="3">
        <v>0.748</v>
      </c>
      <c r="S268" t="s">
        <v>796</v>
      </c>
      <c r="U268" t="s">
        <v>859</v>
      </c>
    </row>
    <row r="269" spans="1:21" x14ac:dyDescent="0.6">
      <c r="A269">
        <v>379</v>
      </c>
      <c r="B269" t="str">
        <f>"4104"</f>
        <v>4104</v>
      </c>
      <c r="C269" t="s">
        <v>462</v>
      </c>
      <c r="D269" s="1">
        <v>42923</v>
      </c>
      <c r="E269">
        <v>47.7</v>
      </c>
      <c r="F269">
        <v>-0.85</v>
      </c>
      <c r="G269" s="3">
        <v>-1.7500000000000002E-2</v>
      </c>
      <c r="H269">
        <v>2014</v>
      </c>
      <c r="I269">
        <v>2.66</v>
      </c>
      <c r="J269">
        <v>2</v>
      </c>
      <c r="K269">
        <v>0</v>
      </c>
      <c r="L269">
        <v>2</v>
      </c>
      <c r="M269" s="3">
        <v>4.19E-2</v>
      </c>
      <c r="N269" s="2">
        <v>0</v>
      </c>
      <c r="O269" s="3">
        <v>4.19E-2</v>
      </c>
      <c r="P269" s="3">
        <v>0.752</v>
      </c>
      <c r="Q269" s="2">
        <v>0</v>
      </c>
      <c r="R269" s="3">
        <v>0.752</v>
      </c>
      <c r="S269" t="s">
        <v>857</v>
      </c>
      <c r="U269" t="s">
        <v>837</v>
      </c>
    </row>
    <row r="270" spans="1:21" x14ac:dyDescent="0.6">
      <c r="A270">
        <v>98</v>
      </c>
      <c r="B270" t="str">
        <f>"1776"</f>
        <v>1776</v>
      </c>
      <c r="C270" t="s">
        <v>161</v>
      </c>
      <c r="D270" s="1">
        <v>42923</v>
      </c>
      <c r="E270">
        <v>21.6</v>
      </c>
      <c r="F270">
        <v>0.5</v>
      </c>
      <c r="G270" s="3">
        <v>2.3699999999999999E-2</v>
      </c>
      <c r="H270">
        <v>2014</v>
      </c>
      <c r="I270">
        <v>1.62</v>
      </c>
      <c r="J270">
        <v>0.9</v>
      </c>
      <c r="K270">
        <v>0.8</v>
      </c>
      <c r="L270">
        <v>1.7</v>
      </c>
      <c r="M270" s="3">
        <v>4.1700000000000001E-2</v>
      </c>
      <c r="N270" s="3">
        <v>3.6999999999999998E-2</v>
      </c>
      <c r="O270" s="3">
        <v>7.8700000000000006E-2</v>
      </c>
      <c r="P270" s="3">
        <v>0.55600000000000005</v>
      </c>
      <c r="Q270" s="3">
        <v>0.49399999999999999</v>
      </c>
      <c r="R270" s="2">
        <v>1.05</v>
      </c>
      <c r="S270" t="s">
        <v>794</v>
      </c>
      <c r="T270" t="s">
        <v>794</v>
      </c>
      <c r="U270" t="s">
        <v>811</v>
      </c>
    </row>
    <row r="271" spans="1:21" x14ac:dyDescent="0.6">
      <c r="A271">
        <v>23</v>
      </c>
      <c r="B271" t="str">
        <f>"2536"</f>
        <v>2536</v>
      </c>
      <c r="C271" t="s">
        <v>56</v>
      </c>
      <c r="D271" s="1">
        <v>42923</v>
      </c>
      <c r="E271">
        <v>23.3</v>
      </c>
      <c r="F271">
        <v>-0.15</v>
      </c>
      <c r="G271" s="3">
        <v>-6.4000000000000003E-3</v>
      </c>
      <c r="H271">
        <v>2014</v>
      </c>
      <c r="I271">
        <v>2.77</v>
      </c>
      <c r="J271">
        <v>0.96</v>
      </c>
      <c r="K271">
        <v>0</v>
      </c>
      <c r="L271">
        <v>0.96</v>
      </c>
      <c r="M271" s="3">
        <v>4.1300000000000003E-2</v>
      </c>
      <c r="N271" s="2">
        <v>0</v>
      </c>
      <c r="O271" s="3">
        <v>4.1300000000000003E-2</v>
      </c>
      <c r="P271" s="3">
        <v>0.34699999999999998</v>
      </c>
      <c r="Q271" s="2">
        <v>0</v>
      </c>
      <c r="R271" s="3">
        <v>0.34699999999999998</v>
      </c>
      <c r="S271" t="s">
        <v>818</v>
      </c>
      <c r="U271" t="s">
        <v>800</v>
      </c>
    </row>
    <row r="272" spans="1:21" x14ac:dyDescent="0.6">
      <c r="A272">
        <v>344</v>
      </c>
      <c r="B272" t="str">
        <f>"1232"</f>
        <v>1232</v>
      </c>
      <c r="C272" t="s">
        <v>426</v>
      </c>
      <c r="D272" s="1">
        <v>42923</v>
      </c>
      <c r="E272">
        <v>92.2</v>
      </c>
      <c r="F272">
        <v>-0.1</v>
      </c>
      <c r="G272" s="3">
        <v>-1.1000000000000001E-3</v>
      </c>
      <c r="H272">
        <v>2014</v>
      </c>
      <c r="I272">
        <v>4.42</v>
      </c>
      <c r="J272">
        <v>3.8</v>
      </c>
      <c r="K272">
        <v>0</v>
      </c>
      <c r="L272">
        <v>3.8</v>
      </c>
      <c r="M272" s="3">
        <v>4.1200000000000001E-2</v>
      </c>
      <c r="N272" s="2">
        <v>0</v>
      </c>
      <c r="O272" s="3">
        <v>4.1200000000000001E-2</v>
      </c>
      <c r="P272" s="2">
        <v>0.86</v>
      </c>
      <c r="Q272" s="2">
        <v>0</v>
      </c>
      <c r="R272" s="2">
        <v>0.86</v>
      </c>
      <c r="S272" t="s">
        <v>812</v>
      </c>
    </row>
    <row r="273" spans="1:21" x14ac:dyDescent="0.6">
      <c r="A273">
        <v>335</v>
      </c>
      <c r="B273" t="str">
        <f>"6205"</f>
        <v>6205</v>
      </c>
      <c r="C273" t="s">
        <v>417</v>
      </c>
      <c r="D273" s="1">
        <v>42923</v>
      </c>
      <c r="E273">
        <v>36.5</v>
      </c>
      <c r="F273">
        <v>-0.75</v>
      </c>
      <c r="G273" s="3">
        <v>-2.01E-2</v>
      </c>
      <c r="H273">
        <v>2014</v>
      </c>
      <c r="I273">
        <v>2.08</v>
      </c>
      <c r="J273">
        <v>1.5</v>
      </c>
      <c r="K273">
        <v>0</v>
      </c>
      <c r="L273">
        <v>1.5</v>
      </c>
      <c r="M273" s="3">
        <v>4.1099999999999998E-2</v>
      </c>
      <c r="N273" s="2">
        <v>0</v>
      </c>
      <c r="O273" s="3">
        <v>4.1099999999999998E-2</v>
      </c>
      <c r="P273" s="3">
        <v>0.72099999999999997</v>
      </c>
      <c r="Q273" s="2">
        <v>0</v>
      </c>
      <c r="R273" s="3">
        <v>0.72099999999999997</v>
      </c>
      <c r="S273" t="s">
        <v>861</v>
      </c>
      <c r="U273" t="s">
        <v>817</v>
      </c>
    </row>
    <row r="274" spans="1:21" x14ac:dyDescent="0.6">
      <c r="A274">
        <v>397</v>
      </c>
      <c r="B274" t="str">
        <f>"6432"</f>
        <v>6432</v>
      </c>
      <c r="C274" t="s">
        <v>483</v>
      </c>
      <c r="D274" s="1">
        <v>42923</v>
      </c>
      <c r="E274">
        <v>19.5</v>
      </c>
      <c r="F274">
        <v>0.05</v>
      </c>
      <c r="G274" s="3">
        <v>2.5999999999999999E-3</v>
      </c>
      <c r="H274">
        <v>2014</v>
      </c>
      <c r="J274">
        <v>0.8</v>
      </c>
      <c r="K274">
        <v>1.2</v>
      </c>
      <c r="L274">
        <v>2</v>
      </c>
      <c r="M274" s="3">
        <v>4.1000000000000002E-2</v>
      </c>
      <c r="N274" s="3">
        <v>6.1499999999999999E-2</v>
      </c>
      <c r="O274" s="3">
        <v>0.10299999999999999</v>
      </c>
      <c r="S274" t="s">
        <v>861</v>
      </c>
      <c r="T274" t="s">
        <v>861</v>
      </c>
      <c r="U274" t="s">
        <v>807</v>
      </c>
    </row>
    <row r="275" spans="1:21" x14ac:dyDescent="0.6">
      <c r="A275">
        <v>310</v>
      </c>
      <c r="B275" t="str">
        <f>"1817"</f>
        <v>1817</v>
      </c>
      <c r="C275" t="s">
        <v>392</v>
      </c>
      <c r="D275" s="1">
        <v>42923</v>
      </c>
      <c r="E275">
        <v>39.1</v>
      </c>
      <c r="F275">
        <v>-0.25</v>
      </c>
      <c r="G275" s="3">
        <v>-6.4000000000000003E-3</v>
      </c>
      <c r="H275">
        <v>2014</v>
      </c>
      <c r="I275">
        <v>2.54</v>
      </c>
      <c r="J275">
        <v>1.6</v>
      </c>
      <c r="K275">
        <v>0</v>
      </c>
      <c r="L275">
        <v>1.6</v>
      </c>
      <c r="M275" s="3">
        <v>4.0899999999999999E-2</v>
      </c>
      <c r="N275" s="2">
        <v>0</v>
      </c>
      <c r="O275" s="3">
        <v>4.0899999999999999E-2</v>
      </c>
      <c r="P275" s="2">
        <v>0.63</v>
      </c>
      <c r="Q275" s="2">
        <v>0</v>
      </c>
      <c r="R275" s="2">
        <v>0.63</v>
      </c>
      <c r="S275" t="s">
        <v>819</v>
      </c>
      <c r="U275" t="s">
        <v>792</v>
      </c>
    </row>
    <row r="276" spans="1:21" x14ac:dyDescent="0.6">
      <c r="A276">
        <v>58</v>
      </c>
      <c r="B276" t="str">
        <f>"1604"</f>
        <v>1604</v>
      </c>
      <c r="C276" t="s">
        <v>111</v>
      </c>
      <c r="D276" s="1">
        <v>42923</v>
      </c>
      <c r="E276">
        <v>17.5</v>
      </c>
      <c r="F276">
        <v>-0.1</v>
      </c>
      <c r="G276" s="3">
        <v>-5.7000000000000002E-3</v>
      </c>
      <c r="H276">
        <v>2014</v>
      </c>
      <c r="I276">
        <v>0.8</v>
      </c>
      <c r="J276">
        <v>0.71</v>
      </c>
      <c r="K276">
        <v>0</v>
      </c>
      <c r="L276">
        <v>0.71</v>
      </c>
      <c r="M276" s="3">
        <v>4.0800000000000003E-2</v>
      </c>
      <c r="N276" s="2">
        <v>0</v>
      </c>
      <c r="O276" s="3">
        <v>4.0800000000000003E-2</v>
      </c>
      <c r="P276" s="3">
        <v>0.88800000000000001</v>
      </c>
      <c r="Q276" s="2">
        <v>0</v>
      </c>
      <c r="R276" s="3">
        <v>0.88800000000000001</v>
      </c>
      <c r="S276" t="s">
        <v>802</v>
      </c>
      <c r="U276" t="s">
        <v>826</v>
      </c>
    </row>
    <row r="277" spans="1:21" x14ac:dyDescent="0.6">
      <c r="A277">
        <v>319</v>
      </c>
      <c r="B277" t="str">
        <f>"2441"</f>
        <v>2441</v>
      </c>
      <c r="C277" t="s">
        <v>401</v>
      </c>
      <c r="D277" s="1">
        <v>42923</v>
      </c>
      <c r="E277">
        <v>49.35</v>
      </c>
      <c r="F277">
        <v>-0.15</v>
      </c>
      <c r="G277" s="3">
        <v>-3.0000000000000001E-3</v>
      </c>
      <c r="H277">
        <v>2014</v>
      </c>
      <c r="I277">
        <v>2.91</v>
      </c>
      <c r="J277">
        <v>2</v>
      </c>
      <c r="K277">
        <v>0</v>
      </c>
      <c r="L277">
        <v>2</v>
      </c>
      <c r="M277" s="3">
        <v>4.0500000000000001E-2</v>
      </c>
      <c r="N277" s="2">
        <v>0</v>
      </c>
      <c r="O277" s="3">
        <v>4.0500000000000001E-2</v>
      </c>
      <c r="P277" s="3">
        <v>0.68700000000000006</v>
      </c>
      <c r="Q277" s="2">
        <v>0</v>
      </c>
      <c r="R277" s="3">
        <v>0.68700000000000006</v>
      </c>
      <c r="S277" t="s">
        <v>797</v>
      </c>
      <c r="U277" t="s">
        <v>833</v>
      </c>
    </row>
    <row r="278" spans="1:21" x14ac:dyDescent="0.6">
      <c r="A278">
        <v>132</v>
      </c>
      <c r="B278" t="str">
        <f>"2459"</f>
        <v>2459</v>
      </c>
      <c r="C278" t="s">
        <v>198</v>
      </c>
      <c r="D278" s="1">
        <v>42923</v>
      </c>
      <c r="E278">
        <v>37.25</v>
      </c>
      <c r="F278">
        <v>-0.35</v>
      </c>
      <c r="G278" s="3">
        <v>-9.2999999999999992E-3</v>
      </c>
      <c r="H278">
        <v>2014</v>
      </c>
      <c r="I278">
        <v>2.77</v>
      </c>
      <c r="J278">
        <v>1.5</v>
      </c>
      <c r="K278">
        <v>0</v>
      </c>
      <c r="L278">
        <v>1.5</v>
      </c>
      <c r="M278" s="3">
        <v>4.0300000000000002E-2</v>
      </c>
      <c r="N278" s="2">
        <v>0</v>
      </c>
      <c r="O278" s="3">
        <v>4.0300000000000002E-2</v>
      </c>
      <c r="P278" s="3">
        <v>0.54200000000000004</v>
      </c>
      <c r="Q278" s="2">
        <v>0</v>
      </c>
      <c r="R278" s="3">
        <v>0.54200000000000004</v>
      </c>
      <c r="S278" t="s">
        <v>831</v>
      </c>
    </row>
    <row r="279" spans="1:21" x14ac:dyDescent="0.6">
      <c r="A279">
        <v>465</v>
      </c>
      <c r="B279" t="str">
        <f>"1727"</f>
        <v>1727</v>
      </c>
      <c r="C279" t="s">
        <v>556</v>
      </c>
      <c r="D279" s="1">
        <v>42923</v>
      </c>
      <c r="E279">
        <v>12.4</v>
      </c>
      <c r="F279">
        <v>-0.2</v>
      </c>
      <c r="G279" s="3">
        <v>-1.5900000000000001E-2</v>
      </c>
      <c r="H279">
        <v>2014</v>
      </c>
      <c r="I279">
        <v>1.0900000000000001</v>
      </c>
      <c r="J279">
        <v>0.5</v>
      </c>
      <c r="K279">
        <v>0.5</v>
      </c>
      <c r="L279">
        <v>1</v>
      </c>
      <c r="M279" s="3">
        <v>4.0300000000000002E-2</v>
      </c>
      <c r="N279" s="3">
        <v>4.0300000000000002E-2</v>
      </c>
      <c r="O279" s="3">
        <v>8.0600000000000005E-2</v>
      </c>
      <c r="P279" s="3">
        <v>0.45900000000000002</v>
      </c>
      <c r="Q279" s="3">
        <v>0.45900000000000002</v>
      </c>
      <c r="R279" s="3">
        <v>0.91700000000000004</v>
      </c>
      <c r="S279" t="s">
        <v>819</v>
      </c>
      <c r="T279" t="s">
        <v>819</v>
      </c>
      <c r="U279" t="s">
        <v>807</v>
      </c>
    </row>
    <row r="280" spans="1:21" x14ac:dyDescent="0.6">
      <c r="A280">
        <v>399</v>
      </c>
      <c r="B280" t="str">
        <f>"2926"</f>
        <v>2926</v>
      </c>
      <c r="C280" t="s">
        <v>485</v>
      </c>
      <c r="D280" s="1">
        <v>42923</v>
      </c>
      <c r="E280">
        <v>150</v>
      </c>
      <c r="F280">
        <v>0</v>
      </c>
      <c r="G280" s="2">
        <v>0</v>
      </c>
      <c r="H280">
        <v>2014</v>
      </c>
      <c r="I280">
        <v>6.72</v>
      </c>
      <c r="J280">
        <v>6</v>
      </c>
      <c r="K280">
        <v>0</v>
      </c>
      <c r="L280">
        <v>6</v>
      </c>
      <c r="M280" s="2">
        <v>0.04</v>
      </c>
      <c r="N280" s="2">
        <v>0</v>
      </c>
      <c r="O280" s="2">
        <v>0.04</v>
      </c>
      <c r="P280" s="3">
        <v>0.89300000000000002</v>
      </c>
      <c r="Q280" s="2">
        <v>0</v>
      </c>
      <c r="R280" s="3">
        <v>0.89300000000000002</v>
      </c>
      <c r="S280" t="s">
        <v>822</v>
      </c>
      <c r="U280" t="s">
        <v>820</v>
      </c>
    </row>
    <row r="281" spans="1:21" x14ac:dyDescent="0.6">
      <c r="A281">
        <v>427</v>
      </c>
      <c r="B281" t="str">
        <f>"5007"</f>
        <v>5007</v>
      </c>
      <c r="C281" t="s">
        <v>515</v>
      </c>
      <c r="D281" s="1">
        <v>42923</v>
      </c>
      <c r="E281">
        <v>50</v>
      </c>
      <c r="F281">
        <v>-0.1</v>
      </c>
      <c r="G281" s="3">
        <v>-2E-3</v>
      </c>
      <c r="H281">
        <v>2014</v>
      </c>
      <c r="I281">
        <v>3.95</v>
      </c>
      <c r="J281">
        <v>2</v>
      </c>
      <c r="K281">
        <v>1.5</v>
      </c>
      <c r="L281">
        <v>3.5</v>
      </c>
      <c r="M281" s="2">
        <v>0.04</v>
      </c>
      <c r="N281" s="2">
        <v>0.03</v>
      </c>
      <c r="O281" s="2">
        <v>7.0000000000000007E-2</v>
      </c>
      <c r="P281" s="3">
        <v>0.50600000000000001</v>
      </c>
      <c r="Q281" s="2">
        <v>0.38</v>
      </c>
      <c r="R281" s="3">
        <v>0.88600000000000001</v>
      </c>
      <c r="S281" t="s">
        <v>819</v>
      </c>
      <c r="T281" t="s">
        <v>819</v>
      </c>
      <c r="U281" t="s">
        <v>874</v>
      </c>
    </row>
    <row r="282" spans="1:21" x14ac:dyDescent="0.6">
      <c r="A282">
        <v>129</v>
      </c>
      <c r="B282" t="str">
        <f>"1787"</f>
        <v>1787</v>
      </c>
      <c r="C282" t="s">
        <v>195</v>
      </c>
      <c r="D282" s="1">
        <v>42923</v>
      </c>
      <c r="E282">
        <v>24.7</v>
      </c>
      <c r="F282">
        <v>-0.35</v>
      </c>
      <c r="G282" s="3">
        <v>-1.4E-2</v>
      </c>
      <c r="H282">
        <v>2014</v>
      </c>
      <c r="I282">
        <v>1.23</v>
      </c>
      <c r="J282">
        <v>0.99</v>
      </c>
      <c r="K282">
        <v>0</v>
      </c>
      <c r="L282">
        <v>0.99</v>
      </c>
      <c r="M282" s="3">
        <v>3.9899999999999998E-2</v>
      </c>
      <c r="N282" s="2">
        <v>0</v>
      </c>
      <c r="O282" s="3">
        <v>3.9899999999999998E-2</v>
      </c>
      <c r="P282" s="3">
        <v>0.80500000000000005</v>
      </c>
      <c r="Q282" s="2">
        <v>0</v>
      </c>
      <c r="R282" s="3">
        <v>0.80500000000000005</v>
      </c>
      <c r="S282" t="s">
        <v>804</v>
      </c>
    </row>
    <row r="283" spans="1:21" x14ac:dyDescent="0.6">
      <c r="A283">
        <v>117</v>
      </c>
      <c r="B283" t="str">
        <f>"2031"</f>
        <v>2031</v>
      </c>
      <c r="C283" t="s">
        <v>181</v>
      </c>
      <c r="D283" s="1">
        <v>42923</v>
      </c>
      <c r="E283">
        <v>25.1</v>
      </c>
      <c r="F283">
        <v>-0.05</v>
      </c>
      <c r="G283" s="3">
        <v>-2E-3</v>
      </c>
      <c r="H283">
        <v>2014</v>
      </c>
      <c r="I283">
        <v>1.2</v>
      </c>
      <c r="J283">
        <v>1</v>
      </c>
      <c r="K283">
        <v>0</v>
      </c>
      <c r="L283">
        <v>1</v>
      </c>
      <c r="M283" s="3">
        <v>3.9800000000000002E-2</v>
      </c>
      <c r="N283" s="2">
        <v>0</v>
      </c>
      <c r="O283" s="3">
        <v>3.9800000000000002E-2</v>
      </c>
      <c r="P283" s="3">
        <v>0.83299999999999996</v>
      </c>
      <c r="Q283" s="2">
        <v>0</v>
      </c>
      <c r="R283" s="3">
        <v>0.83299999999999996</v>
      </c>
      <c r="S283" t="s">
        <v>821</v>
      </c>
      <c r="U283" t="s">
        <v>799</v>
      </c>
    </row>
    <row r="284" spans="1:21" x14ac:dyDescent="0.6">
      <c r="A284">
        <v>14</v>
      </c>
      <c r="B284" t="str">
        <f>"2542"</f>
        <v>2542</v>
      </c>
      <c r="C284" t="s">
        <v>42</v>
      </c>
      <c r="D284" s="1">
        <v>42923</v>
      </c>
      <c r="E284">
        <v>50.4</v>
      </c>
      <c r="F284">
        <v>-0.3</v>
      </c>
      <c r="G284" s="3">
        <v>-5.8999999999999999E-3</v>
      </c>
      <c r="H284">
        <v>2014</v>
      </c>
      <c r="I284">
        <v>10.85</v>
      </c>
      <c r="J284">
        <v>2</v>
      </c>
      <c r="K284">
        <v>5</v>
      </c>
      <c r="L284">
        <v>7</v>
      </c>
      <c r="M284" s="3">
        <v>3.9699999999999999E-2</v>
      </c>
      <c r="N284" s="3">
        <v>9.9199999999999997E-2</v>
      </c>
      <c r="O284" s="3">
        <v>0.13900000000000001</v>
      </c>
      <c r="P284" s="3">
        <v>0.184</v>
      </c>
      <c r="Q284" s="3">
        <v>0.46100000000000002</v>
      </c>
      <c r="R284" s="3">
        <v>0.64500000000000002</v>
      </c>
      <c r="S284" t="s">
        <v>810</v>
      </c>
      <c r="T284" t="s">
        <v>810</v>
      </c>
      <c r="U284" t="s">
        <v>811</v>
      </c>
    </row>
    <row r="285" spans="1:21" x14ac:dyDescent="0.6">
      <c r="A285">
        <v>336</v>
      </c>
      <c r="B285" t="str">
        <f>"5434"</f>
        <v>5434</v>
      </c>
      <c r="C285" t="s">
        <v>418</v>
      </c>
      <c r="D285" s="1">
        <v>42923</v>
      </c>
      <c r="E285">
        <v>91.4</v>
      </c>
      <c r="F285">
        <v>-0.4</v>
      </c>
      <c r="G285" s="3">
        <v>-4.4000000000000003E-3</v>
      </c>
      <c r="H285">
        <v>2014</v>
      </c>
      <c r="I285">
        <v>5.22</v>
      </c>
      <c r="J285">
        <v>3.6</v>
      </c>
      <c r="K285">
        <v>0.2</v>
      </c>
      <c r="L285">
        <v>3.8</v>
      </c>
      <c r="M285" s="3">
        <v>3.9399999999999998E-2</v>
      </c>
      <c r="N285" s="3">
        <v>2.2000000000000001E-3</v>
      </c>
      <c r="O285" s="3">
        <v>4.1599999999999998E-2</v>
      </c>
      <c r="P285" s="2">
        <v>0.69</v>
      </c>
      <c r="Q285" s="3">
        <v>3.8300000000000001E-2</v>
      </c>
      <c r="R285" s="3">
        <v>0.72799999999999998</v>
      </c>
      <c r="S285" t="s">
        <v>797</v>
      </c>
      <c r="T285" t="s">
        <v>797</v>
      </c>
      <c r="U285" t="s">
        <v>795</v>
      </c>
    </row>
    <row r="286" spans="1:21" x14ac:dyDescent="0.6">
      <c r="A286">
        <v>71</v>
      </c>
      <c r="B286" t="str">
        <f>"5438"</f>
        <v>5438</v>
      </c>
      <c r="C286" t="s">
        <v>130</v>
      </c>
      <c r="D286" s="1">
        <v>42923</v>
      </c>
      <c r="E286">
        <v>15.25</v>
      </c>
      <c r="F286">
        <v>0.1</v>
      </c>
      <c r="G286" s="3">
        <v>6.6E-3</v>
      </c>
      <c r="H286">
        <v>2014</v>
      </c>
      <c r="I286">
        <v>0.62</v>
      </c>
      <c r="J286">
        <v>0.6</v>
      </c>
      <c r="K286">
        <v>0</v>
      </c>
      <c r="L286">
        <v>0.6</v>
      </c>
      <c r="M286" s="3">
        <v>3.9300000000000002E-2</v>
      </c>
      <c r="N286" s="2">
        <v>0</v>
      </c>
      <c r="O286" s="3">
        <v>3.9300000000000002E-2</v>
      </c>
      <c r="P286" s="3">
        <v>0.96799999999999997</v>
      </c>
      <c r="Q286" s="2">
        <v>0</v>
      </c>
      <c r="R286" s="3">
        <v>0.96799999999999997</v>
      </c>
      <c r="S286" t="s">
        <v>821</v>
      </c>
      <c r="U286" t="s">
        <v>799</v>
      </c>
    </row>
    <row r="287" spans="1:21" x14ac:dyDescent="0.6">
      <c r="A287">
        <v>251</v>
      </c>
      <c r="B287" t="str">
        <f>"2850"</f>
        <v>2850</v>
      </c>
      <c r="C287" t="s">
        <v>330</v>
      </c>
      <c r="D287" s="1">
        <v>42923</v>
      </c>
      <c r="E287">
        <v>25.45</v>
      </c>
      <c r="F287">
        <v>0.05</v>
      </c>
      <c r="G287" s="3">
        <v>2E-3</v>
      </c>
      <c r="H287">
        <v>2014</v>
      </c>
      <c r="I287">
        <v>3.08</v>
      </c>
      <c r="J287">
        <v>1</v>
      </c>
      <c r="K287">
        <v>0</v>
      </c>
      <c r="L287">
        <v>1</v>
      </c>
      <c r="M287" s="3">
        <v>3.9300000000000002E-2</v>
      </c>
      <c r="N287" s="2">
        <v>0</v>
      </c>
      <c r="O287" s="3">
        <v>3.9300000000000002E-2</v>
      </c>
      <c r="P287" s="3">
        <v>0.32500000000000001</v>
      </c>
      <c r="Q287" s="2">
        <v>0</v>
      </c>
      <c r="R287" s="3">
        <v>0.32500000000000001</v>
      </c>
      <c r="S287" t="s">
        <v>813</v>
      </c>
      <c r="U287" t="s">
        <v>835</v>
      </c>
    </row>
    <row r="288" spans="1:21" x14ac:dyDescent="0.6">
      <c r="A288">
        <v>445</v>
      </c>
      <c r="B288" t="str">
        <f>"1513"</f>
        <v>1513</v>
      </c>
      <c r="C288" t="s">
        <v>535</v>
      </c>
      <c r="D288" s="1">
        <v>42923</v>
      </c>
      <c r="E288">
        <v>20.350000000000001</v>
      </c>
      <c r="F288">
        <v>-0.6</v>
      </c>
      <c r="G288" s="3">
        <v>-2.86E-2</v>
      </c>
      <c r="H288">
        <v>2014</v>
      </c>
      <c r="I288">
        <v>1.25</v>
      </c>
      <c r="J288">
        <v>0.8</v>
      </c>
      <c r="K288">
        <v>0</v>
      </c>
      <c r="L288">
        <v>0.8</v>
      </c>
      <c r="M288" s="3">
        <v>3.9300000000000002E-2</v>
      </c>
      <c r="N288" s="2">
        <v>0</v>
      </c>
      <c r="O288" s="3">
        <v>3.9300000000000002E-2</v>
      </c>
      <c r="P288" s="2">
        <v>0.64</v>
      </c>
      <c r="Q288" s="2">
        <v>0</v>
      </c>
      <c r="R288" s="2">
        <v>0.64</v>
      </c>
      <c r="S288" t="s">
        <v>885</v>
      </c>
      <c r="U288" t="s">
        <v>886</v>
      </c>
    </row>
    <row r="289" spans="1:21" x14ac:dyDescent="0.6">
      <c r="A289">
        <v>200</v>
      </c>
      <c r="B289" t="str">
        <f>"5538"</f>
        <v>5538</v>
      </c>
      <c r="C289" t="s">
        <v>278</v>
      </c>
      <c r="D289" s="1">
        <v>42923</v>
      </c>
      <c r="E289">
        <v>31.9</v>
      </c>
      <c r="F289">
        <v>0.1</v>
      </c>
      <c r="G289" s="3">
        <v>3.0999999999999999E-3</v>
      </c>
      <c r="H289">
        <v>2014</v>
      </c>
      <c r="I289">
        <v>1.56</v>
      </c>
      <c r="J289">
        <v>1.25</v>
      </c>
      <c r="K289">
        <v>0</v>
      </c>
      <c r="L289">
        <v>1.25</v>
      </c>
      <c r="M289" s="3">
        <v>3.9199999999999999E-2</v>
      </c>
      <c r="N289" s="2">
        <v>0</v>
      </c>
      <c r="O289" s="3">
        <v>3.9199999999999999E-2</v>
      </c>
      <c r="P289" s="3">
        <v>0.80100000000000005</v>
      </c>
      <c r="Q289" s="2">
        <v>0</v>
      </c>
      <c r="R289" s="3">
        <v>0.80100000000000005</v>
      </c>
      <c r="S289" t="s">
        <v>867</v>
      </c>
      <c r="U289" t="s">
        <v>866</v>
      </c>
    </row>
    <row r="290" spans="1:21" x14ac:dyDescent="0.6">
      <c r="A290">
        <v>408</v>
      </c>
      <c r="B290" t="str">
        <f>"0056"</f>
        <v>0056</v>
      </c>
      <c r="C290" t="s">
        <v>494</v>
      </c>
      <c r="D290" s="1">
        <v>42923</v>
      </c>
      <c r="E290">
        <v>25.56</v>
      </c>
      <c r="F290">
        <v>-0.08</v>
      </c>
      <c r="G290" s="3">
        <v>-3.0999999999999999E-3</v>
      </c>
      <c r="H290">
        <v>2014</v>
      </c>
      <c r="J290">
        <v>1</v>
      </c>
      <c r="K290">
        <v>0</v>
      </c>
      <c r="L290">
        <v>1</v>
      </c>
      <c r="M290" s="3">
        <v>3.9100000000000003E-2</v>
      </c>
      <c r="N290" s="2">
        <v>0</v>
      </c>
      <c r="O290" s="3">
        <v>3.9100000000000003E-2</v>
      </c>
      <c r="S290" t="s">
        <v>883</v>
      </c>
    </row>
    <row r="291" spans="1:21" x14ac:dyDescent="0.6">
      <c r="A291">
        <v>308</v>
      </c>
      <c r="B291" t="str">
        <f>"2204"</f>
        <v>2204</v>
      </c>
      <c r="C291" t="s">
        <v>390</v>
      </c>
      <c r="D291" s="1">
        <v>42923</v>
      </c>
      <c r="E291">
        <v>28.4</v>
      </c>
      <c r="F291">
        <v>-0.15</v>
      </c>
      <c r="G291" s="3">
        <v>-5.3E-3</v>
      </c>
      <c r="H291">
        <v>2014</v>
      </c>
      <c r="I291">
        <v>1.86</v>
      </c>
      <c r="J291">
        <v>1.1000000000000001</v>
      </c>
      <c r="K291">
        <v>0</v>
      </c>
      <c r="L291">
        <v>1.1000000000000001</v>
      </c>
      <c r="M291" s="3">
        <v>3.8699999999999998E-2</v>
      </c>
      <c r="N291" s="2">
        <v>0</v>
      </c>
      <c r="O291" s="3">
        <v>3.8699999999999998E-2</v>
      </c>
      <c r="P291" s="3">
        <v>0.59099999999999997</v>
      </c>
      <c r="Q291" s="2">
        <v>0</v>
      </c>
      <c r="R291" s="3">
        <v>0.59099999999999997</v>
      </c>
      <c r="S291" t="s">
        <v>822</v>
      </c>
      <c r="U291" t="s">
        <v>817</v>
      </c>
    </row>
    <row r="292" spans="1:21" x14ac:dyDescent="0.6">
      <c r="A292">
        <v>229</v>
      </c>
      <c r="B292" t="str">
        <f>"1307"</f>
        <v>1307</v>
      </c>
      <c r="C292" t="s">
        <v>308</v>
      </c>
      <c r="D292" s="1">
        <v>42923</v>
      </c>
      <c r="E292">
        <v>36.299999999999997</v>
      </c>
      <c r="F292">
        <v>-0.25</v>
      </c>
      <c r="G292" s="3">
        <v>-6.7999999999999996E-3</v>
      </c>
      <c r="H292">
        <v>2014</v>
      </c>
      <c r="I292">
        <v>2.19</v>
      </c>
      <c r="J292">
        <v>1.4</v>
      </c>
      <c r="K292">
        <v>0.3</v>
      </c>
      <c r="L292">
        <v>1.7</v>
      </c>
      <c r="M292" s="3">
        <v>3.8600000000000002E-2</v>
      </c>
      <c r="N292" s="3">
        <v>8.3000000000000001E-3</v>
      </c>
      <c r="O292" s="3">
        <v>4.6800000000000001E-2</v>
      </c>
      <c r="P292" s="3">
        <v>0.63900000000000001</v>
      </c>
      <c r="Q292" s="3">
        <v>0.13700000000000001</v>
      </c>
      <c r="R292" s="3">
        <v>0.77600000000000002</v>
      </c>
      <c r="S292" t="s">
        <v>832</v>
      </c>
      <c r="T292" t="s">
        <v>832</v>
      </c>
      <c r="U292" t="s">
        <v>797</v>
      </c>
    </row>
    <row r="293" spans="1:21" x14ac:dyDescent="0.6">
      <c r="A293">
        <v>423</v>
      </c>
      <c r="B293" t="str">
        <f>"1465"</f>
        <v>1465</v>
      </c>
      <c r="C293" t="s">
        <v>510</v>
      </c>
      <c r="D293" s="1">
        <v>42923</v>
      </c>
      <c r="E293">
        <v>12.95</v>
      </c>
      <c r="F293">
        <v>0.05</v>
      </c>
      <c r="G293" s="3">
        <v>3.8999999999999998E-3</v>
      </c>
      <c r="H293">
        <v>2014</v>
      </c>
      <c r="I293">
        <v>1.21</v>
      </c>
      <c r="J293">
        <v>0.5</v>
      </c>
      <c r="K293">
        <v>2</v>
      </c>
      <c r="L293">
        <v>2.5</v>
      </c>
      <c r="M293" s="3">
        <v>3.8600000000000002E-2</v>
      </c>
      <c r="N293" s="3">
        <v>0.154</v>
      </c>
      <c r="O293" s="3">
        <v>0.193</v>
      </c>
      <c r="P293" s="3">
        <v>0.41299999999999998</v>
      </c>
      <c r="Q293" s="2">
        <v>1.65</v>
      </c>
      <c r="R293" s="2">
        <v>2.0699999999999998</v>
      </c>
      <c r="S293" t="s">
        <v>868</v>
      </c>
      <c r="T293" t="s">
        <v>868</v>
      </c>
      <c r="U293" t="s">
        <v>803</v>
      </c>
    </row>
    <row r="294" spans="1:21" x14ac:dyDescent="0.6">
      <c r="A294">
        <v>16</v>
      </c>
      <c r="B294" t="str">
        <f>"5522"</f>
        <v>5522</v>
      </c>
      <c r="C294" t="s">
        <v>46</v>
      </c>
      <c r="D294" s="1">
        <v>42923</v>
      </c>
      <c r="E294">
        <v>39</v>
      </c>
      <c r="F294">
        <v>0</v>
      </c>
      <c r="G294" s="2">
        <v>0</v>
      </c>
      <c r="H294">
        <v>2014</v>
      </c>
      <c r="I294">
        <v>8.66</v>
      </c>
      <c r="J294">
        <v>1.5</v>
      </c>
      <c r="K294">
        <v>0</v>
      </c>
      <c r="L294">
        <v>1.5</v>
      </c>
      <c r="M294" s="3">
        <v>3.85E-2</v>
      </c>
      <c r="N294" s="2">
        <v>0</v>
      </c>
      <c r="O294" s="3">
        <v>3.85E-2</v>
      </c>
      <c r="P294" s="3">
        <v>0.17299999999999999</v>
      </c>
      <c r="Q294" s="2">
        <v>0</v>
      </c>
      <c r="R294" s="3">
        <v>0.17299999999999999</v>
      </c>
      <c r="S294" t="s">
        <v>813</v>
      </c>
      <c r="U294" t="s">
        <v>814</v>
      </c>
    </row>
    <row r="295" spans="1:21" x14ac:dyDescent="0.6">
      <c r="A295">
        <v>100</v>
      </c>
      <c r="B295" t="str">
        <f>"6123"</f>
        <v>6123</v>
      </c>
      <c r="C295" t="s">
        <v>163</v>
      </c>
      <c r="D295" s="1">
        <v>42923</v>
      </c>
      <c r="E295">
        <v>33.799999999999997</v>
      </c>
      <c r="F295">
        <v>-0.15</v>
      </c>
      <c r="G295" s="3">
        <v>-4.4000000000000003E-3</v>
      </c>
      <c r="H295">
        <v>2014</v>
      </c>
      <c r="I295">
        <v>1.32</v>
      </c>
      <c r="J295">
        <v>1.3</v>
      </c>
      <c r="K295">
        <v>0</v>
      </c>
      <c r="L295">
        <v>1.3</v>
      </c>
      <c r="M295" s="3">
        <v>3.85E-2</v>
      </c>
      <c r="N295" s="2">
        <v>0</v>
      </c>
      <c r="O295" s="3">
        <v>3.85E-2</v>
      </c>
      <c r="P295" s="3">
        <v>0.98499999999999999</v>
      </c>
      <c r="Q295" s="2">
        <v>0</v>
      </c>
      <c r="R295" s="3">
        <v>0.98499999999999999</v>
      </c>
      <c r="S295" t="s">
        <v>832</v>
      </c>
      <c r="U295" t="s">
        <v>817</v>
      </c>
    </row>
    <row r="296" spans="1:21" x14ac:dyDescent="0.6">
      <c r="A296">
        <v>265</v>
      </c>
      <c r="B296" t="str">
        <f>"5287"</f>
        <v>5287</v>
      </c>
      <c r="C296" t="s">
        <v>345</v>
      </c>
      <c r="D296" s="1">
        <v>42923</v>
      </c>
      <c r="E296">
        <v>255.5</v>
      </c>
      <c r="F296">
        <v>0</v>
      </c>
      <c r="G296" s="2">
        <v>0</v>
      </c>
      <c r="H296">
        <v>2014</v>
      </c>
      <c r="I296">
        <v>12.29</v>
      </c>
      <c r="J296">
        <v>9.8000000000000007</v>
      </c>
      <c r="K296">
        <v>0</v>
      </c>
      <c r="L296">
        <v>9.8000000000000007</v>
      </c>
      <c r="M296" s="3">
        <v>3.8399999999999997E-2</v>
      </c>
      <c r="N296" s="2">
        <v>0</v>
      </c>
      <c r="O296" s="3">
        <v>3.8399999999999997E-2</v>
      </c>
      <c r="P296" s="3">
        <v>0.79700000000000004</v>
      </c>
      <c r="Q296" s="2">
        <v>0</v>
      </c>
      <c r="R296" s="3">
        <v>0.79700000000000004</v>
      </c>
      <c r="S296" t="s">
        <v>843</v>
      </c>
    </row>
    <row r="297" spans="1:21" x14ac:dyDescent="0.6">
      <c r="A297">
        <v>299</v>
      </c>
      <c r="B297" t="str">
        <f>"6024"</f>
        <v>6024</v>
      </c>
      <c r="C297" t="s">
        <v>381</v>
      </c>
      <c r="D297" s="1">
        <v>42923</v>
      </c>
      <c r="E297">
        <v>38.9</v>
      </c>
      <c r="F297">
        <v>0.55000000000000004</v>
      </c>
      <c r="G297" s="3">
        <v>1.43E-2</v>
      </c>
      <c r="H297">
        <v>2014</v>
      </c>
      <c r="I297">
        <v>2.58</v>
      </c>
      <c r="J297">
        <v>1.49</v>
      </c>
      <c r="K297">
        <v>0</v>
      </c>
      <c r="L297">
        <v>1.49</v>
      </c>
      <c r="M297" s="3">
        <v>3.8399999999999997E-2</v>
      </c>
      <c r="N297" s="2">
        <v>0</v>
      </c>
      <c r="O297" s="3">
        <v>3.8399999999999997E-2</v>
      </c>
      <c r="P297" s="3">
        <v>0.57799999999999996</v>
      </c>
      <c r="Q297" s="2">
        <v>0</v>
      </c>
      <c r="R297" s="3">
        <v>0.57799999999999996</v>
      </c>
      <c r="S297" t="s">
        <v>876</v>
      </c>
    </row>
    <row r="298" spans="1:21" x14ac:dyDescent="0.6">
      <c r="A298">
        <v>429</v>
      </c>
      <c r="B298" t="str">
        <f>"9933"</f>
        <v>9933</v>
      </c>
      <c r="C298" t="s">
        <v>517</v>
      </c>
      <c r="D298" s="1">
        <v>42923</v>
      </c>
      <c r="E298">
        <v>52.1</v>
      </c>
      <c r="F298">
        <v>-0.4</v>
      </c>
      <c r="G298" s="3">
        <v>-7.6E-3</v>
      </c>
      <c r="H298">
        <v>2014</v>
      </c>
      <c r="I298">
        <v>2.2200000000000002</v>
      </c>
      <c r="J298">
        <v>1.99</v>
      </c>
      <c r="K298">
        <v>0</v>
      </c>
      <c r="L298">
        <v>1.99</v>
      </c>
      <c r="M298" s="3">
        <v>3.8199999999999998E-2</v>
      </c>
      <c r="N298" s="2">
        <v>0</v>
      </c>
      <c r="O298" s="3">
        <v>3.8199999999999998E-2</v>
      </c>
      <c r="P298" s="3">
        <v>0.89600000000000002</v>
      </c>
      <c r="Q298" s="2">
        <v>0</v>
      </c>
      <c r="R298" s="3">
        <v>0.89600000000000002</v>
      </c>
      <c r="S298" t="s">
        <v>861</v>
      </c>
      <c r="U298" t="s">
        <v>835</v>
      </c>
    </row>
    <row r="299" spans="1:21" x14ac:dyDescent="0.6">
      <c r="A299">
        <v>458</v>
      </c>
      <c r="B299" t="str">
        <f>"5102"</f>
        <v>5102</v>
      </c>
      <c r="C299" t="s">
        <v>549</v>
      </c>
      <c r="D299" s="1">
        <v>42923</v>
      </c>
      <c r="E299">
        <v>14.4</v>
      </c>
      <c r="F299">
        <v>0</v>
      </c>
      <c r="G299" s="2">
        <v>0</v>
      </c>
      <c r="H299">
        <v>2014</v>
      </c>
      <c r="I299">
        <v>0.61</v>
      </c>
      <c r="J299">
        <v>0.55000000000000004</v>
      </c>
      <c r="K299">
        <v>0</v>
      </c>
      <c r="L299">
        <v>0.55000000000000004</v>
      </c>
      <c r="M299" s="3">
        <v>3.8199999999999998E-2</v>
      </c>
      <c r="N299" s="2">
        <v>0</v>
      </c>
      <c r="O299" s="3">
        <v>3.8199999999999998E-2</v>
      </c>
      <c r="P299" s="3">
        <v>0.90200000000000002</v>
      </c>
      <c r="Q299" s="2">
        <v>0</v>
      </c>
      <c r="R299" s="3">
        <v>0.90200000000000002</v>
      </c>
      <c r="S299" t="s">
        <v>798</v>
      </c>
      <c r="U299" t="s">
        <v>835</v>
      </c>
    </row>
    <row r="300" spans="1:21" x14ac:dyDescent="0.6">
      <c r="A300">
        <v>469</v>
      </c>
      <c r="B300" t="str">
        <f>"4977"</f>
        <v>4977</v>
      </c>
      <c r="C300" t="s">
        <v>562</v>
      </c>
      <c r="D300" s="1">
        <v>42923</v>
      </c>
      <c r="E300">
        <v>99.8</v>
      </c>
      <c r="F300">
        <v>-0.7</v>
      </c>
      <c r="G300" s="3">
        <v>-7.0000000000000001E-3</v>
      </c>
      <c r="H300">
        <v>2014</v>
      </c>
      <c r="I300">
        <v>4.5</v>
      </c>
      <c r="J300">
        <v>3.8</v>
      </c>
      <c r="K300">
        <v>0.3</v>
      </c>
      <c r="L300">
        <v>4.0999999999999996</v>
      </c>
      <c r="M300" s="3">
        <v>3.8100000000000002E-2</v>
      </c>
      <c r="N300" s="3">
        <v>3.0000000000000001E-3</v>
      </c>
      <c r="O300" s="3">
        <v>4.1099999999999998E-2</v>
      </c>
      <c r="P300" s="3">
        <v>0.84399999999999997</v>
      </c>
      <c r="Q300" s="3">
        <v>6.6699999999999995E-2</v>
      </c>
      <c r="R300" s="3">
        <v>0.91100000000000003</v>
      </c>
      <c r="S300" t="s">
        <v>872</v>
      </c>
      <c r="T300" t="s">
        <v>872</v>
      </c>
    </row>
    <row r="301" spans="1:21" x14ac:dyDescent="0.6">
      <c r="A301">
        <v>143</v>
      </c>
      <c r="B301" t="str">
        <f>"3130"</f>
        <v>3130</v>
      </c>
      <c r="C301" t="s">
        <v>211</v>
      </c>
      <c r="D301" s="1">
        <v>42923</v>
      </c>
      <c r="E301">
        <v>159</v>
      </c>
      <c r="F301">
        <v>-0.5</v>
      </c>
      <c r="G301" s="3">
        <v>-3.0999999999999999E-3</v>
      </c>
      <c r="H301">
        <v>2014</v>
      </c>
      <c r="I301">
        <v>7.46</v>
      </c>
      <c r="J301">
        <v>6</v>
      </c>
      <c r="K301">
        <v>0</v>
      </c>
      <c r="L301">
        <v>6</v>
      </c>
      <c r="M301" s="3">
        <v>3.7699999999999997E-2</v>
      </c>
      <c r="N301" s="2">
        <v>0</v>
      </c>
      <c r="O301" s="3">
        <v>3.7699999999999997E-2</v>
      </c>
      <c r="P301" s="3">
        <v>0.80400000000000005</v>
      </c>
      <c r="Q301" s="2">
        <v>0</v>
      </c>
      <c r="R301" s="3">
        <v>0.80400000000000005</v>
      </c>
      <c r="S301" t="s">
        <v>847</v>
      </c>
      <c r="U301" t="s">
        <v>863</v>
      </c>
    </row>
    <row r="302" spans="1:21" x14ac:dyDescent="0.6">
      <c r="A302">
        <v>95</v>
      </c>
      <c r="B302" t="str">
        <f>"8424"</f>
        <v>8424</v>
      </c>
      <c r="C302" t="s">
        <v>158</v>
      </c>
      <c r="D302" s="1">
        <v>42923</v>
      </c>
      <c r="E302">
        <v>40.299999999999997</v>
      </c>
      <c r="F302">
        <v>-0.5</v>
      </c>
      <c r="G302" s="3">
        <v>-1.23E-2</v>
      </c>
      <c r="H302">
        <v>2014</v>
      </c>
      <c r="I302">
        <v>3.81</v>
      </c>
      <c r="J302">
        <v>1.5</v>
      </c>
      <c r="K302">
        <v>1</v>
      </c>
      <c r="L302">
        <v>2.5</v>
      </c>
      <c r="M302" s="3">
        <v>3.7199999999999997E-2</v>
      </c>
      <c r="N302" s="3">
        <v>2.4799999999999999E-2</v>
      </c>
      <c r="O302" s="3">
        <v>6.2E-2</v>
      </c>
      <c r="P302" s="3">
        <v>0.39400000000000002</v>
      </c>
      <c r="Q302" s="3">
        <v>0.26200000000000001</v>
      </c>
      <c r="R302" s="3">
        <v>0.65600000000000003</v>
      </c>
      <c r="S302" t="s">
        <v>850</v>
      </c>
      <c r="T302" t="s">
        <v>850</v>
      </c>
      <c r="U302" t="s">
        <v>845</v>
      </c>
    </row>
    <row r="303" spans="1:21" x14ac:dyDescent="0.6">
      <c r="A303">
        <v>79</v>
      </c>
      <c r="B303" t="str">
        <f>"4722"</f>
        <v>4722</v>
      </c>
      <c r="C303" t="s">
        <v>139</v>
      </c>
      <c r="D303" s="1">
        <v>42923</v>
      </c>
      <c r="E303">
        <v>32.35</v>
      </c>
      <c r="F303">
        <v>-0.2</v>
      </c>
      <c r="G303" s="3">
        <v>-6.1000000000000004E-3</v>
      </c>
      <c r="H303">
        <v>2014</v>
      </c>
      <c r="I303">
        <v>1.63</v>
      </c>
      <c r="J303">
        <v>1.2</v>
      </c>
      <c r="K303">
        <v>0</v>
      </c>
      <c r="L303">
        <v>1.2</v>
      </c>
      <c r="M303" s="3">
        <v>3.7100000000000001E-2</v>
      </c>
      <c r="N303" s="2">
        <v>0</v>
      </c>
      <c r="O303" s="3">
        <v>3.7100000000000001E-2</v>
      </c>
      <c r="P303" s="3">
        <v>0.73599999999999999</v>
      </c>
      <c r="Q303" s="2">
        <v>0</v>
      </c>
      <c r="R303" s="3">
        <v>0.73599999999999999</v>
      </c>
      <c r="S303" t="s">
        <v>849</v>
      </c>
      <c r="U303" t="s">
        <v>850</v>
      </c>
    </row>
    <row r="304" spans="1:21" x14ac:dyDescent="0.6">
      <c r="A304">
        <v>115</v>
      </c>
      <c r="B304" t="str">
        <f>"6457"</f>
        <v>6457</v>
      </c>
      <c r="C304" t="s">
        <v>179</v>
      </c>
      <c r="D304" s="1">
        <v>42923</v>
      </c>
      <c r="E304">
        <v>28.55</v>
      </c>
      <c r="F304">
        <v>-0.25</v>
      </c>
      <c r="G304" s="3">
        <v>-8.6999999999999994E-3</v>
      </c>
      <c r="H304">
        <v>2014</v>
      </c>
      <c r="J304">
        <v>1.05</v>
      </c>
      <c r="K304">
        <v>0</v>
      </c>
      <c r="L304">
        <v>1.05</v>
      </c>
      <c r="M304" s="3">
        <v>3.6900000000000002E-2</v>
      </c>
      <c r="N304" s="2">
        <v>0</v>
      </c>
      <c r="O304" s="3">
        <v>3.6900000000000002E-2</v>
      </c>
      <c r="S304" t="s">
        <v>847</v>
      </c>
    </row>
    <row r="305" spans="1:21" x14ac:dyDescent="0.6">
      <c r="A305">
        <v>371</v>
      </c>
      <c r="B305" t="str">
        <f>"3444"</f>
        <v>3444</v>
      </c>
      <c r="C305" t="s">
        <v>454</v>
      </c>
      <c r="D305" s="1">
        <v>42923</v>
      </c>
      <c r="E305">
        <v>18.95</v>
      </c>
      <c r="F305">
        <v>-0.05</v>
      </c>
      <c r="G305" s="3">
        <v>-2.5999999999999999E-3</v>
      </c>
      <c r="H305">
        <v>2014</v>
      </c>
      <c r="I305">
        <v>0.73</v>
      </c>
      <c r="J305">
        <v>0.7</v>
      </c>
      <c r="K305">
        <v>0</v>
      </c>
      <c r="L305">
        <v>0.7</v>
      </c>
      <c r="M305" s="3">
        <v>3.6900000000000002E-2</v>
      </c>
      <c r="N305" s="2">
        <v>0</v>
      </c>
      <c r="O305" s="3">
        <v>3.6900000000000002E-2</v>
      </c>
      <c r="P305" s="3">
        <v>0.95899999999999996</v>
      </c>
      <c r="Q305" s="2">
        <v>0</v>
      </c>
      <c r="R305" s="3">
        <v>0.95899999999999996</v>
      </c>
      <c r="S305" t="s">
        <v>815</v>
      </c>
    </row>
    <row r="306" spans="1:21" x14ac:dyDescent="0.6">
      <c r="A306">
        <v>273</v>
      </c>
      <c r="B306" t="str">
        <f>"2020"</f>
        <v>2020</v>
      </c>
      <c r="C306" t="s">
        <v>353</v>
      </c>
      <c r="D306" s="1">
        <v>42923</v>
      </c>
      <c r="E306">
        <v>13.75</v>
      </c>
      <c r="F306">
        <v>-0.05</v>
      </c>
      <c r="G306" s="3">
        <v>-3.5999999999999999E-3</v>
      </c>
      <c r="H306">
        <v>2014</v>
      </c>
      <c r="I306">
        <v>0.68</v>
      </c>
      <c r="J306">
        <v>0.51</v>
      </c>
      <c r="K306">
        <v>0</v>
      </c>
      <c r="L306">
        <v>0.51</v>
      </c>
      <c r="M306" s="3">
        <v>3.6799999999999999E-2</v>
      </c>
      <c r="N306" s="2">
        <v>0</v>
      </c>
      <c r="O306" s="3">
        <v>3.6799999999999999E-2</v>
      </c>
      <c r="P306" s="2">
        <v>0.75</v>
      </c>
      <c r="Q306" s="2">
        <v>0</v>
      </c>
      <c r="R306" s="2">
        <v>0.75</v>
      </c>
      <c r="S306" t="s">
        <v>813</v>
      </c>
      <c r="U306" t="s">
        <v>799</v>
      </c>
    </row>
    <row r="307" spans="1:21" x14ac:dyDescent="0.6">
      <c r="A307">
        <v>270</v>
      </c>
      <c r="B307" t="str">
        <f>"1410"</f>
        <v>1410</v>
      </c>
      <c r="C307" t="s">
        <v>350</v>
      </c>
      <c r="D307" s="1">
        <v>42923</v>
      </c>
      <c r="E307">
        <v>24.85</v>
      </c>
      <c r="F307">
        <v>0.05</v>
      </c>
      <c r="G307" s="3">
        <v>2E-3</v>
      </c>
      <c r="H307">
        <v>2014</v>
      </c>
      <c r="I307">
        <v>1.08</v>
      </c>
      <c r="J307">
        <v>0.9</v>
      </c>
      <c r="K307">
        <v>0</v>
      </c>
      <c r="L307">
        <v>0.9</v>
      </c>
      <c r="M307" s="3">
        <v>3.6200000000000003E-2</v>
      </c>
      <c r="N307" s="2">
        <v>0</v>
      </c>
      <c r="O307" s="3">
        <v>3.6200000000000003E-2</v>
      </c>
      <c r="P307" s="3">
        <v>0.83299999999999996</v>
      </c>
      <c r="Q307" s="2">
        <v>0</v>
      </c>
      <c r="R307" s="3">
        <v>0.83299999999999996</v>
      </c>
      <c r="S307" t="s">
        <v>840</v>
      </c>
    </row>
    <row r="308" spans="1:21" x14ac:dyDescent="0.6">
      <c r="A308">
        <v>466</v>
      </c>
      <c r="B308" t="str">
        <f>"1104"</f>
        <v>1104</v>
      </c>
      <c r="C308" t="s">
        <v>557</v>
      </c>
      <c r="D308" s="1">
        <v>42923</v>
      </c>
      <c r="E308">
        <v>24.9</v>
      </c>
      <c r="F308">
        <v>-0.1</v>
      </c>
      <c r="G308" s="3">
        <v>-4.0000000000000001E-3</v>
      </c>
      <c r="H308">
        <v>2014</v>
      </c>
      <c r="I308">
        <v>1.84</v>
      </c>
      <c r="J308">
        <v>0.9</v>
      </c>
      <c r="K308">
        <v>0.2</v>
      </c>
      <c r="L308">
        <v>1.1000000000000001</v>
      </c>
      <c r="M308" s="3">
        <v>3.61E-2</v>
      </c>
      <c r="N308" s="3">
        <v>8.0000000000000002E-3</v>
      </c>
      <c r="O308" s="3">
        <v>4.4200000000000003E-2</v>
      </c>
      <c r="P308" s="3">
        <v>0.48899999999999999</v>
      </c>
      <c r="Q308" s="3">
        <v>0.109</v>
      </c>
      <c r="R308" s="3">
        <v>0.59799999999999998</v>
      </c>
      <c r="S308" t="s">
        <v>791</v>
      </c>
      <c r="T308" t="s">
        <v>791</v>
      </c>
      <c r="U308" t="s">
        <v>792</v>
      </c>
    </row>
    <row r="309" spans="1:21" x14ac:dyDescent="0.6">
      <c r="A309">
        <v>419</v>
      </c>
      <c r="B309" t="str">
        <f>"3484"</f>
        <v>3484</v>
      </c>
      <c r="C309" t="s">
        <v>506</v>
      </c>
      <c r="D309" s="1">
        <v>42923</v>
      </c>
      <c r="E309">
        <v>39.700000000000003</v>
      </c>
      <c r="F309">
        <v>-0.2</v>
      </c>
      <c r="G309" s="3">
        <v>-5.0000000000000001E-3</v>
      </c>
      <c r="H309">
        <v>2014</v>
      </c>
      <c r="I309">
        <v>1.72</v>
      </c>
      <c r="J309">
        <v>1.41</v>
      </c>
      <c r="K309">
        <v>0</v>
      </c>
      <c r="L309">
        <v>1.41</v>
      </c>
      <c r="M309" s="3">
        <v>3.56E-2</v>
      </c>
      <c r="N309" s="2">
        <v>0</v>
      </c>
      <c r="O309" s="3">
        <v>3.56E-2</v>
      </c>
      <c r="P309" s="2">
        <v>0.82</v>
      </c>
      <c r="Q309" s="2">
        <v>0</v>
      </c>
      <c r="R309" s="2">
        <v>0.82</v>
      </c>
      <c r="S309" t="s">
        <v>796</v>
      </c>
      <c r="U309" t="s">
        <v>802</v>
      </c>
    </row>
    <row r="310" spans="1:21" x14ac:dyDescent="0.6">
      <c r="A310">
        <v>102</v>
      </c>
      <c r="B310" t="str">
        <f>"9911"</f>
        <v>9911</v>
      </c>
      <c r="C310" t="s">
        <v>165</v>
      </c>
      <c r="D310" s="1">
        <v>42923</v>
      </c>
      <c r="E310">
        <v>33.85</v>
      </c>
      <c r="F310">
        <v>-0.25</v>
      </c>
      <c r="G310" s="3">
        <v>-7.3000000000000001E-3</v>
      </c>
      <c r="H310">
        <v>2014</v>
      </c>
      <c r="I310">
        <v>1.75</v>
      </c>
      <c r="J310">
        <v>1.2</v>
      </c>
      <c r="K310">
        <v>0</v>
      </c>
      <c r="L310">
        <v>1.2</v>
      </c>
      <c r="M310" s="3">
        <v>3.5499999999999997E-2</v>
      </c>
      <c r="N310" s="2">
        <v>0</v>
      </c>
      <c r="O310" s="3">
        <v>3.5499999999999997E-2</v>
      </c>
      <c r="P310" s="3">
        <v>0.68600000000000005</v>
      </c>
      <c r="Q310" s="2">
        <v>0</v>
      </c>
      <c r="R310" s="3">
        <v>0.68600000000000005</v>
      </c>
      <c r="S310" t="s">
        <v>828</v>
      </c>
    </row>
    <row r="311" spans="1:21" x14ac:dyDescent="0.6">
      <c r="A311">
        <v>120</v>
      </c>
      <c r="B311" t="str">
        <f>"3090"</f>
        <v>3090</v>
      </c>
      <c r="C311" t="s">
        <v>185</v>
      </c>
      <c r="D311" s="1">
        <v>42923</v>
      </c>
      <c r="E311">
        <v>28.2</v>
      </c>
      <c r="F311">
        <v>-0.25</v>
      </c>
      <c r="G311" s="3">
        <v>-8.8000000000000005E-3</v>
      </c>
      <c r="H311">
        <v>2014</v>
      </c>
      <c r="I311">
        <v>2.52</v>
      </c>
      <c r="J311">
        <v>1</v>
      </c>
      <c r="K311">
        <v>1.2</v>
      </c>
      <c r="L311">
        <v>2.2000000000000002</v>
      </c>
      <c r="M311" s="3">
        <v>3.5499999999999997E-2</v>
      </c>
      <c r="N311" s="3">
        <v>4.2599999999999999E-2</v>
      </c>
      <c r="O311" s="3">
        <v>7.8E-2</v>
      </c>
      <c r="P311" s="3">
        <v>0.39700000000000002</v>
      </c>
      <c r="Q311" s="3">
        <v>0.47599999999999998</v>
      </c>
      <c r="R311" s="3">
        <v>0.873</v>
      </c>
      <c r="S311" t="s">
        <v>839</v>
      </c>
      <c r="T311" t="s">
        <v>839</v>
      </c>
      <c r="U311" t="s">
        <v>859</v>
      </c>
    </row>
    <row r="312" spans="1:21" x14ac:dyDescent="0.6">
      <c r="A312">
        <v>166</v>
      </c>
      <c r="B312" t="str">
        <f>"6290"</f>
        <v>6290</v>
      </c>
      <c r="C312" t="s">
        <v>238</v>
      </c>
      <c r="D312" s="1">
        <v>42923</v>
      </c>
      <c r="E312">
        <v>40.200000000000003</v>
      </c>
      <c r="F312">
        <v>-0.75</v>
      </c>
      <c r="G312" s="3">
        <v>-1.83E-2</v>
      </c>
      <c r="H312">
        <v>2014</v>
      </c>
      <c r="I312">
        <v>2.25</v>
      </c>
      <c r="J312">
        <v>1.43</v>
      </c>
      <c r="K312">
        <v>0</v>
      </c>
      <c r="L312">
        <v>1.43</v>
      </c>
      <c r="M312" s="3">
        <v>3.5499999999999997E-2</v>
      </c>
      <c r="N312" s="2">
        <v>0</v>
      </c>
      <c r="O312" s="3">
        <v>3.5499999999999997E-2</v>
      </c>
      <c r="P312" s="3">
        <v>0.63600000000000001</v>
      </c>
      <c r="Q312" s="2">
        <v>0</v>
      </c>
      <c r="R312" s="3">
        <v>0.63600000000000001</v>
      </c>
      <c r="S312" t="s">
        <v>822</v>
      </c>
      <c r="U312" t="s">
        <v>799</v>
      </c>
    </row>
    <row r="313" spans="1:21" x14ac:dyDescent="0.6">
      <c r="A313">
        <v>304</v>
      </c>
      <c r="B313" t="str">
        <f>"1229"</f>
        <v>1229</v>
      </c>
      <c r="C313" t="s">
        <v>386</v>
      </c>
      <c r="D313" s="1">
        <v>42923</v>
      </c>
      <c r="E313">
        <v>28.35</v>
      </c>
      <c r="F313">
        <v>-0.15</v>
      </c>
      <c r="G313" s="3">
        <v>-5.3E-3</v>
      </c>
      <c r="H313">
        <v>2014</v>
      </c>
      <c r="I313">
        <v>1.57</v>
      </c>
      <c r="J313">
        <v>1</v>
      </c>
      <c r="K313">
        <v>0</v>
      </c>
      <c r="L313">
        <v>1</v>
      </c>
      <c r="M313" s="3">
        <v>3.5299999999999998E-2</v>
      </c>
      <c r="N313" s="2">
        <v>0</v>
      </c>
      <c r="O313" s="3">
        <v>3.5299999999999998E-2</v>
      </c>
      <c r="P313" s="3">
        <v>0.63700000000000001</v>
      </c>
      <c r="Q313" s="2">
        <v>0</v>
      </c>
      <c r="R313" s="3">
        <v>0.63700000000000001</v>
      </c>
      <c r="S313" t="s">
        <v>820</v>
      </c>
      <c r="U313" t="s">
        <v>800</v>
      </c>
    </row>
    <row r="314" spans="1:21" x14ac:dyDescent="0.6">
      <c r="A314">
        <v>369</v>
      </c>
      <c r="B314" t="str">
        <f>"1452"</f>
        <v>1452</v>
      </c>
      <c r="C314" t="s">
        <v>452</v>
      </c>
      <c r="D314" s="1">
        <v>42923</v>
      </c>
      <c r="E314">
        <v>22.7</v>
      </c>
      <c r="F314">
        <v>-0.1</v>
      </c>
      <c r="G314" s="3">
        <v>-4.4000000000000003E-3</v>
      </c>
      <c r="H314">
        <v>2014</v>
      </c>
      <c r="I314">
        <v>1.03</v>
      </c>
      <c r="J314">
        <v>0.8</v>
      </c>
      <c r="K314">
        <v>0</v>
      </c>
      <c r="L314">
        <v>0.8</v>
      </c>
      <c r="M314" s="3">
        <v>3.5200000000000002E-2</v>
      </c>
      <c r="N314" s="2">
        <v>0</v>
      </c>
      <c r="O314" s="3">
        <v>3.5200000000000002E-2</v>
      </c>
      <c r="P314" s="3">
        <v>0.77700000000000002</v>
      </c>
      <c r="Q314" s="2">
        <v>0</v>
      </c>
      <c r="R314" s="3">
        <v>0.77700000000000002</v>
      </c>
      <c r="S314" t="s">
        <v>872</v>
      </c>
    </row>
    <row r="315" spans="1:21" x14ac:dyDescent="0.6">
      <c r="A315">
        <v>381</v>
      </c>
      <c r="B315" t="str">
        <f>"3023"</f>
        <v>3023</v>
      </c>
      <c r="C315" t="s">
        <v>465</v>
      </c>
      <c r="D315" s="1">
        <v>42923</v>
      </c>
      <c r="E315">
        <v>71.099999999999994</v>
      </c>
      <c r="F315">
        <v>-1</v>
      </c>
      <c r="G315" s="3">
        <v>-1.3899999999999999E-2</v>
      </c>
      <c r="H315">
        <v>2014</v>
      </c>
      <c r="I315">
        <v>3.2</v>
      </c>
      <c r="J315">
        <v>2.5</v>
      </c>
      <c r="K315">
        <v>0</v>
      </c>
      <c r="L315">
        <v>2.5</v>
      </c>
      <c r="M315" s="3">
        <v>3.5200000000000002E-2</v>
      </c>
      <c r="N315" s="2">
        <v>0</v>
      </c>
      <c r="O315" s="3">
        <v>3.5200000000000002E-2</v>
      </c>
      <c r="P315" s="3">
        <v>0.78100000000000003</v>
      </c>
      <c r="Q315" s="2">
        <v>0</v>
      </c>
      <c r="R315" s="3">
        <v>0.78100000000000003</v>
      </c>
      <c r="S315" t="s">
        <v>810</v>
      </c>
      <c r="U315" t="s">
        <v>866</v>
      </c>
    </row>
    <row r="316" spans="1:21" x14ac:dyDescent="0.6">
      <c r="A316">
        <v>32</v>
      </c>
      <c r="B316" t="str">
        <f>"2404"</f>
        <v>2404</v>
      </c>
      <c r="C316" t="s">
        <v>68</v>
      </c>
      <c r="D316" s="1">
        <v>42923</v>
      </c>
      <c r="E316">
        <v>68.3</v>
      </c>
      <c r="F316">
        <v>-1.2</v>
      </c>
      <c r="G316" s="3">
        <v>-1.7299999999999999E-2</v>
      </c>
      <c r="H316">
        <v>2014</v>
      </c>
      <c r="I316">
        <v>4.7300000000000004</v>
      </c>
      <c r="J316">
        <v>2.4</v>
      </c>
      <c r="K316">
        <v>0</v>
      </c>
      <c r="L316">
        <v>2.4</v>
      </c>
      <c r="M316" s="3">
        <v>3.5099999999999999E-2</v>
      </c>
      <c r="N316" s="2">
        <v>0</v>
      </c>
      <c r="O316" s="3">
        <v>3.5099999999999999E-2</v>
      </c>
      <c r="P316" s="3">
        <v>0.50700000000000001</v>
      </c>
      <c r="Q316" s="2">
        <v>0</v>
      </c>
      <c r="R316" s="3">
        <v>0.50700000000000001</v>
      </c>
      <c r="S316" t="s">
        <v>823</v>
      </c>
    </row>
    <row r="317" spans="1:21" x14ac:dyDescent="0.6">
      <c r="A317">
        <v>377</v>
      </c>
      <c r="B317" t="str">
        <f>"2012"</f>
        <v>2012</v>
      </c>
      <c r="C317" t="s">
        <v>460</v>
      </c>
      <c r="D317" s="1">
        <v>42923</v>
      </c>
      <c r="E317">
        <v>14.3</v>
      </c>
      <c r="F317">
        <v>0.15</v>
      </c>
      <c r="G317" s="3">
        <v>1.06E-2</v>
      </c>
      <c r="H317">
        <v>2014</v>
      </c>
      <c r="I317">
        <v>0.54</v>
      </c>
      <c r="J317">
        <v>0.5</v>
      </c>
      <c r="K317">
        <v>0</v>
      </c>
      <c r="L317">
        <v>0.5</v>
      </c>
      <c r="M317" s="3">
        <v>3.5000000000000003E-2</v>
      </c>
      <c r="N317" s="2">
        <v>0</v>
      </c>
      <c r="O317" s="3">
        <v>3.5000000000000003E-2</v>
      </c>
      <c r="P317" s="3">
        <v>0.92600000000000005</v>
      </c>
      <c r="Q317" s="2">
        <v>0</v>
      </c>
      <c r="R317" s="3">
        <v>0.92600000000000005</v>
      </c>
      <c r="S317" t="s">
        <v>868</v>
      </c>
      <c r="U317" t="s">
        <v>795</v>
      </c>
    </row>
    <row r="318" spans="1:21" x14ac:dyDescent="0.6">
      <c r="A318">
        <v>300</v>
      </c>
      <c r="B318" t="str">
        <f>"1537"</f>
        <v>1537</v>
      </c>
      <c r="C318" t="s">
        <v>382</v>
      </c>
      <c r="D318" s="1">
        <v>42923</v>
      </c>
      <c r="E318">
        <v>158.5</v>
      </c>
      <c r="F318">
        <v>-2</v>
      </c>
      <c r="G318" s="3">
        <v>-1.2500000000000001E-2</v>
      </c>
      <c r="H318">
        <v>2014</v>
      </c>
      <c r="I318">
        <v>7.02</v>
      </c>
      <c r="J318">
        <v>5.5</v>
      </c>
      <c r="K318">
        <v>0</v>
      </c>
      <c r="L318">
        <v>5.5</v>
      </c>
      <c r="M318" s="3">
        <v>3.4700000000000002E-2</v>
      </c>
      <c r="N318" s="2">
        <v>0</v>
      </c>
      <c r="O318" s="3">
        <v>3.4700000000000002E-2</v>
      </c>
      <c r="P318" s="3">
        <v>0.78400000000000003</v>
      </c>
      <c r="Q318" s="2">
        <v>0</v>
      </c>
      <c r="R318" s="3">
        <v>0.78400000000000003</v>
      </c>
      <c r="S318" t="s">
        <v>868</v>
      </c>
      <c r="U318" t="s">
        <v>866</v>
      </c>
    </row>
    <row r="319" spans="1:21" x14ac:dyDescent="0.6">
      <c r="A319">
        <v>302</v>
      </c>
      <c r="B319" t="str">
        <f>"2732"</f>
        <v>2732</v>
      </c>
      <c r="C319" t="s">
        <v>384</v>
      </c>
      <c r="D319" s="1">
        <v>42923</v>
      </c>
      <c r="E319">
        <v>87</v>
      </c>
      <c r="F319">
        <v>0</v>
      </c>
      <c r="G319" s="2">
        <v>0</v>
      </c>
      <c r="H319">
        <v>2014</v>
      </c>
      <c r="I319">
        <v>7.17</v>
      </c>
      <c r="J319">
        <v>3</v>
      </c>
      <c r="K319">
        <v>2.5</v>
      </c>
      <c r="L319">
        <v>5.5</v>
      </c>
      <c r="M319" s="3">
        <v>3.4500000000000003E-2</v>
      </c>
      <c r="N319" s="3">
        <v>2.87E-2</v>
      </c>
      <c r="O319" s="3">
        <v>6.3200000000000006E-2</v>
      </c>
      <c r="P319" s="3">
        <v>0.41799999999999998</v>
      </c>
      <c r="Q319" s="3">
        <v>0.34899999999999998</v>
      </c>
      <c r="R319" s="3">
        <v>0.76700000000000002</v>
      </c>
      <c r="S319" t="s">
        <v>812</v>
      </c>
      <c r="T319" t="s">
        <v>812</v>
      </c>
    </row>
    <row r="320" spans="1:21" x14ac:dyDescent="0.6">
      <c r="A320">
        <v>141</v>
      </c>
      <c r="B320" t="str">
        <f>"8016"</f>
        <v>8016</v>
      </c>
      <c r="C320" t="s">
        <v>208</v>
      </c>
      <c r="D320" s="1">
        <v>42923</v>
      </c>
      <c r="E320">
        <v>87.7</v>
      </c>
      <c r="F320">
        <v>-1.6</v>
      </c>
      <c r="G320" s="3">
        <v>-1.7899999999999999E-2</v>
      </c>
      <c r="H320">
        <v>2014</v>
      </c>
      <c r="I320">
        <v>3.63</v>
      </c>
      <c r="J320">
        <v>3</v>
      </c>
      <c r="K320">
        <v>0</v>
      </c>
      <c r="L320">
        <v>3</v>
      </c>
      <c r="M320" s="3">
        <v>3.4200000000000001E-2</v>
      </c>
      <c r="N320" s="2">
        <v>0</v>
      </c>
      <c r="O320" s="3">
        <v>3.4200000000000001E-2</v>
      </c>
      <c r="P320" s="3">
        <v>0.82599999999999996</v>
      </c>
      <c r="Q320" s="2">
        <v>0</v>
      </c>
      <c r="R320" s="3">
        <v>0.82599999999999996</v>
      </c>
      <c r="S320" t="s">
        <v>834</v>
      </c>
    </row>
    <row r="321" spans="1:21" x14ac:dyDescent="0.6">
      <c r="A321">
        <v>275</v>
      </c>
      <c r="B321" t="str">
        <f>"8083"</f>
        <v>8083</v>
      </c>
      <c r="C321" t="s">
        <v>355</v>
      </c>
      <c r="D321" s="1">
        <v>42923</v>
      </c>
      <c r="E321">
        <v>146.5</v>
      </c>
      <c r="F321">
        <v>-3.5</v>
      </c>
      <c r="G321" s="3">
        <v>-2.3300000000000001E-2</v>
      </c>
      <c r="H321">
        <v>2014</v>
      </c>
      <c r="I321">
        <v>6.12</v>
      </c>
      <c r="J321">
        <v>5</v>
      </c>
      <c r="K321">
        <v>0</v>
      </c>
      <c r="L321">
        <v>5</v>
      </c>
      <c r="M321" s="3">
        <v>3.4099999999999998E-2</v>
      </c>
      <c r="N321" s="2">
        <v>0</v>
      </c>
      <c r="O321" s="3">
        <v>3.4099999999999998E-2</v>
      </c>
      <c r="P321" s="3">
        <v>0.81699999999999995</v>
      </c>
      <c r="Q321" s="2">
        <v>0</v>
      </c>
      <c r="R321" s="3">
        <v>0.81699999999999995</v>
      </c>
      <c r="S321" t="s">
        <v>828</v>
      </c>
    </row>
    <row r="322" spans="1:21" x14ac:dyDescent="0.6">
      <c r="A322">
        <v>142</v>
      </c>
      <c r="B322" t="str">
        <f>"2340"</f>
        <v>2340</v>
      </c>
      <c r="C322" t="s">
        <v>209</v>
      </c>
      <c r="D322" s="1">
        <v>42923</v>
      </c>
      <c r="E322">
        <v>17.649999999999999</v>
      </c>
      <c r="F322">
        <v>0</v>
      </c>
      <c r="G322" s="2">
        <v>0</v>
      </c>
      <c r="H322">
        <v>2014</v>
      </c>
      <c r="I322">
        <v>0.77</v>
      </c>
      <c r="J322">
        <v>0.6</v>
      </c>
      <c r="K322">
        <v>0</v>
      </c>
      <c r="L322">
        <v>0.6</v>
      </c>
      <c r="M322" s="3">
        <v>3.4000000000000002E-2</v>
      </c>
      <c r="N322" s="2">
        <v>0</v>
      </c>
      <c r="O322" s="3">
        <v>3.4000000000000002E-2</v>
      </c>
      <c r="P322" s="3">
        <v>0.77900000000000003</v>
      </c>
      <c r="Q322" s="2">
        <v>0</v>
      </c>
      <c r="R322" s="3">
        <v>0.77900000000000003</v>
      </c>
      <c r="S322" t="s">
        <v>813</v>
      </c>
      <c r="U322" t="s">
        <v>817</v>
      </c>
    </row>
    <row r="323" spans="1:21" x14ac:dyDescent="0.6">
      <c r="A323">
        <v>376</v>
      </c>
      <c r="B323" t="str">
        <f>"5388"</f>
        <v>5388</v>
      </c>
      <c r="C323" t="s">
        <v>459</v>
      </c>
      <c r="D323" s="1">
        <v>42923</v>
      </c>
      <c r="E323">
        <v>80</v>
      </c>
      <c r="F323">
        <v>-0.4</v>
      </c>
      <c r="G323" s="3">
        <v>-5.0000000000000001E-3</v>
      </c>
      <c r="H323">
        <v>2014</v>
      </c>
      <c r="I323">
        <v>4.1900000000000004</v>
      </c>
      <c r="J323">
        <v>2.72</v>
      </c>
      <c r="K323">
        <v>0</v>
      </c>
      <c r="L323">
        <v>2.72</v>
      </c>
      <c r="M323" s="3">
        <v>3.4000000000000002E-2</v>
      </c>
      <c r="N323" s="2">
        <v>0</v>
      </c>
      <c r="O323" s="3">
        <v>3.4000000000000002E-2</v>
      </c>
      <c r="P323" s="3">
        <v>0.64900000000000002</v>
      </c>
      <c r="Q323" s="2">
        <v>0</v>
      </c>
      <c r="R323" s="3">
        <v>0.64900000000000002</v>
      </c>
      <c r="S323" t="s">
        <v>831</v>
      </c>
      <c r="U323" t="s">
        <v>856</v>
      </c>
    </row>
    <row r="324" spans="1:21" x14ac:dyDescent="0.6">
      <c r="A324">
        <v>118</v>
      </c>
      <c r="B324" t="str">
        <f>"8427"</f>
        <v>8427</v>
      </c>
      <c r="C324" t="s">
        <v>182</v>
      </c>
      <c r="D324" s="1">
        <v>42923</v>
      </c>
      <c r="E324">
        <v>56</v>
      </c>
      <c r="F324">
        <v>-0.4</v>
      </c>
      <c r="G324" s="3">
        <v>-7.1000000000000004E-3</v>
      </c>
      <c r="H324">
        <v>2014</v>
      </c>
      <c r="I324">
        <v>2.14</v>
      </c>
      <c r="J324">
        <v>1.9</v>
      </c>
      <c r="K324">
        <v>0</v>
      </c>
      <c r="L324">
        <v>1.9</v>
      </c>
      <c r="M324" s="3">
        <v>3.39E-2</v>
      </c>
      <c r="N324" s="2">
        <v>0</v>
      </c>
      <c r="O324" s="3">
        <v>3.39E-2</v>
      </c>
      <c r="P324" s="3">
        <v>0.88800000000000001</v>
      </c>
      <c r="Q324" s="2">
        <v>0</v>
      </c>
      <c r="R324" s="3">
        <v>0.88800000000000001</v>
      </c>
      <c r="S324" t="s">
        <v>831</v>
      </c>
    </row>
    <row r="325" spans="1:21" x14ac:dyDescent="0.6">
      <c r="A325">
        <v>195</v>
      </c>
      <c r="B325" t="str">
        <f>"1220"</f>
        <v>1220</v>
      </c>
      <c r="C325" t="s">
        <v>272</v>
      </c>
      <c r="D325" s="1">
        <v>42923</v>
      </c>
      <c r="E325">
        <v>10.35</v>
      </c>
      <c r="F325">
        <v>0</v>
      </c>
      <c r="G325" s="2">
        <v>0</v>
      </c>
      <c r="H325">
        <v>2014</v>
      </c>
      <c r="I325">
        <v>0.32</v>
      </c>
      <c r="J325">
        <v>0.35</v>
      </c>
      <c r="K325">
        <v>0</v>
      </c>
      <c r="L325">
        <v>0.35</v>
      </c>
      <c r="M325" s="3">
        <v>3.3799999999999997E-2</v>
      </c>
      <c r="N325" s="2">
        <v>0</v>
      </c>
      <c r="O325" s="3">
        <v>3.3799999999999997E-2</v>
      </c>
      <c r="P325" s="2">
        <v>1.0900000000000001</v>
      </c>
      <c r="Q325" s="2">
        <v>0</v>
      </c>
      <c r="R325" s="2">
        <v>1.0900000000000001</v>
      </c>
      <c r="S325" t="s">
        <v>815</v>
      </c>
    </row>
    <row r="326" spans="1:21" x14ac:dyDescent="0.6">
      <c r="A326">
        <v>37</v>
      </c>
      <c r="B326" t="str">
        <f>"2397"</f>
        <v>2397</v>
      </c>
      <c r="C326" t="s">
        <v>77</v>
      </c>
      <c r="D326" s="1">
        <v>42923</v>
      </c>
      <c r="E326">
        <v>53.5</v>
      </c>
      <c r="F326">
        <v>0</v>
      </c>
      <c r="G326" s="2">
        <v>0</v>
      </c>
      <c r="H326">
        <v>2014</v>
      </c>
      <c r="I326">
        <v>2.21</v>
      </c>
      <c r="J326">
        <v>1.8</v>
      </c>
      <c r="K326">
        <v>0</v>
      </c>
      <c r="L326">
        <v>1.8</v>
      </c>
      <c r="M326" s="3">
        <v>3.3599999999999998E-2</v>
      </c>
      <c r="N326" s="2">
        <v>0</v>
      </c>
      <c r="O326" s="3">
        <v>3.3599999999999998E-2</v>
      </c>
      <c r="P326" s="3">
        <v>0.81399999999999995</v>
      </c>
      <c r="Q326" s="2">
        <v>0</v>
      </c>
      <c r="R326" s="3">
        <v>0.81399999999999995</v>
      </c>
      <c r="S326" t="s">
        <v>820</v>
      </c>
      <c r="U326" t="s">
        <v>792</v>
      </c>
    </row>
    <row r="327" spans="1:21" x14ac:dyDescent="0.6">
      <c r="A327">
        <v>328</v>
      </c>
      <c r="B327" t="str">
        <f>"8415"</f>
        <v>8415</v>
      </c>
      <c r="C327" t="s">
        <v>410</v>
      </c>
      <c r="D327" s="1">
        <v>42923</v>
      </c>
      <c r="E327">
        <v>18.100000000000001</v>
      </c>
      <c r="F327">
        <v>0.05</v>
      </c>
      <c r="G327" s="3">
        <v>2.8E-3</v>
      </c>
      <c r="H327">
        <v>2014</v>
      </c>
      <c r="I327">
        <v>0.32</v>
      </c>
      <c r="J327">
        <v>0.6</v>
      </c>
      <c r="K327">
        <v>0</v>
      </c>
      <c r="L327">
        <v>0.6</v>
      </c>
      <c r="M327" s="3">
        <v>3.3099999999999997E-2</v>
      </c>
      <c r="N327" s="2">
        <v>0</v>
      </c>
      <c r="O327" s="3">
        <v>3.3099999999999997E-2</v>
      </c>
      <c r="P327" s="2">
        <v>1.88</v>
      </c>
      <c r="Q327" s="2">
        <v>0</v>
      </c>
      <c r="R327" s="2">
        <v>1.88</v>
      </c>
      <c r="S327" t="s">
        <v>816</v>
      </c>
    </row>
    <row r="328" spans="1:21" x14ac:dyDescent="0.6">
      <c r="A328">
        <v>349</v>
      </c>
      <c r="B328" t="str">
        <f>"6451"</f>
        <v>6451</v>
      </c>
      <c r="C328" t="s">
        <v>431</v>
      </c>
      <c r="D328" s="1">
        <v>42923</v>
      </c>
      <c r="E328">
        <v>99.9</v>
      </c>
      <c r="F328">
        <v>-3.1</v>
      </c>
      <c r="G328" s="3">
        <v>-3.0099999999999998E-2</v>
      </c>
      <c r="H328">
        <v>2014</v>
      </c>
      <c r="I328">
        <v>12.51</v>
      </c>
      <c r="J328">
        <v>3.3</v>
      </c>
      <c r="K328">
        <v>0</v>
      </c>
      <c r="L328">
        <v>3.3</v>
      </c>
      <c r="M328" s="3">
        <v>3.3000000000000002E-2</v>
      </c>
      <c r="N328" s="2">
        <v>0</v>
      </c>
      <c r="O328" s="3">
        <v>3.3000000000000002E-2</v>
      </c>
      <c r="P328" s="3">
        <v>0.26400000000000001</v>
      </c>
      <c r="Q328" s="2">
        <v>0</v>
      </c>
      <c r="R328" s="3">
        <v>0.26400000000000001</v>
      </c>
    </row>
    <row r="329" spans="1:21" x14ac:dyDescent="0.6">
      <c r="A329">
        <v>394</v>
      </c>
      <c r="B329" t="str">
        <f>"3491"</f>
        <v>3491</v>
      </c>
      <c r="C329" t="s">
        <v>479</v>
      </c>
      <c r="D329" s="1">
        <v>42923</v>
      </c>
      <c r="E329">
        <v>77.599999999999994</v>
      </c>
      <c r="F329">
        <v>-1.9</v>
      </c>
      <c r="G329" s="3">
        <v>-2.3900000000000001E-2</v>
      </c>
      <c r="H329">
        <v>2014</v>
      </c>
      <c r="I329">
        <v>3.27</v>
      </c>
      <c r="J329">
        <v>2.5499999999999998</v>
      </c>
      <c r="K329">
        <v>0</v>
      </c>
      <c r="L329">
        <v>2.5499999999999998</v>
      </c>
      <c r="M329" s="3">
        <v>3.2899999999999999E-2</v>
      </c>
      <c r="N329" s="2">
        <v>0</v>
      </c>
      <c r="O329" s="3">
        <v>3.2899999999999999E-2</v>
      </c>
      <c r="P329" s="2">
        <v>0.78</v>
      </c>
      <c r="Q329" s="2">
        <v>0</v>
      </c>
      <c r="R329" s="2">
        <v>0.78</v>
      </c>
      <c r="S329" t="s">
        <v>815</v>
      </c>
    </row>
    <row r="330" spans="1:21" x14ac:dyDescent="0.6">
      <c r="A330">
        <v>242</v>
      </c>
      <c r="B330" t="str">
        <f>"8155"</f>
        <v>8155</v>
      </c>
      <c r="C330" t="s">
        <v>321</v>
      </c>
      <c r="D330" s="1">
        <v>42923</v>
      </c>
      <c r="E330">
        <v>48.85</v>
      </c>
      <c r="F330">
        <v>-0.25</v>
      </c>
      <c r="G330" s="3">
        <v>-5.1000000000000004E-3</v>
      </c>
      <c r="H330">
        <v>2014</v>
      </c>
      <c r="I330">
        <v>2.2400000000000002</v>
      </c>
      <c r="J330">
        <v>1.6</v>
      </c>
      <c r="K330">
        <v>0</v>
      </c>
      <c r="L330">
        <v>1.6</v>
      </c>
      <c r="M330" s="3">
        <v>3.2800000000000003E-2</v>
      </c>
      <c r="N330" s="2">
        <v>0</v>
      </c>
      <c r="O330" s="3">
        <v>3.2800000000000003E-2</v>
      </c>
      <c r="P330" s="3">
        <v>0.71399999999999997</v>
      </c>
      <c r="Q330" s="2">
        <v>0</v>
      </c>
      <c r="R330" s="3">
        <v>0.71399999999999997</v>
      </c>
      <c r="S330" t="s">
        <v>854</v>
      </c>
      <c r="U330" t="s">
        <v>800</v>
      </c>
    </row>
    <row r="331" spans="1:21" x14ac:dyDescent="0.6">
      <c r="A331">
        <v>488</v>
      </c>
      <c r="B331" t="str">
        <f>"3450"</f>
        <v>3450</v>
      </c>
      <c r="C331" t="s">
        <v>581</v>
      </c>
      <c r="D331" s="1">
        <v>42923</v>
      </c>
      <c r="E331">
        <v>137.5</v>
      </c>
      <c r="F331">
        <v>0</v>
      </c>
      <c r="G331" s="2">
        <v>0</v>
      </c>
      <c r="H331">
        <v>2014</v>
      </c>
      <c r="I331">
        <v>6.11</v>
      </c>
      <c r="J331">
        <v>4.5</v>
      </c>
      <c r="K331">
        <v>0</v>
      </c>
      <c r="L331">
        <v>4.5</v>
      </c>
      <c r="M331" s="3">
        <v>3.27E-2</v>
      </c>
      <c r="N331" s="2">
        <v>0</v>
      </c>
      <c r="O331" s="3">
        <v>3.27E-2</v>
      </c>
      <c r="P331" s="3">
        <v>0.73599999999999999</v>
      </c>
      <c r="Q331" s="2">
        <v>0</v>
      </c>
      <c r="R331" s="3">
        <v>0.73599999999999999</v>
      </c>
      <c r="S331" t="s">
        <v>812</v>
      </c>
    </row>
    <row r="332" spans="1:21" x14ac:dyDescent="0.6">
      <c r="A332">
        <v>33</v>
      </c>
      <c r="B332" t="str">
        <f>"3679"</f>
        <v>3679</v>
      </c>
      <c r="C332" t="s">
        <v>70</v>
      </c>
      <c r="D332" s="1">
        <v>42923</v>
      </c>
      <c r="E332">
        <v>91.9</v>
      </c>
      <c r="F332">
        <v>0.1</v>
      </c>
      <c r="G332" s="3">
        <v>1.1000000000000001E-3</v>
      </c>
      <c r="H332">
        <v>2014</v>
      </c>
      <c r="I332">
        <v>3.5</v>
      </c>
      <c r="J332">
        <v>3</v>
      </c>
      <c r="K332">
        <v>0</v>
      </c>
      <c r="L332">
        <v>3</v>
      </c>
      <c r="M332" s="3">
        <v>3.2599999999999997E-2</v>
      </c>
      <c r="N332" s="2">
        <v>0</v>
      </c>
      <c r="O332" s="3">
        <v>3.2599999999999997E-2</v>
      </c>
      <c r="P332" s="3">
        <v>0.85699999999999998</v>
      </c>
      <c r="Q332" s="2">
        <v>0</v>
      </c>
      <c r="R332" s="3">
        <v>0.85699999999999998</v>
      </c>
      <c r="S332" t="s">
        <v>824</v>
      </c>
      <c r="U332" t="s">
        <v>825</v>
      </c>
    </row>
    <row r="333" spans="1:21" x14ac:dyDescent="0.6">
      <c r="A333">
        <v>161</v>
      </c>
      <c r="B333" t="str">
        <f>"6245"</f>
        <v>6245</v>
      </c>
      <c r="C333" t="s">
        <v>231</v>
      </c>
      <c r="D333" s="1">
        <v>42923</v>
      </c>
      <c r="E333">
        <v>45.1</v>
      </c>
      <c r="F333">
        <v>-0.15</v>
      </c>
      <c r="G333" s="3">
        <v>-3.3E-3</v>
      </c>
      <c r="H333">
        <v>2014</v>
      </c>
      <c r="I333">
        <v>3.72</v>
      </c>
      <c r="J333">
        <v>1.46</v>
      </c>
      <c r="K333">
        <v>0.68</v>
      </c>
      <c r="L333">
        <v>2.15</v>
      </c>
      <c r="M333" s="3">
        <v>3.2500000000000001E-2</v>
      </c>
      <c r="N333" s="3">
        <v>1.52E-2</v>
      </c>
      <c r="O333" s="3">
        <v>4.7600000000000003E-2</v>
      </c>
      <c r="P333" s="3">
        <v>0.39200000000000002</v>
      </c>
      <c r="Q333" s="3">
        <v>0.183</v>
      </c>
      <c r="R333" s="3">
        <v>0.57799999999999996</v>
      </c>
      <c r="S333" t="s">
        <v>863</v>
      </c>
      <c r="T333" t="s">
        <v>863</v>
      </c>
      <c r="U333" t="s">
        <v>801</v>
      </c>
    </row>
    <row r="334" spans="1:21" x14ac:dyDescent="0.6">
      <c r="A334">
        <v>326</v>
      </c>
      <c r="B334" t="str">
        <f>"5347"</f>
        <v>5347</v>
      </c>
      <c r="C334" t="s">
        <v>408</v>
      </c>
      <c r="D334" s="1">
        <v>42923</v>
      </c>
      <c r="E334">
        <v>54.2</v>
      </c>
      <c r="F334">
        <v>-1.4</v>
      </c>
      <c r="G334" s="3">
        <v>-2.52E-2</v>
      </c>
      <c r="H334">
        <v>2014</v>
      </c>
      <c r="I334">
        <v>2.76</v>
      </c>
      <c r="J334">
        <v>1.76</v>
      </c>
      <c r="K334">
        <v>0</v>
      </c>
      <c r="L334">
        <v>1.76</v>
      </c>
      <c r="M334" s="3">
        <v>3.2399999999999998E-2</v>
      </c>
      <c r="N334" s="2">
        <v>0</v>
      </c>
      <c r="O334" s="3">
        <v>3.2399999999999998E-2</v>
      </c>
      <c r="P334" s="3">
        <v>0.63800000000000001</v>
      </c>
      <c r="Q334" s="2">
        <v>0</v>
      </c>
      <c r="R334" s="3">
        <v>0.63800000000000001</v>
      </c>
      <c r="S334" t="s">
        <v>816</v>
      </c>
    </row>
    <row r="335" spans="1:21" x14ac:dyDescent="0.6">
      <c r="A335">
        <v>1</v>
      </c>
      <c r="B335" t="str">
        <f>"8913"</f>
        <v>8913</v>
      </c>
      <c r="C335" t="s">
        <v>21</v>
      </c>
      <c r="D335" s="1">
        <v>42923</v>
      </c>
      <c r="E335">
        <v>31.2</v>
      </c>
      <c r="F335">
        <v>0</v>
      </c>
      <c r="G335" s="2">
        <v>0</v>
      </c>
      <c r="H335">
        <v>2014</v>
      </c>
      <c r="I335">
        <v>0.34</v>
      </c>
      <c r="J335">
        <v>1</v>
      </c>
      <c r="K335">
        <v>1</v>
      </c>
      <c r="L335">
        <v>2</v>
      </c>
      <c r="M335" s="3">
        <v>3.2099999999999997E-2</v>
      </c>
      <c r="N335" s="3">
        <v>3.2099999999999997E-2</v>
      </c>
      <c r="O335" s="3">
        <v>6.4100000000000004E-2</v>
      </c>
      <c r="P335" s="2">
        <v>2.94</v>
      </c>
      <c r="Q335" s="2">
        <v>2.94</v>
      </c>
      <c r="R335" s="2">
        <v>5.88</v>
      </c>
      <c r="S335" t="s">
        <v>791</v>
      </c>
      <c r="T335" t="s">
        <v>791</v>
      </c>
      <c r="U335" t="s">
        <v>792</v>
      </c>
    </row>
    <row r="336" spans="1:21" x14ac:dyDescent="0.6">
      <c r="A336">
        <v>67</v>
      </c>
      <c r="B336" t="str">
        <f>"3014"</f>
        <v>3014</v>
      </c>
      <c r="C336" t="s">
        <v>123</v>
      </c>
      <c r="D336" s="1">
        <v>42923</v>
      </c>
      <c r="E336">
        <v>37.1</v>
      </c>
      <c r="F336">
        <v>-0.15</v>
      </c>
      <c r="G336" s="3">
        <v>-4.0000000000000001E-3</v>
      </c>
      <c r="H336">
        <v>2014</v>
      </c>
      <c r="I336">
        <v>1.22</v>
      </c>
      <c r="J336">
        <v>1.19</v>
      </c>
      <c r="K336">
        <v>0</v>
      </c>
      <c r="L336">
        <v>1.19</v>
      </c>
      <c r="M336" s="3">
        <v>3.2099999999999997E-2</v>
      </c>
      <c r="N336" s="2">
        <v>0</v>
      </c>
      <c r="O336" s="3">
        <v>3.2099999999999997E-2</v>
      </c>
      <c r="P336" s="3">
        <v>0.97499999999999998</v>
      </c>
      <c r="Q336" s="2">
        <v>0</v>
      </c>
      <c r="R336" s="3">
        <v>0.97499999999999998</v>
      </c>
      <c r="S336" t="s">
        <v>822</v>
      </c>
      <c r="U336" t="s">
        <v>799</v>
      </c>
    </row>
    <row r="337" spans="1:21" x14ac:dyDescent="0.6">
      <c r="A337">
        <v>476</v>
      </c>
      <c r="B337" t="str">
        <f>"1434"</f>
        <v>1434</v>
      </c>
      <c r="C337" t="s">
        <v>569</v>
      </c>
      <c r="D337" s="1">
        <v>42923</v>
      </c>
      <c r="E337">
        <v>31.25</v>
      </c>
      <c r="F337">
        <v>0.05</v>
      </c>
      <c r="G337" s="3">
        <v>1.6000000000000001E-3</v>
      </c>
      <c r="H337">
        <v>2014</v>
      </c>
      <c r="I337">
        <v>1.27</v>
      </c>
      <c r="J337">
        <v>1</v>
      </c>
      <c r="K337">
        <v>0</v>
      </c>
      <c r="L337">
        <v>1</v>
      </c>
      <c r="M337" s="3">
        <v>3.2000000000000001E-2</v>
      </c>
      <c r="N337" s="2">
        <v>0</v>
      </c>
      <c r="O337" s="3">
        <v>3.2000000000000001E-2</v>
      </c>
      <c r="P337" s="3">
        <v>0.78700000000000003</v>
      </c>
      <c r="Q337" s="2">
        <v>0</v>
      </c>
      <c r="R337" s="3">
        <v>0.78700000000000003</v>
      </c>
      <c r="S337" t="s">
        <v>861</v>
      </c>
      <c r="U337" t="s">
        <v>817</v>
      </c>
    </row>
    <row r="338" spans="1:21" x14ac:dyDescent="0.6">
      <c r="A338">
        <v>149</v>
      </c>
      <c r="B338" t="str">
        <f>"2029"</f>
        <v>2029</v>
      </c>
      <c r="C338" t="s">
        <v>217</v>
      </c>
      <c r="D338" s="1">
        <v>42923</v>
      </c>
      <c r="E338">
        <v>36.35</v>
      </c>
      <c r="F338">
        <v>-0.75</v>
      </c>
      <c r="G338" s="3">
        <v>-2.0199999999999999E-2</v>
      </c>
      <c r="H338">
        <v>2014</v>
      </c>
      <c r="I338">
        <v>1.59</v>
      </c>
      <c r="J338">
        <v>1.1499999999999999</v>
      </c>
      <c r="K338">
        <v>0</v>
      </c>
      <c r="L338">
        <v>1.1499999999999999</v>
      </c>
      <c r="M338" s="3">
        <v>3.1600000000000003E-2</v>
      </c>
      <c r="N338" s="2">
        <v>0</v>
      </c>
      <c r="O338" s="3">
        <v>3.1600000000000003E-2</v>
      </c>
      <c r="P338" s="3">
        <v>0.72299999999999998</v>
      </c>
      <c r="Q338" s="2">
        <v>0</v>
      </c>
      <c r="R338" s="3">
        <v>0.72299999999999998</v>
      </c>
      <c r="S338" t="s">
        <v>847</v>
      </c>
    </row>
    <row r="339" spans="1:21" x14ac:dyDescent="0.6">
      <c r="A339">
        <v>203</v>
      </c>
      <c r="B339" t="str">
        <f>"1773"</f>
        <v>1773</v>
      </c>
      <c r="C339" t="s">
        <v>281</v>
      </c>
      <c r="D339" s="1">
        <v>42923</v>
      </c>
      <c r="E339">
        <v>63.9</v>
      </c>
      <c r="F339">
        <v>-0.3</v>
      </c>
      <c r="G339" s="3">
        <v>-4.7000000000000002E-3</v>
      </c>
      <c r="H339">
        <v>2014</v>
      </c>
      <c r="I339">
        <v>4.05</v>
      </c>
      <c r="J339">
        <v>2</v>
      </c>
      <c r="K339">
        <v>1.24</v>
      </c>
      <c r="L339">
        <v>3.24</v>
      </c>
      <c r="M339" s="3">
        <v>3.1300000000000001E-2</v>
      </c>
      <c r="N339" s="3">
        <v>1.9300000000000001E-2</v>
      </c>
      <c r="O339" s="3">
        <v>5.0599999999999999E-2</v>
      </c>
      <c r="P339" s="3">
        <v>0.49399999999999999</v>
      </c>
      <c r="Q339" s="3">
        <v>0.30599999999999999</v>
      </c>
      <c r="R339" s="2">
        <v>0.8</v>
      </c>
      <c r="S339" t="s">
        <v>813</v>
      </c>
      <c r="T339" t="s">
        <v>813</v>
      </c>
      <c r="U339" t="s">
        <v>810</v>
      </c>
    </row>
    <row r="340" spans="1:21" x14ac:dyDescent="0.6">
      <c r="A340">
        <v>220</v>
      </c>
      <c r="B340" t="str">
        <f>"2484"</f>
        <v>2484</v>
      </c>
      <c r="C340" t="s">
        <v>299</v>
      </c>
      <c r="D340" s="1">
        <v>42923</v>
      </c>
      <c r="E340">
        <v>19.5</v>
      </c>
      <c r="F340">
        <v>-0.2</v>
      </c>
      <c r="G340" s="3">
        <v>-1.0200000000000001E-2</v>
      </c>
      <c r="H340">
        <v>2014</v>
      </c>
      <c r="I340">
        <v>0.88</v>
      </c>
      <c r="J340">
        <v>0.6</v>
      </c>
      <c r="K340">
        <v>0</v>
      </c>
      <c r="L340">
        <v>0.6</v>
      </c>
      <c r="M340" s="3">
        <v>3.0800000000000001E-2</v>
      </c>
      <c r="N340" s="2">
        <v>0</v>
      </c>
      <c r="O340" s="3">
        <v>3.0800000000000001E-2</v>
      </c>
      <c r="P340" s="3">
        <v>0.68200000000000005</v>
      </c>
      <c r="Q340" s="2">
        <v>0</v>
      </c>
      <c r="R340" s="3">
        <v>0.68200000000000005</v>
      </c>
      <c r="S340" t="s">
        <v>821</v>
      </c>
      <c r="U340" t="s">
        <v>799</v>
      </c>
    </row>
    <row r="341" spans="1:21" x14ac:dyDescent="0.6">
      <c r="A341">
        <v>21</v>
      </c>
      <c r="B341" t="str">
        <f>"5215"</f>
        <v>5215</v>
      </c>
      <c r="C341" t="s">
        <v>53</v>
      </c>
      <c r="D341" s="1">
        <v>42923</v>
      </c>
      <c r="E341">
        <v>32.950000000000003</v>
      </c>
      <c r="F341">
        <v>0.05</v>
      </c>
      <c r="G341" s="3">
        <v>1.5E-3</v>
      </c>
      <c r="H341">
        <v>2014</v>
      </c>
      <c r="I341">
        <v>1.01</v>
      </c>
      <c r="J341">
        <v>1</v>
      </c>
      <c r="K341">
        <v>0</v>
      </c>
      <c r="L341">
        <v>1</v>
      </c>
      <c r="M341" s="3">
        <v>3.0300000000000001E-2</v>
      </c>
      <c r="N341" s="2">
        <v>0</v>
      </c>
      <c r="O341" s="3">
        <v>3.0300000000000001E-2</v>
      </c>
      <c r="P341" s="2">
        <v>0.99</v>
      </c>
      <c r="Q341" s="2">
        <v>0</v>
      </c>
      <c r="R341" s="2">
        <v>0.99</v>
      </c>
      <c r="S341" t="s">
        <v>816</v>
      </c>
    </row>
    <row r="342" spans="1:21" x14ac:dyDescent="0.6">
      <c r="A342">
        <v>54</v>
      </c>
      <c r="B342" t="str">
        <f>"1709"</f>
        <v>1709</v>
      </c>
      <c r="C342" t="s">
        <v>104</v>
      </c>
      <c r="D342" s="1">
        <v>42923</v>
      </c>
      <c r="E342">
        <v>19.899999999999999</v>
      </c>
      <c r="F342">
        <v>-0.1</v>
      </c>
      <c r="G342" s="3">
        <v>-5.0000000000000001E-3</v>
      </c>
      <c r="H342">
        <v>2014</v>
      </c>
      <c r="I342">
        <v>0.69</v>
      </c>
      <c r="J342">
        <v>0.6</v>
      </c>
      <c r="K342">
        <v>0</v>
      </c>
      <c r="L342">
        <v>0.6</v>
      </c>
      <c r="M342" s="3">
        <v>3.0200000000000001E-2</v>
      </c>
      <c r="N342" s="2">
        <v>0</v>
      </c>
      <c r="O342" s="3">
        <v>3.0200000000000001E-2</v>
      </c>
      <c r="P342" s="2">
        <v>0.87</v>
      </c>
      <c r="Q342" s="2">
        <v>0</v>
      </c>
      <c r="R342" s="2">
        <v>0.87</v>
      </c>
      <c r="S342" t="s">
        <v>797</v>
      </c>
      <c r="U342" t="s">
        <v>811</v>
      </c>
    </row>
    <row r="343" spans="1:21" x14ac:dyDescent="0.6">
      <c r="A343">
        <v>420</v>
      </c>
      <c r="B343" t="str">
        <f>"9937"</f>
        <v>9937</v>
      </c>
      <c r="C343" t="s">
        <v>507</v>
      </c>
      <c r="D343" s="1">
        <v>42923</v>
      </c>
      <c r="E343">
        <v>39.700000000000003</v>
      </c>
      <c r="F343">
        <v>-0.25</v>
      </c>
      <c r="G343" s="3">
        <v>-6.3E-3</v>
      </c>
      <c r="H343">
        <v>2014</v>
      </c>
      <c r="I343">
        <v>1.21</v>
      </c>
      <c r="J343">
        <v>1.2</v>
      </c>
      <c r="K343">
        <v>0</v>
      </c>
      <c r="L343">
        <v>1.2</v>
      </c>
      <c r="M343" s="3">
        <v>3.0200000000000001E-2</v>
      </c>
      <c r="N343" s="2">
        <v>0</v>
      </c>
      <c r="O343" s="3">
        <v>3.0200000000000001E-2</v>
      </c>
      <c r="P343" s="3">
        <v>0.99199999999999999</v>
      </c>
      <c r="Q343" s="2">
        <v>0</v>
      </c>
      <c r="R343" s="3">
        <v>0.99199999999999999</v>
      </c>
      <c r="S343" t="s">
        <v>861</v>
      </c>
      <c r="U343" t="s">
        <v>792</v>
      </c>
    </row>
    <row r="344" spans="1:21" x14ac:dyDescent="0.6">
      <c r="A344">
        <v>350</v>
      </c>
      <c r="B344" t="str">
        <f>"1323"</f>
        <v>1323</v>
      </c>
      <c r="C344" t="s">
        <v>432</v>
      </c>
      <c r="D344" s="1">
        <v>42923</v>
      </c>
      <c r="E344">
        <v>33.35</v>
      </c>
      <c r="F344">
        <v>-0.3</v>
      </c>
      <c r="G344" s="3">
        <v>-8.8999999999999999E-3</v>
      </c>
      <c r="H344">
        <v>2014</v>
      </c>
      <c r="I344">
        <v>2.77</v>
      </c>
      <c r="J344">
        <v>1</v>
      </c>
      <c r="K344">
        <v>0.5</v>
      </c>
      <c r="L344">
        <v>1.5</v>
      </c>
      <c r="M344" s="2">
        <v>0.03</v>
      </c>
      <c r="N344" s="3">
        <v>1.4999999999999999E-2</v>
      </c>
      <c r="O344" s="3">
        <v>4.4999999999999998E-2</v>
      </c>
      <c r="P344" s="3">
        <v>0.36099999999999999</v>
      </c>
      <c r="Q344" s="2">
        <v>0.18</v>
      </c>
      <c r="R344" s="3">
        <v>0.54200000000000004</v>
      </c>
      <c r="S344" t="s">
        <v>822</v>
      </c>
      <c r="T344" t="s">
        <v>797</v>
      </c>
    </row>
    <row r="345" spans="1:21" x14ac:dyDescent="0.6">
      <c r="A345">
        <v>434</v>
      </c>
      <c r="B345" t="str">
        <f>"6160"</f>
        <v>6160</v>
      </c>
      <c r="C345" t="s">
        <v>522</v>
      </c>
      <c r="D345" s="1">
        <v>42923</v>
      </c>
      <c r="E345">
        <v>20.100000000000001</v>
      </c>
      <c r="F345">
        <v>0.2</v>
      </c>
      <c r="G345" s="3">
        <v>1.01E-2</v>
      </c>
      <c r="H345">
        <v>2014</v>
      </c>
      <c r="I345">
        <v>0.76</v>
      </c>
      <c r="J345">
        <v>0.6</v>
      </c>
      <c r="K345">
        <v>0</v>
      </c>
      <c r="L345">
        <v>0.6</v>
      </c>
      <c r="M345" s="3">
        <v>2.9899999999999999E-2</v>
      </c>
      <c r="N345" s="2">
        <v>0</v>
      </c>
      <c r="O345" s="3">
        <v>2.9899999999999999E-2</v>
      </c>
      <c r="P345" s="2">
        <v>0.79</v>
      </c>
      <c r="Q345" s="2">
        <v>0</v>
      </c>
      <c r="R345" s="2">
        <v>0.79</v>
      </c>
      <c r="S345" t="s">
        <v>823</v>
      </c>
    </row>
    <row r="346" spans="1:21" x14ac:dyDescent="0.6">
      <c r="A346">
        <v>245</v>
      </c>
      <c r="B346" t="str">
        <f>"8433"</f>
        <v>8433</v>
      </c>
      <c r="C346" t="s">
        <v>324</v>
      </c>
      <c r="D346" s="1">
        <v>42923</v>
      </c>
      <c r="E346">
        <v>101.5</v>
      </c>
      <c r="F346">
        <v>-2.5</v>
      </c>
      <c r="G346" s="3">
        <v>-2.4E-2</v>
      </c>
      <c r="H346">
        <v>2014</v>
      </c>
      <c r="I346">
        <v>3.03</v>
      </c>
      <c r="J346">
        <v>3</v>
      </c>
      <c r="K346">
        <v>0</v>
      </c>
      <c r="L346">
        <v>3</v>
      </c>
      <c r="M346" s="3">
        <v>2.9600000000000001E-2</v>
      </c>
      <c r="N346" s="2">
        <v>0</v>
      </c>
      <c r="O346" s="3">
        <v>2.9600000000000001E-2</v>
      </c>
      <c r="P346" s="2">
        <v>0.99</v>
      </c>
      <c r="Q346" s="2">
        <v>0</v>
      </c>
      <c r="R346" s="2">
        <v>0.99</v>
      </c>
      <c r="S346" t="s">
        <v>816</v>
      </c>
    </row>
    <row r="347" spans="1:21" x14ac:dyDescent="0.6">
      <c r="A347">
        <v>169</v>
      </c>
      <c r="B347" t="str">
        <f>"6108"</f>
        <v>6108</v>
      </c>
      <c r="C347" t="s">
        <v>242</v>
      </c>
      <c r="D347" s="1">
        <v>42923</v>
      </c>
      <c r="E347">
        <v>30.5</v>
      </c>
      <c r="F347">
        <v>0.1</v>
      </c>
      <c r="G347" s="3">
        <v>3.3E-3</v>
      </c>
      <c r="H347">
        <v>2014</v>
      </c>
      <c r="I347">
        <v>0.99</v>
      </c>
      <c r="J347">
        <v>0.9</v>
      </c>
      <c r="K347">
        <v>0</v>
      </c>
      <c r="L347">
        <v>0.9</v>
      </c>
      <c r="M347" s="3">
        <v>2.9499999999999998E-2</v>
      </c>
      <c r="N347" s="2">
        <v>0</v>
      </c>
      <c r="O347" s="3">
        <v>2.9499999999999998E-2</v>
      </c>
      <c r="P347" s="3">
        <v>0.90900000000000003</v>
      </c>
      <c r="Q347" s="2">
        <v>0</v>
      </c>
      <c r="R347" s="3">
        <v>0.90900000000000003</v>
      </c>
      <c r="S347" t="s">
        <v>832</v>
      </c>
      <c r="U347" t="s">
        <v>835</v>
      </c>
    </row>
    <row r="348" spans="1:21" x14ac:dyDescent="0.6">
      <c r="A348">
        <v>50</v>
      </c>
      <c r="B348" t="str">
        <f>"5609"</f>
        <v>5609</v>
      </c>
      <c r="C348" t="s">
        <v>98</v>
      </c>
      <c r="D348" s="1">
        <v>42923</v>
      </c>
      <c r="E348">
        <v>24.45</v>
      </c>
      <c r="F348">
        <v>-0.05</v>
      </c>
      <c r="G348" s="3">
        <v>-2E-3</v>
      </c>
      <c r="H348">
        <v>2014</v>
      </c>
      <c r="I348">
        <v>1.02</v>
      </c>
      <c r="J348">
        <v>0.72</v>
      </c>
      <c r="K348">
        <v>0</v>
      </c>
      <c r="L348">
        <v>0.72</v>
      </c>
      <c r="M348" s="3">
        <v>2.9399999999999999E-2</v>
      </c>
      <c r="N348" s="2">
        <v>0</v>
      </c>
      <c r="O348" s="3">
        <v>2.9399999999999999E-2</v>
      </c>
      <c r="P348" s="3">
        <v>0.70599999999999996</v>
      </c>
      <c r="Q348" s="2">
        <v>0</v>
      </c>
      <c r="R348" s="3">
        <v>0.70599999999999996</v>
      </c>
      <c r="S348" t="s">
        <v>840</v>
      </c>
    </row>
    <row r="349" spans="1:21" x14ac:dyDescent="0.6">
      <c r="A349">
        <v>244</v>
      </c>
      <c r="B349" t="str">
        <f>"5425"</f>
        <v>5425</v>
      </c>
      <c r="C349" t="s">
        <v>323</v>
      </c>
      <c r="D349" s="1">
        <v>42923</v>
      </c>
      <c r="E349">
        <v>41.85</v>
      </c>
      <c r="F349">
        <v>0.05</v>
      </c>
      <c r="G349" s="3">
        <v>1.1999999999999999E-3</v>
      </c>
      <c r="H349">
        <v>2014</v>
      </c>
      <c r="I349">
        <v>1.61</v>
      </c>
      <c r="J349">
        <v>1.2</v>
      </c>
      <c r="K349">
        <v>0</v>
      </c>
      <c r="L349">
        <v>1.2</v>
      </c>
      <c r="M349" s="3">
        <v>2.87E-2</v>
      </c>
      <c r="N349" s="2">
        <v>0</v>
      </c>
      <c r="O349" s="3">
        <v>2.87E-2</v>
      </c>
      <c r="P349" s="3">
        <v>0.745</v>
      </c>
      <c r="Q349" s="2">
        <v>0</v>
      </c>
      <c r="R349" s="3">
        <v>0.745</v>
      </c>
      <c r="S349" t="s">
        <v>831</v>
      </c>
    </row>
    <row r="350" spans="1:21" x14ac:dyDescent="0.6">
      <c r="A350">
        <v>481</v>
      </c>
      <c r="B350" t="str">
        <f>"1514"</f>
        <v>1514</v>
      </c>
      <c r="C350" t="s">
        <v>574</v>
      </c>
      <c r="D350" s="1">
        <v>42923</v>
      </c>
      <c r="E350">
        <v>10.45</v>
      </c>
      <c r="F350">
        <v>0.05</v>
      </c>
      <c r="G350" s="3">
        <v>4.7999999999999996E-3</v>
      </c>
      <c r="H350">
        <v>2014</v>
      </c>
      <c r="I350">
        <v>0.36</v>
      </c>
      <c r="J350">
        <v>0.3</v>
      </c>
      <c r="K350">
        <v>0</v>
      </c>
      <c r="L350">
        <v>0.3</v>
      </c>
      <c r="M350" s="3">
        <v>2.87E-2</v>
      </c>
      <c r="N350" s="2">
        <v>0</v>
      </c>
      <c r="O350" s="3">
        <v>2.87E-2</v>
      </c>
      <c r="P350" s="3">
        <v>0.83299999999999996</v>
      </c>
      <c r="Q350" s="2">
        <v>0</v>
      </c>
      <c r="R350" s="3">
        <v>0.83299999999999996</v>
      </c>
      <c r="S350" t="s">
        <v>796</v>
      </c>
      <c r="U350" t="s">
        <v>807</v>
      </c>
    </row>
    <row r="351" spans="1:21" x14ac:dyDescent="0.6">
      <c r="A351">
        <v>393</v>
      </c>
      <c r="B351" t="str">
        <f>"4938"</f>
        <v>4938</v>
      </c>
      <c r="C351" t="s">
        <v>477</v>
      </c>
      <c r="D351" s="1">
        <v>42923</v>
      </c>
      <c r="E351">
        <v>96.9</v>
      </c>
      <c r="F351">
        <v>-1.3</v>
      </c>
      <c r="G351" s="3">
        <v>-1.32E-2</v>
      </c>
      <c r="H351">
        <v>2014</v>
      </c>
      <c r="I351">
        <v>4.16</v>
      </c>
      <c r="J351">
        <v>2.77</v>
      </c>
      <c r="K351">
        <v>0</v>
      </c>
      <c r="L351">
        <v>2.77</v>
      </c>
      <c r="M351" s="3">
        <v>2.86E-2</v>
      </c>
      <c r="N351" s="2">
        <v>0</v>
      </c>
      <c r="O351" s="3">
        <v>2.86E-2</v>
      </c>
      <c r="P351" s="3">
        <v>0.66600000000000004</v>
      </c>
      <c r="Q351" s="2">
        <v>0</v>
      </c>
      <c r="R351" s="3">
        <v>0.66600000000000004</v>
      </c>
      <c r="S351" t="s">
        <v>807</v>
      </c>
      <c r="U351" t="s">
        <v>837</v>
      </c>
    </row>
    <row r="352" spans="1:21" x14ac:dyDescent="0.6">
      <c r="A352">
        <v>106</v>
      </c>
      <c r="B352" t="str">
        <f>"5443"</f>
        <v>5443</v>
      </c>
      <c r="C352" t="s">
        <v>169</v>
      </c>
      <c r="D352" s="1">
        <v>42923</v>
      </c>
      <c r="E352">
        <v>24.65</v>
      </c>
      <c r="F352">
        <v>-0.3</v>
      </c>
      <c r="G352" s="3">
        <v>-1.2E-2</v>
      </c>
      <c r="H352">
        <v>2014</v>
      </c>
      <c r="I352">
        <v>0.98</v>
      </c>
      <c r="J352">
        <v>0.7</v>
      </c>
      <c r="K352">
        <v>0</v>
      </c>
      <c r="L352">
        <v>0.7</v>
      </c>
      <c r="M352" s="3">
        <v>2.8400000000000002E-2</v>
      </c>
      <c r="N352" s="2">
        <v>0</v>
      </c>
      <c r="O352" s="3">
        <v>2.8400000000000002E-2</v>
      </c>
      <c r="P352" s="3">
        <v>0.71399999999999997</v>
      </c>
      <c r="Q352" s="2">
        <v>0</v>
      </c>
      <c r="R352" s="3">
        <v>0.71399999999999997</v>
      </c>
      <c r="S352" t="s">
        <v>838</v>
      </c>
      <c r="U352" t="s">
        <v>799</v>
      </c>
    </row>
    <row r="353" spans="1:21" x14ac:dyDescent="0.6">
      <c r="A353">
        <v>348</v>
      </c>
      <c r="B353" t="str">
        <f>"4747"</f>
        <v>4747</v>
      </c>
      <c r="C353" t="s">
        <v>430</v>
      </c>
      <c r="D353" s="1">
        <v>42923</v>
      </c>
      <c r="E353">
        <v>35.15</v>
      </c>
      <c r="F353">
        <v>-0.25</v>
      </c>
      <c r="G353" s="3">
        <v>-7.1000000000000004E-3</v>
      </c>
      <c r="H353">
        <v>2014</v>
      </c>
      <c r="I353">
        <v>3.24</v>
      </c>
      <c r="J353">
        <v>1</v>
      </c>
      <c r="K353">
        <v>1.25</v>
      </c>
      <c r="L353">
        <v>2.25</v>
      </c>
      <c r="M353" s="3">
        <v>2.8400000000000002E-2</v>
      </c>
      <c r="N353" s="3">
        <v>3.56E-2</v>
      </c>
      <c r="O353" s="3">
        <v>6.4000000000000001E-2</v>
      </c>
      <c r="P353" s="3">
        <v>0.309</v>
      </c>
      <c r="Q353" s="3">
        <v>0.38600000000000001</v>
      </c>
      <c r="R353" s="3">
        <v>0.69399999999999995</v>
      </c>
      <c r="S353" t="s">
        <v>796</v>
      </c>
      <c r="T353" t="s">
        <v>796</v>
      </c>
      <c r="U353" t="s">
        <v>835</v>
      </c>
    </row>
    <row r="354" spans="1:21" x14ac:dyDescent="0.6">
      <c r="A354">
        <v>26</v>
      </c>
      <c r="B354" t="str">
        <f>"6151"</f>
        <v>6151</v>
      </c>
      <c r="C354" t="s">
        <v>60</v>
      </c>
      <c r="D354" s="1">
        <v>42923</v>
      </c>
      <c r="E354">
        <v>24.8</v>
      </c>
      <c r="F354">
        <v>-0.3</v>
      </c>
      <c r="G354" s="3">
        <v>-1.2E-2</v>
      </c>
      <c r="H354">
        <v>2014</v>
      </c>
      <c r="I354">
        <v>1.64</v>
      </c>
      <c r="J354">
        <v>0.7</v>
      </c>
      <c r="K354">
        <v>0.7</v>
      </c>
      <c r="L354">
        <v>1.4</v>
      </c>
      <c r="M354" s="3">
        <v>2.8199999999999999E-2</v>
      </c>
      <c r="N354" s="3">
        <v>2.8199999999999999E-2</v>
      </c>
      <c r="O354" s="3">
        <v>5.6500000000000002E-2</v>
      </c>
      <c r="P354" s="3">
        <v>0.42699999999999999</v>
      </c>
      <c r="Q354" s="3">
        <v>0.42699999999999999</v>
      </c>
      <c r="R354" s="3">
        <v>0.85399999999999998</v>
      </c>
      <c r="S354" t="s">
        <v>804</v>
      </c>
      <c r="T354" t="s">
        <v>804</v>
      </c>
    </row>
    <row r="355" spans="1:21" x14ac:dyDescent="0.6">
      <c r="A355">
        <v>366</v>
      </c>
      <c r="B355" t="str">
        <f>"6196"</f>
        <v>6196</v>
      </c>
      <c r="C355" t="s">
        <v>449</v>
      </c>
      <c r="D355" s="1">
        <v>42923</v>
      </c>
      <c r="E355">
        <v>39.1</v>
      </c>
      <c r="F355">
        <v>-0.1</v>
      </c>
      <c r="G355" s="3">
        <v>-2.5999999999999999E-3</v>
      </c>
      <c r="H355">
        <v>2014</v>
      </c>
      <c r="I355">
        <v>1.35</v>
      </c>
      <c r="J355">
        <v>1.1000000000000001</v>
      </c>
      <c r="K355">
        <v>0</v>
      </c>
      <c r="L355">
        <v>1.1000000000000001</v>
      </c>
      <c r="M355" s="3">
        <v>2.81E-2</v>
      </c>
      <c r="N355" s="2">
        <v>0</v>
      </c>
      <c r="O355" s="3">
        <v>2.81E-2</v>
      </c>
      <c r="P355" s="3">
        <v>0.81499999999999995</v>
      </c>
      <c r="Q355" s="2">
        <v>0</v>
      </c>
      <c r="R355" s="3">
        <v>0.81499999999999995</v>
      </c>
      <c r="S355" t="s">
        <v>822</v>
      </c>
    </row>
    <row r="356" spans="1:21" x14ac:dyDescent="0.6">
      <c r="A356">
        <v>59</v>
      </c>
      <c r="B356" t="str">
        <f>"3623"</f>
        <v>3623</v>
      </c>
      <c r="C356" t="s">
        <v>112</v>
      </c>
      <c r="D356" s="1">
        <v>42923</v>
      </c>
      <c r="E356">
        <v>50.1</v>
      </c>
      <c r="F356">
        <v>-0.2</v>
      </c>
      <c r="G356" s="3">
        <v>-4.0000000000000001E-3</v>
      </c>
      <c r="H356">
        <v>2014</v>
      </c>
      <c r="I356">
        <v>1.68</v>
      </c>
      <c r="J356">
        <v>1.4</v>
      </c>
      <c r="K356">
        <v>0</v>
      </c>
      <c r="L356">
        <v>1.4</v>
      </c>
      <c r="M356" s="3">
        <v>2.7900000000000001E-2</v>
      </c>
      <c r="N356" s="2">
        <v>0</v>
      </c>
      <c r="O356" s="3">
        <v>2.7900000000000001E-2</v>
      </c>
      <c r="P356" s="3">
        <v>0.83299999999999996</v>
      </c>
      <c r="Q356" s="2">
        <v>0</v>
      </c>
      <c r="R356" s="3">
        <v>0.83299999999999996</v>
      </c>
      <c r="S356" t="s">
        <v>824</v>
      </c>
      <c r="U356" t="s">
        <v>844</v>
      </c>
    </row>
    <row r="357" spans="1:21" x14ac:dyDescent="0.6">
      <c r="A357">
        <v>197</v>
      </c>
      <c r="B357" t="str">
        <f>"2377"</f>
        <v>2377</v>
      </c>
      <c r="C357" t="s">
        <v>274</v>
      </c>
      <c r="D357" s="1">
        <v>42923</v>
      </c>
      <c r="E357">
        <v>71.7</v>
      </c>
      <c r="F357">
        <v>-0.1</v>
      </c>
      <c r="G357" s="3">
        <v>-1.4E-3</v>
      </c>
      <c r="H357">
        <v>2014</v>
      </c>
      <c r="I357">
        <v>2.34</v>
      </c>
      <c r="J357">
        <v>2</v>
      </c>
      <c r="K357">
        <v>0</v>
      </c>
      <c r="L357">
        <v>2</v>
      </c>
      <c r="M357" s="3">
        <v>2.7900000000000001E-2</v>
      </c>
      <c r="N357" s="2">
        <v>0</v>
      </c>
      <c r="O357" s="3">
        <v>2.7900000000000001E-2</v>
      </c>
      <c r="P357" s="3">
        <v>0.85499999999999998</v>
      </c>
      <c r="Q357" s="2">
        <v>0</v>
      </c>
      <c r="R357" s="3">
        <v>0.85499999999999998</v>
      </c>
      <c r="S357" t="s">
        <v>856</v>
      </c>
      <c r="U357" t="s">
        <v>866</v>
      </c>
    </row>
    <row r="358" spans="1:21" x14ac:dyDescent="0.6">
      <c r="A358">
        <v>12</v>
      </c>
      <c r="B358" t="str">
        <f>"4984"</f>
        <v>4984</v>
      </c>
      <c r="C358" t="s">
        <v>39</v>
      </c>
      <c r="D358" s="1">
        <v>42923</v>
      </c>
      <c r="E358">
        <v>44.8</v>
      </c>
      <c r="F358">
        <v>-0.1</v>
      </c>
      <c r="G358" s="3">
        <v>-2.2000000000000001E-3</v>
      </c>
      <c r="H358">
        <v>2014</v>
      </c>
      <c r="I358">
        <v>0.05</v>
      </c>
      <c r="J358">
        <v>1.25</v>
      </c>
      <c r="K358">
        <v>0</v>
      </c>
      <c r="L358">
        <v>1.25</v>
      </c>
      <c r="M358" s="3">
        <v>2.7799999999999998E-2</v>
      </c>
      <c r="N358" s="2">
        <v>0</v>
      </c>
      <c r="O358" s="3">
        <v>2.7799999999999998E-2</v>
      </c>
      <c r="P358" s="2">
        <v>25</v>
      </c>
      <c r="Q358" s="2">
        <v>0</v>
      </c>
      <c r="R358" s="2">
        <v>25</v>
      </c>
      <c r="S358" t="s">
        <v>807</v>
      </c>
      <c r="U358" t="s">
        <v>808</v>
      </c>
    </row>
    <row r="359" spans="1:21" x14ac:dyDescent="0.6">
      <c r="A359">
        <v>211</v>
      </c>
      <c r="B359" t="str">
        <f>"1326"</f>
        <v>1326</v>
      </c>
      <c r="C359" t="s">
        <v>290</v>
      </c>
      <c r="D359" s="1">
        <v>42923</v>
      </c>
      <c r="E359">
        <v>90</v>
      </c>
      <c r="F359">
        <v>-0.8</v>
      </c>
      <c r="G359" s="3">
        <v>-8.8000000000000005E-3</v>
      </c>
      <c r="H359">
        <v>2014</v>
      </c>
      <c r="I359">
        <v>4.25</v>
      </c>
      <c r="J359">
        <v>2.5</v>
      </c>
      <c r="K359">
        <v>0</v>
      </c>
      <c r="L359">
        <v>2.5</v>
      </c>
      <c r="M359" s="3">
        <v>2.7799999999999998E-2</v>
      </c>
      <c r="N359" s="2">
        <v>0</v>
      </c>
      <c r="O359" s="3">
        <v>2.7799999999999998E-2</v>
      </c>
      <c r="P359" s="3">
        <v>0.58799999999999997</v>
      </c>
      <c r="Q359" s="2">
        <v>0</v>
      </c>
      <c r="R359" s="3">
        <v>0.58799999999999997</v>
      </c>
      <c r="S359" t="s">
        <v>816</v>
      </c>
    </row>
    <row r="360" spans="1:21" x14ac:dyDescent="0.6">
      <c r="A360">
        <v>255</v>
      </c>
      <c r="B360" t="str">
        <f>"1305"</f>
        <v>1305</v>
      </c>
      <c r="C360" t="s">
        <v>334</v>
      </c>
      <c r="D360" s="1">
        <v>42923</v>
      </c>
      <c r="E360">
        <v>28.75</v>
      </c>
      <c r="F360">
        <v>-0.25</v>
      </c>
      <c r="G360" s="3">
        <v>-8.6E-3</v>
      </c>
      <c r="H360">
        <v>2014</v>
      </c>
      <c r="I360">
        <v>1.67</v>
      </c>
      <c r="J360">
        <v>0.8</v>
      </c>
      <c r="K360">
        <v>0.4</v>
      </c>
      <c r="L360">
        <v>1.2</v>
      </c>
      <c r="M360" s="3">
        <v>2.7799999999999998E-2</v>
      </c>
      <c r="N360" s="3">
        <v>1.3899999999999999E-2</v>
      </c>
      <c r="O360" s="3">
        <v>4.1700000000000001E-2</v>
      </c>
      <c r="P360" s="3">
        <v>0.47899999999999998</v>
      </c>
      <c r="Q360" s="2">
        <v>0.24</v>
      </c>
      <c r="R360" s="3">
        <v>0.71899999999999997</v>
      </c>
      <c r="S360" t="s">
        <v>798</v>
      </c>
      <c r="T360" t="s">
        <v>798</v>
      </c>
      <c r="U360" t="s">
        <v>835</v>
      </c>
    </row>
    <row r="361" spans="1:21" x14ac:dyDescent="0.6">
      <c r="A361">
        <v>464</v>
      </c>
      <c r="B361" t="str">
        <f>"1231"</f>
        <v>1231</v>
      </c>
      <c r="C361" t="s">
        <v>555</v>
      </c>
      <c r="D361" s="1">
        <v>42923</v>
      </c>
      <c r="E361">
        <v>36.15</v>
      </c>
      <c r="F361">
        <v>0</v>
      </c>
      <c r="G361" s="2">
        <v>0</v>
      </c>
      <c r="H361">
        <v>2014</v>
      </c>
      <c r="I361">
        <v>2.59</v>
      </c>
      <c r="J361">
        <v>1</v>
      </c>
      <c r="K361">
        <v>1.2</v>
      </c>
      <c r="L361">
        <v>2.2000000000000002</v>
      </c>
      <c r="M361" s="3">
        <v>2.7699999999999999E-2</v>
      </c>
      <c r="N361" s="3">
        <v>3.32E-2</v>
      </c>
      <c r="O361" s="3">
        <v>6.0900000000000003E-2</v>
      </c>
      <c r="P361" s="3">
        <v>0.38600000000000001</v>
      </c>
      <c r="Q361" s="3">
        <v>0.46300000000000002</v>
      </c>
      <c r="R361" s="3">
        <v>0.84899999999999998</v>
      </c>
      <c r="S361" t="s">
        <v>868</v>
      </c>
      <c r="T361" t="s">
        <v>868</v>
      </c>
      <c r="U361" t="s">
        <v>811</v>
      </c>
    </row>
    <row r="362" spans="1:21" x14ac:dyDescent="0.6">
      <c r="A362">
        <v>144</v>
      </c>
      <c r="B362" t="str">
        <f>"1615"</f>
        <v>1615</v>
      </c>
      <c r="C362" t="s">
        <v>212</v>
      </c>
      <c r="D362" s="1">
        <v>42923</v>
      </c>
      <c r="E362">
        <v>11.05</v>
      </c>
      <c r="F362">
        <v>-0.05</v>
      </c>
      <c r="G362" s="3">
        <v>-4.4999999999999997E-3</v>
      </c>
      <c r="H362">
        <v>2014</v>
      </c>
      <c r="I362">
        <v>0.27</v>
      </c>
      <c r="J362">
        <v>0.3</v>
      </c>
      <c r="K362">
        <v>0</v>
      </c>
      <c r="L362">
        <v>0.3</v>
      </c>
      <c r="M362" s="3">
        <v>2.7099999999999999E-2</v>
      </c>
      <c r="N362" s="2">
        <v>0</v>
      </c>
      <c r="O362" s="3">
        <v>2.7099999999999999E-2</v>
      </c>
      <c r="P362" s="2">
        <v>1.1100000000000001</v>
      </c>
      <c r="Q362" s="2">
        <v>0</v>
      </c>
      <c r="R362" s="2">
        <v>1.1100000000000001</v>
      </c>
      <c r="S362" t="s">
        <v>848</v>
      </c>
    </row>
    <row r="363" spans="1:21" x14ac:dyDescent="0.6">
      <c r="A363">
        <v>74</v>
      </c>
      <c r="B363" t="str">
        <f>"8942"</f>
        <v>8942</v>
      </c>
      <c r="C363" t="s">
        <v>133</v>
      </c>
      <c r="D363" s="1">
        <v>42923</v>
      </c>
      <c r="E363">
        <v>67</v>
      </c>
      <c r="F363">
        <v>-0.3</v>
      </c>
      <c r="G363" s="3">
        <v>-4.4999999999999997E-3</v>
      </c>
      <c r="H363">
        <v>2014</v>
      </c>
      <c r="I363">
        <v>4.3600000000000003</v>
      </c>
      <c r="J363">
        <v>1.8</v>
      </c>
      <c r="K363">
        <v>0</v>
      </c>
      <c r="L363">
        <v>1.8</v>
      </c>
      <c r="M363" s="3">
        <v>2.6800000000000001E-2</v>
      </c>
      <c r="N363" s="2">
        <v>0</v>
      </c>
      <c r="O363" s="3">
        <v>2.6800000000000001E-2</v>
      </c>
      <c r="P363" s="3">
        <v>0.41299999999999998</v>
      </c>
      <c r="Q363" s="2">
        <v>0</v>
      </c>
      <c r="R363" s="3">
        <v>0.41299999999999998</v>
      </c>
      <c r="S363" t="s">
        <v>804</v>
      </c>
    </row>
    <row r="364" spans="1:21" x14ac:dyDescent="0.6">
      <c r="A364">
        <v>204</v>
      </c>
      <c r="B364" t="str">
        <f>"4138"</f>
        <v>4138</v>
      </c>
      <c r="C364" t="s">
        <v>283</v>
      </c>
      <c r="D364" s="1">
        <v>42923</v>
      </c>
      <c r="E364">
        <v>56.9</v>
      </c>
      <c r="F364">
        <v>-0.4</v>
      </c>
      <c r="G364" s="3">
        <v>-7.0000000000000001E-3</v>
      </c>
      <c r="H364">
        <v>2014</v>
      </c>
      <c r="I364">
        <v>1.56</v>
      </c>
      <c r="J364">
        <v>1.5</v>
      </c>
      <c r="K364">
        <v>0</v>
      </c>
      <c r="L364">
        <v>1.5</v>
      </c>
      <c r="M364" s="3">
        <v>2.64E-2</v>
      </c>
      <c r="N364" s="2">
        <v>0</v>
      </c>
      <c r="O364" s="3">
        <v>2.64E-2</v>
      </c>
      <c r="P364" s="3">
        <v>0.96199999999999997</v>
      </c>
      <c r="Q364" s="2">
        <v>0</v>
      </c>
      <c r="R364" s="3">
        <v>0.96199999999999997</v>
      </c>
      <c r="S364" t="s">
        <v>868</v>
      </c>
      <c r="U364" t="s">
        <v>866</v>
      </c>
    </row>
    <row r="365" spans="1:21" x14ac:dyDescent="0.6">
      <c r="A365">
        <v>173</v>
      </c>
      <c r="B365" t="str">
        <f>"8996"</f>
        <v>8996</v>
      </c>
      <c r="C365" t="s">
        <v>246</v>
      </c>
      <c r="D365" s="1">
        <v>42923</v>
      </c>
      <c r="E365">
        <v>46</v>
      </c>
      <c r="F365">
        <v>-0.7</v>
      </c>
      <c r="G365" s="3">
        <v>-1.4999999999999999E-2</v>
      </c>
      <c r="H365">
        <v>2014</v>
      </c>
      <c r="I365">
        <v>2.08</v>
      </c>
      <c r="J365">
        <v>1.2</v>
      </c>
      <c r="K365">
        <v>0.5</v>
      </c>
      <c r="L365">
        <v>1.7</v>
      </c>
      <c r="M365" s="3">
        <v>2.6100000000000002E-2</v>
      </c>
      <c r="N365" s="3">
        <v>1.09E-2</v>
      </c>
      <c r="O365" s="3">
        <v>3.6999999999999998E-2</v>
      </c>
      <c r="P365" s="3">
        <v>0.57699999999999996</v>
      </c>
      <c r="Q365" s="2">
        <v>0.24</v>
      </c>
      <c r="R365" s="3">
        <v>0.81699999999999995</v>
      </c>
      <c r="S365" t="s">
        <v>820</v>
      </c>
      <c r="T365" t="s">
        <v>820</v>
      </c>
      <c r="U365" t="s">
        <v>800</v>
      </c>
    </row>
    <row r="366" spans="1:21" x14ac:dyDescent="0.6">
      <c r="A366">
        <v>230</v>
      </c>
      <c r="B366" t="str">
        <f>"4119"</f>
        <v>4119</v>
      </c>
      <c r="C366" t="s">
        <v>309</v>
      </c>
      <c r="D366" s="1">
        <v>42923</v>
      </c>
      <c r="E366">
        <v>69.3</v>
      </c>
      <c r="F366">
        <v>-0.6</v>
      </c>
      <c r="G366" s="3">
        <v>-8.6E-3</v>
      </c>
      <c r="H366">
        <v>2014</v>
      </c>
      <c r="I366">
        <v>2.78</v>
      </c>
      <c r="J366">
        <v>1.8</v>
      </c>
      <c r="K366">
        <v>0.5</v>
      </c>
      <c r="L366">
        <v>2.2999999999999998</v>
      </c>
      <c r="M366" s="3">
        <v>2.5999999999999999E-2</v>
      </c>
      <c r="N366" s="3">
        <v>7.1999999999999998E-3</v>
      </c>
      <c r="O366" s="3">
        <v>3.32E-2</v>
      </c>
      <c r="P366" s="3">
        <v>0.64800000000000002</v>
      </c>
      <c r="Q366" s="2">
        <v>0.18</v>
      </c>
      <c r="R366" s="3">
        <v>0.82699999999999996</v>
      </c>
      <c r="S366" t="s">
        <v>839</v>
      </c>
      <c r="T366" t="s">
        <v>839</v>
      </c>
      <c r="U366" t="s">
        <v>825</v>
      </c>
    </row>
    <row r="367" spans="1:21" x14ac:dyDescent="0.6">
      <c r="A367">
        <v>390</v>
      </c>
      <c r="B367" t="str">
        <f>"4919"</f>
        <v>4919</v>
      </c>
      <c r="C367" t="s">
        <v>474</v>
      </c>
      <c r="D367" s="1">
        <v>42923</v>
      </c>
      <c r="E367">
        <v>46.35</v>
      </c>
      <c r="F367">
        <v>0.15</v>
      </c>
      <c r="G367" s="3">
        <v>3.2000000000000002E-3</v>
      </c>
      <c r="H367">
        <v>2014</v>
      </c>
      <c r="I367">
        <v>1.25</v>
      </c>
      <c r="J367">
        <v>1.2</v>
      </c>
      <c r="K367">
        <v>0</v>
      </c>
      <c r="L367">
        <v>1.2</v>
      </c>
      <c r="M367" s="3">
        <v>2.5899999999999999E-2</v>
      </c>
      <c r="N367" s="2">
        <v>0</v>
      </c>
      <c r="O367" s="3">
        <v>2.5899999999999999E-2</v>
      </c>
      <c r="P367" s="2">
        <v>0.96</v>
      </c>
      <c r="Q367" s="2">
        <v>0</v>
      </c>
      <c r="R367" s="2">
        <v>0.96</v>
      </c>
      <c r="S367" t="s">
        <v>850</v>
      </c>
      <c r="U367" t="s">
        <v>826</v>
      </c>
    </row>
    <row r="368" spans="1:21" x14ac:dyDescent="0.6">
      <c r="A368">
        <v>495</v>
      </c>
      <c r="B368" t="str">
        <f>"4953"</f>
        <v>4953</v>
      </c>
      <c r="C368" t="s">
        <v>589</v>
      </c>
      <c r="D368" s="1">
        <v>42923</v>
      </c>
      <c r="E368">
        <v>23.5</v>
      </c>
      <c r="F368">
        <v>-0.15</v>
      </c>
      <c r="G368" s="3">
        <v>-6.3E-3</v>
      </c>
      <c r="H368">
        <v>2014</v>
      </c>
      <c r="I368">
        <v>1.6</v>
      </c>
      <c r="J368">
        <v>0.6</v>
      </c>
      <c r="K368">
        <v>0.2</v>
      </c>
      <c r="L368">
        <v>0.8</v>
      </c>
      <c r="M368" s="3">
        <v>2.5499999999999998E-2</v>
      </c>
      <c r="N368" s="3">
        <v>8.5000000000000006E-3</v>
      </c>
      <c r="O368" s="3">
        <v>3.4000000000000002E-2</v>
      </c>
      <c r="P368" s="3">
        <v>0.375</v>
      </c>
      <c r="Q368" s="3">
        <v>0.125</v>
      </c>
      <c r="R368" s="2">
        <v>0.5</v>
      </c>
      <c r="S368" t="s">
        <v>868</v>
      </c>
      <c r="T368" t="s">
        <v>868</v>
      </c>
      <c r="U368" t="s">
        <v>866</v>
      </c>
    </row>
    <row r="369" spans="1:21" x14ac:dyDescent="0.6">
      <c r="A369">
        <v>66</v>
      </c>
      <c r="B369" t="str">
        <f>"3078"</f>
        <v>3078</v>
      </c>
      <c r="C369" t="s">
        <v>121</v>
      </c>
      <c r="D369" s="1">
        <v>42923</v>
      </c>
      <c r="E369">
        <v>29.7</v>
      </c>
      <c r="F369">
        <v>-0.15</v>
      </c>
      <c r="G369" s="3">
        <v>-5.0000000000000001E-3</v>
      </c>
      <c r="H369">
        <v>2014</v>
      </c>
      <c r="I369">
        <v>1.1000000000000001</v>
      </c>
      <c r="J369">
        <v>0.75</v>
      </c>
      <c r="K369">
        <v>0</v>
      </c>
      <c r="L369">
        <v>0.75</v>
      </c>
      <c r="M369" s="3">
        <v>2.53E-2</v>
      </c>
      <c r="N369" s="2">
        <v>0</v>
      </c>
      <c r="O369" s="3">
        <v>2.53E-2</v>
      </c>
      <c r="P369" s="3">
        <v>0.68200000000000005</v>
      </c>
      <c r="Q369" s="2">
        <v>0</v>
      </c>
      <c r="R369" s="3">
        <v>0.68200000000000005</v>
      </c>
      <c r="S369" t="s">
        <v>822</v>
      </c>
    </row>
    <row r="370" spans="1:21" x14ac:dyDescent="0.6">
      <c r="A370">
        <v>243</v>
      </c>
      <c r="B370" t="str">
        <f>"1303"</f>
        <v>1303</v>
      </c>
      <c r="C370" t="s">
        <v>322</v>
      </c>
      <c r="D370" s="1">
        <v>42923</v>
      </c>
      <c r="E370">
        <v>75.099999999999994</v>
      </c>
      <c r="F370">
        <v>-0.5</v>
      </c>
      <c r="G370" s="3">
        <v>-6.6E-3</v>
      </c>
      <c r="H370">
        <v>2014</v>
      </c>
      <c r="I370">
        <v>3.19</v>
      </c>
      <c r="J370">
        <v>1.9</v>
      </c>
      <c r="K370">
        <v>0</v>
      </c>
      <c r="L370">
        <v>1.9</v>
      </c>
      <c r="M370" s="3">
        <v>2.53E-2</v>
      </c>
      <c r="N370" s="2">
        <v>0</v>
      </c>
      <c r="O370" s="3">
        <v>2.53E-2</v>
      </c>
      <c r="P370" s="3">
        <v>0.59599999999999997</v>
      </c>
      <c r="Q370" s="2">
        <v>0</v>
      </c>
      <c r="R370" s="3">
        <v>0.59599999999999997</v>
      </c>
      <c r="S370" t="s">
        <v>804</v>
      </c>
    </row>
    <row r="371" spans="1:21" x14ac:dyDescent="0.6">
      <c r="A371">
        <v>262</v>
      </c>
      <c r="B371" t="str">
        <f>"4737"</f>
        <v>4737</v>
      </c>
      <c r="C371" t="s">
        <v>342</v>
      </c>
      <c r="D371" s="1">
        <v>42923</v>
      </c>
      <c r="E371">
        <v>70.400000000000006</v>
      </c>
      <c r="F371">
        <v>-0.5</v>
      </c>
      <c r="G371" s="3">
        <v>-7.1000000000000004E-3</v>
      </c>
      <c r="H371">
        <v>2014</v>
      </c>
      <c r="I371">
        <v>2.0499999999999998</v>
      </c>
      <c r="J371">
        <v>1.78</v>
      </c>
      <c r="K371">
        <v>0</v>
      </c>
      <c r="L371">
        <v>1.78</v>
      </c>
      <c r="M371" s="3">
        <v>2.53E-2</v>
      </c>
      <c r="N371" s="2">
        <v>0</v>
      </c>
      <c r="O371" s="3">
        <v>2.53E-2</v>
      </c>
      <c r="P371" s="3">
        <v>0.86799999999999999</v>
      </c>
      <c r="Q371" s="2">
        <v>0</v>
      </c>
      <c r="R371" s="3">
        <v>0.86799999999999999</v>
      </c>
      <c r="S371" t="s">
        <v>857</v>
      </c>
      <c r="U371" t="s">
        <v>837</v>
      </c>
    </row>
    <row r="372" spans="1:21" x14ac:dyDescent="0.6">
      <c r="A372">
        <v>416</v>
      </c>
      <c r="B372" t="str">
        <f>"2421"</f>
        <v>2421</v>
      </c>
      <c r="C372" t="s">
        <v>503</v>
      </c>
      <c r="D372" s="1">
        <v>42923</v>
      </c>
      <c r="E372">
        <v>39.6</v>
      </c>
      <c r="F372">
        <v>-0.1</v>
      </c>
      <c r="G372" s="3">
        <v>-2.5000000000000001E-3</v>
      </c>
      <c r="H372">
        <v>2014</v>
      </c>
      <c r="I372">
        <v>1.22</v>
      </c>
      <c r="J372">
        <v>1</v>
      </c>
      <c r="K372">
        <v>0</v>
      </c>
      <c r="L372">
        <v>1</v>
      </c>
      <c r="M372" s="3">
        <v>2.53E-2</v>
      </c>
      <c r="N372" s="2">
        <v>0</v>
      </c>
      <c r="O372" s="3">
        <v>2.53E-2</v>
      </c>
      <c r="P372" s="2">
        <v>0.82</v>
      </c>
      <c r="Q372" s="2">
        <v>0</v>
      </c>
      <c r="R372" s="2">
        <v>0.82</v>
      </c>
      <c r="S372" t="s">
        <v>876</v>
      </c>
    </row>
    <row r="373" spans="1:21" x14ac:dyDescent="0.6">
      <c r="A373">
        <v>418</v>
      </c>
      <c r="B373" t="str">
        <f>"3285"</f>
        <v>3285</v>
      </c>
      <c r="C373" t="s">
        <v>505</v>
      </c>
      <c r="D373" s="1">
        <v>42923</v>
      </c>
      <c r="E373">
        <v>19.850000000000001</v>
      </c>
      <c r="F373">
        <v>0.05</v>
      </c>
      <c r="G373" s="3">
        <v>2.5000000000000001E-3</v>
      </c>
      <c r="H373">
        <v>2014</v>
      </c>
      <c r="I373">
        <v>0.33</v>
      </c>
      <c r="J373">
        <v>0.5</v>
      </c>
      <c r="K373">
        <v>0</v>
      </c>
      <c r="L373">
        <v>0.5</v>
      </c>
      <c r="M373" s="3">
        <v>2.52E-2</v>
      </c>
      <c r="N373" s="2">
        <v>0</v>
      </c>
      <c r="O373" s="3">
        <v>2.52E-2</v>
      </c>
      <c r="P373" s="2">
        <v>1.52</v>
      </c>
      <c r="Q373" s="2">
        <v>0</v>
      </c>
      <c r="R373" s="2">
        <v>1.52</v>
      </c>
      <c r="S373" t="s">
        <v>797</v>
      </c>
      <c r="U373" t="s">
        <v>866</v>
      </c>
    </row>
    <row r="374" spans="1:21" x14ac:dyDescent="0.6">
      <c r="A374">
        <v>428</v>
      </c>
      <c r="B374" t="str">
        <f>"1474"</f>
        <v>1474</v>
      </c>
      <c r="C374" t="s">
        <v>516</v>
      </c>
      <c r="D374" s="1">
        <v>42923</v>
      </c>
      <c r="E374">
        <v>12</v>
      </c>
      <c r="F374">
        <v>-0.05</v>
      </c>
      <c r="G374" s="3">
        <v>-4.1000000000000003E-3</v>
      </c>
      <c r="H374">
        <v>2014</v>
      </c>
      <c r="I374">
        <v>0.54</v>
      </c>
      <c r="J374">
        <v>0.3</v>
      </c>
      <c r="K374">
        <v>0</v>
      </c>
      <c r="L374">
        <v>0.3</v>
      </c>
      <c r="M374" s="3">
        <v>2.5000000000000001E-2</v>
      </c>
      <c r="N374" s="2">
        <v>0</v>
      </c>
      <c r="O374" s="3">
        <v>2.5000000000000001E-2</v>
      </c>
      <c r="P374" s="3">
        <v>0.55600000000000005</v>
      </c>
      <c r="Q374" s="2">
        <v>0</v>
      </c>
      <c r="R374" s="3">
        <v>0.55600000000000005</v>
      </c>
      <c r="S374" t="s">
        <v>802</v>
      </c>
      <c r="U374" t="s">
        <v>866</v>
      </c>
    </row>
    <row r="375" spans="1:21" x14ac:dyDescent="0.6">
      <c r="A375">
        <v>97</v>
      </c>
      <c r="B375" t="str">
        <f>"3005"</f>
        <v>3005</v>
      </c>
      <c r="C375" t="s">
        <v>160</v>
      </c>
      <c r="D375" s="1">
        <v>42923</v>
      </c>
      <c r="E375">
        <v>40.4</v>
      </c>
      <c r="F375">
        <v>-0.3</v>
      </c>
      <c r="G375" s="3">
        <v>-7.4000000000000003E-3</v>
      </c>
      <c r="H375">
        <v>2014</v>
      </c>
      <c r="I375">
        <v>0.69</v>
      </c>
      <c r="J375">
        <v>1</v>
      </c>
      <c r="K375">
        <v>0</v>
      </c>
      <c r="L375">
        <v>1</v>
      </c>
      <c r="M375" s="3">
        <v>2.4799999999999999E-2</v>
      </c>
      <c r="N375" s="2">
        <v>0</v>
      </c>
      <c r="O375" s="3">
        <v>2.4799999999999999E-2</v>
      </c>
      <c r="P375" s="2">
        <v>1.45</v>
      </c>
      <c r="Q375" s="2">
        <v>0</v>
      </c>
      <c r="R375" s="2">
        <v>1.45</v>
      </c>
      <c r="S375" t="s">
        <v>792</v>
      </c>
      <c r="U375" t="s">
        <v>811</v>
      </c>
    </row>
    <row r="376" spans="1:21" x14ac:dyDescent="0.6">
      <c r="A376">
        <v>46</v>
      </c>
      <c r="B376" t="str">
        <f>"2511"</f>
        <v>2511</v>
      </c>
      <c r="C376" t="s">
        <v>92</v>
      </c>
      <c r="D376" s="1">
        <v>42923</v>
      </c>
      <c r="E376">
        <v>12.15</v>
      </c>
      <c r="F376">
        <v>-0.05</v>
      </c>
      <c r="G376" s="3">
        <v>-4.1000000000000003E-3</v>
      </c>
      <c r="H376">
        <v>2014</v>
      </c>
      <c r="I376">
        <v>1.3</v>
      </c>
      <c r="J376">
        <v>0.3</v>
      </c>
      <c r="K376">
        <v>0.3</v>
      </c>
      <c r="L376">
        <v>0.6</v>
      </c>
      <c r="M376" s="3">
        <v>2.47E-2</v>
      </c>
      <c r="N376" s="3">
        <v>2.47E-2</v>
      </c>
      <c r="O376" s="3">
        <v>4.9399999999999999E-2</v>
      </c>
      <c r="P376" s="3">
        <v>0.23100000000000001</v>
      </c>
      <c r="Q376" s="3">
        <v>0.23100000000000001</v>
      </c>
      <c r="R376" s="3">
        <v>0.46200000000000002</v>
      </c>
      <c r="S376" t="s">
        <v>835</v>
      </c>
      <c r="T376" t="s">
        <v>836</v>
      </c>
      <c r="U376" t="s">
        <v>837</v>
      </c>
    </row>
    <row r="377" spans="1:21" x14ac:dyDescent="0.6">
      <c r="A377">
        <v>321</v>
      </c>
      <c r="B377" t="str">
        <f>"8383"</f>
        <v>8383</v>
      </c>
      <c r="C377" t="s">
        <v>403</v>
      </c>
      <c r="D377" s="1">
        <v>42923</v>
      </c>
      <c r="E377">
        <v>48.55</v>
      </c>
      <c r="F377">
        <v>-0.15</v>
      </c>
      <c r="G377" s="3">
        <v>-3.0999999999999999E-3</v>
      </c>
      <c r="H377">
        <v>2014</v>
      </c>
      <c r="I377">
        <v>1.63</v>
      </c>
      <c r="J377">
        <v>1.2</v>
      </c>
      <c r="K377">
        <v>0</v>
      </c>
      <c r="L377">
        <v>1.2</v>
      </c>
      <c r="M377" s="3">
        <v>2.47E-2</v>
      </c>
      <c r="N377" s="2">
        <v>0</v>
      </c>
      <c r="O377" s="3">
        <v>2.47E-2</v>
      </c>
      <c r="P377" s="3">
        <v>0.73599999999999999</v>
      </c>
      <c r="Q377" s="2">
        <v>0</v>
      </c>
      <c r="R377" s="3">
        <v>0.73599999999999999</v>
      </c>
      <c r="S377" t="s">
        <v>839</v>
      </c>
      <c r="U377" t="s">
        <v>792</v>
      </c>
    </row>
    <row r="378" spans="1:21" x14ac:dyDescent="0.6">
      <c r="A378">
        <v>4</v>
      </c>
      <c r="B378" t="str">
        <f>"3040"</f>
        <v>3040</v>
      </c>
      <c r="C378" t="s">
        <v>27</v>
      </c>
      <c r="D378" s="1">
        <v>42923</v>
      </c>
      <c r="E378">
        <v>40.6</v>
      </c>
      <c r="F378">
        <v>-0.5</v>
      </c>
      <c r="G378" s="3">
        <v>-1.2200000000000001E-2</v>
      </c>
      <c r="H378">
        <v>2014</v>
      </c>
      <c r="I378">
        <v>0.32</v>
      </c>
      <c r="J378">
        <v>1</v>
      </c>
      <c r="K378">
        <v>0</v>
      </c>
      <c r="L378">
        <v>1</v>
      </c>
      <c r="M378" s="3">
        <v>2.46E-2</v>
      </c>
      <c r="N378" s="2">
        <v>0</v>
      </c>
      <c r="O378" s="3">
        <v>2.46E-2</v>
      </c>
      <c r="P378" s="2">
        <v>3.12</v>
      </c>
      <c r="Q378" s="2">
        <v>0</v>
      </c>
      <c r="R378" s="2">
        <v>3.12</v>
      </c>
      <c r="S378" t="s">
        <v>796</v>
      </c>
      <c r="U378" t="s">
        <v>797</v>
      </c>
    </row>
    <row r="379" spans="1:21" x14ac:dyDescent="0.6">
      <c r="A379">
        <v>257</v>
      </c>
      <c r="B379" t="str">
        <f>"2892"</f>
        <v>2892</v>
      </c>
      <c r="C379" t="s">
        <v>336</v>
      </c>
      <c r="D379" s="1">
        <v>42923</v>
      </c>
      <c r="E379">
        <v>20.3</v>
      </c>
      <c r="F379">
        <v>-0.1</v>
      </c>
      <c r="G379" s="3">
        <v>-4.8999999999999998E-3</v>
      </c>
      <c r="H379">
        <v>2014</v>
      </c>
      <c r="I379">
        <v>1.26</v>
      </c>
      <c r="J379">
        <v>0.5</v>
      </c>
      <c r="K379">
        <v>0.7</v>
      </c>
      <c r="L379">
        <v>1.2</v>
      </c>
      <c r="M379" s="3">
        <v>2.46E-2</v>
      </c>
      <c r="N379" s="3">
        <v>3.4500000000000003E-2</v>
      </c>
      <c r="O379" s="3">
        <v>5.91E-2</v>
      </c>
      <c r="P379" s="3">
        <v>0.39700000000000002</v>
      </c>
      <c r="Q379" s="3">
        <v>0.55600000000000005</v>
      </c>
      <c r="R379" s="3">
        <v>0.95199999999999996</v>
      </c>
      <c r="S379" t="s">
        <v>865</v>
      </c>
      <c r="T379" t="s">
        <v>865</v>
      </c>
      <c r="U379" t="s">
        <v>817</v>
      </c>
    </row>
    <row r="380" spans="1:21" x14ac:dyDescent="0.6">
      <c r="A380">
        <v>316</v>
      </c>
      <c r="B380" t="str">
        <f>"1725"</f>
        <v>1725</v>
      </c>
      <c r="C380" t="s">
        <v>398</v>
      </c>
      <c r="D380" s="1">
        <v>42923</v>
      </c>
      <c r="E380">
        <v>14.3</v>
      </c>
      <c r="F380">
        <v>0</v>
      </c>
      <c r="G380" s="2">
        <v>0</v>
      </c>
      <c r="H380">
        <v>2014</v>
      </c>
      <c r="I380">
        <v>0.68</v>
      </c>
      <c r="J380">
        <v>0.35</v>
      </c>
      <c r="K380">
        <v>0</v>
      </c>
      <c r="L380">
        <v>0.35</v>
      </c>
      <c r="M380" s="3">
        <v>2.4500000000000001E-2</v>
      </c>
      <c r="N380" s="2">
        <v>0</v>
      </c>
      <c r="O380" s="3">
        <v>2.4500000000000001E-2</v>
      </c>
      <c r="P380" s="3">
        <v>0.51500000000000001</v>
      </c>
      <c r="Q380" s="2">
        <v>0</v>
      </c>
      <c r="R380" s="3">
        <v>0.51500000000000001</v>
      </c>
      <c r="S380" t="s">
        <v>810</v>
      </c>
      <c r="U380" t="s">
        <v>807</v>
      </c>
    </row>
    <row r="381" spans="1:21" x14ac:dyDescent="0.6">
      <c r="A381">
        <v>373</v>
      </c>
      <c r="B381" t="str">
        <f>"6207"</f>
        <v>6207</v>
      </c>
      <c r="C381" t="s">
        <v>456</v>
      </c>
      <c r="D381" s="1">
        <v>42923</v>
      </c>
      <c r="E381">
        <v>28.55</v>
      </c>
      <c r="F381">
        <v>0.25</v>
      </c>
      <c r="G381" s="3">
        <v>8.8000000000000005E-3</v>
      </c>
      <c r="H381">
        <v>2014</v>
      </c>
      <c r="I381">
        <v>0.1</v>
      </c>
      <c r="J381">
        <v>0.7</v>
      </c>
      <c r="K381">
        <v>0</v>
      </c>
      <c r="L381">
        <v>0.7</v>
      </c>
      <c r="M381" s="3">
        <v>2.4500000000000001E-2</v>
      </c>
      <c r="N381" s="2">
        <v>0</v>
      </c>
      <c r="O381" s="3">
        <v>2.4500000000000001E-2</v>
      </c>
      <c r="P381" s="2">
        <v>7</v>
      </c>
      <c r="Q381" s="2">
        <v>0</v>
      </c>
      <c r="R381" s="2">
        <v>7</v>
      </c>
      <c r="S381" t="s">
        <v>794</v>
      </c>
      <c r="U381" t="s">
        <v>795</v>
      </c>
    </row>
    <row r="382" spans="1:21" x14ac:dyDescent="0.6">
      <c r="A382">
        <v>286</v>
      </c>
      <c r="B382" t="str">
        <f>"6230"</f>
        <v>6230</v>
      </c>
      <c r="C382" t="s">
        <v>368</v>
      </c>
      <c r="D382" s="1">
        <v>42923</v>
      </c>
      <c r="E382">
        <v>131</v>
      </c>
      <c r="F382">
        <v>-2</v>
      </c>
      <c r="G382" s="3">
        <v>-1.4999999999999999E-2</v>
      </c>
      <c r="H382">
        <v>2014</v>
      </c>
      <c r="I382">
        <v>6.2</v>
      </c>
      <c r="J382">
        <v>3.2</v>
      </c>
      <c r="K382">
        <v>0</v>
      </c>
      <c r="L382">
        <v>3.2</v>
      </c>
      <c r="M382" s="3">
        <v>2.4400000000000002E-2</v>
      </c>
      <c r="N382" s="2">
        <v>0</v>
      </c>
      <c r="O382" s="3">
        <v>2.4400000000000002E-2</v>
      </c>
      <c r="P382" s="3">
        <v>0.51600000000000001</v>
      </c>
      <c r="Q382" s="2">
        <v>0</v>
      </c>
      <c r="R382" s="3">
        <v>0.51600000000000001</v>
      </c>
      <c r="S382" t="s">
        <v>868</v>
      </c>
      <c r="U382" t="s">
        <v>825</v>
      </c>
    </row>
    <row r="383" spans="1:21" x14ac:dyDescent="0.6">
      <c r="A383">
        <v>274</v>
      </c>
      <c r="B383" t="str">
        <f>"2889"</f>
        <v>2889</v>
      </c>
      <c r="C383" t="s">
        <v>354</v>
      </c>
      <c r="D383" s="1">
        <v>42923</v>
      </c>
      <c r="E383">
        <v>9.4600000000000009</v>
      </c>
      <c r="F383">
        <v>-0.04</v>
      </c>
      <c r="G383" s="3">
        <v>-4.1999999999999997E-3</v>
      </c>
      <c r="H383">
        <v>2014</v>
      </c>
      <c r="I383">
        <v>0.52</v>
      </c>
      <c r="J383">
        <v>0.23</v>
      </c>
      <c r="K383">
        <v>0.23</v>
      </c>
      <c r="L383">
        <v>0.46</v>
      </c>
      <c r="M383" s="3">
        <v>2.4299999999999999E-2</v>
      </c>
      <c r="N383" s="3">
        <v>2.4299999999999999E-2</v>
      </c>
      <c r="O383" s="3">
        <v>4.8599999999999997E-2</v>
      </c>
      <c r="P383" s="3">
        <v>0.442</v>
      </c>
      <c r="Q383" s="3">
        <v>0.442</v>
      </c>
      <c r="R383" s="3">
        <v>0.88500000000000001</v>
      </c>
      <c r="S383" t="s">
        <v>814</v>
      </c>
      <c r="T383" t="s">
        <v>814</v>
      </c>
      <c r="U383" t="s">
        <v>866</v>
      </c>
    </row>
    <row r="384" spans="1:21" x14ac:dyDescent="0.6">
      <c r="A384">
        <v>8</v>
      </c>
      <c r="B384" t="str">
        <f>"1310"</f>
        <v>1310</v>
      </c>
      <c r="C384" t="s">
        <v>32</v>
      </c>
      <c r="D384" s="1">
        <v>42923</v>
      </c>
      <c r="E384">
        <v>20.7</v>
      </c>
      <c r="F384">
        <v>-0.05</v>
      </c>
      <c r="G384" s="3">
        <v>-2.3999999999999998E-3</v>
      </c>
      <c r="H384">
        <v>2014</v>
      </c>
      <c r="I384">
        <v>2.16</v>
      </c>
      <c r="J384">
        <v>0.5</v>
      </c>
      <c r="K384">
        <v>0.5</v>
      </c>
      <c r="L384">
        <v>1</v>
      </c>
      <c r="M384" s="3">
        <v>2.4199999999999999E-2</v>
      </c>
      <c r="N384" s="3">
        <v>2.4199999999999999E-2</v>
      </c>
      <c r="O384" s="3">
        <v>4.8300000000000003E-2</v>
      </c>
      <c r="P384" s="3">
        <v>0.23200000000000001</v>
      </c>
      <c r="Q384" s="3">
        <v>0.23200000000000001</v>
      </c>
      <c r="R384" s="3">
        <v>0.46300000000000002</v>
      </c>
      <c r="S384" t="s">
        <v>802</v>
      </c>
      <c r="T384" t="s">
        <v>802</v>
      </c>
      <c r="U384" t="s">
        <v>803</v>
      </c>
    </row>
    <row r="385" spans="1:21" x14ac:dyDescent="0.6">
      <c r="A385">
        <v>295</v>
      </c>
      <c r="B385" t="str">
        <f>"6266"</f>
        <v>6266</v>
      </c>
      <c r="C385" t="s">
        <v>377</v>
      </c>
      <c r="D385" s="1">
        <v>42923</v>
      </c>
      <c r="E385">
        <v>11.95</v>
      </c>
      <c r="F385">
        <v>0</v>
      </c>
      <c r="G385" s="2">
        <v>0</v>
      </c>
      <c r="H385">
        <v>2014</v>
      </c>
      <c r="I385">
        <v>0.65</v>
      </c>
      <c r="J385">
        <v>0.28999999999999998</v>
      </c>
      <c r="K385">
        <v>0.28999999999999998</v>
      </c>
      <c r="L385">
        <v>0.57999999999999996</v>
      </c>
      <c r="M385" s="3">
        <v>2.4199999999999999E-2</v>
      </c>
      <c r="N385" s="3">
        <v>2.4199999999999999E-2</v>
      </c>
      <c r="O385" s="3">
        <v>4.8500000000000001E-2</v>
      </c>
      <c r="P385" s="3">
        <v>0.44600000000000001</v>
      </c>
      <c r="Q385" s="3">
        <v>0.44600000000000001</v>
      </c>
      <c r="R385" s="3">
        <v>0.89200000000000002</v>
      </c>
      <c r="S385" t="s">
        <v>832</v>
      </c>
      <c r="T385" t="s">
        <v>832</v>
      </c>
      <c r="U385" t="s">
        <v>800</v>
      </c>
    </row>
    <row r="386" spans="1:21" x14ac:dyDescent="0.6">
      <c r="A386">
        <v>281</v>
      </c>
      <c r="B386" t="str">
        <f>"6505"</f>
        <v>6505</v>
      </c>
      <c r="C386" t="s">
        <v>362</v>
      </c>
      <c r="D386" s="1">
        <v>42923</v>
      </c>
      <c r="E386">
        <v>104</v>
      </c>
      <c r="F386">
        <v>-0.5</v>
      </c>
      <c r="G386" s="3">
        <v>-4.7999999999999996E-3</v>
      </c>
      <c r="H386">
        <v>2014</v>
      </c>
      <c r="I386">
        <v>2.82</v>
      </c>
      <c r="J386">
        <v>2.5</v>
      </c>
      <c r="K386">
        <v>0</v>
      </c>
      <c r="L386">
        <v>2.5</v>
      </c>
      <c r="M386" s="3">
        <v>2.4E-2</v>
      </c>
      <c r="N386" s="2">
        <v>0</v>
      </c>
      <c r="O386" s="3">
        <v>2.4E-2</v>
      </c>
      <c r="P386" s="3">
        <v>0.88600000000000001</v>
      </c>
      <c r="Q386" s="2">
        <v>0</v>
      </c>
      <c r="R386" s="3">
        <v>0.88600000000000001</v>
      </c>
      <c r="S386" t="s">
        <v>843</v>
      </c>
    </row>
    <row r="387" spans="1:21" x14ac:dyDescent="0.6">
      <c r="A387">
        <v>448</v>
      </c>
      <c r="B387" t="str">
        <f>"8349"</f>
        <v>8349</v>
      </c>
      <c r="C387" t="s">
        <v>538</v>
      </c>
      <c r="D387" s="1">
        <v>42923</v>
      </c>
      <c r="E387">
        <v>104</v>
      </c>
      <c r="F387">
        <v>-2.5</v>
      </c>
      <c r="G387" s="3">
        <v>-2.35E-2</v>
      </c>
      <c r="H387">
        <v>2014</v>
      </c>
      <c r="I387">
        <v>3.23</v>
      </c>
      <c r="J387">
        <v>2.5</v>
      </c>
      <c r="K387">
        <v>0</v>
      </c>
      <c r="L387">
        <v>2.5</v>
      </c>
      <c r="M387" s="3">
        <v>2.4E-2</v>
      </c>
      <c r="N387" s="2">
        <v>0</v>
      </c>
      <c r="O387" s="3">
        <v>2.4E-2</v>
      </c>
      <c r="P387" s="3">
        <v>0.77400000000000002</v>
      </c>
      <c r="Q387" s="2">
        <v>0</v>
      </c>
      <c r="R387" s="3">
        <v>0.77400000000000002</v>
      </c>
      <c r="S387" t="s">
        <v>830</v>
      </c>
      <c r="U387" t="s">
        <v>792</v>
      </c>
    </row>
    <row r="388" spans="1:21" x14ac:dyDescent="0.6">
      <c r="A388">
        <v>246</v>
      </c>
      <c r="B388" t="str">
        <f>"3691"</f>
        <v>3691</v>
      </c>
      <c r="C388" t="s">
        <v>325</v>
      </c>
      <c r="D388" s="1">
        <v>42923</v>
      </c>
      <c r="E388">
        <v>251.5</v>
      </c>
      <c r="F388">
        <v>-20</v>
      </c>
      <c r="G388" s="3">
        <v>-7.3700000000000002E-2</v>
      </c>
      <c r="H388">
        <v>2014</v>
      </c>
      <c r="I388">
        <v>12.24</v>
      </c>
      <c r="J388">
        <v>6</v>
      </c>
      <c r="K388">
        <v>2</v>
      </c>
      <c r="L388">
        <v>8</v>
      </c>
      <c r="M388" s="3">
        <v>2.3900000000000001E-2</v>
      </c>
      <c r="N388" s="3">
        <v>8.0000000000000002E-3</v>
      </c>
      <c r="O388" s="3">
        <v>3.1800000000000002E-2</v>
      </c>
      <c r="P388" s="2">
        <v>0.49</v>
      </c>
      <c r="Q388" s="3">
        <v>0.16300000000000001</v>
      </c>
      <c r="R388" s="3">
        <v>0.65400000000000003</v>
      </c>
      <c r="S388" t="s">
        <v>830</v>
      </c>
      <c r="T388" t="s">
        <v>830</v>
      </c>
      <c r="U388" t="s">
        <v>835</v>
      </c>
    </row>
    <row r="389" spans="1:21" x14ac:dyDescent="0.6">
      <c r="A389">
        <v>207</v>
      </c>
      <c r="B389" t="str">
        <f>"8420"</f>
        <v>8420</v>
      </c>
      <c r="C389" t="s">
        <v>286</v>
      </c>
      <c r="D389" s="1">
        <v>42923</v>
      </c>
      <c r="E389">
        <v>19.2</v>
      </c>
      <c r="F389">
        <v>0</v>
      </c>
      <c r="G389" s="2">
        <v>0</v>
      </c>
      <c r="H389">
        <v>2014</v>
      </c>
      <c r="I389">
        <v>1.53</v>
      </c>
      <c r="J389">
        <v>0.45</v>
      </c>
      <c r="K389">
        <v>0</v>
      </c>
      <c r="L389">
        <v>0.45</v>
      </c>
      <c r="M389" s="3">
        <v>2.3400000000000001E-2</v>
      </c>
      <c r="N389" s="2">
        <v>0</v>
      </c>
      <c r="O389" s="3">
        <v>2.3400000000000001E-2</v>
      </c>
      <c r="P389" s="3">
        <v>0.29399999999999998</v>
      </c>
      <c r="Q389" s="2">
        <v>0</v>
      </c>
      <c r="R389" s="3">
        <v>0.29399999999999998</v>
      </c>
      <c r="S389" t="s">
        <v>867</v>
      </c>
      <c r="U389" t="s">
        <v>844</v>
      </c>
    </row>
    <row r="390" spans="1:21" x14ac:dyDescent="0.6">
      <c r="A390">
        <v>405</v>
      </c>
      <c r="B390" t="str">
        <f>"6449"</f>
        <v>6449</v>
      </c>
      <c r="C390" t="s">
        <v>491</v>
      </c>
      <c r="D390" s="1">
        <v>42923</v>
      </c>
      <c r="E390">
        <v>35.299999999999997</v>
      </c>
      <c r="F390">
        <v>-0.25</v>
      </c>
      <c r="G390" s="3">
        <v>-7.0000000000000001E-3</v>
      </c>
      <c r="H390">
        <v>2014</v>
      </c>
      <c r="J390">
        <v>0.8</v>
      </c>
      <c r="K390">
        <v>0</v>
      </c>
      <c r="L390">
        <v>0.8</v>
      </c>
      <c r="M390" s="3">
        <v>2.2700000000000001E-2</v>
      </c>
      <c r="N390" s="2">
        <v>0</v>
      </c>
      <c r="O390" s="3">
        <v>2.2700000000000001E-2</v>
      </c>
      <c r="S390" t="s">
        <v>867</v>
      </c>
      <c r="U390" t="s">
        <v>845</v>
      </c>
    </row>
    <row r="391" spans="1:21" x14ac:dyDescent="0.6">
      <c r="A391">
        <v>109</v>
      </c>
      <c r="B391" t="str">
        <f>"8070"</f>
        <v>8070</v>
      </c>
      <c r="C391" t="s">
        <v>172</v>
      </c>
      <c r="D391" s="1">
        <v>42923</v>
      </c>
      <c r="E391">
        <v>137.5</v>
      </c>
      <c r="F391">
        <v>5</v>
      </c>
      <c r="G391" s="3">
        <v>3.7699999999999997E-2</v>
      </c>
      <c r="H391">
        <v>2014</v>
      </c>
      <c r="I391">
        <v>5.89</v>
      </c>
      <c r="J391">
        <v>3.1</v>
      </c>
      <c r="K391">
        <v>0</v>
      </c>
      <c r="L391">
        <v>3.1</v>
      </c>
      <c r="M391" s="3">
        <v>2.2499999999999999E-2</v>
      </c>
      <c r="N391" s="2">
        <v>0</v>
      </c>
      <c r="O391" s="3">
        <v>2.2499999999999999E-2</v>
      </c>
      <c r="P391" s="3">
        <v>0.52600000000000002</v>
      </c>
      <c r="Q391" s="2">
        <v>0</v>
      </c>
      <c r="R391" s="3">
        <v>0.52600000000000002</v>
      </c>
      <c r="S391" t="s">
        <v>858</v>
      </c>
    </row>
    <row r="392" spans="1:21" x14ac:dyDescent="0.6">
      <c r="A392">
        <v>451</v>
      </c>
      <c r="B392" t="str">
        <f>"4506"</f>
        <v>4506</v>
      </c>
      <c r="C392" t="s">
        <v>541</v>
      </c>
      <c r="D392" s="1">
        <v>42923</v>
      </c>
      <c r="E392">
        <v>45</v>
      </c>
      <c r="F392">
        <v>0</v>
      </c>
      <c r="G392" s="2">
        <v>0</v>
      </c>
      <c r="H392">
        <v>2014</v>
      </c>
      <c r="I392">
        <v>1.58</v>
      </c>
      <c r="J392">
        <v>1</v>
      </c>
      <c r="K392">
        <v>0</v>
      </c>
      <c r="L392">
        <v>1</v>
      </c>
      <c r="M392" s="3">
        <v>2.2200000000000001E-2</v>
      </c>
      <c r="N392" s="2">
        <v>0</v>
      </c>
      <c r="O392" s="3">
        <v>2.2200000000000001E-2</v>
      </c>
      <c r="P392" s="3">
        <v>0.63300000000000001</v>
      </c>
      <c r="Q392" s="2">
        <v>0</v>
      </c>
      <c r="R392" s="3">
        <v>0.63300000000000001</v>
      </c>
      <c r="S392" t="s">
        <v>822</v>
      </c>
      <c r="U392" t="s">
        <v>863</v>
      </c>
    </row>
    <row r="393" spans="1:21" x14ac:dyDescent="0.6">
      <c r="A393">
        <v>452</v>
      </c>
      <c r="B393" t="str">
        <f>"2897"</f>
        <v>2897</v>
      </c>
      <c r="C393" t="s">
        <v>542</v>
      </c>
      <c r="D393" s="1">
        <v>42923</v>
      </c>
      <c r="E393">
        <v>9.2200000000000006</v>
      </c>
      <c r="F393">
        <v>-0.04</v>
      </c>
      <c r="G393" s="3">
        <v>-4.3E-3</v>
      </c>
      <c r="H393">
        <v>2014</v>
      </c>
      <c r="I393">
        <v>0.47</v>
      </c>
      <c r="J393">
        <v>0.2</v>
      </c>
      <c r="K393">
        <v>0</v>
      </c>
      <c r="L393">
        <v>0.2</v>
      </c>
      <c r="M393" s="3">
        <v>2.1700000000000001E-2</v>
      </c>
      <c r="N393" s="2">
        <v>0</v>
      </c>
      <c r="O393" s="3">
        <v>2.1700000000000001E-2</v>
      </c>
      <c r="P393" s="3">
        <v>0.42599999999999999</v>
      </c>
      <c r="Q393" s="2">
        <v>0</v>
      </c>
      <c r="R393" s="3">
        <v>0.42599999999999999</v>
      </c>
      <c r="S393" t="s">
        <v>840</v>
      </c>
      <c r="U393" t="s">
        <v>819</v>
      </c>
    </row>
    <row r="394" spans="1:21" x14ac:dyDescent="0.6">
      <c r="A394">
        <v>447</v>
      </c>
      <c r="B394" t="str">
        <f>"3031"</f>
        <v>3031</v>
      </c>
      <c r="C394" t="s">
        <v>537</v>
      </c>
      <c r="D394" s="1">
        <v>42923</v>
      </c>
      <c r="E394">
        <v>16.3</v>
      </c>
      <c r="F394">
        <v>-0.2</v>
      </c>
      <c r="G394" s="3">
        <v>-1.21E-2</v>
      </c>
      <c r="H394">
        <v>2014</v>
      </c>
      <c r="I394">
        <v>0.16</v>
      </c>
      <c r="J394">
        <v>0.35</v>
      </c>
      <c r="K394">
        <v>0</v>
      </c>
      <c r="L394">
        <v>0.35</v>
      </c>
      <c r="M394" s="3">
        <v>2.1499999999999998E-2</v>
      </c>
      <c r="N394" s="2">
        <v>0</v>
      </c>
      <c r="O394" s="3">
        <v>2.1499999999999998E-2</v>
      </c>
      <c r="P394" s="2">
        <v>2.19</v>
      </c>
      <c r="Q394" s="2">
        <v>0</v>
      </c>
      <c r="R394" s="2">
        <v>2.19</v>
      </c>
      <c r="S394" t="s">
        <v>820</v>
      </c>
      <c r="U394" t="s">
        <v>807</v>
      </c>
    </row>
    <row r="395" spans="1:21" x14ac:dyDescent="0.6">
      <c r="A395">
        <v>217</v>
      </c>
      <c r="B395" t="str">
        <f>"6422"</f>
        <v>6422</v>
      </c>
      <c r="C395" t="s">
        <v>296</v>
      </c>
      <c r="D395" s="1">
        <v>42923</v>
      </c>
      <c r="E395">
        <v>70.599999999999994</v>
      </c>
      <c r="F395">
        <v>0.6</v>
      </c>
      <c r="G395" s="3">
        <v>8.6E-3</v>
      </c>
      <c r="H395">
        <v>2014</v>
      </c>
      <c r="I395">
        <v>4.97</v>
      </c>
      <c r="J395">
        <v>1.5</v>
      </c>
      <c r="K395">
        <v>1</v>
      </c>
      <c r="L395">
        <v>2.5</v>
      </c>
      <c r="M395" s="3">
        <v>2.12E-2</v>
      </c>
      <c r="N395" s="3">
        <v>1.4200000000000001E-2</v>
      </c>
      <c r="O395" s="3">
        <v>3.5400000000000001E-2</v>
      </c>
      <c r="P395" s="3">
        <v>0.30199999999999999</v>
      </c>
      <c r="Q395" s="3">
        <v>0.20100000000000001</v>
      </c>
      <c r="R395" s="3">
        <v>0.503</v>
      </c>
    </row>
    <row r="396" spans="1:21" x14ac:dyDescent="0.6">
      <c r="A396">
        <v>444</v>
      </c>
      <c r="B396" t="str">
        <f>"4755"</f>
        <v>4755</v>
      </c>
      <c r="C396" t="s">
        <v>534</v>
      </c>
      <c r="D396" s="1">
        <v>42923</v>
      </c>
      <c r="E396">
        <v>32.549999999999997</v>
      </c>
      <c r="F396">
        <v>-0.2</v>
      </c>
      <c r="G396" s="3">
        <v>-6.1000000000000004E-3</v>
      </c>
      <c r="H396">
        <v>2014</v>
      </c>
      <c r="I396">
        <v>1.62</v>
      </c>
      <c r="J396">
        <v>0.68</v>
      </c>
      <c r="K396">
        <v>0</v>
      </c>
      <c r="L396">
        <v>0.68</v>
      </c>
      <c r="M396" s="3">
        <v>2.0899999999999998E-2</v>
      </c>
      <c r="N396" s="2">
        <v>0</v>
      </c>
      <c r="O396" s="3">
        <v>2.0899999999999998E-2</v>
      </c>
      <c r="P396" s="2">
        <v>0.42</v>
      </c>
      <c r="Q396" s="2">
        <v>0</v>
      </c>
      <c r="R396" s="2">
        <v>0.42</v>
      </c>
      <c r="S396" t="s">
        <v>809</v>
      </c>
    </row>
    <row r="397" spans="1:21" x14ac:dyDescent="0.6">
      <c r="A397">
        <v>374</v>
      </c>
      <c r="B397" t="str">
        <f>"8234"</f>
        <v>8234</v>
      </c>
      <c r="C397" t="s">
        <v>457</v>
      </c>
      <c r="D397" s="1">
        <v>42923</v>
      </c>
      <c r="E397">
        <v>28.55</v>
      </c>
      <c r="F397">
        <v>-0.15</v>
      </c>
      <c r="G397" s="3">
        <v>-5.1999999999999998E-3</v>
      </c>
      <c r="H397">
        <v>2014</v>
      </c>
      <c r="I397">
        <v>1.38</v>
      </c>
      <c r="J397">
        <v>0.59</v>
      </c>
      <c r="K397">
        <v>0.59</v>
      </c>
      <c r="L397">
        <v>1.18</v>
      </c>
      <c r="M397" s="3">
        <v>2.0799999999999999E-2</v>
      </c>
      <c r="N397" s="3">
        <v>2.0799999999999999E-2</v>
      </c>
      <c r="O397" s="3">
        <v>4.1500000000000002E-2</v>
      </c>
      <c r="P397" s="3">
        <v>0.42799999999999999</v>
      </c>
      <c r="Q397" s="3">
        <v>0.42799999999999999</v>
      </c>
      <c r="R397" s="3">
        <v>0.85499999999999998</v>
      </c>
      <c r="S397" t="s">
        <v>792</v>
      </c>
      <c r="T397" t="s">
        <v>792</v>
      </c>
      <c r="U397" t="s">
        <v>882</v>
      </c>
    </row>
    <row r="398" spans="1:21" x14ac:dyDescent="0.6">
      <c r="A398">
        <v>86</v>
      </c>
      <c r="B398" t="str">
        <f>"8112"</f>
        <v>8112</v>
      </c>
      <c r="C398" t="s">
        <v>149</v>
      </c>
      <c r="D398" s="1">
        <v>42923</v>
      </c>
      <c r="E398">
        <v>32.700000000000003</v>
      </c>
      <c r="F398">
        <v>-0.6</v>
      </c>
      <c r="G398" s="3">
        <v>-1.7999999999999999E-2</v>
      </c>
      <c r="H398">
        <v>2014</v>
      </c>
      <c r="I398">
        <v>0.68</v>
      </c>
      <c r="J398">
        <v>0.67</v>
      </c>
      <c r="K398">
        <v>0</v>
      </c>
      <c r="L398">
        <v>0.67</v>
      </c>
      <c r="M398" s="3">
        <v>2.0500000000000001E-2</v>
      </c>
      <c r="N398" s="2">
        <v>0</v>
      </c>
      <c r="O398" s="3">
        <v>2.0500000000000001E-2</v>
      </c>
      <c r="P398" s="3">
        <v>0.98499999999999999</v>
      </c>
      <c r="Q398" s="2">
        <v>0</v>
      </c>
      <c r="R398" s="3">
        <v>0.98499999999999999</v>
      </c>
      <c r="S398" t="s">
        <v>839</v>
      </c>
      <c r="U398" t="s">
        <v>797</v>
      </c>
    </row>
    <row r="399" spans="1:21" x14ac:dyDescent="0.6">
      <c r="A399">
        <v>146</v>
      </c>
      <c r="B399" t="str">
        <f>"6442"</f>
        <v>6442</v>
      </c>
      <c r="C399" t="s">
        <v>214</v>
      </c>
      <c r="D399" s="1">
        <v>42923</v>
      </c>
      <c r="E399">
        <v>48.8</v>
      </c>
      <c r="F399">
        <v>-0.75</v>
      </c>
      <c r="G399" s="3">
        <v>-1.5100000000000001E-2</v>
      </c>
      <c r="H399">
        <v>2014</v>
      </c>
      <c r="I399">
        <v>2.1800000000000002</v>
      </c>
      <c r="J399">
        <v>1</v>
      </c>
      <c r="K399">
        <v>1.1100000000000001</v>
      </c>
      <c r="L399">
        <v>2.11</v>
      </c>
      <c r="M399" s="3">
        <v>2.0500000000000001E-2</v>
      </c>
      <c r="N399" s="3">
        <v>2.2800000000000001E-2</v>
      </c>
      <c r="O399" s="3">
        <v>4.3299999999999998E-2</v>
      </c>
      <c r="P399" s="3">
        <v>0.45900000000000002</v>
      </c>
      <c r="Q399" s="3">
        <v>0.50900000000000001</v>
      </c>
      <c r="R399" s="3">
        <v>0.96799999999999997</v>
      </c>
      <c r="S399" t="s">
        <v>859</v>
      </c>
      <c r="T399" t="s">
        <v>859</v>
      </c>
      <c r="U399" t="s">
        <v>864</v>
      </c>
    </row>
    <row r="400" spans="1:21" x14ac:dyDescent="0.6">
      <c r="A400">
        <v>443</v>
      </c>
      <c r="B400" t="str">
        <f>"1301"</f>
        <v>1301</v>
      </c>
      <c r="C400" t="s">
        <v>533</v>
      </c>
      <c r="D400" s="1">
        <v>42923</v>
      </c>
      <c r="E400">
        <v>93.4</v>
      </c>
      <c r="F400">
        <v>-0.5</v>
      </c>
      <c r="G400" s="3">
        <v>-5.3E-3</v>
      </c>
      <c r="H400">
        <v>2014</v>
      </c>
      <c r="I400">
        <v>3.25</v>
      </c>
      <c r="J400">
        <v>1.9</v>
      </c>
      <c r="K400">
        <v>0</v>
      </c>
      <c r="L400">
        <v>1.9</v>
      </c>
      <c r="M400" s="3">
        <v>2.0299999999999999E-2</v>
      </c>
      <c r="N400" s="2">
        <v>0</v>
      </c>
      <c r="O400" s="3">
        <v>2.0299999999999999E-2</v>
      </c>
      <c r="P400" s="3">
        <v>0.58499999999999996</v>
      </c>
      <c r="Q400" s="2">
        <v>0</v>
      </c>
      <c r="R400" s="3">
        <v>0.58499999999999996</v>
      </c>
      <c r="S400" t="s">
        <v>828</v>
      </c>
    </row>
    <row r="401" spans="1:21" x14ac:dyDescent="0.6">
      <c r="A401">
        <v>485</v>
      </c>
      <c r="B401" t="str">
        <f>"2439"</f>
        <v>2439</v>
      </c>
      <c r="C401" t="s">
        <v>578</v>
      </c>
      <c r="D401" s="1">
        <v>42923</v>
      </c>
      <c r="E401">
        <v>186.5</v>
      </c>
      <c r="F401">
        <v>-1</v>
      </c>
      <c r="G401" s="3">
        <v>-5.3E-3</v>
      </c>
      <c r="H401">
        <v>2014</v>
      </c>
      <c r="I401">
        <v>5.86</v>
      </c>
      <c r="J401">
        <v>3.7</v>
      </c>
      <c r="K401">
        <v>0.5</v>
      </c>
      <c r="L401">
        <v>4.2</v>
      </c>
      <c r="M401" s="3">
        <v>1.9800000000000002E-2</v>
      </c>
      <c r="N401" s="3">
        <v>2.7000000000000001E-3</v>
      </c>
      <c r="O401" s="3">
        <v>2.2499999999999999E-2</v>
      </c>
      <c r="P401" s="3">
        <v>0.63100000000000001</v>
      </c>
      <c r="Q401" s="3">
        <v>8.5300000000000001E-2</v>
      </c>
      <c r="R401" s="3">
        <v>0.71699999999999997</v>
      </c>
      <c r="S401" t="s">
        <v>813</v>
      </c>
      <c r="T401" t="s">
        <v>813</v>
      </c>
      <c r="U401" t="s">
        <v>817</v>
      </c>
    </row>
    <row r="402" spans="1:21" x14ac:dyDescent="0.6">
      <c r="A402">
        <v>266</v>
      </c>
      <c r="B402" t="str">
        <f>"4935"</f>
        <v>4935</v>
      </c>
      <c r="C402" t="s">
        <v>346</v>
      </c>
      <c r="D402" s="1">
        <v>42923</v>
      </c>
      <c r="E402">
        <v>51.1</v>
      </c>
      <c r="F402">
        <v>0</v>
      </c>
      <c r="G402" s="2">
        <v>0</v>
      </c>
      <c r="H402">
        <v>2014</v>
      </c>
      <c r="I402">
        <v>1.57</v>
      </c>
      <c r="J402">
        <v>1</v>
      </c>
      <c r="K402">
        <v>0</v>
      </c>
      <c r="L402">
        <v>1</v>
      </c>
      <c r="M402" s="3">
        <v>1.9599999999999999E-2</v>
      </c>
      <c r="N402" s="2">
        <v>0</v>
      </c>
      <c r="O402" s="3">
        <v>1.9599999999999999E-2</v>
      </c>
      <c r="P402" s="3">
        <v>0.63700000000000001</v>
      </c>
      <c r="Q402" s="2">
        <v>0</v>
      </c>
      <c r="R402" s="3">
        <v>0.63700000000000001</v>
      </c>
      <c r="S402" t="s">
        <v>822</v>
      </c>
      <c r="U402" t="s">
        <v>799</v>
      </c>
    </row>
    <row r="403" spans="1:21" x14ac:dyDescent="0.6">
      <c r="A403">
        <v>463</v>
      </c>
      <c r="B403" t="str">
        <f>"6217"</f>
        <v>6217</v>
      </c>
      <c r="C403" t="s">
        <v>554</v>
      </c>
      <c r="D403" s="1">
        <v>42923</v>
      </c>
      <c r="E403">
        <v>35.1</v>
      </c>
      <c r="F403">
        <v>-0.35</v>
      </c>
      <c r="G403" s="3">
        <v>-9.9000000000000008E-3</v>
      </c>
      <c r="H403">
        <v>2014</v>
      </c>
      <c r="I403">
        <v>2.0099999999999998</v>
      </c>
      <c r="J403">
        <v>0.68</v>
      </c>
      <c r="K403">
        <v>0.1</v>
      </c>
      <c r="L403">
        <v>0.78</v>
      </c>
      <c r="M403" s="3">
        <v>1.9400000000000001E-2</v>
      </c>
      <c r="N403" s="3">
        <v>2.8E-3</v>
      </c>
      <c r="O403" s="3">
        <v>2.2200000000000001E-2</v>
      </c>
      <c r="P403" s="3">
        <v>0.33800000000000002</v>
      </c>
      <c r="Q403" s="3">
        <v>4.9799999999999997E-2</v>
      </c>
      <c r="R403" s="3">
        <v>0.38800000000000001</v>
      </c>
      <c r="S403" t="s">
        <v>841</v>
      </c>
      <c r="T403" t="s">
        <v>841</v>
      </c>
      <c r="U403" t="s">
        <v>860</v>
      </c>
    </row>
    <row r="404" spans="1:21" x14ac:dyDescent="0.6">
      <c r="A404">
        <v>483</v>
      </c>
      <c r="B404" t="str">
        <f>"6187"</f>
        <v>6187</v>
      </c>
      <c r="C404" t="s">
        <v>576</v>
      </c>
      <c r="D404" s="1">
        <v>42923</v>
      </c>
      <c r="E404">
        <v>62.7</v>
      </c>
      <c r="F404">
        <v>0.9</v>
      </c>
      <c r="G404" s="3">
        <v>1.46E-2</v>
      </c>
      <c r="H404">
        <v>2014</v>
      </c>
      <c r="I404">
        <v>1.52</v>
      </c>
      <c r="J404">
        <v>1.2</v>
      </c>
      <c r="K404">
        <v>0</v>
      </c>
      <c r="L404">
        <v>1.2</v>
      </c>
      <c r="M404" s="3">
        <v>1.9099999999999999E-2</v>
      </c>
      <c r="N404" s="2">
        <v>0</v>
      </c>
      <c r="O404" s="3">
        <v>1.9099999999999999E-2</v>
      </c>
      <c r="P404" s="2">
        <v>0.79</v>
      </c>
      <c r="Q404" s="2">
        <v>0</v>
      </c>
      <c r="R404" s="2">
        <v>0.79</v>
      </c>
      <c r="S404" t="s">
        <v>821</v>
      </c>
    </row>
    <row r="405" spans="1:21" x14ac:dyDescent="0.6">
      <c r="A405">
        <v>425</v>
      </c>
      <c r="B405" t="str">
        <f>"2891"</f>
        <v>2891</v>
      </c>
      <c r="C405" t="s">
        <v>512</v>
      </c>
      <c r="D405" s="1">
        <v>42923</v>
      </c>
      <c r="E405">
        <v>19.95</v>
      </c>
      <c r="F405">
        <v>-0.2</v>
      </c>
      <c r="G405" s="3">
        <v>-9.9000000000000008E-3</v>
      </c>
      <c r="H405">
        <v>2014</v>
      </c>
      <c r="I405">
        <v>1.5</v>
      </c>
      <c r="J405">
        <v>0.38</v>
      </c>
      <c r="K405">
        <v>0.37</v>
      </c>
      <c r="L405">
        <v>0.75</v>
      </c>
      <c r="M405" s="3">
        <v>1.9E-2</v>
      </c>
      <c r="N405" s="3">
        <v>1.8499999999999999E-2</v>
      </c>
      <c r="O405" s="3">
        <v>3.7600000000000001E-2</v>
      </c>
      <c r="P405" s="3">
        <v>0.253</v>
      </c>
      <c r="Q405" s="3">
        <v>0.247</v>
      </c>
      <c r="R405" s="2">
        <v>0.5</v>
      </c>
      <c r="S405" t="s">
        <v>804</v>
      </c>
      <c r="T405" t="s">
        <v>844</v>
      </c>
    </row>
    <row r="406" spans="1:21" x14ac:dyDescent="0.6">
      <c r="A406">
        <v>351</v>
      </c>
      <c r="B406" t="str">
        <f>"2812"</f>
        <v>2812</v>
      </c>
      <c r="C406" t="s">
        <v>433</v>
      </c>
      <c r="D406" s="1">
        <v>42923</v>
      </c>
      <c r="E406">
        <v>10.199999999999999</v>
      </c>
      <c r="F406">
        <v>-0.05</v>
      </c>
      <c r="G406" s="3">
        <v>-4.8999999999999998E-3</v>
      </c>
      <c r="H406">
        <v>2014</v>
      </c>
      <c r="I406">
        <v>1.23</v>
      </c>
      <c r="J406">
        <v>0.19</v>
      </c>
      <c r="K406">
        <v>0.59</v>
      </c>
      <c r="L406">
        <v>0.78</v>
      </c>
      <c r="M406" s="3">
        <v>1.8700000000000001E-2</v>
      </c>
      <c r="N406" s="3">
        <v>5.7500000000000002E-2</v>
      </c>
      <c r="O406" s="3">
        <v>7.6200000000000004E-2</v>
      </c>
      <c r="P406" s="3">
        <v>0.154</v>
      </c>
      <c r="Q406" s="2">
        <v>0.48</v>
      </c>
      <c r="R406" s="3">
        <v>0.63400000000000001</v>
      </c>
      <c r="S406" t="s">
        <v>868</v>
      </c>
      <c r="T406" t="s">
        <v>868</v>
      </c>
      <c r="U406" t="s">
        <v>833</v>
      </c>
    </row>
    <row r="407" spans="1:21" x14ac:dyDescent="0.6">
      <c r="A407">
        <v>81</v>
      </c>
      <c r="B407" t="str">
        <f>"2419"</f>
        <v>2419</v>
      </c>
      <c r="C407" t="s">
        <v>142</v>
      </c>
      <c r="D407" s="1">
        <v>42923</v>
      </c>
      <c r="E407">
        <v>23</v>
      </c>
      <c r="F407">
        <v>0.05</v>
      </c>
      <c r="G407" s="3">
        <v>2.2000000000000001E-3</v>
      </c>
      <c r="H407">
        <v>2014</v>
      </c>
      <c r="I407">
        <v>0.35</v>
      </c>
      <c r="J407">
        <v>0.42</v>
      </c>
      <c r="K407">
        <v>0</v>
      </c>
      <c r="L407">
        <v>0.42</v>
      </c>
      <c r="M407" s="3">
        <v>1.84E-2</v>
      </c>
      <c r="N407" s="2">
        <v>0</v>
      </c>
      <c r="O407" s="3">
        <v>1.84E-2</v>
      </c>
      <c r="P407" s="2">
        <v>1.2</v>
      </c>
      <c r="Q407" s="2">
        <v>0</v>
      </c>
      <c r="R407" s="2">
        <v>1.2</v>
      </c>
      <c r="S407" t="s">
        <v>849</v>
      </c>
      <c r="U407" t="s">
        <v>799</v>
      </c>
    </row>
    <row r="408" spans="1:21" x14ac:dyDescent="0.6">
      <c r="A408">
        <v>107</v>
      </c>
      <c r="B408" t="str">
        <f>"8048"</f>
        <v>8048</v>
      </c>
      <c r="C408" t="s">
        <v>170</v>
      </c>
      <c r="D408" s="1">
        <v>42923</v>
      </c>
      <c r="E408">
        <v>27.4</v>
      </c>
      <c r="F408">
        <v>-0.2</v>
      </c>
      <c r="G408" s="3">
        <v>-7.1999999999999998E-3</v>
      </c>
      <c r="H408">
        <v>2014</v>
      </c>
      <c r="I408">
        <v>1.27</v>
      </c>
      <c r="J408">
        <v>0.5</v>
      </c>
      <c r="K408">
        <v>0.7</v>
      </c>
      <c r="L408">
        <v>1.2</v>
      </c>
      <c r="M408" s="3">
        <v>1.8200000000000001E-2</v>
      </c>
      <c r="N408" s="3">
        <v>2.5499999999999998E-2</v>
      </c>
      <c r="O408" s="3">
        <v>4.3799999999999999E-2</v>
      </c>
      <c r="P408" s="3">
        <v>0.39400000000000002</v>
      </c>
      <c r="Q408" s="3">
        <v>0.55100000000000005</v>
      </c>
      <c r="R408" s="3">
        <v>0.94499999999999995</v>
      </c>
      <c r="S408" t="s">
        <v>813</v>
      </c>
      <c r="T408" t="s">
        <v>813</v>
      </c>
      <c r="U408" t="s">
        <v>799</v>
      </c>
    </row>
    <row r="409" spans="1:21" x14ac:dyDescent="0.6">
      <c r="A409">
        <v>128</v>
      </c>
      <c r="B409" t="str">
        <f>"3706"</f>
        <v>3706</v>
      </c>
      <c r="C409" t="s">
        <v>194</v>
      </c>
      <c r="D409" s="1">
        <v>42923</v>
      </c>
      <c r="E409">
        <v>35.6</v>
      </c>
      <c r="F409">
        <v>-0.3</v>
      </c>
      <c r="G409" s="3">
        <v>-8.3999999999999995E-3</v>
      </c>
      <c r="H409">
        <v>2014</v>
      </c>
      <c r="I409">
        <v>0.78</v>
      </c>
      <c r="J409">
        <v>0.6</v>
      </c>
      <c r="K409">
        <v>0</v>
      </c>
      <c r="L409">
        <v>0.6</v>
      </c>
      <c r="M409" s="3">
        <v>1.6799999999999999E-2</v>
      </c>
      <c r="N409" s="2">
        <v>0</v>
      </c>
      <c r="O409" s="3">
        <v>1.6799999999999999E-2</v>
      </c>
      <c r="P409" s="3">
        <v>0.76900000000000002</v>
      </c>
      <c r="Q409" s="2">
        <v>0</v>
      </c>
      <c r="R409" s="3">
        <v>0.76900000000000002</v>
      </c>
      <c r="S409" t="s">
        <v>861</v>
      </c>
      <c r="U409" t="s">
        <v>802</v>
      </c>
    </row>
    <row r="410" spans="1:21" x14ac:dyDescent="0.6">
      <c r="A410">
        <v>206</v>
      </c>
      <c r="B410" t="str">
        <f>"6506"</f>
        <v>6506</v>
      </c>
      <c r="C410" t="s">
        <v>285</v>
      </c>
      <c r="D410" s="1">
        <v>42923</v>
      </c>
      <c r="E410">
        <v>24</v>
      </c>
      <c r="F410">
        <v>-0.25</v>
      </c>
      <c r="G410" s="3">
        <v>-1.03E-2</v>
      </c>
      <c r="H410">
        <v>2014</v>
      </c>
      <c r="I410">
        <v>0.76</v>
      </c>
      <c r="J410">
        <v>0.4</v>
      </c>
      <c r="K410">
        <v>0.2</v>
      </c>
      <c r="L410">
        <v>0.6</v>
      </c>
      <c r="M410" s="3">
        <v>1.67E-2</v>
      </c>
      <c r="N410" s="3">
        <v>8.3000000000000001E-3</v>
      </c>
      <c r="O410" s="3">
        <v>2.5000000000000001E-2</v>
      </c>
      <c r="P410" s="3">
        <v>0.52600000000000002</v>
      </c>
      <c r="Q410" s="3">
        <v>0.26300000000000001</v>
      </c>
      <c r="R410" s="2">
        <v>0.79</v>
      </c>
      <c r="S410" t="s">
        <v>822</v>
      </c>
      <c r="T410" t="s">
        <v>822</v>
      </c>
      <c r="U410" t="s">
        <v>814</v>
      </c>
    </row>
    <row r="411" spans="1:21" x14ac:dyDescent="0.6">
      <c r="A411">
        <v>260</v>
      </c>
      <c r="B411" t="str">
        <f>"3548"</f>
        <v>3548</v>
      </c>
      <c r="C411" t="s">
        <v>340</v>
      </c>
      <c r="D411" s="1">
        <v>42923</v>
      </c>
      <c r="E411">
        <v>59.8</v>
      </c>
      <c r="F411">
        <v>-0.2</v>
      </c>
      <c r="G411" s="3">
        <v>-3.3E-3</v>
      </c>
      <c r="H411">
        <v>2014</v>
      </c>
      <c r="I411">
        <v>2.89</v>
      </c>
      <c r="J411">
        <v>1</v>
      </c>
      <c r="K411">
        <v>0</v>
      </c>
      <c r="L411">
        <v>1</v>
      </c>
      <c r="M411" s="3">
        <v>1.67E-2</v>
      </c>
      <c r="N411" s="2">
        <v>0</v>
      </c>
      <c r="O411" s="3">
        <v>1.67E-2</v>
      </c>
      <c r="P411" s="3">
        <v>0.34599999999999997</v>
      </c>
      <c r="Q411" s="2">
        <v>0</v>
      </c>
      <c r="R411" s="3">
        <v>0.34599999999999997</v>
      </c>
      <c r="S411" t="s">
        <v>828</v>
      </c>
    </row>
    <row r="412" spans="1:21" x14ac:dyDescent="0.6">
      <c r="A412">
        <v>435</v>
      </c>
      <c r="B412" t="str">
        <f>"1737"</f>
        <v>1737</v>
      </c>
      <c r="C412" t="s">
        <v>524</v>
      </c>
      <c r="D412" s="1">
        <v>42923</v>
      </c>
      <c r="E412">
        <v>30.2</v>
      </c>
      <c r="F412">
        <v>-0.1</v>
      </c>
      <c r="G412" s="3">
        <v>-3.3E-3</v>
      </c>
      <c r="H412">
        <v>2014</v>
      </c>
      <c r="I412">
        <v>0.46</v>
      </c>
      <c r="J412">
        <v>0.5</v>
      </c>
      <c r="K412">
        <v>0</v>
      </c>
      <c r="L412">
        <v>0.5</v>
      </c>
      <c r="M412" s="3">
        <v>1.66E-2</v>
      </c>
      <c r="N412" s="2">
        <v>0</v>
      </c>
      <c r="O412" s="3">
        <v>1.66E-2</v>
      </c>
      <c r="P412" s="2">
        <v>1.0900000000000001</v>
      </c>
      <c r="Q412" s="2">
        <v>0</v>
      </c>
      <c r="R412" s="2">
        <v>1.0900000000000001</v>
      </c>
      <c r="S412" t="s">
        <v>856</v>
      </c>
      <c r="U412" t="s">
        <v>826</v>
      </c>
    </row>
    <row r="413" spans="1:21" x14ac:dyDescent="0.6">
      <c r="A413">
        <v>331</v>
      </c>
      <c r="B413" t="str">
        <f>"6116"</f>
        <v>6116</v>
      </c>
      <c r="C413" t="s">
        <v>413</v>
      </c>
      <c r="D413" s="1">
        <v>42923</v>
      </c>
      <c r="E413">
        <v>9.08</v>
      </c>
      <c r="F413">
        <v>-0.04</v>
      </c>
      <c r="G413" s="3">
        <v>-4.4000000000000003E-3</v>
      </c>
      <c r="H413">
        <v>2014</v>
      </c>
      <c r="I413">
        <v>2.11</v>
      </c>
      <c r="J413">
        <v>0.15</v>
      </c>
      <c r="K413">
        <v>1.1499999999999999</v>
      </c>
      <c r="L413">
        <v>1.3</v>
      </c>
      <c r="M413" s="3">
        <v>1.6500000000000001E-2</v>
      </c>
      <c r="N413" s="3">
        <v>0.127</v>
      </c>
      <c r="O413" s="3">
        <v>0.14299999999999999</v>
      </c>
      <c r="P413" s="3">
        <v>7.1099999999999997E-2</v>
      </c>
      <c r="Q413" s="3">
        <v>0.54500000000000004</v>
      </c>
      <c r="R413" s="3">
        <v>0.61599999999999999</v>
      </c>
      <c r="S413" t="s">
        <v>792</v>
      </c>
      <c r="T413" t="s">
        <v>792</v>
      </c>
      <c r="U413" t="s">
        <v>860</v>
      </c>
    </row>
    <row r="414" spans="1:21" x14ac:dyDescent="0.6">
      <c r="A414">
        <v>410</v>
      </c>
      <c r="B414" t="str">
        <f>"3021"</f>
        <v>3021</v>
      </c>
      <c r="C414" t="s">
        <v>497</v>
      </c>
      <c r="D414" s="1">
        <v>42923</v>
      </c>
      <c r="E414">
        <v>13.8</v>
      </c>
      <c r="F414">
        <v>0</v>
      </c>
      <c r="G414" s="2">
        <v>0</v>
      </c>
      <c r="H414">
        <v>2014</v>
      </c>
      <c r="I414">
        <v>0.45</v>
      </c>
      <c r="J414">
        <v>0.2</v>
      </c>
      <c r="K414">
        <v>0</v>
      </c>
      <c r="L414">
        <v>0.2</v>
      </c>
      <c r="M414" s="3">
        <v>1.4500000000000001E-2</v>
      </c>
      <c r="N414" s="2">
        <v>0</v>
      </c>
      <c r="O414" s="3">
        <v>1.4500000000000001E-2</v>
      </c>
      <c r="P414" s="3">
        <v>0.44400000000000001</v>
      </c>
      <c r="Q414" s="2">
        <v>0</v>
      </c>
      <c r="R414" s="3">
        <v>0.44400000000000001</v>
      </c>
      <c r="S414" t="s">
        <v>797</v>
      </c>
      <c r="U414" t="s">
        <v>866</v>
      </c>
    </row>
    <row r="415" spans="1:21" x14ac:dyDescent="0.6">
      <c r="A415">
        <v>112</v>
      </c>
      <c r="B415" t="str">
        <f>"3567"</f>
        <v>3567</v>
      </c>
      <c r="C415" t="s">
        <v>176</v>
      </c>
      <c r="D415" s="1">
        <v>42923</v>
      </c>
      <c r="E415">
        <v>27.7</v>
      </c>
      <c r="F415">
        <v>-0.3</v>
      </c>
      <c r="G415" s="3">
        <v>-1.0699999999999999E-2</v>
      </c>
      <c r="H415">
        <v>2014</v>
      </c>
      <c r="I415">
        <v>0.53</v>
      </c>
      <c r="J415">
        <v>0.4</v>
      </c>
      <c r="K415">
        <v>0</v>
      </c>
      <c r="L415">
        <v>0.4</v>
      </c>
      <c r="M415" s="3">
        <v>1.44E-2</v>
      </c>
      <c r="N415" s="2">
        <v>0</v>
      </c>
      <c r="O415" s="3">
        <v>1.44E-2</v>
      </c>
      <c r="P415" s="3">
        <v>0.755</v>
      </c>
      <c r="Q415" s="2">
        <v>0</v>
      </c>
      <c r="R415" s="3">
        <v>0.755</v>
      </c>
      <c r="S415" t="s">
        <v>796</v>
      </c>
      <c r="U415" t="s">
        <v>824</v>
      </c>
    </row>
    <row r="416" spans="1:21" x14ac:dyDescent="0.6">
      <c r="A416">
        <v>284</v>
      </c>
      <c r="B416" t="str">
        <f>"8147"</f>
        <v>8147</v>
      </c>
      <c r="C416" t="s">
        <v>365</v>
      </c>
      <c r="D416" s="1">
        <v>42923</v>
      </c>
      <c r="E416">
        <v>34.799999999999997</v>
      </c>
      <c r="F416">
        <v>0.05</v>
      </c>
      <c r="G416" s="3">
        <v>1.4E-3</v>
      </c>
      <c r="H416">
        <v>2014</v>
      </c>
      <c r="I416">
        <v>1.64</v>
      </c>
      <c r="J416">
        <v>0.5</v>
      </c>
      <c r="K416">
        <v>0.5</v>
      </c>
      <c r="L416">
        <v>1</v>
      </c>
      <c r="M416" s="3">
        <v>1.44E-2</v>
      </c>
      <c r="N416" s="3">
        <v>1.44E-2</v>
      </c>
      <c r="O416" s="3">
        <v>2.87E-2</v>
      </c>
      <c r="P416" s="3">
        <v>0.30499999999999999</v>
      </c>
      <c r="Q416" s="3">
        <v>0.30499999999999999</v>
      </c>
      <c r="R416" s="2">
        <v>0.61</v>
      </c>
      <c r="S416" t="s">
        <v>867</v>
      </c>
      <c r="T416" t="s">
        <v>867</v>
      </c>
      <c r="U416" t="s">
        <v>795</v>
      </c>
    </row>
    <row r="417" spans="1:21" x14ac:dyDescent="0.6">
      <c r="A417">
        <v>127</v>
      </c>
      <c r="B417" t="str">
        <f>"8131"</f>
        <v>8131</v>
      </c>
      <c r="C417" t="s">
        <v>193</v>
      </c>
      <c r="D417" s="1">
        <v>42923</v>
      </c>
      <c r="E417">
        <v>28.45</v>
      </c>
      <c r="F417">
        <v>-0.1</v>
      </c>
      <c r="G417" s="3">
        <v>-3.5000000000000001E-3</v>
      </c>
      <c r="H417">
        <v>2014</v>
      </c>
      <c r="I417">
        <v>0.26</v>
      </c>
      <c r="J417">
        <v>0.4</v>
      </c>
      <c r="K417">
        <v>0</v>
      </c>
      <c r="L417">
        <v>0.4</v>
      </c>
      <c r="M417" s="3">
        <v>1.41E-2</v>
      </c>
      <c r="N417" s="2">
        <v>0</v>
      </c>
      <c r="O417" s="3">
        <v>1.41E-2</v>
      </c>
      <c r="P417" s="2">
        <v>1.54</v>
      </c>
      <c r="Q417" s="2">
        <v>0</v>
      </c>
      <c r="R417" s="2">
        <v>1.54</v>
      </c>
      <c r="S417" t="s">
        <v>813</v>
      </c>
      <c r="U417" t="s">
        <v>856</v>
      </c>
    </row>
    <row r="418" spans="1:21" x14ac:dyDescent="0.6">
      <c r="A418">
        <v>282</v>
      </c>
      <c r="B418" t="str">
        <f>"4417"</f>
        <v>4417</v>
      </c>
      <c r="C418" t="s">
        <v>363</v>
      </c>
      <c r="D418" s="1">
        <v>42923</v>
      </c>
      <c r="E418">
        <v>38.200000000000003</v>
      </c>
      <c r="F418">
        <v>-0.1</v>
      </c>
      <c r="G418" s="3">
        <v>-2.5999999999999999E-3</v>
      </c>
      <c r="H418">
        <v>2014</v>
      </c>
      <c r="I418">
        <v>1.8</v>
      </c>
      <c r="J418">
        <v>0.5</v>
      </c>
      <c r="K418">
        <v>0.4</v>
      </c>
      <c r="L418">
        <v>0.9</v>
      </c>
      <c r="M418" s="3">
        <v>1.3100000000000001E-2</v>
      </c>
      <c r="N418" s="3">
        <v>1.0500000000000001E-2</v>
      </c>
      <c r="O418" s="3">
        <v>2.3599999999999999E-2</v>
      </c>
      <c r="P418" s="3">
        <v>0.27800000000000002</v>
      </c>
      <c r="Q418" s="3">
        <v>0.222</v>
      </c>
      <c r="R418" s="2">
        <v>0.5</v>
      </c>
      <c r="S418" t="s">
        <v>802</v>
      </c>
      <c r="T418" t="s">
        <v>802</v>
      </c>
      <c r="U418" t="s">
        <v>833</v>
      </c>
    </row>
    <row r="419" spans="1:21" x14ac:dyDescent="0.6">
      <c r="A419">
        <v>261</v>
      </c>
      <c r="B419" t="str">
        <f>"2643"</f>
        <v>2643</v>
      </c>
      <c r="C419" t="s">
        <v>341</v>
      </c>
      <c r="D419" s="1">
        <v>42923</v>
      </c>
      <c r="E419">
        <v>38.85</v>
      </c>
      <c r="F419">
        <v>-0.25</v>
      </c>
      <c r="G419" s="3">
        <v>-6.4000000000000003E-3</v>
      </c>
      <c r="H419">
        <v>2014</v>
      </c>
      <c r="J419">
        <v>0.5</v>
      </c>
      <c r="K419">
        <v>0</v>
      </c>
      <c r="L419">
        <v>0.5</v>
      </c>
      <c r="M419" s="3">
        <v>1.29E-2</v>
      </c>
      <c r="N419" s="2">
        <v>0</v>
      </c>
      <c r="O419" s="3">
        <v>1.29E-2</v>
      </c>
    </row>
    <row r="420" spans="1:21" x14ac:dyDescent="0.6">
      <c r="A420">
        <v>271</v>
      </c>
      <c r="B420" t="str">
        <f>"6161"</f>
        <v>6161</v>
      </c>
      <c r="C420" t="s">
        <v>351</v>
      </c>
      <c r="D420" s="1">
        <v>42923</v>
      </c>
      <c r="E420">
        <v>15.45</v>
      </c>
      <c r="F420">
        <v>-0.15</v>
      </c>
      <c r="G420" s="3">
        <v>-9.5999999999999992E-3</v>
      </c>
      <c r="H420">
        <v>2014</v>
      </c>
      <c r="I420">
        <v>0.42</v>
      </c>
      <c r="J420">
        <v>0.2</v>
      </c>
      <c r="K420">
        <v>0</v>
      </c>
      <c r="L420">
        <v>0.2</v>
      </c>
      <c r="M420" s="3">
        <v>1.29E-2</v>
      </c>
      <c r="N420" s="2">
        <v>0</v>
      </c>
      <c r="O420" s="3">
        <v>1.29E-2</v>
      </c>
      <c r="P420" s="3">
        <v>0.47599999999999998</v>
      </c>
      <c r="Q420" s="2">
        <v>0</v>
      </c>
      <c r="R420" s="3">
        <v>0.47599999999999998</v>
      </c>
      <c r="S420" t="s">
        <v>794</v>
      </c>
      <c r="U420" t="s">
        <v>837</v>
      </c>
    </row>
    <row r="421" spans="1:21" x14ac:dyDescent="0.6">
      <c r="A421">
        <v>182</v>
      </c>
      <c r="B421" t="str">
        <f>"3293"</f>
        <v>3293</v>
      </c>
      <c r="C421" t="s">
        <v>258</v>
      </c>
      <c r="D421" s="1">
        <v>42923</v>
      </c>
      <c r="E421">
        <v>156</v>
      </c>
      <c r="F421">
        <v>-3</v>
      </c>
      <c r="G421" s="3">
        <v>-1.89E-2</v>
      </c>
      <c r="H421">
        <v>2014</v>
      </c>
      <c r="I421">
        <v>1.7</v>
      </c>
      <c r="J421">
        <v>2</v>
      </c>
      <c r="K421">
        <v>0</v>
      </c>
      <c r="L421">
        <v>2</v>
      </c>
      <c r="M421" s="3">
        <v>1.2800000000000001E-2</v>
      </c>
      <c r="N421" s="2">
        <v>0</v>
      </c>
      <c r="O421" s="3">
        <v>1.2800000000000001E-2</v>
      </c>
      <c r="P421" s="2">
        <v>1.18</v>
      </c>
      <c r="Q421" s="2">
        <v>0</v>
      </c>
      <c r="R421" s="2">
        <v>1.18</v>
      </c>
      <c r="S421" t="s">
        <v>797</v>
      </c>
      <c r="U421" t="s">
        <v>866</v>
      </c>
    </row>
    <row r="422" spans="1:21" x14ac:dyDescent="0.6">
      <c r="A422">
        <v>432</v>
      </c>
      <c r="B422" t="str">
        <f>"9934"</f>
        <v>9934</v>
      </c>
      <c r="C422" t="s">
        <v>520</v>
      </c>
      <c r="D422" s="1">
        <v>42923</v>
      </c>
      <c r="E422">
        <v>19.649999999999999</v>
      </c>
      <c r="F422">
        <v>-0.05</v>
      </c>
      <c r="G422" s="3">
        <v>-2.5000000000000001E-3</v>
      </c>
      <c r="H422">
        <v>2014</v>
      </c>
      <c r="I422">
        <v>6.37</v>
      </c>
      <c r="J422">
        <v>0.25</v>
      </c>
      <c r="K422">
        <v>0.75</v>
      </c>
      <c r="L422">
        <v>1</v>
      </c>
      <c r="M422" s="3">
        <v>1.2699999999999999E-2</v>
      </c>
      <c r="N422" s="3">
        <v>3.8199999999999998E-2</v>
      </c>
      <c r="O422" s="3">
        <v>5.0900000000000001E-2</v>
      </c>
      <c r="P422" s="3">
        <v>3.9199999999999999E-2</v>
      </c>
      <c r="Q422" s="3">
        <v>0.11799999999999999</v>
      </c>
      <c r="R422" s="3">
        <v>0.157</v>
      </c>
      <c r="S422" t="s">
        <v>857</v>
      </c>
      <c r="T422" t="s">
        <v>857</v>
      </c>
      <c r="U422" t="s">
        <v>884</v>
      </c>
    </row>
    <row r="423" spans="1:21" x14ac:dyDescent="0.6">
      <c r="A423">
        <v>346</v>
      </c>
      <c r="B423" t="str">
        <f>"6138"</f>
        <v>6138</v>
      </c>
      <c r="C423" t="s">
        <v>428</v>
      </c>
      <c r="D423" s="1">
        <v>42923</v>
      </c>
      <c r="E423">
        <v>39.200000000000003</v>
      </c>
      <c r="F423">
        <v>0.2</v>
      </c>
      <c r="G423" s="3">
        <v>5.1000000000000004E-3</v>
      </c>
      <c r="H423">
        <v>2014</v>
      </c>
      <c r="I423">
        <v>0.8</v>
      </c>
      <c r="J423">
        <v>0.49</v>
      </c>
      <c r="K423">
        <v>0</v>
      </c>
      <c r="L423">
        <v>0.49</v>
      </c>
      <c r="M423" s="3">
        <v>1.26E-2</v>
      </c>
      <c r="N423" s="2">
        <v>0</v>
      </c>
      <c r="O423" s="3">
        <v>1.26E-2</v>
      </c>
      <c r="P423" s="3">
        <v>0.61199999999999999</v>
      </c>
      <c r="Q423" s="2">
        <v>0</v>
      </c>
      <c r="R423" s="3">
        <v>0.61199999999999999</v>
      </c>
      <c r="S423" t="s">
        <v>854</v>
      </c>
      <c r="U423" t="s">
        <v>802</v>
      </c>
    </row>
    <row r="424" spans="1:21" x14ac:dyDescent="0.6">
      <c r="A424">
        <v>414</v>
      </c>
      <c r="B424" t="str">
        <f>"5258"</f>
        <v>5258</v>
      </c>
      <c r="C424" t="s">
        <v>501</v>
      </c>
      <c r="D424" s="1">
        <v>42923</v>
      </c>
      <c r="E424">
        <v>39.549999999999997</v>
      </c>
      <c r="F424">
        <v>-0.7</v>
      </c>
      <c r="G424" s="3">
        <v>-1.7399999999999999E-2</v>
      </c>
      <c r="H424">
        <v>2014</v>
      </c>
      <c r="I424">
        <v>1.8</v>
      </c>
      <c r="J424">
        <v>0.5</v>
      </c>
      <c r="K424">
        <v>0.7</v>
      </c>
      <c r="L424">
        <v>1.2</v>
      </c>
      <c r="M424" s="3">
        <v>1.26E-2</v>
      </c>
      <c r="N424" s="3">
        <v>1.77E-2</v>
      </c>
      <c r="O424" s="3">
        <v>3.0300000000000001E-2</v>
      </c>
      <c r="P424" s="3">
        <v>0.27800000000000002</v>
      </c>
      <c r="Q424" s="3">
        <v>0.38900000000000001</v>
      </c>
      <c r="R424" s="3">
        <v>0.66700000000000004</v>
      </c>
      <c r="S424" t="s">
        <v>794</v>
      </c>
      <c r="T424" t="s">
        <v>794</v>
      </c>
      <c r="U424" t="s">
        <v>881</v>
      </c>
    </row>
    <row r="425" spans="1:21" x14ac:dyDescent="0.6">
      <c r="A425">
        <v>198</v>
      </c>
      <c r="B425" t="str">
        <f>"1724"</f>
        <v>1724</v>
      </c>
      <c r="C425" t="s">
        <v>276</v>
      </c>
      <c r="D425" s="1">
        <v>42923</v>
      </c>
      <c r="E425">
        <v>15.95</v>
      </c>
      <c r="F425">
        <v>-0.2</v>
      </c>
      <c r="G425" s="3">
        <v>-1.24E-2</v>
      </c>
      <c r="H425">
        <v>2014</v>
      </c>
      <c r="I425">
        <v>0.28999999999999998</v>
      </c>
      <c r="J425">
        <v>0.2</v>
      </c>
      <c r="K425">
        <v>0</v>
      </c>
      <c r="L425">
        <v>0.2</v>
      </c>
      <c r="M425" s="3">
        <v>1.2500000000000001E-2</v>
      </c>
      <c r="N425" s="2">
        <v>0</v>
      </c>
      <c r="O425" s="3">
        <v>1.2500000000000001E-2</v>
      </c>
      <c r="P425" s="2">
        <v>0.69</v>
      </c>
      <c r="Q425" s="2">
        <v>0</v>
      </c>
      <c r="R425" s="2">
        <v>0.69</v>
      </c>
      <c r="S425" t="s">
        <v>797</v>
      </c>
      <c r="U425" t="s">
        <v>844</v>
      </c>
    </row>
    <row r="426" spans="1:21" x14ac:dyDescent="0.6">
      <c r="A426">
        <v>124</v>
      </c>
      <c r="B426" t="str">
        <f>"1704"</f>
        <v>1704</v>
      </c>
      <c r="C426" t="s">
        <v>189</v>
      </c>
      <c r="D426" s="1">
        <v>42923</v>
      </c>
      <c r="E426">
        <v>42.4</v>
      </c>
      <c r="F426">
        <v>-0.3</v>
      </c>
      <c r="G426" s="3">
        <v>-7.0000000000000001E-3</v>
      </c>
      <c r="H426">
        <v>2014</v>
      </c>
      <c r="I426">
        <v>-0.26</v>
      </c>
      <c r="J426">
        <v>0.5</v>
      </c>
      <c r="K426">
        <v>0</v>
      </c>
      <c r="L426">
        <v>0.5</v>
      </c>
      <c r="M426" s="3">
        <v>1.18E-2</v>
      </c>
      <c r="N426" s="2">
        <v>0</v>
      </c>
      <c r="O426" s="3">
        <v>1.18E-2</v>
      </c>
      <c r="P426" s="2">
        <v>-1.92</v>
      </c>
      <c r="Q426" s="2">
        <v>0</v>
      </c>
      <c r="R426" s="2">
        <v>-1.92</v>
      </c>
      <c r="S426" t="s">
        <v>824</v>
      </c>
      <c r="U426" t="s">
        <v>795</v>
      </c>
    </row>
    <row r="427" spans="1:21" x14ac:dyDescent="0.6">
      <c r="A427">
        <v>468</v>
      </c>
      <c r="B427" t="str">
        <f>"2221"</f>
        <v>2221</v>
      </c>
      <c r="C427" t="s">
        <v>560</v>
      </c>
      <c r="D427" s="1">
        <v>42923</v>
      </c>
      <c r="E427">
        <v>27</v>
      </c>
      <c r="F427">
        <v>-0.7</v>
      </c>
      <c r="G427" s="3">
        <v>-2.53E-2</v>
      </c>
      <c r="H427">
        <v>2014</v>
      </c>
      <c r="I427">
        <v>0.15</v>
      </c>
      <c r="J427">
        <v>0.31</v>
      </c>
      <c r="K427">
        <v>0</v>
      </c>
      <c r="L427">
        <v>0.31</v>
      </c>
      <c r="M427" s="3">
        <v>1.15E-2</v>
      </c>
      <c r="N427" s="2">
        <v>0</v>
      </c>
      <c r="O427" s="3">
        <v>1.15E-2</v>
      </c>
      <c r="P427" s="2">
        <v>2.0699999999999998</v>
      </c>
      <c r="Q427" s="2">
        <v>0</v>
      </c>
      <c r="R427" s="2">
        <v>2.0699999999999998</v>
      </c>
      <c r="S427" t="s">
        <v>792</v>
      </c>
      <c r="U427" t="s">
        <v>803</v>
      </c>
    </row>
    <row r="428" spans="1:21" x14ac:dyDescent="0.6">
      <c r="A428">
        <v>474</v>
      </c>
      <c r="B428" t="str">
        <f>"3032"</f>
        <v>3032</v>
      </c>
      <c r="C428" t="s">
        <v>567</v>
      </c>
      <c r="D428" s="1">
        <v>42923</v>
      </c>
      <c r="E428">
        <v>45.8</v>
      </c>
      <c r="F428">
        <v>-0.9</v>
      </c>
      <c r="G428" s="3">
        <v>-1.9300000000000001E-2</v>
      </c>
      <c r="H428">
        <v>2014</v>
      </c>
      <c r="I428">
        <v>0.48</v>
      </c>
      <c r="J428">
        <v>0.5</v>
      </c>
      <c r="K428">
        <v>0</v>
      </c>
      <c r="L428">
        <v>0.5</v>
      </c>
      <c r="M428" s="3">
        <v>1.09E-2</v>
      </c>
      <c r="N428" s="2">
        <v>0</v>
      </c>
      <c r="O428" s="3">
        <v>1.09E-2</v>
      </c>
      <c r="P428" s="2">
        <v>1.04</v>
      </c>
      <c r="Q428" s="2">
        <v>0</v>
      </c>
      <c r="R428" s="2">
        <v>1.04</v>
      </c>
      <c r="S428" t="s">
        <v>798</v>
      </c>
    </row>
    <row r="429" spans="1:21" x14ac:dyDescent="0.6">
      <c r="A429">
        <v>415</v>
      </c>
      <c r="B429" t="str">
        <f>"2423"</f>
        <v>2423</v>
      </c>
      <c r="C429" t="s">
        <v>502</v>
      </c>
      <c r="D429" s="1">
        <v>42923</v>
      </c>
      <c r="E429">
        <v>23.75</v>
      </c>
      <c r="F429">
        <v>0.05</v>
      </c>
      <c r="G429" s="3">
        <v>2.0999999999999999E-3</v>
      </c>
      <c r="H429">
        <v>2014</v>
      </c>
      <c r="I429">
        <v>1</v>
      </c>
      <c r="J429">
        <v>0.25</v>
      </c>
      <c r="K429">
        <v>0.75</v>
      </c>
      <c r="L429">
        <v>1</v>
      </c>
      <c r="M429" s="3">
        <v>1.0500000000000001E-2</v>
      </c>
      <c r="N429" s="3">
        <v>3.1600000000000003E-2</v>
      </c>
      <c r="O429" s="3">
        <v>4.2099999999999999E-2</v>
      </c>
      <c r="P429" s="2">
        <v>0.25</v>
      </c>
      <c r="Q429" s="2">
        <v>0.75</v>
      </c>
      <c r="R429" s="2">
        <v>1</v>
      </c>
      <c r="S429" t="s">
        <v>839</v>
      </c>
      <c r="T429" t="s">
        <v>839</v>
      </c>
      <c r="U429" t="s">
        <v>842</v>
      </c>
    </row>
    <row r="430" spans="1:21" x14ac:dyDescent="0.6">
      <c r="A430">
        <v>333</v>
      </c>
      <c r="B430" t="str">
        <f>"2539"</f>
        <v>2539</v>
      </c>
      <c r="C430" t="s">
        <v>415</v>
      </c>
      <c r="D430" s="1">
        <v>42923</v>
      </c>
      <c r="E430">
        <v>29.15</v>
      </c>
      <c r="F430">
        <v>-0.05</v>
      </c>
      <c r="G430" s="3">
        <v>-1.6999999999999999E-3</v>
      </c>
      <c r="H430">
        <v>2014</v>
      </c>
      <c r="I430">
        <v>5.27</v>
      </c>
      <c r="J430">
        <v>0.3</v>
      </c>
      <c r="K430">
        <v>2.7</v>
      </c>
      <c r="L430">
        <v>3</v>
      </c>
      <c r="M430" s="3">
        <v>1.03E-2</v>
      </c>
      <c r="N430" s="3">
        <v>9.2600000000000002E-2</v>
      </c>
      <c r="O430" s="3">
        <v>0.10299999999999999</v>
      </c>
      <c r="P430" s="3">
        <v>5.6899999999999999E-2</v>
      </c>
      <c r="Q430" s="3">
        <v>0.51200000000000001</v>
      </c>
      <c r="R430" s="3">
        <v>0.56899999999999995</v>
      </c>
      <c r="S430" t="s">
        <v>832</v>
      </c>
      <c r="T430" t="s">
        <v>832</v>
      </c>
      <c r="U430" t="s">
        <v>807</v>
      </c>
    </row>
    <row r="431" spans="1:21" x14ac:dyDescent="0.6">
      <c r="A431">
        <v>6</v>
      </c>
      <c r="B431" t="str">
        <f>"1463"</f>
        <v>1463</v>
      </c>
      <c r="C431" t="s">
        <v>29</v>
      </c>
      <c r="D431" s="1">
        <v>42923</v>
      </c>
      <c r="E431">
        <v>29.4</v>
      </c>
      <c r="F431">
        <v>-0.05</v>
      </c>
      <c r="G431" s="3">
        <v>-1.6999999999999999E-3</v>
      </c>
      <c r="H431">
        <v>2014</v>
      </c>
      <c r="I431">
        <v>0.33</v>
      </c>
      <c r="J431">
        <v>0.3</v>
      </c>
      <c r="K431">
        <v>0</v>
      </c>
      <c r="L431">
        <v>0.3</v>
      </c>
      <c r="M431" s="3">
        <v>1.0200000000000001E-2</v>
      </c>
      <c r="N431" s="2">
        <v>0</v>
      </c>
      <c r="O431" s="3">
        <v>1.0200000000000001E-2</v>
      </c>
      <c r="P431" s="3">
        <v>0.90900000000000003</v>
      </c>
      <c r="Q431" s="2">
        <v>0</v>
      </c>
      <c r="R431" s="3">
        <v>0.90900000000000003</v>
      </c>
      <c r="S431" t="s">
        <v>798</v>
      </c>
      <c r="U431" t="s">
        <v>799</v>
      </c>
    </row>
    <row r="432" spans="1:21" x14ac:dyDescent="0.6">
      <c r="A432">
        <v>317</v>
      </c>
      <c r="B432" t="str">
        <f>"2495"</f>
        <v>2495</v>
      </c>
      <c r="C432" t="s">
        <v>399</v>
      </c>
      <c r="D432" s="1">
        <v>42923</v>
      </c>
      <c r="E432">
        <v>16.100000000000001</v>
      </c>
      <c r="F432">
        <v>0</v>
      </c>
      <c r="G432" s="2">
        <v>0</v>
      </c>
      <c r="H432">
        <v>2014</v>
      </c>
      <c r="I432">
        <v>0.17</v>
      </c>
      <c r="J432">
        <v>0.15</v>
      </c>
      <c r="K432">
        <v>0</v>
      </c>
      <c r="L432">
        <v>0.15</v>
      </c>
      <c r="M432" s="3">
        <v>9.2999999999999992E-3</v>
      </c>
      <c r="N432" s="2">
        <v>0</v>
      </c>
      <c r="O432" s="3">
        <v>9.2999999999999992E-3</v>
      </c>
      <c r="P432" s="3">
        <v>0.88200000000000001</v>
      </c>
      <c r="Q432" s="2">
        <v>0</v>
      </c>
      <c r="R432" s="3">
        <v>0.88200000000000001</v>
      </c>
      <c r="S432" t="s">
        <v>813</v>
      </c>
    </row>
    <row r="433" spans="1:21" x14ac:dyDescent="0.6">
      <c r="A433">
        <v>65</v>
      </c>
      <c r="B433" t="str">
        <f>"8163"</f>
        <v>8163</v>
      </c>
      <c r="C433" t="s">
        <v>120</v>
      </c>
      <c r="D433" s="1">
        <v>42923</v>
      </c>
      <c r="E433">
        <v>25.25</v>
      </c>
      <c r="F433">
        <v>-0.65</v>
      </c>
      <c r="G433" s="3">
        <v>-2.5100000000000001E-2</v>
      </c>
      <c r="H433">
        <v>2014</v>
      </c>
      <c r="I433">
        <v>0.01</v>
      </c>
      <c r="J433">
        <v>0.2</v>
      </c>
      <c r="K433">
        <v>0</v>
      </c>
      <c r="L433">
        <v>0.2</v>
      </c>
      <c r="M433" s="3">
        <v>7.9000000000000008E-3</v>
      </c>
      <c r="N433" s="2">
        <v>0</v>
      </c>
      <c r="O433" s="3">
        <v>7.9000000000000008E-3</v>
      </c>
      <c r="P433" s="2">
        <v>20</v>
      </c>
      <c r="Q433" s="2">
        <v>0</v>
      </c>
      <c r="R433" s="2">
        <v>20</v>
      </c>
      <c r="S433" t="s">
        <v>815</v>
      </c>
    </row>
    <row r="434" spans="1:21" x14ac:dyDescent="0.6">
      <c r="A434">
        <v>353</v>
      </c>
      <c r="B434" t="str">
        <f>"5603"</f>
        <v>5603</v>
      </c>
      <c r="C434" t="s">
        <v>436</v>
      </c>
      <c r="D434" s="1">
        <v>42923</v>
      </c>
      <c r="E434">
        <v>13</v>
      </c>
      <c r="F434">
        <v>-0.05</v>
      </c>
      <c r="G434" s="3">
        <v>-3.8E-3</v>
      </c>
      <c r="H434">
        <v>2014</v>
      </c>
      <c r="I434">
        <v>0.63</v>
      </c>
      <c r="J434">
        <v>0.1</v>
      </c>
      <c r="K434">
        <v>0.4</v>
      </c>
      <c r="L434">
        <v>0.5</v>
      </c>
      <c r="M434" s="3">
        <v>7.7000000000000002E-3</v>
      </c>
      <c r="N434" s="3">
        <v>3.0700000000000002E-2</v>
      </c>
      <c r="O434" s="3">
        <v>3.8399999999999997E-2</v>
      </c>
      <c r="P434" s="3">
        <v>0.159</v>
      </c>
      <c r="Q434" s="3">
        <v>0.63500000000000001</v>
      </c>
      <c r="R434" s="3">
        <v>0.79400000000000004</v>
      </c>
      <c r="S434" t="s">
        <v>807</v>
      </c>
      <c r="T434" t="s">
        <v>807</v>
      </c>
      <c r="U434" t="s">
        <v>833</v>
      </c>
    </row>
    <row r="435" spans="1:21" x14ac:dyDescent="0.6">
      <c r="A435">
        <v>201</v>
      </c>
      <c r="B435" t="str">
        <f>"3526"</f>
        <v>3526</v>
      </c>
      <c r="C435" t="s">
        <v>279</v>
      </c>
      <c r="D435" s="1">
        <v>42923</v>
      </c>
      <c r="E435">
        <v>76.599999999999994</v>
      </c>
      <c r="F435">
        <v>0.6</v>
      </c>
      <c r="G435" s="3">
        <v>7.9000000000000008E-3</v>
      </c>
      <c r="H435">
        <v>2014</v>
      </c>
      <c r="I435">
        <v>7.0000000000000007E-2</v>
      </c>
      <c r="J435">
        <v>0.5</v>
      </c>
      <c r="K435">
        <v>0</v>
      </c>
      <c r="L435">
        <v>0.5</v>
      </c>
      <c r="M435" s="3">
        <v>6.4999999999999997E-3</v>
      </c>
      <c r="N435" s="2">
        <v>0</v>
      </c>
      <c r="O435" s="3">
        <v>6.4999999999999997E-3</v>
      </c>
      <c r="P435" s="2">
        <v>7.14</v>
      </c>
      <c r="Q435" s="2">
        <v>0</v>
      </c>
      <c r="R435" s="2">
        <v>7.14</v>
      </c>
      <c r="S435" t="s">
        <v>859</v>
      </c>
      <c r="U435" t="s">
        <v>837</v>
      </c>
    </row>
    <row r="436" spans="1:21" x14ac:dyDescent="0.6">
      <c r="A436">
        <v>10</v>
      </c>
      <c r="B436" t="str">
        <f>"1808"</f>
        <v>1808</v>
      </c>
      <c r="C436" t="s">
        <v>35</v>
      </c>
      <c r="D436" s="1">
        <v>42923</v>
      </c>
      <c r="E436">
        <v>48.75</v>
      </c>
      <c r="F436">
        <v>-0.3</v>
      </c>
      <c r="G436" s="3">
        <v>-6.1000000000000004E-3</v>
      </c>
      <c r="H436">
        <v>2014</v>
      </c>
      <c r="I436">
        <v>0.36</v>
      </c>
      <c r="J436">
        <v>0.31</v>
      </c>
      <c r="K436">
        <v>0</v>
      </c>
      <c r="L436">
        <v>0.31</v>
      </c>
      <c r="M436" s="3">
        <v>6.3E-3</v>
      </c>
      <c r="N436" s="2">
        <v>0</v>
      </c>
      <c r="O436" s="3">
        <v>6.3E-3</v>
      </c>
      <c r="P436" s="3">
        <v>0.86099999999999999</v>
      </c>
      <c r="Q436" s="2">
        <v>0</v>
      </c>
      <c r="R436" s="3">
        <v>0.86099999999999999</v>
      </c>
      <c r="S436" t="s">
        <v>805</v>
      </c>
      <c r="U436" t="s">
        <v>803</v>
      </c>
    </row>
    <row r="437" spans="1:21" x14ac:dyDescent="0.6">
      <c r="A437">
        <v>80</v>
      </c>
      <c r="B437" t="str">
        <f>"8049"</f>
        <v>8049</v>
      </c>
      <c r="C437" t="s">
        <v>141</v>
      </c>
      <c r="D437" s="1">
        <v>42923</v>
      </c>
      <c r="E437">
        <v>16.850000000000001</v>
      </c>
      <c r="F437">
        <v>-0.15</v>
      </c>
      <c r="G437" s="3">
        <v>-8.8000000000000005E-3</v>
      </c>
      <c r="H437">
        <v>2014</v>
      </c>
      <c r="I437">
        <v>0.57999999999999996</v>
      </c>
      <c r="J437">
        <v>0.11</v>
      </c>
      <c r="K437">
        <v>0</v>
      </c>
      <c r="L437">
        <v>0.11</v>
      </c>
      <c r="M437" s="3">
        <v>6.1999999999999998E-3</v>
      </c>
      <c r="N437" s="2">
        <v>0</v>
      </c>
      <c r="O437" s="3">
        <v>6.1999999999999998E-3</v>
      </c>
      <c r="P437" s="2">
        <v>0.19</v>
      </c>
      <c r="Q437" s="2">
        <v>0</v>
      </c>
      <c r="R437" s="2">
        <v>0.19</v>
      </c>
      <c r="S437" t="s">
        <v>851</v>
      </c>
      <c r="U437" t="s">
        <v>852</v>
      </c>
    </row>
    <row r="438" spans="1:21" x14ac:dyDescent="0.6">
      <c r="A438">
        <v>431</v>
      </c>
      <c r="B438" t="str">
        <f>"2456"</f>
        <v>2456</v>
      </c>
      <c r="C438" t="s">
        <v>519</v>
      </c>
      <c r="D438" s="1">
        <v>42923</v>
      </c>
      <c r="E438">
        <v>80.2</v>
      </c>
      <c r="F438">
        <v>1.6</v>
      </c>
      <c r="G438" s="3">
        <v>2.0400000000000001E-2</v>
      </c>
      <c r="H438">
        <v>2014</v>
      </c>
      <c r="I438">
        <v>1.82</v>
      </c>
      <c r="J438">
        <v>0.2</v>
      </c>
      <c r="K438">
        <v>0</v>
      </c>
      <c r="L438">
        <v>0.2</v>
      </c>
      <c r="M438" s="3">
        <v>2.5000000000000001E-3</v>
      </c>
      <c r="N438" s="2">
        <v>0</v>
      </c>
      <c r="O438" s="3">
        <v>2.5000000000000001E-3</v>
      </c>
      <c r="P438" s="2">
        <v>0.11</v>
      </c>
      <c r="Q438" s="2">
        <v>0</v>
      </c>
      <c r="R438" s="2">
        <v>0.11</v>
      </c>
      <c r="S438" t="s">
        <v>822</v>
      </c>
      <c r="U438" t="s">
        <v>799</v>
      </c>
    </row>
    <row r="439" spans="1:21" x14ac:dyDescent="0.6">
      <c r="A439">
        <v>239</v>
      </c>
      <c r="B439" t="str">
        <f>"2836"</f>
        <v>2836</v>
      </c>
      <c r="C439" t="s">
        <v>318</v>
      </c>
      <c r="D439" s="1">
        <v>42923</v>
      </c>
      <c r="E439">
        <v>9.9700000000000006</v>
      </c>
      <c r="F439">
        <v>-0.02</v>
      </c>
      <c r="G439" s="3">
        <v>-2E-3</v>
      </c>
      <c r="H439">
        <v>2014</v>
      </c>
      <c r="I439">
        <v>0.57999999999999996</v>
      </c>
      <c r="J439">
        <v>0.02</v>
      </c>
      <c r="K439">
        <v>0.26</v>
      </c>
      <c r="L439">
        <v>0.28000000000000003</v>
      </c>
      <c r="M439" s="3">
        <v>2E-3</v>
      </c>
      <c r="N439" s="3">
        <v>2.6100000000000002E-2</v>
      </c>
      <c r="O439" s="3">
        <v>2.81E-2</v>
      </c>
      <c r="P439" s="3">
        <v>3.4500000000000003E-2</v>
      </c>
      <c r="Q439" s="3">
        <v>0.44800000000000001</v>
      </c>
      <c r="R439" s="3">
        <v>0.48299999999999998</v>
      </c>
      <c r="S439" t="s">
        <v>817</v>
      </c>
      <c r="T439" t="s">
        <v>817</v>
      </c>
      <c r="U439" t="s">
        <v>875</v>
      </c>
    </row>
    <row r="440" spans="1:21" x14ac:dyDescent="0.6">
      <c r="A440">
        <v>280</v>
      </c>
      <c r="B440" t="str">
        <f>"4754"</f>
        <v>4754</v>
      </c>
      <c r="C440" t="s">
        <v>360</v>
      </c>
      <c r="D440" s="1">
        <v>42923</v>
      </c>
      <c r="E440">
        <v>45</v>
      </c>
      <c r="F440">
        <v>0</v>
      </c>
      <c r="G440" s="2">
        <v>0</v>
      </c>
      <c r="H440">
        <v>2014</v>
      </c>
      <c r="I440">
        <v>1.38</v>
      </c>
      <c r="J440">
        <v>0.04</v>
      </c>
      <c r="K440">
        <v>0.36</v>
      </c>
      <c r="L440">
        <v>0.4</v>
      </c>
      <c r="M440" s="3">
        <v>8.9999999999999998E-4</v>
      </c>
      <c r="N440" s="3">
        <v>8.0000000000000002E-3</v>
      </c>
      <c r="O440" s="3">
        <v>8.8999999999999999E-3</v>
      </c>
      <c r="P440" s="3">
        <v>2.9000000000000001E-2</v>
      </c>
      <c r="Q440" s="3">
        <v>0.26100000000000001</v>
      </c>
      <c r="R440" s="2">
        <v>0.28999999999999998</v>
      </c>
      <c r="S440" t="s">
        <v>850</v>
      </c>
      <c r="T440" t="s">
        <v>850</v>
      </c>
      <c r="U440" t="s">
        <v>837</v>
      </c>
    </row>
    <row r="441" spans="1:21" x14ac:dyDescent="0.6">
      <c r="A441">
        <v>5</v>
      </c>
      <c r="B441" t="str">
        <f>"5315"</f>
        <v>5315</v>
      </c>
      <c r="C441" t="s">
        <v>28</v>
      </c>
      <c r="D441" s="1">
        <v>42923</v>
      </c>
      <c r="E441">
        <v>21</v>
      </c>
      <c r="F441">
        <v>-0.35</v>
      </c>
      <c r="G441" s="3">
        <v>-1.6400000000000001E-2</v>
      </c>
      <c r="H441">
        <v>2014</v>
      </c>
      <c r="I441">
        <v>-0.72</v>
      </c>
      <c r="J441">
        <v>0</v>
      </c>
      <c r="K441">
        <v>0</v>
      </c>
      <c r="L441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</row>
    <row r="442" spans="1:21" x14ac:dyDescent="0.6">
      <c r="A442">
        <v>18</v>
      </c>
      <c r="B442" t="str">
        <f>"6235"</f>
        <v>6235</v>
      </c>
      <c r="C442" t="s">
        <v>49</v>
      </c>
      <c r="D442" s="1">
        <v>42923</v>
      </c>
      <c r="E442">
        <v>20.95</v>
      </c>
      <c r="F442">
        <v>0.05</v>
      </c>
      <c r="G442" s="3">
        <v>2.3999999999999998E-3</v>
      </c>
      <c r="H442">
        <v>2014</v>
      </c>
      <c r="I442">
        <v>-0.57999999999999996</v>
      </c>
      <c r="J442">
        <v>0</v>
      </c>
      <c r="K442">
        <v>0</v>
      </c>
      <c r="L44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</row>
    <row r="443" spans="1:21" x14ac:dyDescent="0.6">
      <c r="A443">
        <v>19</v>
      </c>
      <c r="B443" t="str">
        <f>"5371"</f>
        <v>5371</v>
      </c>
      <c r="C443" t="s">
        <v>50</v>
      </c>
      <c r="D443" s="1">
        <v>42923</v>
      </c>
      <c r="E443">
        <v>37.65</v>
      </c>
      <c r="F443">
        <v>-0.8</v>
      </c>
      <c r="G443" s="3">
        <v>-2.0799999999999999E-2</v>
      </c>
      <c r="H443">
        <v>2014</v>
      </c>
      <c r="I443">
        <v>2.68</v>
      </c>
      <c r="J443">
        <v>0</v>
      </c>
      <c r="K443">
        <v>0</v>
      </c>
      <c r="L443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</row>
    <row r="444" spans="1:21" x14ac:dyDescent="0.6">
      <c r="A444">
        <v>64</v>
      </c>
      <c r="B444" t="str">
        <f>"3402"</f>
        <v>3402</v>
      </c>
      <c r="C444" t="s">
        <v>118</v>
      </c>
      <c r="D444" s="1">
        <v>42923</v>
      </c>
      <c r="E444">
        <v>25.25</v>
      </c>
      <c r="F444">
        <v>0.05</v>
      </c>
      <c r="G444" s="3">
        <v>2E-3</v>
      </c>
      <c r="H444">
        <v>2014</v>
      </c>
      <c r="I444">
        <v>0.02</v>
      </c>
      <c r="J444">
        <v>0</v>
      </c>
      <c r="K444">
        <v>0</v>
      </c>
      <c r="L444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</row>
    <row r="445" spans="1:21" x14ac:dyDescent="0.6">
      <c r="A445">
        <v>70</v>
      </c>
      <c r="B445" t="str">
        <f>"6109"</f>
        <v>6109</v>
      </c>
      <c r="C445" t="s">
        <v>129</v>
      </c>
      <c r="D445" s="1">
        <v>42923</v>
      </c>
      <c r="E445">
        <v>12.7</v>
      </c>
      <c r="F445">
        <v>-0.05</v>
      </c>
      <c r="G445" s="3">
        <v>-3.8999999999999998E-3</v>
      </c>
      <c r="H445">
        <v>2014</v>
      </c>
      <c r="I445">
        <v>-0.56000000000000005</v>
      </c>
      <c r="J445">
        <v>0</v>
      </c>
      <c r="K445">
        <v>0</v>
      </c>
      <c r="L445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</row>
    <row r="446" spans="1:21" x14ac:dyDescent="0.6">
      <c r="A446">
        <v>88</v>
      </c>
      <c r="B446" t="str">
        <f>"6104"</f>
        <v>6104</v>
      </c>
      <c r="C446" t="s">
        <v>151</v>
      </c>
      <c r="D446" s="1">
        <v>42923</v>
      </c>
      <c r="E446">
        <v>39.65</v>
      </c>
      <c r="F446">
        <v>0</v>
      </c>
      <c r="G446" s="2">
        <v>0</v>
      </c>
      <c r="H446">
        <v>2014</v>
      </c>
      <c r="I446">
        <v>-2.29</v>
      </c>
      <c r="J446">
        <v>0</v>
      </c>
      <c r="K446">
        <v>0</v>
      </c>
      <c r="L446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</row>
    <row r="447" spans="1:21" x14ac:dyDescent="0.6">
      <c r="A447">
        <v>99</v>
      </c>
      <c r="B447" t="str">
        <f>"6177"</f>
        <v>6177</v>
      </c>
      <c r="C447" t="s">
        <v>162</v>
      </c>
      <c r="D447" s="1">
        <v>42923</v>
      </c>
      <c r="E447">
        <v>26.85</v>
      </c>
      <c r="F447">
        <v>0.25</v>
      </c>
      <c r="G447" s="3">
        <v>9.4000000000000004E-3</v>
      </c>
      <c r="H447">
        <v>2014</v>
      </c>
      <c r="I447">
        <v>0.23</v>
      </c>
      <c r="J447">
        <v>0</v>
      </c>
      <c r="K447">
        <v>0.26</v>
      </c>
      <c r="L447">
        <v>0.26</v>
      </c>
      <c r="M447" s="2">
        <v>0</v>
      </c>
      <c r="N447" s="3">
        <v>9.7000000000000003E-3</v>
      </c>
      <c r="O447" s="3">
        <v>9.7000000000000003E-3</v>
      </c>
      <c r="P447" s="2">
        <v>0</v>
      </c>
      <c r="Q447" s="2">
        <v>1.1299999999999999</v>
      </c>
      <c r="R447" s="2">
        <v>1.1299999999999999</v>
      </c>
      <c r="T447" t="s">
        <v>810</v>
      </c>
    </row>
    <row r="448" spans="1:21" x14ac:dyDescent="0.6">
      <c r="A448">
        <v>125</v>
      </c>
      <c r="B448" t="str">
        <f>"2024"</f>
        <v>2024</v>
      </c>
      <c r="C448" t="s">
        <v>191</v>
      </c>
      <c r="D448" s="1">
        <v>42923</v>
      </c>
      <c r="E448">
        <v>8.5</v>
      </c>
      <c r="F448">
        <v>-0.06</v>
      </c>
      <c r="G448" s="3">
        <v>-7.0000000000000001E-3</v>
      </c>
      <c r="H448">
        <v>2014</v>
      </c>
      <c r="I448">
        <v>0.47</v>
      </c>
      <c r="J448">
        <v>0</v>
      </c>
      <c r="K448">
        <v>0</v>
      </c>
      <c r="L448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</row>
    <row r="449" spans="1:18" x14ac:dyDescent="0.6">
      <c r="A449">
        <v>156</v>
      </c>
      <c r="B449" t="str">
        <f>"1464"</f>
        <v>1464</v>
      </c>
      <c r="C449" t="s">
        <v>225</v>
      </c>
      <c r="D449" s="1">
        <v>42923</v>
      </c>
      <c r="E449">
        <v>29.9</v>
      </c>
      <c r="F449">
        <v>-0.55000000000000004</v>
      </c>
      <c r="G449" s="3">
        <v>-1.8100000000000002E-2</v>
      </c>
      <c r="H449">
        <v>2014</v>
      </c>
      <c r="I449">
        <v>-0.18</v>
      </c>
      <c r="J449">
        <v>0</v>
      </c>
      <c r="K449">
        <v>0</v>
      </c>
      <c r="L449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</row>
    <row r="450" spans="1:18" x14ac:dyDescent="0.6">
      <c r="A450">
        <v>159</v>
      </c>
      <c r="B450" t="str">
        <f>"6294"</f>
        <v>6294</v>
      </c>
      <c r="C450" t="s">
        <v>229</v>
      </c>
      <c r="D450" s="1">
        <v>42923</v>
      </c>
      <c r="E450">
        <v>120</v>
      </c>
      <c r="F450">
        <v>0</v>
      </c>
      <c r="G450" s="2">
        <v>0</v>
      </c>
      <c r="H450">
        <v>2014</v>
      </c>
      <c r="I450">
        <v>0.55000000000000004</v>
      </c>
      <c r="J450">
        <v>0</v>
      </c>
      <c r="K450">
        <v>0</v>
      </c>
      <c r="L450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</row>
    <row r="451" spans="1:18" x14ac:dyDescent="0.6">
      <c r="A451">
        <v>172</v>
      </c>
      <c r="B451" t="str">
        <f>"3675"</f>
        <v>3675</v>
      </c>
      <c r="C451" t="s">
        <v>245</v>
      </c>
      <c r="D451" s="1">
        <v>42923</v>
      </c>
      <c r="E451">
        <v>53</v>
      </c>
      <c r="F451">
        <v>-2.8</v>
      </c>
      <c r="G451" s="3">
        <v>-5.0200000000000002E-2</v>
      </c>
      <c r="H451">
        <v>2014</v>
      </c>
      <c r="I451">
        <v>-0.48</v>
      </c>
      <c r="J451">
        <v>0</v>
      </c>
      <c r="K451">
        <v>0</v>
      </c>
      <c r="L451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</row>
    <row r="452" spans="1:18" x14ac:dyDescent="0.6">
      <c r="A452">
        <v>174</v>
      </c>
      <c r="B452" t="str">
        <f>"1541"</f>
        <v>1541</v>
      </c>
      <c r="C452" t="s">
        <v>248</v>
      </c>
      <c r="D452" s="1">
        <v>42923</v>
      </c>
      <c r="E452">
        <v>50.8</v>
      </c>
      <c r="F452">
        <v>0.2</v>
      </c>
      <c r="G452" s="3">
        <v>4.0000000000000001E-3</v>
      </c>
      <c r="H452">
        <v>2014</v>
      </c>
      <c r="I452">
        <v>-0.28999999999999998</v>
      </c>
      <c r="J452">
        <v>0</v>
      </c>
      <c r="K452">
        <v>0</v>
      </c>
      <c r="L45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1:18" x14ac:dyDescent="0.6">
      <c r="A453">
        <v>186</v>
      </c>
      <c r="B453" t="str">
        <f>"3455"</f>
        <v>3455</v>
      </c>
      <c r="C453" t="s">
        <v>262</v>
      </c>
      <c r="D453" s="1">
        <v>42923</v>
      </c>
      <c r="E453">
        <v>54.9</v>
      </c>
      <c r="F453">
        <v>0.5</v>
      </c>
      <c r="G453" s="3">
        <v>9.1999999999999998E-3</v>
      </c>
      <c r="H453">
        <v>2014</v>
      </c>
      <c r="I453">
        <v>-0.99</v>
      </c>
      <c r="J453">
        <v>0</v>
      </c>
      <c r="K453">
        <v>0</v>
      </c>
      <c r="L453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</row>
    <row r="454" spans="1:18" x14ac:dyDescent="0.6">
      <c r="A454">
        <v>192</v>
      </c>
      <c r="B454" t="str">
        <f>"8928"</f>
        <v>8928</v>
      </c>
      <c r="C454" t="s">
        <v>269</v>
      </c>
      <c r="D454" s="1">
        <v>42923</v>
      </c>
      <c r="E454">
        <v>23.75</v>
      </c>
      <c r="F454">
        <v>2.15</v>
      </c>
      <c r="G454" s="3">
        <v>9.9500000000000005E-2</v>
      </c>
      <c r="H454">
        <v>2014</v>
      </c>
      <c r="I454">
        <v>0.21</v>
      </c>
      <c r="J454">
        <v>0</v>
      </c>
      <c r="K454">
        <v>0</v>
      </c>
      <c r="L454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1:18" x14ac:dyDescent="0.6">
      <c r="A455">
        <v>196</v>
      </c>
      <c r="B455" t="str">
        <f>"8421"</f>
        <v>8421</v>
      </c>
      <c r="C455" t="s">
        <v>273</v>
      </c>
      <c r="D455" s="1">
        <v>42923</v>
      </c>
      <c r="E455">
        <v>18.8</v>
      </c>
      <c r="F455">
        <v>0.2</v>
      </c>
      <c r="G455" s="3">
        <v>1.0800000000000001E-2</v>
      </c>
      <c r="H455">
        <v>2014</v>
      </c>
      <c r="I455">
        <v>-0.96</v>
      </c>
      <c r="J455">
        <v>0</v>
      </c>
      <c r="K455">
        <v>0</v>
      </c>
      <c r="L455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</row>
    <row r="456" spans="1:18" x14ac:dyDescent="0.6">
      <c r="A456">
        <v>210</v>
      </c>
      <c r="B456" t="str">
        <f>"2426"</f>
        <v>2426</v>
      </c>
      <c r="C456" t="s">
        <v>289</v>
      </c>
      <c r="D456" s="1">
        <v>42923</v>
      </c>
      <c r="E456">
        <v>14.3</v>
      </c>
      <c r="F456">
        <v>-0.1</v>
      </c>
      <c r="G456" s="3">
        <v>-6.8999999999999999E-3</v>
      </c>
      <c r="H456">
        <v>2014</v>
      </c>
      <c r="I456">
        <v>-2.75</v>
      </c>
      <c r="J456">
        <v>0</v>
      </c>
      <c r="K456">
        <v>0</v>
      </c>
      <c r="L456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</row>
    <row r="457" spans="1:18" x14ac:dyDescent="0.6">
      <c r="A457">
        <v>222</v>
      </c>
      <c r="B457" t="str">
        <f>"1522"</f>
        <v>1522</v>
      </c>
      <c r="C457" t="s">
        <v>301</v>
      </c>
      <c r="D457" s="1">
        <v>42923</v>
      </c>
      <c r="E457">
        <v>32.6</v>
      </c>
      <c r="F457">
        <v>0</v>
      </c>
      <c r="G457" s="2">
        <v>0</v>
      </c>
      <c r="H457">
        <v>2014</v>
      </c>
      <c r="I457">
        <v>0.2</v>
      </c>
      <c r="J457">
        <v>0</v>
      </c>
      <c r="K457">
        <v>0</v>
      </c>
      <c r="L457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</row>
    <row r="458" spans="1:18" x14ac:dyDescent="0.6">
      <c r="A458">
        <v>252</v>
      </c>
      <c r="B458" t="str">
        <f>"2352"</f>
        <v>2352</v>
      </c>
      <c r="C458" t="s">
        <v>331</v>
      </c>
      <c r="D458" s="1">
        <v>42923</v>
      </c>
      <c r="E458">
        <v>22.25</v>
      </c>
      <c r="F458">
        <v>-0.15</v>
      </c>
      <c r="G458" s="3">
        <v>-6.7000000000000002E-3</v>
      </c>
      <c r="H458">
        <v>2014</v>
      </c>
      <c r="I458">
        <v>0.36</v>
      </c>
      <c r="J458">
        <v>0</v>
      </c>
      <c r="K458">
        <v>0</v>
      </c>
      <c r="L458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</row>
    <row r="459" spans="1:18" x14ac:dyDescent="0.6">
      <c r="A459">
        <v>259</v>
      </c>
      <c r="B459" t="str">
        <f>"3360"</f>
        <v>3360</v>
      </c>
      <c r="C459" t="s">
        <v>338</v>
      </c>
      <c r="D459" s="1">
        <v>42923</v>
      </c>
      <c r="E459">
        <v>20.350000000000001</v>
      </c>
      <c r="F459">
        <v>-0.15</v>
      </c>
      <c r="G459" s="3">
        <v>-7.3000000000000001E-3</v>
      </c>
      <c r="H459">
        <v>2014</v>
      </c>
      <c r="I459">
        <v>-2.4900000000000002</v>
      </c>
      <c r="J459">
        <v>0</v>
      </c>
      <c r="K459">
        <v>0</v>
      </c>
      <c r="L459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</row>
    <row r="460" spans="1:18" x14ac:dyDescent="0.6">
      <c r="A460">
        <v>264</v>
      </c>
      <c r="B460" t="str">
        <f>"6179"</f>
        <v>6179</v>
      </c>
      <c r="C460" t="s">
        <v>344</v>
      </c>
      <c r="D460" s="1">
        <v>42923</v>
      </c>
      <c r="E460">
        <v>49</v>
      </c>
      <c r="F460">
        <v>0.55000000000000004</v>
      </c>
      <c r="G460" s="3">
        <v>1.14E-2</v>
      </c>
      <c r="H460">
        <v>2014</v>
      </c>
      <c r="I460">
        <v>-5.27</v>
      </c>
      <c r="J460">
        <v>0</v>
      </c>
      <c r="K460">
        <v>0</v>
      </c>
      <c r="L460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</row>
    <row r="461" spans="1:18" x14ac:dyDescent="0.6">
      <c r="A461">
        <v>278</v>
      </c>
      <c r="B461" t="str">
        <f>"3296"</f>
        <v>3296</v>
      </c>
      <c r="C461" t="s">
        <v>358</v>
      </c>
      <c r="D461" s="1">
        <v>42923</v>
      </c>
      <c r="E461">
        <v>20.75</v>
      </c>
      <c r="F461">
        <v>-0.45</v>
      </c>
      <c r="G461" s="3">
        <v>-2.12E-2</v>
      </c>
      <c r="H461">
        <v>2014</v>
      </c>
      <c r="I461">
        <v>-0.57999999999999996</v>
      </c>
      <c r="J461">
        <v>0</v>
      </c>
      <c r="K461">
        <v>0</v>
      </c>
      <c r="L461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</row>
    <row r="462" spans="1:18" x14ac:dyDescent="0.6">
      <c r="A462">
        <v>283</v>
      </c>
      <c r="B462" t="str">
        <f>"2530"</f>
        <v>2530</v>
      </c>
      <c r="C462" t="s">
        <v>364</v>
      </c>
      <c r="D462" s="1">
        <v>42923</v>
      </c>
      <c r="E462">
        <v>13.9</v>
      </c>
      <c r="F462">
        <v>-0.05</v>
      </c>
      <c r="G462" s="3">
        <v>-3.5999999999999999E-3</v>
      </c>
      <c r="H462">
        <v>2014</v>
      </c>
      <c r="I462">
        <v>-0.13</v>
      </c>
      <c r="J462">
        <v>0</v>
      </c>
      <c r="K462">
        <v>0</v>
      </c>
      <c r="L46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</row>
    <row r="463" spans="1:18" x14ac:dyDescent="0.6">
      <c r="A463">
        <v>309</v>
      </c>
      <c r="B463" t="str">
        <f>"1598"</f>
        <v>1598</v>
      </c>
      <c r="C463" t="s">
        <v>391</v>
      </c>
      <c r="D463" s="1">
        <v>42923</v>
      </c>
      <c r="E463">
        <v>37.299999999999997</v>
      </c>
      <c r="F463">
        <v>-0.2</v>
      </c>
      <c r="G463" s="3">
        <v>-5.3E-3</v>
      </c>
      <c r="H463">
        <v>2014</v>
      </c>
      <c r="I463">
        <v>0.35</v>
      </c>
      <c r="J463">
        <v>0</v>
      </c>
      <c r="K463">
        <v>0</v>
      </c>
      <c r="L463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</row>
    <row r="464" spans="1:18" x14ac:dyDescent="0.6">
      <c r="A464">
        <v>314</v>
      </c>
      <c r="B464" t="str">
        <f>"2481"</f>
        <v>2481</v>
      </c>
      <c r="C464" t="s">
        <v>396</v>
      </c>
      <c r="D464" s="1">
        <v>42923</v>
      </c>
      <c r="E464">
        <v>17.8</v>
      </c>
      <c r="F464">
        <v>-0.1</v>
      </c>
      <c r="G464" s="3">
        <v>-5.5999999999999999E-3</v>
      </c>
      <c r="H464">
        <v>2014</v>
      </c>
      <c r="I464">
        <v>-0.73</v>
      </c>
      <c r="J464">
        <v>0</v>
      </c>
      <c r="K464">
        <v>0</v>
      </c>
      <c r="L464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</row>
    <row r="465" spans="1:20" x14ac:dyDescent="0.6">
      <c r="A465">
        <v>320</v>
      </c>
      <c r="B465" t="str">
        <f>"6158"</f>
        <v>6158</v>
      </c>
      <c r="C465" t="s">
        <v>402</v>
      </c>
      <c r="D465" s="1">
        <v>42923</v>
      </c>
      <c r="E465">
        <v>21.55</v>
      </c>
      <c r="F465">
        <v>-0.35</v>
      </c>
      <c r="G465" s="3">
        <v>-1.6E-2</v>
      </c>
      <c r="H465">
        <v>2014</v>
      </c>
      <c r="I465">
        <v>-3.43</v>
      </c>
      <c r="J465">
        <v>0</v>
      </c>
      <c r="K465">
        <v>0</v>
      </c>
      <c r="L465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</row>
    <row r="466" spans="1:20" x14ac:dyDescent="0.6">
      <c r="A466">
        <v>322</v>
      </c>
      <c r="B466" t="str">
        <f>"1906"</f>
        <v>1906</v>
      </c>
      <c r="C466" t="s">
        <v>404</v>
      </c>
      <c r="D466" s="1">
        <v>42923</v>
      </c>
      <c r="E466">
        <v>27</v>
      </c>
      <c r="F466">
        <v>1.1000000000000001</v>
      </c>
      <c r="G466" s="3">
        <v>4.2500000000000003E-2</v>
      </c>
      <c r="H466">
        <v>2014</v>
      </c>
      <c r="I466">
        <v>0.03</v>
      </c>
      <c r="J466">
        <v>0</v>
      </c>
      <c r="K466">
        <v>0</v>
      </c>
      <c r="L466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</row>
    <row r="467" spans="1:20" x14ac:dyDescent="0.6">
      <c r="A467">
        <v>339</v>
      </c>
      <c r="B467" t="str">
        <f>"6212"</f>
        <v>6212</v>
      </c>
      <c r="C467" t="s">
        <v>421</v>
      </c>
      <c r="D467" s="1">
        <v>42923</v>
      </c>
      <c r="E467">
        <v>27.5</v>
      </c>
      <c r="F467">
        <v>-0.05</v>
      </c>
      <c r="G467" s="3">
        <v>-1.8E-3</v>
      </c>
      <c r="H467">
        <v>2014</v>
      </c>
      <c r="I467">
        <v>-0.72</v>
      </c>
      <c r="J467">
        <v>0</v>
      </c>
      <c r="K467">
        <v>0</v>
      </c>
      <c r="L467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</row>
    <row r="468" spans="1:20" x14ac:dyDescent="0.6">
      <c r="A468">
        <v>340</v>
      </c>
      <c r="B468" t="str">
        <f>"2359"</f>
        <v>2359</v>
      </c>
      <c r="C468" t="s">
        <v>422</v>
      </c>
      <c r="D468" s="1">
        <v>42923</v>
      </c>
      <c r="E468">
        <v>18.399999999999999</v>
      </c>
      <c r="F468">
        <v>0.2</v>
      </c>
      <c r="G468" s="3">
        <v>1.0999999999999999E-2</v>
      </c>
      <c r="H468">
        <v>2014</v>
      </c>
      <c r="I468">
        <v>0.47</v>
      </c>
      <c r="J468">
        <v>0</v>
      </c>
      <c r="K468">
        <v>0</v>
      </c>
      <c r="L468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</row>
    <row r="469" spans="1:20" x14ac:dyDescent="0.6">
      <c r="A469">
        <v>342</v>
      </c>
      <c r="B469" t="str">
        <f>"1605"</f>
        <v>1605</v>
      </c>
      <c r="C469" t="s">
        <v>424</v>
      </c>
      <c r="D469" s="1">
        <v>42923</v>
      </c>
      <c r="E469">
        <v>12.9</v>
      </c>
      <c r="F469">
        <v>-0.35</v>
      </c>
      <c r="G469" s="3">
        <v>-2.64E-2</v>
      </c>
      <c r="H469">
        <v>2014</v>
      </c>
      <c r="I469">
        <v>-0.77</v>
      </c>
      <c r="J469">
        <v>0</v>
      </c>
      <c r="K469">
        <v>0</v>
      </c>
      <c r="L469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</row>
    <row r="470" spans="1:20" x14ac:dyDescent="0.6">
      <c r="A470">
        <v>359</v>
      </c>
      <c r="B470" t="str">
        <f>"1539"</f>
        <v>1539</v>
      </c>
      <c r="C470" t="s">
        <v>442</v>
      </c>
      <c r="D470" s="1">
        <v>42923</v>
      </c>
      <c r="E470">
        <v>22.35</v>
      </c>
      <c r="F470">
        <v>-0.05</v>
      </c>
      <c r="G470" s="3">
        <v>-2.2000000000000001E-3</v>
      </c>
      <c r="H470">
        <v>2014</v>
      </c>
      <c r="I470">
        <v>1.38</v>
      </c>
      <c r="J470">
        <v>0</v>
      </c>
      <c r="K470">
        <v>0</v>
      </c>
      <c r="L470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</row>
    <row r="471" spans="1:20" x14ac:dyDescent="0.6">
      <c r="A471">
        <v>368</v>
      </c>
      <c r="B471" t="str">
        <f>"8069"</f>
        <v>8069</v>
      </c>
      <c r="C471" t="s">
        <v>451</v>
      </c>
      <c r="D471" s="1">
        <v>42923</v>
      </c>
      <c r="E471">
        <v>28.35</v>
      </c>
      <c r="F471">
        <v>-0.05</v>
      </c>
      <c r="G471" s="3">
        <v>-1.8E-3</v>
      </c>
      <c r="H471">
        <v>2014</v>
      </c>
      <c r="I471">
        <v>0.03</v>
      </c>
      <c r="J471">
        <v>0</v>
      </c>
      <c r="K471">
        <v>0</v>
      </c>
      <c r="L471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</row>
    <row r="472" spans="1:20" x14ac:dyDescent="0.6">
      <c r="A472">
        <v>382</v>
      </c>
      <c r="B472" t="str">
        <f>"2431"</f>
        <v>2431</v>
      </c>
      <c r="C472" t="s">
        <v>466</v>
      </c>
      <c r="D472" s="1">
        <v>42923</v>
      </c>
      <c r="E472">
        <v>14.8</v>
      </c>
      <c r="F472">
        <v>-0.25</v>
      </c>
      <c r="G472" s="3">
        <v>-1.66E-2</v>
      </c>
      <c r="H472">
        <v>2014</v>
      </c>
      <c r="I472">
        <v>0.5</v>
      </c>
      <c r="J472">
        <v>0</v>
      </c>
      <c r="K472">
        <v>0</v>
      </c>
      <c r="L47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</row>
    <row r="473" spans="1:20" x14ac:dyDescent="0.6">
      <c r="A473">
        <v>386</v>
      </c>
      <c r="B473" t="str">
        <f>"8066"</f>
        <v>8066</v>
      </c>
      <c r="C473" t="s">
        <v>470</v>
      </c>
      <c r="D473" s="1">
        <v>42923</v>
      </c>
      <c r="E473">
        <v>115.5</v>
      </c>
      <c r="F473">
        <v>-0.5</v>
      </c>
      <c r="G473" s="3">
        <v>-4.3E-3</v>
      </c>
      <c r="H473">
        <v>2014</v>
      </c>
      <c r="I473">
        <v>0.89</v>
      </c>
      <c r="J473">
        <v>0</v>
      </c>
      <c r="K473">
        <v>0</v>
      </c>
      <c r="L473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</row>
    <row r="474" spans="1:20" x14ac:dyDescent="0.6">
      <c r="A474">
        <v>388</v>
      </c>
      <c r="B474" t="str">
        <f>"4950"</f>
        <v>4950</v>
      </c>
      <c r="C474" t="s">
        <v>472</v>
      </c>
      <c r="D474" s="1">
        <v>42923</v>
      </c>
      <c r="E474">
        <v>19.3</v>
      </c>
      <c r="F474">
        <v>0.05</v>
      </c>
      <c r="G474" s="3">
        <v>2.5999999999999999E-3</v>
      </c>
      <c r="H474">
        <v>2014</v>
      </c>
      <c r="I474">
        <v>-5.83</v>
      </c>
      <c r="J474">
        <v>0</v>
      </c>
      <c r="K474">
        <v>0</v>
      </c>
      <c r="L474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</row>
    <row r="475" spans="1:20" x14ac:dyDescent="0.6">
      <c r="A475">
        <v>404</v>
      </c>
      <c r="B475" t="str">
        <f>"3489"</f>
        <v>3489</v>
      </c>
      <c r="C475" t="s">
        <v>490</v>
      </c>
      <c r="D475" s="1">
        <v>42923</v>
      </c>
      <c r="E475">
        <v>9.8000000000000007</v>
      </c>
      <c r="F475">
        <v>-0.02</v>
      </c>
      <c r="G475" s="3">
        <v>-2E-3</v>
      </c>
      <c r="H475">
        <v>2014</v>
      </c>
      <c r="I475">
        <v>1.1000000000000001</v>
      </c>
      <c r="J475">
        <v>0</v>
      </c>
      <c r="K475">
        <v>0</v>
      </c>
      <c r="L475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</row>
    <row r="476" spans="1:20" x14ac:dyDescent="0.6">
      <c r="A476">
        <v>411</v>
      </c>
      <c r="B476" t="str">
        <f>"5206"</f>
        <v>5206</v>
      </c>
      <c r="C476" t="s">
        <v>498</v>
      </c>
      <c r="D476" s="1">
        <v>42923</v>
      </c>
      <c r="E476">
        <v>9.8699999999999992</v>
      </c>
      <c r="F476">
        <v>-0.03</v>
      </c>
      <c r="G476" s="3">
        <v>-3.0000000000000001E-3</v>
      </c>
      <c r="H476">
        <v>2014</v>
      </c>
      <c r="I476">
        <v>2.21</v>
      </c>
      <c r="J476">
        <v>0</v>
      </c>
      <c r="K476">
        <v>0</v>
      </c>
      <c r="L476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</row>
    <row r="477" spans="1:20" x14ac:dyDescent="0.6">
      <c r="A477">
        <v>453</v>
      </c>
      <c r="B477" t="str">
        <f>"1721"</f>
        <v>1721</v>
      </c>
      <c r="C477" t="s">
        <v>543</v>
      </c>
      <c r="D477" s="1">
        <v>42923</v>
      </c>
      <c r="E477">
        <v>14.35</v>
      </c>
      <c r="F477">
        <v>-0.1</v>
      </c>
      <c r="G477" s="3">
        <v>-6.8999999999999999E-3</v>
      </c>
      <c r="H477">
        <v>2014</v>
      </c>
      <c r="I477">
        <v>0.06</v>
      </c>
      <c r="J477">
        <v>0</v>
      </c>
      <c r="K477">
        <v>0</v>
      </c>
      <c r="L477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</row>
    <row r="478" spans="1:20" x14ac:dyDescent="0.6">
      <c r="A478">
        <v>459</v>
      </c>
      <c r="B478" t="str">
        <f>"2838"</f>
        <v>2838</v>
      </c>
      <c r="C478" t="s">
        <v>550</v>
      </c>
      <c r="D478" s="1">
        <v>42923</v>
      </c>
      <c r="E478">
        <v>9.27</v>
      </c>
      <c r="F478">
        <v>-0.01</v>
      </c>
      <c r="G478" s="3">
        <v>-1.1000000000000001E-3</v>
      </c>
      <c r="H478">
        <v>2014</v>
      </c>
      <c r="I478">
        <v>1.3</v>
      </c>
      <c r="J478">
        <v>0</v>
      </c>
      <c r="K478">
        <v>1.03</v>
      </c>
      <c r="L478">
        <v>1.03</v>
      </c>
      <c r="M478" s="2">
        <v>0</v>
      </c>
      <c r="N478" s="3">
        <v>0.111</v>
      </c>
      <c r="O478" s="3">
        <v>0.111</v>
      </c>
      <c r="P478" s="2">
        <v>0</v>
      </c>
      <c r="Q478" s="3">
        <v>0.79200000000000004</v>
      </c>
      <c r="R478" s="3">
        <v>0.79200000000000004</v>
      </c>
      <c r="T478" t="s">
        <v>854</v>
      </c>
    </row>
    <row r="479" spans="1:20" x14ac:dyDescent="0.6">
      <c r="A479">
        <v>20</v>
      </c>
      <c r="B479" t="str">
        <f>"2936"</f>
        <v>2936</v>
      </c>
      <c r="C479" t="s">
        <v>51</v>
      </c>
      <c r="D479" s="1">
        <v>42923</v>
      </c>
      <c r="E479">
        <v>43.5</v>
      </c>
      <c r="F479">
        <v>-0.4</v>
      </c>
      <c r="G479" s="3">
        <v>-9.1000000000000004E-3</v>
      </c>
      <c r="H479" t="s">
        <v>52</v>
      </c>
    </row>
    <row r="480" spans="1:20" x14ac:dyDescent="0.6">
      <c r="A480">
        <v>52</v>
      </c>
      <c r="B480" t="str">
        <f>"6512"</f>
        <v>6512</v>
      </c>
      <c r="C480" t="s">
        <v>101</v>
      </c>
      <c r="D480" s="1">
        <v>42923</v>
      </c>
      <c r="E480">
        <v>28</v>
      </c>
      <c r="F480">
        <v>0</v>
      </c>
      <c r="G480" s="2">
        <v>0</v>
      </c>
      <c r="H480" t="s">
        <v>52</v>
      </c>
    </row>
    <row r="481" spans="1:8" x14ac:dyDescent="0.6">
      <c r="A481">
        <v>73</v>
      </c>
      <c r="B481" t="str">
        <f>"5276"</f>
        <v>5276</v>
      </c>
      <c r="C481" t="s">
        <v>132</v>
      </c>
      <c r="D481" s="1">
        <v>42923</v>
      </c>
      <c r="E481">
        <v>25.5</v>
      </c>
      <c r="F481">
        <v>0</v>
      </c>
      <c r="G481" s="2">
        <v>0</v>
      </c>
      <c r="H481" t="s">
        <v>52</v>
      </c>
    </row>
    <row r="482" spans="1:8" x14ac:dyDescent="0.6">
      <c r="A482">
        <v>84</v>
      </c>
      <c r="B482" t="str">
        <f>"6470"</f>
        <v>6470</v>
      </c>
      <c r="C482" t="s">
        <v>146</v>
      </c>
      <c r="D482" s="1">
        <v>42923</v>
      </c>
      <c r="E482">
        <v>52.4</v>
      </c>
      <c r="F482">
        <v>-0.6</v>
      </c>
      <c r="G482" s="3">
        <v>-1.1299999999999999E-2</v>
      </c>
      <c r="H482" t="s">
        <v>52</v>
      </c>
    </row>
    <row r="483" spans="1:8" x14ac:dyDescent="0.6">
      <c r="A483">
        <v>93</v>
      </c>
      <c r="B483" t="str">
        <f>"6486"</f>
        <v>6486</v>
      </c>
      <c r="C483" t="s">
        <v>156</v>
      </c>
      <c r="D483" s="1">
        <v>42923</v>
      </c>
      <c r="E483">
        <v>46.8</v>
      </c>
      <c r="F483">
        <v>-1.95</v>
      </c>
      <c r="G483" s="2">
        <v>-0.04</v>
      </c>
      <c r="H483" t="s">
        <v>52</v>
      </c>
    </row>
    <row r="484" spans="1:8" x14ac:dyDescent="0.6">
      <c r="A484">
        <v>119</v>
      </c>
      <c r="B484" t="str">
        <f>"4552"</f>
        <v>4552</v>
      </c>
      <c r="C484" t="s">
        <v>184</v>
      </c>
      <c r="D484" s="1">
        <v>42923</v>
      </c>
      <c r="E484">
        <v>112.5</v>
      </c>
      <c r="F484">
        <v>-0.5</v>
      </c>
      <c r="G484" s="3">
        <v>-4.4000000000000003E-3</v>
      </c>
      <c r="H484" t="s">
        <v>52</v>
      </c>
    </row>
    <row r="485" spans="1:8" x14ac:dyDescent="0.6">
      <c r="A485">
        <v>145</v>
      </c>
      <c r="B485" t="str">
        <f>"8472"</f>
        <v>8472</v>
      </c>
      <c r="C485" t="s">
        <v>213</v>
      </c>
      <c r="D485" s="1">
        <v>42923</v>
      </c>
      <c r="E485">
        <v>40.9</v>
      </c>
      <c r="F485">
        <v>0.05</v>
      </c>
      <c r="G485" s="3">
        <v>1.1999999999999999E-3</v>
      </c>
      <c r="H485" t="s">
        <v>52</v>
      </c>
    </row>
    <row r="486" spans="1:8" x14ac:dyDescent="0.6">
      <c r="A486">
        <v>164</v>
      </c>
      <c r="B486" t="str">
        <f>"4557"</f>
        <v>4557</v>
      </c>
      <c r="C486" t="s">
        <v>236</v>
      </c>
      <c r="D486" s="1">
        <v>42923</v>
      </c>
      <c r="E486">
        <v>75.7</v>
      </c>
      <c r="F486">
        <v>-0.9</v>
      </c>
      <c r="G486" s="3">
        <v>-1.17E-2</v>
      </c>
      <c r="H486" t="s">
        <v>52</v>
      </c>
    </row>
    <row r="487" spans="1:8" x14ac:dyDescent="0.6">
      <c r="A487">
        <v>170</v>
      </c>
      <c r="B487" t="str">
        <f>"6525"</f>
        <v>6525</v>
      </c>
      <c r="C487" t="s">
        <v>243</v>
      </c>
      <c r="D487" s="1">
        <v>42923</v>
      </c>
      <c r="E487">
        <v>58</v>
      </c>
      <c r="F487">
        <v>-0.2</v>
      </c>
      <c r="G487" s="3">
        <v>-3.3999999999999998E-3</v>
      </c>
      <c r="H487" t="s">
        <v>52</v>
      </c>
    </row>
    <row r="488" spans="1:8" x14ac:dyDescent="0.6">
      <c r="A488">
        <v>171</v>
      </c>
      <c r="B488" t="str">
        <f>"6577"</f>
        <v>6577</v>
      </c>
      <c r="C488" t="s">
        <v>244</v>
      </c>
      <c r="D488" s="1">
        <v>42923</v>
      </c>
      <c r="E488">
        <v>62</v>
      </c>
      <c r="F488">
        <v>-0.7</v>
      </c>
      <c r="G488" s="3">
        <v>-1.12E-2</v>
      </c>
      <c r="H488" t="s">
        <v>52</v>
      </c>
    </row>
    <row r="489" spans="1:8" x14ac:dyDescent="0.6">
      <c r="A489">
        <v>214</v>
      </c>
      <c r="B489" t="str">
        <f>"2739"</f>
        <v>2739</v>
      </c>
      <c r="C489" t="s">
        <v>293</v>
      </c>
      <c r="D489" s="1">
        <v>42923</v>
      </c>
      <c r="E489">
        <v>35.5</v>
      </c>
      <c r="F489">
        <v>-0.5</v>
      </c>
      <c r="G489" s="3">
        <v>-1.3899999999999999E-2</v>
      </c>
      <c r="H489" t="s">
        <v>52</v>
      </c>
    </row>
    <row r="490" spans="1:8" x14ac:dyDescent="0.6">
      <c r="A490">
        <v>226</v>
      </c>
      <c r="B490" t="str">
        <f>"2069"</f>
        <v>2069</v>
      </c>
      <c r="C490" t="s">
        <v>305</v>
      </c>
      <c r="D490" s="1">
        <v>42923</v>
      </c>
      <c r="E490">
        <v>27.05</v>
      </c>
      <c r="F490">
        <v>-0.45</v>
      </c>
      <c r="G490" s="3">
        <v>-1.6400000000000001E-2</v>
      </c>
      <c r="H490" t="s">
        <v>52</v>
      </c>
    </row>
    <row r="491" spans="1:8" x14ac:dyDescent="0.6">
      <c r="A491">
        <v>234</v>
      </c>
      <c r="B491" t="str">
        <f>"8463"</f>
        <v>8463</v>
      </c>
      <c r="C491" t="s">
        <v>313</v>
      </c>
      <c r="D491" s="1">
        <v>42923</v>
      </c>
      <c r="E491">
        <v>18.2</v>
      </c>
      <c r="F491">
        <v>-0.1</v>
      </c>
      <c r="G491" s="3">
        <v>-5.4999999999999997E-3</v>
      </c>
      <c r="H491" t="s">
        <v>52</v>
      </c>
    </row>
    <row r="492" spans="1:8" x14ac:dyDescent="0.6">
      <c r="A492">
        <v>272</v>
      </c>
      <c r="B492" t="str">
        <f>"6494"</f>
        <v>6494</v>
      </c>
      <c r="C492" t="s">
        <v>352</v>
      </c>
      <c r="D492" s="1">
        <v>42923</v>
      </c>
      <c r="E492">
        <v>51.5</v>
      </c>
      <c r="F492">
        <v>0.2</v>
      </c>
      <c r="G492" s="3">
        <v>3.8999999999999998E-3</v>
      </c>
      <c r="H492" t="s">
        <v>52</v>
      </c>
    </row>
    <row r="493" spans="1:8" x14ac:dyDescent="0.6">
      <c r="A493">
        <v>277</v>
      </c>
      <c r="B493" t="str">
        <f>"6582"</f>
        <v>6582</v>
      </c>
      <c r="C493" t="s">
        <v>357</v>
      </c>
      <c r="D493" s="1">
        <v>42923</v>
      </c>
      <c r="E493">
        <v>69.099999999999994</v>
      </c>
      <c r="F493">
        <v>0.2</v>
      </c>
      <c r="G493" s="3">
        <v>2.8999999999999998E-3</v>
      </c>
      <c r="H493" t="s">
        <v>52</v>
      </c>
    </row>
    <row r="494" spans="1:8" x14ac:dyDescent="0.6">
      <c r="A494">
        <v>312</v>
      </c>
      <c r="B494" t="str">
        <f>"8466"</f>
        <v>8466</v>
      </c>
      <c r="C494" t="s">
        <v>394</v>
      </c>
      <c r="D494" s="1">
        <v>42923</v>
      </c>
      <c r="E494">
        <v>124.5</v>
      </c>
      <c r="F494">
        <v>-1.5</v>
      </c>
      <c r="G494" s="3">
        <v>-1.1900000000000001E-2</v>
      </c>
      <c r="H494" t="s">
        <v>52</v>
      </c>
    </row>
    <row r="495" spans="1:8" x14ac:dyDescent="0.6">
      <c r="A495">
        <v>338</v>
      </c>
      <c r="B495" t="str">
        <f>"8481"</f>
        <v>8481</v>
      </c>
      <c r="C495" t="s">
        <v>420</v>
      </c>
      <c r="D495" s="1">
        <v>42923</v>
      </c>
      <c r="E495">
        <v>40.299999999999997</v>
      </c>
      <c r="F495">
        <v>-0.2</v>
      </c>
      <c r="G495" s="3">
        <v>-4.8999999999999998E-3</v>
      </c>
      <c r="H495" t="s">
        <v>52</v>
      </c>
    </row>
    <row r="496" spans="1:8" x14ac:dyDescent="0.6">
      <c r="A496">
        <v>341</v>
      </c>
      <c r="B496" t="str">
        <f>"4804"</f>
        <v>4804</v>
      </c>
      <c r="C496" t="s">
        <v>423</v>
      </c>
      <c r="D496" s="1">
        <v>42923</v>
      </c>
      <c r="E496">
        <v>55.2</v>
      </c>
      <c r="F496">
        <v>-0.2</v>
      </c>
      <c r="G496" s="3">
        <v>-3.5999999999999999E-3</v>
      </c>
      <c r="H496" t="s">
        <v>52</v>
      </c>
    </row>
    <row r="497" spans="1:8" x14ac:dyDescent="0.6">
      <c r="A497">
        <v>357</v>
      </c>
      <c r="B497" t="str">
        <f>"6496"</f>
        <v>6496</v>
      </c>
      <c r="C497" t="s">
        <v>440</v>
      </c>
      <c r="D497" s="1">
        <v>42923</v>
      </c>
      <c r="E497">
        <v>74.400000000000006</v>
      </c>
      <c r="F497">
        <v>-0.8</v>
      </c>
      <c r="G497" s="3">
        <v>-1.06E-2</v>
      </c>
      <c r="H497" t="s">
        <v>52</v>
      </c>
    </row>
    <row r="498" spans="1:8" x14ac:dyDescent="0.6">
      <c r="A498">
        <v>389</v>
      </c>
      <c r="B498" t="str">
        <f>"8473"</f>
        <v>8473</v>
      </c>
      <c r="C498" t="s">
        <v>473</v>
      </c>
      <c r="D498" s="1">
        <v>42923</v>
      </c>
      <c r="E498">
        <v>61.8</v>
      </c>
      <c r="F498">
        <v>0.1</v>
      </c>
      <c r="G498" s="3">
        <v>1.6000000000000001E-3</v>
      </c>
      <c r="H498" t="s">
        <v>52</v>
      </c>
    </row>
    <row r="499" spans="1:8" x14ac:dyDescent="0.6">
      <c r="A499">
        <v>406</v>
      </c>
      <c r="B499" t="str">
        <f>"8488"</f>
        <v>8488</v>
      </c>
      <c r="C499" t="s">
        <v>492</v>
      </c>
      <c r="D499" s="1">
        <v>42923</v>
      </c>
      <c r="E499">
        <v>39.25</v>
      </c>
      <c r="F499">
        <v>0.05</v>
      </c>
      <c r="G499" s="3">
        <v>1.2999999999999999E-3</v>
      </c>
      <c r="H499" t="s">
        <v>52</v>
      </c>
    </row>
    <row r="500" spans="1:8" x14ac:dyDescent="0.6">
      <c r="A500">
        <v>460</v>
      </c>
      <c r="B500" t="str">
        <f>"4190"</f>
        <v>4190</v>
      </c>
      <c r="C500" t="s">
        <v>551</v>
      </c>
      <c r="D500" s="1">
        <v>42923</v>
      </c>
      <c r="E500">
        <v>72.099999999999994</v>
      </c>
      <c r="F500">
        <v>-0.9</v>
      </c>
      <c r="G500" s="3">
        <v>-1.23E-2</v>
      </c>
      <c r="H500" t="s">
        <v>52</v>
      </c>
    </row>
    <row r="501" spans="1:8" x14ac:dyDescent="0.6">
      <c r="A501">
        <v>500</v>
      </c>
      <c r="B501" t="str">
        <f>"8467"</f>
        <v>8467</v>
      </c>
      <c r="C501" t="s">
        <v>594</v>
      </c>
      <c r="D501" s="1">
        <v>42923</v>
      </c>
      <c r="E501">
        <v>33.1</v>
      </c>
      <c r="F501">
        <v>-0.05</v>
      </c>
      <c r="G501" s="3">
        <v>-1.5E-3</v>
      </c>
      <c r="H501" t="s">
        <v>52</v>
      </c>
    </row>
  </sheetData>
  <sortState ref="A2:U501">
    <sortCondition descending="1" ref="M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A1:U501"/>
    </sheetView>
  </sheetViews>
  <sheetFormatPr defaultRowHeight="16.5" x14ac:dyDescent="0.6"/>
  <cols>
    <col min="1" max="1" width="5.15625" bestFit="1" customWidth="1"/>
    <col min="2" max="2" width="6.3671875" bestFit="1" customWidth="1"/>
    <col min="3" max="3" width="11.578125" bestFit="1" customWidth="1"/>
    <col min="4" max="4" width="9.3671875" bestFit="1" customWidth="1"/>
    <col min="5" max="5" width="5.9453125" bestFit="1" customWidth="1"/>
    <col min="6" max="7" width="7.26171875" bestFit="1" customWidth="1"/>
    <col min="8" max="8" width="13.7890625" bestFit="1" customWidth="1"/>
    <col min="9" max="9" width="8.578125" bestFit="1" customWidth="1"/>
    <col min="10" max="12" width="9.3671875" bestFit="1" customWidth="1"/>
    <col min="13" max="17" width="11.578125" bestFit="1" customWidth="1"/>
    <col min="18" max="18" width="13.7890625" bestFit="1" customWidth="1"/>
    <col min="19" max="20" width="11.578125" bestFit="1" customWidth="1"/>
    <col min="21" max="21" width="15.9453125" bestFit="1" customWidth="1"/>
  </cols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6">
      <c r="A2">
        <v>216</v>
      </c>
      <c r="B2" t="str">
        <f>"5508"</f>
        <v>5508</v>
      </c>
      <c r="C2" t="s">
        <v>295</v>
      </c>
      <c r="D2" s="1">
        <v>42923</v>
      </c>
      <c r="E2">
        <v>29.2</v>
      </c>
      <c r="F2">
        <v>-0.35</v>
      </c>
      <c r="G2" s="3">
        <v>-1.18E-2</v>
      </c>
      <c r="H2">
        <v>2013</v>
      </c>
      <c r="I2">
        <v>12.01</v>
      </c>
      <c r="J2">
        <v>10.77</v>
      </c>
      <c r="K2">
        <v>0</v>
      </c>
      <c r="L2">
        <v>10.77</v>
      </c>
      <c r="M2" s="3">
        <v>0.36899999999999999</v>
      </c>
      <c r="N2" s="2">
        <v>0</v>
      </c>
      <c r="O2" s="3">
        <v>0.36899999999999999</v>
      </c>
      <c r="P2" s="3">
        <v>0.89700000000000002</v>
      </c>
      <c r="Q2" s="2">
        <v>0</v>
      </c>
      <c r="R2" s="3">
        <v>0.89700000000000002</v>
      </c>
      <c r="S2" t="s">
        <v>36</v>
      </c>
    </row>
    <row r="3" spans="1:21" x14ac:dyDescent="0.6">
      <c r="A3">
        <v>9</v>
      </c>
      <c r="B3" t="str">
        <f>"2545"</f>
        <v>2545</v>
      </c>
      <c r="C3" t="s">
        <v>33</v>
      </c>
      <c r="D3" s="1">
        <v>42923</v>
      </c>
      <c r="E3">
        <v>42.4</v>
      </c>
      <c r="F3">
        <v>0.15</v>
      </c>
      <c r="G3" s="3">
        <v>3.5999999999999999E-3</v>
      </c>
      <c r="H3">
        <v>2013</v>
      </c>
      <c r="I3">
        <v>14.76</v>
      </c>
      <c r="J3">
        <v>7.5</v>
      </c>
      <c r="K3">
        <v>0</v>
      </c>
      <c r="L3">
        <v>7.5</v>
      </c>
      <c r="M3" s="3">
        <v>0.17699999999999999</v>
      </c>
      <c r="N3" s="2">
        <v>0</v>
      </c>
      <c r="O3" s="3">
        <v>0.17699999999999999</v>
      </c>
      <c r="P3" s="3">
        <v>0.50800000000000001</v>
      </c>
      <c r="Q3" s="2">
        <v>0</v>
      </c>
      <c r="R3" s="3">
        <v>0.50800000000000001</v>
      </c>
      <c r="S3" t="s">
        <v>34</v>
      </c>
    </row>
    <row r="4" spans="1:21" x14ac:dyDescent="0.6">
      <c r="A4">
        <v>437</v>
      </c>
      <c r="B4" t="str">
        <f>"3058"</f>
        <v>3058</v>
      </c>
      <c r="C4" t="s">
        <v>527</v>
      </c>
      <c r="D4" s="1">
        <v>42923</v>
      </c>
      <c r="E4">
        <v>10.1</v>
      </c>
      <c r="F4">
        <v>-0.15</v>
      </c>
      <c r="G4" s="3">
        <v>-1.46E-2</v>
      </c>
      <c r="H4">
        <v>2013</v>
      </c>
      <c r="I4">
        <v>2.4500000000000002</v>
      </c>
      <c r="J4">
        <v>1.74</v>
      </c>
      <c r="K4">
        <v>0</v>
      </c>
      <c r="L4">
        <v>1.74</v>
      </c>
      <c r="M4" s="3">
        <v>0.17199999999999999</v>
      </c>
      <c r="N4" s="2">
        <v>0</v>
      </c>
      <c r="O4" s="3">
        <v>0.17199999999999999</v>
      </c>
      <c r="P4" s="2">
        <v>0.71</v>
      </c>
      <c r="Q4" s="2">
        <v>0</v>
      </c>
      <c r="R4" s="2">
        <v>0.71</v>
      </c>
      <c r="S4" t="s">
        <v>78</v>
      </c>
    </row>
    <row r="5" spans="1:21" x14ac:dyDescent="0.6">
      <c r="A5">
        <v>77</v>
      </c>
      <c r="B5" t="str">
        <f>"3211"</f>
        <v>3211</v>
      </c>
      <c r="C5" t="s">
        <v>137</v>
      </c>
      <c r="D5" s="1">
        <v>42923</v>
      </c>
      <c r="E5">
        <v>38.549999999999997</v>
      </c>
      <c r="F5">
        <v>-0.55000000000000004</v>
      </c>
      <c r="G5" s="3">
        <v>-1.41E-2</v>
      </c>
      <c r="H5">
        <v>2013</v>
      </c>
      <c r="I5">
        <v>10.26</v>
      </c>
      <c r="J5">
        <v>6.5</v>
      </c>
      <c r="K5">
        <v>0</v>
      </c>
      <c r="L5">
        <v>6.5</v>
      </c>
      <c r="M5" s="3">
        <v>0.16900000000000001</v>
      </c>
      <c r="N5" s="2">
        <v>0</v>
      </c>
      <c r="O5" s="3">
        <v>0.16900000000000001</v>
      </c>
      <c r="P5" s="3">
        <v>0.63400000000000001</v>
      </c>
      <c r="Q5" s="2">
        <v>0</v>
      </c>
      <c r="R5" s="3">
        <v>0.63400000000000001</v>
      </c>
      <c r="S5" t="s">
        <v>24</v>
      </c>
    </row>
    <row r="6" spans="1:21" x14ac:dyDescent="0.6">
      <c r="A6">
        <v>42</v>
      </c>
      <c r="B6" t="str">
        <f>"4973"</f>
        <v>4973</v>
      </c>
      <c r="C6" t="s">
        <v>86</v>
      </c>
      <c r="D6" s="1">
        <v>42923</v>
      </c>
      <c r="E6">
        <v>21.65</v>
      </c>
      <c r="F6">
        <v>-0.25</v>
      </c>
      <c r="G6" s="3">
        <v>-1.14E-2</v>
      </c>
      <c r="H6">
        <v>2013</v>
      </c>
      <c r="I6">
        <v>4.6500000000000004</v>
      </c>
      <c r="J6">
        <v>3.5</v>
      </c>
      <c r="K6">
        <v>0</v>
      </c>
      <c r="L6">
        <v>3.5</v>
      </c>
      <c r="M6" s="3">
        <v>0.16200000000000001</v>
      </c>
      <c r="N6" s="2">
        <v>0</v>
      </c>
      <c r="O6" s="3">
        <v>0.16200000000000001</v>
      </c>
      <c r="P6" s="3">
        <v>0.753</v>
      </c>
      <c r="Q6" s="2">
        <v>0</v>
      </c>
      <c r="R6" s="3">
        <v>0.753</v>
      </c>
      <c r="S6" t="s">
        <v>87</v>
      </c>
    </row>
    <row r="7" spans="1:21" x14ac:dyDescent="0.6">
      <c r="A7">
        <v>34</v>
      </c>
      <c r="B7" t="str">
        <f>"5534"</f>
        <v>5534</v>
      </c>
      <c r="C7" t="s">
        <v>72</v>
      </c>
      <c r="D7" s="1">
        <v>42923</v>
      </c>
      <c r="E7">
        <v>69.5</v>
      </c>
      <c r="F7">
        <v>-0.3</v>
      </c>
      <c r="G7" s="3">
        <v>-4.3E-3</v>
      </c>
      <c r="H7">
        <v>2013</v>
      </c>
      <c r="I7">
        <v>21.28</v>
      </c>
      <c r="J7">
        <v>9.9700000000000006</v>
      </c>
      <c r="K7">
        <v>0</v>
      </c>
      <c r="L7">
        <v>9.9700000000000006</v>
      </c>
      <c r="M7" s="3">
        <v>0.14399999999999999</v>
      </c>
      <c r="N7" s="2">
        <v>0</v>
      </c>
      <c r="O7" s="3">
        <v>0.14399999999999999</v>
      </c>
      <c r="P7" s="3">
        <v>0.46800000000000003</v>
      </c>
      <c r="Q7" s="2">
        <v>0</v>
      </c>
      <c r="R7" s="3">
        <v>0.46800000000000003</v>
      </c>
      <c r="S7" t="s">
        <v>73</v>
      </c>
    </row>
    <row r="8" spans="1:21" x14ac:dyDescent="0.6">
      <c r="A8">
        <v>491</v>
      </c>
      <c r="B8" t="str">
        <f>"3060"</f>
        <v>3060</v>
      </c>
      <c r="C8" t="s">
        <v>584</v>
      </c>
      <c r="D8" s="1">
        <v>42923</v>
      </c>
      <c r="E8">
        <v>31.8</v>
      </c>
      <c r="F8">
        <v>-0.8</v>
      </c>
      <c r="G8" s="3">
        <v>-2.4500000000000001E-2</v>
      </c>
      <c r="H8">
        <v>2013</v>
      </c>
      <c r="I8">
        <v>6.15</v>
      </c>
      <c r="J8">
        <v>4.4800000000000004</v>
      </c>
      <c r="K8">
        <v>0</v>
      </c>
      <c r="L8">
        <v>4.4800000000000004</v>
      </c>
      <c r="M8" s="3">
        <v>0.14099999999999999</v>
      </c>
      <c r="N8" s="2">
        <v>0</v>
      </c>
      <c r="O8" s="3">
        <v>0.14099999999999999</v>
      </c>
      <c r="P8" s="3">
        <v>0.72799999999999998</v>
      </c>
      <c r="Q8" s="2">
        <v>0</v>
      </c>
      <c r="R8" s="3">
        <v>0.72799999999999998</v>
      </c>
      <c r="S8" t="s">
        <v>585</v>
      </c>
    </row>
    <row r="9" spans="1:21" x14ac:dyDescent="0.6">
      <c r="A9">
        <v>28</v>
      </c>
      <c r="B9" t="str">
        <f>"2538"</f>
        <v>2538</v>
      </c>
      <c r="C9" t="s">
        <v>62</v>
      </c>
      <c r="D9" s="1">
        <v>42923</v>
      </c>
      <c r="E9">
        <v>11.3</v>
      </c>
      <c r="F9">
        <v>0</v>
      </c>
      <c r="G9" s="2">
        <v>0</v>
      </c>
      <c r="H9">
        <v>2013</v>
      </c>
      <c r="I9">
        <v>2.06</v>
      </c>
      <c r="J9">
        <v>1.47</v>
      </c>
      <c r="K9">
        <v>0</v>
      </c>
      <c r="L9">
        <v>1.47</v>
      </c>
      <c r="M9" s="2">
        <v>0.13</v>
      </c>
      <c r="N9" s="2">
        <v>0</v>
      </c>
      <c r="O9" s="2">
        <v>0.13</v>
      </c>
      <c r="P9" s="3">
        <v>0.71399999999999997</v>
      </c>
      <c r="Q9" s="2">
        <v>0</v>
      </c>
      <c r="R9" s="3">
        <v>0.71399999999999997</v>
      </c>
      <c r="S9" t="s">
        <v>24</v>
      </c>
    </row>
    <row r="10" spans="1:21" x14ac:dyDescent="0.6">
      <c r="A10">
        <v>51</v>
      </c>
      <c r="B10" t="str">
        <f>"2489"</f>
        <v>2489</v>
      </c>
      <c r="C10" t="s">
        <v>100</v>
      </c>
      <c r="D10" s="1">
        <v>42923</v>
      </c>
      <c r="E10">
        <v>20.8</v>
      </c>
      <c r="F10">
        <v>-0.05</v>
      </c>
      <c r="G10" s="3">
        <v>-2.3999999999999998E-3</v>
      </c>
      <c r="H10">
        <v>2013</v>
      </c>
      <c r="I10">
        <v>2.19</v>
      </c>
      <c r="J10">
        <v>2.4900000000000002</v>
      </c>
      <c r="K10">
        <v>0</v>
      </c>
      <c r="L10">
        <v>2.4900000000000002</v>
      </c>
      <c r="M10" s="2">
        <v>0.12</v>
      </c>
      <c r="N10" s="2">
        <v>0</v>
      </c>
      <c r="O10" s="2">
        <v>0.12</v>
      </c>
      <c r="P10" s="2">
        <v>1.1399999999999999</v>
      </c>
      <c r="Q10" s="2">
        <v>0</v>
      </c>
      <c r="R10" s="2">
        <v>1.1399999999999999</v>
      </c>
      <c r="S10" t="s">
        <v>31</v>
      </c>
    </row>
    <row r="11" spans="1:21" x14ac:dyDescent="0.6">
      <c r="A11">
        <v>152</v>
      </c>
      <c r="B11" t="str">
        <f>"6176"</f>
        <v>6176</v>
      </c>
      <c r="C11" t="s">
        <v>221</v>
      </c>
      <c r="D11" s="1">
        <v>42923</v>
      </c>
      <c r="E11">
        <v>66.900000000000006</v>
      </c>
      <c r="F11">
        <v>-0.6</v>
      </c>
      <c r="G11" s="3">
        <v>-8.8999999999999999E-3</v>
      </c>
      <c r="H11">
        <v>2013</v>
      </c>
      <c r="I11">
        <v>12.05</v>
      </c>
      <c r="J11">
        <v>8</v>
      </c>
      <c r="K11">
        <v>0.3</v>
      </c>
      <c r="L11">
        <v>8.3000000000000007</v>
      </c>
      <c r="M11" s="2">
        <v>0.12</v>
      </c>
      <c r="N11" s="3">
        <v>4.4999999999999997E-3</v>
      </c>
      <c r="O11" s="3">
        <v>0.124</v>
      </c>
      <c r="P11" s="3">
        <v>0.66400000000000003</v>
      </c>
      <c r="Q11" s="3">
        <v>2.4899999999999999E-2</v>
      </c>
      <c r="R11" s="3">
        <v>0.68899999999999995</v>
      </c>
      <c r="S11" t="s">
        <v>95</v>
      </c>
      <c r="T11" t="s">
        <v>95</v>
      </c>
    </row>
    <row r="12" spans="1:21" x14ac:dyDescent="0.6">
      <c r="A12">
        <v>247</v>
      </c>
      <c r="B12" t="str">
        <f>"5251"</f>
        <v>5251</v>
      </c>
      <c r="C12" t="s">
        <v>326</v>
      </c>
      <c r="D12" s="1">
        <v>42923</v>
      </c>
      <c r="E12">
        <v>33.6</v>
      </c>
      <c r="F12">
        <v>-1</v>
      </c>
      <c r="G12" s="3">
        <v>-2.8899999999999999E-2</v>
      </c>
      <c r="H12">
        <v>2013</v>
      </c>
      <c r="I12">
        <v>5.54</v>
      </c>
      <c r="J12">
        <v>4</v>
      </c>
      <c r="K12">
        <v>0</v>
      </c>
      <c r="L12">
        <v>4</v>
      </c>
      <c r="M12" s="3">
        <v>0.11899999999999999</v>
      </c>
      <c r="N12" s="2">
        <v>0</v>
      </c>
      <c r="O12" s="3">
        <v>0.11899999999999999</v>
      </c>
      <c r="P12" s="3">
        <v>0.72199999999999998</v>
      </c>
      <c r="Q12" s="2">
        <v>0</v>
      </c>
      <c r="R12" s="3">
        <v>0.72199999999999998</v>
      </c>
      <c r="S12" t="s">
        <v>34</v>
      </c>
    </row>
    <row r="13" spans="1:21" x14ac:dyDescent="0.6">
      <c r="A13">
        <v>227</v>
      </c>
      <c r="B13" t="str">
        <f>"2904"</f>
        <v>2904</v>
      </c>
      <c r="C13" t="s">
        <v>306</v>
      </c>
      <c r="D13" s="1">
        <v>42923</v>
      </c>
      <c r="E13">
        <v>22.2</v>
      </c>
      <c r="F13">
        <v>0.2</v>
      </c>
      <c r="G13" s="3">
        <v>9.1000000000000004E-3</v>
      </c>
      <c r="H13">
        <v>2013</v>
      </c>
      <c r="I13">
        <v>2.9</v>
      </c>
      <c r="J13">
        <v>2.6</v>
      </c>
      <c r="K13">
        <v>0</v>
      </c>
      <c r="L13">
        <v>2.6</v>
      </c>
      <c r="M13" s="3">
        <v>0.11700000000000001</v>
      </c>
      <c r="N13" s="2">
        <v>0</v>
      </c>
      <c r="O13" s="3">
        <v>0.11700000000000001</v>
      </c>
      <c r="P13" s="3">
        <v>0.89700000000000002</v>
      </c>
      <c r="Q13" s="2">
        <v>0</v>
      </c>
      <c r="R13" s="3">
        <v>0.89700000000000002</v>
      </c>
      <c r="S13" t="s">
        <v>40</v>
      </c>
    </row>
    <row r="14" spans="1:21" x14ac:dyDescent="0.6">
      <c r="A14">
        <v>484</v>
      </c>
      <c r="B14" t="str">
        <f>"2374"</f>
        <v>2374</v>
      </c>
      <c r="C14" t="s">
        <v>577</v>
      </c>
      <c r="D14" s="1">
        <v>42923</v>
      </c>
      <c r="E14">
        <v>18.850000000000001</v>
      </c>
      <c r="F14">
        <v>-0.15</v>
      </c>
      <c r="G14" s="3">
        <v>-7.9000000000000008E-3</v>
      </c>
      <c r="H14">
        <v>2013</v>
      </c>
      <c r="I14">
        <v>3.02</v>
      </c>
      <c r="J14">
        <v>2.2000000000000002</v>
      </c>
      <c r="K14">
        <v>0</v>
      </c>
      <c r="L14">
        <v>2.2000000000000002</v>
      </c>
      <c r="M14" s="3">
        <v>0.11700000000000001</v>
      </c>
      <c r="N14" s="2">
        <v>0</v>
      </c>
      <c r="O14" s="3">
        <v>0.11700000000000001</v>
      </c>
      <c r="P14" s="3">
        <v>0.72799999999999998</v>
      </c>
      <c r="Q14" s="2">
        <v>0</v>
      </c>
      <c r="R14" s="3">
        <v>0.72799999999999998</v>
      </c>
      <c r="S14" t="s">
        <v>110</v>
      </c>
    </row>
    <row r="15" spans="1:21" x14ac:dyDescent="0.6">
      <c r="A15">
        <v>496</v>
      </c>
      <c r="B15" t="str">
        <f>"2852"</f>
        <v>2852</v>
      </c>
      <c r="C15" t="s">
        <v>590</v>
      </c>
      <c r="D15" s="1">
        <v>42923</v>
      </c>
      <c r="E15">
        <v>13.9</v>
      </c>
      <c r="F15">
        <v>0</v>
      </c>
      <c r="G15" s="2">
        <v>0</v>
      </c>
      <c r="H15">
        <v>2013</v>
      </c>
      <c r="I15">
        <v>2.1</v>
      </c>
      <c r="J15">
        <v>1.5</v>
      </c>
      <c r="K15">
        <v>0</v>
      </c>
      <c r="L15">
        <v>1.5</v>
      </c>
      <c r="M15" s="3">
        <v>0.108</v>
      </c>
      <c r="N15" s="2">
        <v>0</v>
      </c>
      <c r="O15" s="3">
        <v>0.108</v>
      </c>
      <c r="P15" s="3">
        <v>0.71399999999999997</v>
      </c>
      <c r="Q15" s="2">
        <v>0</v>
      </c>
      <c r="R15" s="3">
        <v>0.71399999999999997</v>
      </c>
      <c r="S15" t="s">
        <v>82</v>
      </c>
    </row>
    <row r="16" spans="1:21" x14ac:dyDescent="0.6">
      <c r="A16">
        <v>55</v>
      </c>
      <c r="B16" t="str">
        <f>"2535"</f>
        <v>2535</v>
      </c>
      <c r="C16" t="s">
        <v>106</v>
      </c>
      <c r="D16" s="1">
        <v>42923</v>
      </c>
      <c r="E16">
        <v>19.7</v>
      </c>
      <c r="F16">
        <v>-0.05</v>
      </c>
      <c r="G16" s="3">
        <v>-2.5000000000000001E-3</v>
      </c>
      <c r="H16">
        <v>2013</v>
      </c>
      <c r="I16">
        <v>2.5499999999999998</v>
      </c>
      <c r="J16">
        <v>2.1</v>
      </c>
      <c r="K16">
        <v>0</v>
      </c>
      <c r="L16">
        <v>2.1</v>
      </c>
      <c r="M16" s="3">
        <v>0.107</v>
      </c>
      <c r="N16" s="2">
        <v>0</v>
      </c>
      <c r="O16" s="3">
        <v>0.107</v>
      </c>
      <c r="P16" s="3">
        <v>0.82399999999999995</v>
      </c>
      <c r="Q16" s="2">
        <v>0</v>
      </c>
      <c r="R16" s="3">
        <v>0.82399999999999995</v>
      </c>
      <c r="S16" t="s">
        <v>34</v>
      </c>
    </row>
    <row r="17" spans="1:20" x14ac:dyDescent="0.6">
      <c r="A17">
        <v>361</v>
      </c>
      <c r="B17" t="str">
        <f>"5515"</f>
        <v>5515</v>
      </c>
      <c r="C17" t="s">
        <v>444</v>
      </c>
      <c r="D17" s="1">
        <v>42923</v>
      </c>
      <c r="E17">
        <v>9.32</v>
      </c>
      <c r="F17">
        <v>-0.05</v>
      </c>
      <c r="G17" s="3">
        <v>-5.3E-3</v>
      </c>
      <c r="H17">
        <v>2013</v>
      </c>
      <c r="I17">
        <v>1.64</v>
      </c>
      <c r="J17">
        <v>1</v>
      </c>
      <c r="K17">
        <v>0</v>
      </c>
      <c r="L17">
        <v>1</v>
      </c>
      <c r="M17" s="3">
        <v>0.107</v>
      </c>
      <c r="N17" s="2">
        <v>0</v>
      </c>
      <c r="O17" s="3">
        <v>0.107</v>
      </c>
      <c r="P17" s="2">
        <v>0.61</v>
      </c>
      <c r="Q17" s="2">
        <v>0</v>
      </c>
      <c r="R17" s="2">
        <v>0.61</v>
      </c>
      <c r="S17" t="s">
        <v>119</v>
      </c>
    </row>
    <row r="18" spans="1:20" x14ac:dyDescent="0.6">
      <c r="A18">
        <v>35</v>
      </c>
      <c r="B18" t="str">
        <f>"6136"</f>
        <v>6136</v>
      </c>
      <c r="C18" t="s">
        <v>74</v>
      </c>
      <c r="D18" s="1">
        <v>42923</v>
      </c>
      <c r="E18">
        <v>23.6</v>
      </c>
      <c r="F18">
        <v>-0.1</v>
      </c>
      <c r="G18" s="3">
        <v>-4.1999999999999997E-3</v>
      </c>
      <c r="H18">
        <v>2013</v>
      </c>
      <c r="I18">
        <v>2.2200000000000002</v>
      </c>
      <c r="J18">
        <v>2.5</v>
      </c>
      <c r="K18">
        <v>0</v>
      </c>
      <c r="L18">
        <v>2.5</v>
      </c>
      <c r="M18" s="3">
        <v>0.106</v>
      </c>
      <c r="N18" s="2">
        <v>0</v>
      </c>
      <c r="O18" s="3">
        <v>0.106</v>
      </c>
      <c r="P18" s="2">
        <v>1.1299999999999999</v>
      </c>
      <c r="Q18" s="2">
        <v>0</v>
      </c>
      <c r="R18" s="2">
        <v>1.1299999999999999</v>
      </c>
      <c r="S18" t="s">
        <v>75</v>
      </c>
    </row>
    <row r="19" spans="1:20" x14ac:dyDescent="0.6">
      <c r="A19">
        <v>96</v>
      </c>
      <c r="B19" t="str">
        <f>"8081"</f>
        <v>8081</v>
      </c>
      <c r="C19" t="s">
        <v>159</v>
      </c>
      <c r="D19" s="1">
        <v>42923</v>
      </c>
      <c r="E19">
        <v>67.3</v>
      </c>
      <c r="F19">
        <v>-0.4</v>
      </c>
      <c r="G19" s="3">
        <v>-5.8999999999999999E-3</v>
      </c>
      <c r="H19">
        <v>2013</v>
      </c>
      <c r="I19">
        <v>8.2899999999999991</v>
      </c>
      <c r="J19">
        <v>7.1</v>
      </c>
      <c r="K19">
        <v>0</v>
      </c>
      <c r="L19">
        <v>7.1</v>
      </c>
      <c r="M19" s="3">
        <v>0.106</v>
      </c>
      <c r="N19" s="2">
        <v>0</v>
      </c>
      <c r="O19" s="3">
        <v>0.106</v>
      </c>
      <c r="P19" s="3">
        <v>0.85599999999999998</v>
      </c>
      <c r="Q19" s="2">
        <v>0</v>
      </c>
      <c r="R19" s="3">
        <v>0.85599999999999998</v>
      </c>
      <c r="S19" t="s">
        <v>36</v>
      </c>
    </row>
    <row r="20" spans="1:20" x14ac:dyDescent="0.6">
      <c r="A20">
        <v>356</v>
      </c>
      <c r="B20" t="str">
        <f>"3607"</f>
        <v>3607</v>
      </c>
      <c r="C20" t="s">
        <v>439</v>
      </c>
      <c r="D20" s="1">
        <v>42923</v>
      </c>
      <c r="E20">
        <v>27.9</v>
      </c>
      <c r="F20">
        <v>-0.25</v>
      </c>
      <c r="G20" s="3">
        <v>-8.8999999999999999E-3</v>
      </c>
      <c r="H20">
        <v>2013</v>
      </c>
      <c r="I20">
        <v>3.16</v>
      </c>
      <c r="J20">
        <v>2.94</v>
      </c>
      <c r="K20">
        <v>0</v>
      </c>
      <c r="L20">
        <v>2.94</v>
      </c>
      <c r="M20" s="3">
        <v>0.106</v>
      </c>
      <c r="N20" s="2">
        <v>0</v>
      </c>
      <c r="O20" s="3">
        <v>0.106</v>
      </c>
      <c r="P20" s="2">
        <v>0.93</v>
      </c>
      <c r="Q20" s="2">
        <v>0</v>
      </c>
      <c r="R20" s="2">
        <v>0.93</v>
      </c>
      <c r="S20" t="s">
        <v>89</v>
      </c>
    </row>
    <row r="21" spans="1:20" x14ac:dyDescent="0.6">
      <c r="A21">
        <v>487</v>
      </c>
      <c r="B21" t="str">
        <f>"3527"</f>
        <v>3527</v>
      </c>
      <c r="C21" t="s">
        <v>580</v>
      </c>
      <c r="D21" s="1">
        <v>42923</v>
      </c>
      <c r="E21">
        <v>73.900000000000006</v>
      </c>
      <c r="F21">
        <v>0.1</v>
      </c>
      <c r="G21" s="3">
        <v>1.4E-3</v>
      </c>
      <c r="H21">
        <v>2013</v>
      </c>
      <c r="I21">
        <v>9.02</v>
      </c>
      <c r="J21">
        <v>7.8</v>
      </c>
      <c r="K21">
        <v>0</v>
      </c>
      <c r="L21">
        <v>7.8</v>
      </c>
      <c r="M21" s="3">
        <v>0.106</v>
      </c>
      <c r="N21" s="2">
        <v>0</v>
      </c>
      <c r="O21" s="3">
        <v>0.106</v>
      </c>
      <c r="P21" s="3">
        <v>0.86499999999999999</v>
      </c>
      <c r="Q21" s="2">
        <v>0</v>
      </c>
      <c r="R21" s="3">
        <v>0.86499999999999999</v>
      </c>
      <c r="S21" t="s">
        <v>140</v>
      </c>
    </row>
    <row r="22" spans="1:20" x14ac:dyDescent="0.6">
      <c r="A22">
        <v>293</v>
      </c>
      <c r="B22" t="str">
        <f>"9962"</f>
        <v>9962</v>
      </c>
      <c r="C22" t="s">
        <v>375</v>
      </c>
      <c r="D22" s="1">
        <v>42923</v>
      </c>
      <c r="E22">
        <v>10.5</v>
      </c>
      <c r="F22">
        <v>-0.15</v>
      </c>
      <c r="G22" s="3">
        <v>-1.41E-2</v>
      </c>
      <c r="H22">
        <v>2013</v>
      </c>
      <c r="I22">
        <v>1.33</v>
      </c>
      <c r="J22">
        <v>1.1000000000000001</v>
      </c>
      <c r="K22">
        <v>0</v>
      </c>
      <c r="L22">
        <v>1.1000000000000001</v>
      </c>
      <c r="M22" s="3">
        <v>0.105</v>
      </c>
      <c r="N22" s="2">
        <v>0</v>
      </c>
      <c r="O22" s="3">
        <v>0.105</v>
      </c>
      <c r="P22" s="3">
        <v>0.82699999999999996</v>
      </c>
      <c r="Q22" s="2">
        <v>0</v>
      </c>
      <c r="R22" s="3">
        <v>0.82699999999999996</v>
      </c>
      <c r="S22" t="s">
        <v>69</v>
      </c>
    </row>
    <row r="23" spans="1:20" x14ac:dyDescent="0.6">
      <c r="A23">
        <v>294</v>
      </c>
      <c r="B23" t="str">
        <f>"5209"</f>
        <v>5209</v>
      </c>
      <c r="C23" t="s">
        <v>376</v>
      </c>
      <c r="D23" s="1">
        <v>42923</v>
      </c>
      <c r="E23">
        <v>43.95</v>
      </c>
      <c r="F23">
        <v>-0.15</v>
      </c>
      <c r="G23" s="3">
        <v>-3.3999999999999998E-3</v>
      </c>
      <c r="H23">
        <v>2013</v>
      </c>
      <c r="I23">
        <v>5.38</v>
      </c>
      <c r="J23">
        <v>4.49</v>
      </c>
      <c r="K23">
        <v>0</v>
      </c>
      <c r="L23">
        <v>4.49</v>
      </c>
      <c r="M23" s="3">
        <v>0.10199999999999999</v>
      </c>
      <c r="N23" s="2">
        <v>0</v>
      </c>
      <c r="O23" s="3">
        <v>0.10199999999999999</v>
      </c>
      <c r="P23" s="3">
        <v>0.83499999999999996</v>
      </c>
      <c r="Q23" s="2">
        <v>0</v>
      </c>
      <c r="R23" s="3">
        <v>0.83499999999999996</v>
      </c>
      <c r="S23" t="s">
        <v>82</v>
      </c>
    </row>
    <row r="24" spans="1:20" x14ac:dyDescent="0.6">
      <c r="A24">
        <v>297</v>
      </c>
      <c r="B24" t="str">
        <f>"6298"</f>
        <v>6298</v>
      </c>
      <c r="C24" t="s">
        <v>379</v>
      </c>
      <c r="D24" s="1">
        <v>42923</v>
      </c>
      <c r="E24">
        <v>17.600000000000001</v>
      </c>
      <c r="F24">
        <v>-0.2</v>
      </c>
      <c r="G24" s="3">
        <v>-1.12E-2</v>
      </c>
      <c r="H24">
        <v>2013</v>
      </c>
      <c r="I24">
        <v>2.39</v>
      </c>
      <c r="J24">
        <v>1.8</v>
      </c>
      <c r="K24">
        <v>0</v>
      </c>
      <c r="L24">
        <v>1.8</v>
      </c>
      <c r="M24" s="3">
        <v>0.10199999999999999</v>
      </c>
      <c r="N24" s="2">
        <v>0</v>
      </c>
      <c r="O24" s="3">
        <v>0.10199999999999999</v>
      </c>
      <c r="P24" s="3">
        <v>0.753</v>
      </c>
      <c r="Q24" s="2">
        <v>0</v>
      </c>
      <c r="R24" s="3">
        <v>0.753</v>
      </c>
      <c r="S24" t="s">
        <v>47</v>
      </c>
    </row>
    <row r="25" spans="1:20" x14ac:dyDescent="0.6">
      <c r="A25">
        <v>417</v>
      </c>
      <c r="B25" t="str">
        <f>"8213"</f>
        <v>8213</v>
      </c>
      <c r="C25" t="s">
        <v>504</v>
      </c>
      <c r="D25" s="1">
        <v>42923</v>
      </c>
      <c r="E25">
        <v>29.75</v>
      </c>
      <c r="F25">
        <v>0.05</v>
      </c>
      <c r="G25" s="3">
        <v>1.6999999999999999E-3</v>
      </c>
      <c r="H25">
        <v>2013</v>
      </c>
      <c r="I25">
        <v>6.26</v>
      </c>
      <c r="J25">
        <v>3</v>
      </c>
      <c r="K25">
        <v>0</v>
      </c>
      <c r="L25">
        <v>3</v>
      </c>
      <c r="M25" s="3">
        <v>0.10100000000000001</v>
      </c>
      <c r="N25" s="2">
        <v>0</v>
      </c>
      <c r="O25" s="3">
        <v>0.10100000000000001</v>
      </c>
      <c r="P25" s="3">
        <v>0.47899999999999998</v>
      </c>
      <c r="Q25" s="2">
        <v>0</v>
      </c>
      <c r="R25" s="3">
        <v>0.47899999999999998</v>
      </c>
      <c r="S25" t="s">
        <v>34</v>
      </c>
    </row>
    <row r="26" spans="1:20" x14ac:dyDescent="0.6">
      <c r="A26">
        <v>53</v>
      </c>
      <c r="B26" t="str">
        <f>"3030"</f>
        <v>3030</v>
      </c>
      <c r="C26" t="s">
        <v>102</v>
      </c>
      <c r="D26" s="1">
        <v>42923</v>
      </c>
      <c r="E26">
        <v>36.9</v>
      </c>
      <c r="F26">
        <v>-0.25</v>
      </c>
      <c r="G26" s="3">
        <v>-6.7000000000000002E-3</v>
      </c>
      <c r="H26">
        <v>2013</v>
      </c>
      <c r="I26">
        <v>6.43</v>
      </c>
      <c r="J26">
        <v>3.7</v>
      </c>
      <c r="K26">
        <v>0.6</v>
      </c>
      <c r="L26">
        <v>4.3</v>
      </c>
      <c r="M26" s="2">
        <v>0.1</v>
      </c>
      <c r="N26" s="3">
        <v>1.6299999999999999E-2</v>
      </c>
      <c r="O26" s="3">
        <v>0.11600000000000001</v>
      </c>
      <c r="P26" s="3">
        <v>0.57499999999999996</v>
      </c>
      <c r="Q26" s="3">
        <v>9.3299999999999994E-2</v>
      </c>
      <c r="R26" s="3">
        <v>0.66900000000000004</v>
      </c>
      <c r="S26" t="s">
        <v>103</v>
      </c>
      <c r="T26" t="s">
        <v>103</v>
      </c>
    </row>
    <row r="27" spans="1:20" x14ac:dyDescent="0.6">
      <c r="A27">
        <v>160</v>
      </c>
      <c r="B27" t="str">
        <f>"6261"</f>
        <v>6261</v>
      </c>
      <c r="C27" t="s">
        <v>230</v>
      </c>
      <c r="D27" s="1">
        <v>42923</v>
      </c>
      <c r="E27">
        <v>46.6</v>
      </c>
      <c r="F27">
        <v>0.3</v>
      </c>
      <c r="G27" s="3">
        <v>6.4999999999999997E-3</v>
      </c>
      <c r="H27">
        <v>2013</v>
      </c>
      <c r="I27">
        <v>5.5</v>
      </c>
      <c r="J27">
        <v>4.66</v>
      </c>
      <c r="K27">
        <v>0.1</v>
      </c>
      <c r="L27">
        <v>4.76</v>
      </c>
      <c r="M27" s="2">
        <v>0.1</v>
      </c>
      <c r="N27" s="3">
        <v>2.0999999999999999E-3</v>
      </c>
      <c r="O27" s="3">
        <v>0.10199999999999999</v>
      </c>
      <c r="P27" s="3">
        <v>0.84699999999999998</v>
      </c>
      <c r="Q27" s="3">
        <v>1.8200000000000001E-2</v>
      </c>
      <c r="R27" s="3">
        <v>0.86599999999999999</v>
      </c>
      <c r="S27" t="s">
        <v>174</v>
      </c>
      <c r="T27" t="s">
        <v>174</v>
      </c>
    </row>
    <row r="28" spans="1:20" x14ac:dyDescent="0.6">
      <c r="A28">
        <v>200</v>
      </c>
      <c r="B28" t="str">
        <f>"5538"</f>
        <v>5538</v>
      </c>
      <c r="C28" t="s">
        <v>278</v>
      </c>
      <c r="D28" s="1">
        <v>42923</v>
      </c>
      <c r="E28">
        <v>31.9</v>
      </c>
      <c r="F28">
        <v>0.1</v>
      </c>
      <c r="G28" s="3">
        <v>3.0999999999999999E-3</v>
      </c>
      <c r="H28">
        <v>2013</v>
      </c>
      <c r="J28">
        <v>3</v>
      </c>
      <c r="K28">
        <v>0</v>
      </c>
      <c r="L28">
        <v>3</v>
      </c>
      <c r="M28" s="3">
        <v>9.4E-2</v>
      </c>
      <c r="N28" s="2">
        <v>0</v>
      </c>
      <c r="O28" s="3">
        <v>9.4E-2</v>
      </c>
    </row>
    <row r="29" spans="1:20" x14ac:dyDescent="0.6">
      <c r="A29">
        <v>49</v>
      </c>
      <c r="B29" t="str">
        <f>"2471"</f>
        <v>2471</v>
      </c>
      <c r="C29" t="s">
        <v>97</v>
      </c>
      <c r="D29" s="1">
        <v>42923</v>
      </c>
      <c r="E29">
        <v>16.350000000000001</v>
      </c>
      <c r="F29">
        <v>-0.05</v>
      </c>
      <c r="G29" s="3">
        <v>-3.0000000000000001E-3</v>
      </c>
      <c r="H29">
        <v>2013</v>
      </c>
      <c r="I29">
        <v>1.87</v>
      </c>
      <c r="J29">
        <v>1.5</v>
      </c>
      <c r="K29">
        <v>0</v>
      </c>
      <c r="L29">
        <v>1.5</v>
      </c>
      <c r="M29" s="3">
        <v>9.1700000000000004E-2</v>
      </c>
      <c r="N29" s="2">
        <v>0</v>
      </c>
      <c r="O29" s="3">
        <v>9.1700000000000004E-2</v>
      </c>
      <c r="P29" s="3">
        <v>0.80200000000000005</v>
      </c>
      <c r="Q29" s="2">
        <v>0</v>
      </c>
      <c r="R29" s="3">
        <v>0.80200000000000005</v>
      </c>
      <c r="S29" t="s">
        <v>26</v>
      </c>
    </row>
    <row r="30" spans="1:20" x14ac:dyDescent="0.6">
      <c r="A30">
        <v>292</v>
      </c>
      <c r="B30" t="str">
        <f>"8103"</f>
        <v>8103</v>
      </c>
      <c r="C30" t="s">
        <v>374</v>
      </c>
      <c r="D30" s="1">
        <v>42923</v>
      </c>
      <c r="E30">
        <v>31.5</v>
      </c>
      <c r="F30">
        <v>-0.2</v>
      </c>
      <c r="G30" s="3">
        <v>-6.3E-3</v>
      </c>
      <c r="H30">
        <v>2013</v>
      </c>
      <c r="I30">
        <v>4.47</v>
      </c>
      <c r="J30">
        <v>2.87</v>
      </c>
      <c r="K30">
        <v>0</v>
      </c>
      <c r="L30">
        <v>2.87</v>
      </c>
      <c r="M30" s="3">
        <v>9.11E-2</v>
      </c>
      <c r="N30" s="2">
        <v>0</v>
      </c>
      <c r="O30" s="3">
        <v>9.11E-2</v>
      </c>
      <c r="P30" s="3">
        <v>0.64200000000000002</v>
      </c>
      <c r="Q30" s="2">
        <v>0</v>
      </c>
      <c r="R30" s="3">
        <v>0.64200000000000002</v>
      </c>
      <c r="S30" t="s">
        <v>26</v>
      </c>
    </row>
    <row r="31" spans="1:20" x14ac:dyDescent="0.6">
      <c r="A31">
        <v>16</v>
      </c>
      <c r="B31" t="str">
        <f>"5522"</f>
        <v>5522</v>
      </c>
      <c r="C31" t="s">
        <v>46</v>
      </c>
      <c r="D31" s="1">
        <v>42923</v>
      </c>
      <c r="E31">
        <v>39</v>
      </c>
      <c r="F31">
        <v>0</v>
      </c>
      <c r="G31" s="2">
        <v>0</v>
      </c>
      <c r="H31">
        <v>2013</v>
      </c>
      <c r="I31">
        <v>6.23</v>
      </c>
      <c r="J31">
        <v>3.5</v>
      </c>
      <c r="K31">
        <v>0</v>
      </c>
      <c r="L31">
        <v>3.5</v>
      </c>
      <c r="M31" s="3">
        <v>8.9700000000000002E-2</v>
      </c>
      <c r="N31" s="2">
        <v>0</v>
      </c>
      <c r="O31" s="3">
        <v>8.9700000000000002E-2</v>
      </c>
      <c r="P31" s="3">
        <v>0.56200000000000006</v>
      </c>
      <c r="Q31" s="2">
        <v>0</v>
      </c>
      <c r="R31" s="3">
        <v>0.56200000000000006</v>
      </c>
      <c r="S31" t="s">
        <v>47</v>
      </c>
    </row>
    <row r="32" spans="1:20" x14ac:dyDescent="0.6">
      <c r="A32">
        <v>363</v>
      </c>
      <c r="B32" t="str">
        <f>"5471"</f>
        <v>5471</v>
      </c>
      <c r="C32" t="s">
        <v>446</v>
      </c>
      <c r="D32" s="1">
        <v>42923</v>
      </c>
      <c r="E32">
        <v>33.700000000000003</v>
      </c>
      <c r="F32">
        <v>-0.2</v>
      </c>
      <c r="G32" s="3">
        <v>-5.8999999999999999E-3</v>
      </c>
      <c r="H32">
        <v>2013</v>
      </c>
      <c r="I32">
        <v>3.2</v>
      </c>
      <c r="J32">
        <v>3</v>
      </c>
      <c r="K32">
        <v>0</v>
      </c>
      <c r="L32">
        <v>3</v>
      </c>
      <c r="M32" s="3">
        <v>8.8999999999999996E-2</v>
      </c>
      <c r="N32" s="2">
        <v>0</v>
      </c>
      <c r="O32" s="3">
        <v>8.8999999999999996E-2</v>
      </c>
      <c r="P32" s="3">
        <v>0.93799999999999994</v>
      </c>
      <c r="Q32" s="2">
        <v>0</v>
      </c>
      <c r="R32" s="3">
        <v>0.93799999999999994</v>
      </c>
      <c r="S32" t="s">
        <v>36</v>
      </c>
    </row>
    <row r="33" spans="1:20" x14ac:dyDescent="0.6">
      <c r="A33">
        <v>31</v>
      </c>
      <c r="B33" t="str">
        <f>"5356"</f>
        <v>5356</v>
      </c>
      <c r="C33" t="s">
        <v>66</v>
      </c>
      <c r="D33" s="1">
        <v>42923</v>
      </c>
      <c r="E33">
        <v>45.5</v>
      </c>
      <c r="F33">
        <v>-0.5</v>
      </c>
      <c r="G33" s="3">
        <v>-1.09E-2</v>
      </c>
      <c r="H33">
        <v>2013</v>
      </c>
      <c r="I33">
        <v>5.0599999999999996</v>
      </c>
      <c r="J33">
        <v>4</v>
      </c>
      <c r="K33">
        <v>0</v>
      </c>
      <c r="L33">
        <v>4</v>
      </c>
      <c r="M33" s="3">
        <v>8.7900000000000006E-2</v>
      </c>
      <c r="N33" s="2">
        <v>0</v>
      </c>
      <c r="O33" s="3">
        <v>8.7900000000000006E-2</v>
      </c>
      <c r="P33" s="2">
        <v>0.79</v>
      </c>
      <c r="Q33" s="2">
        <v>0</v>
      </c>
      <c r="R33" s="2">
        <v>0.79</v>
      </c>
      <c r="S33" t="s">
        <v>67</v>
      </c>
    </row>
    <row r="34" spans="1:20" x14ac:dyDescent="0.6">
      <c r="A34">
        <v>383</v>
      </c>
      <c r="B34" t="str">
        <f>"5489"</f>
        <v>5489</v>
      </c>
      <c r="C34" t="s">
        <v>467</v>
      </c>
      <c r="D34" s="1">
        <v>42923</v>
      </c>
      <c r="E34">
        <v>34.6</v>
      </c>
      <c r="F34">
        <v>0.05</v>
      </c>
      <c r="G34" s="3">
        <v>1.4E-3</v>
      </c>
      <c r="H34">
        <v>2013</v>
      </c>
      <c r="I34">
        <v>3.7</v>
      </c>
      <c r="J34">
        <v>3</v>
      </c>
      <c r="K34">
        <v>0</v>
      </c>
      <c r="L34">
        <v>3</v>
      </c>
      <c r="M34" s="3">
        <v>8.6699999999999999E-2</v>
      </c>
      <c r="N34" s="2">
        <v>0</v>
      </c>
      <c r="O34" s="3">
        <v>8.6699999999999999E-2</v>
      </c>
      <c r="P34" s="3">
        <v>0.81100000000000005</v>
      </c>
      <c r="Q34" s="2">
        <v>0</v>
      </c>
      <c r="R34" s="3">
        <v>0.81100000000000005</v>
      </c>
      <c r="S34" t="s">
        <v>26</v>
      </c>
    </row>
    <row r="35" spans="1:20" x14ac:dyDescent="0.6">
      <c r="A35">
        <v>223</v>
      </c>
      <c r="B35" t="str">
        <f>"3033"</f>
        <v>3033</v>
      </c>
      <c r="C35" t="s">
        <v>302</v>
      </c>
      <c r="D35" s="1">
        <v>42923</v>
      </c>
      <c r="E35">
        <v>17.350000000000001</v>
      </c>
      <c r="F35">
        <v>-0.1</v>
      </c>
      <c r="G35" s="3">
        <v>-5.7000000000000002E-3</v>
      </c>
      <c r="H35">
        <v>2013</v>
      </c>
      <c r="I35">
        <v>1.78</v>
      </c>
      <c r="J35">
        <v>1.5</v>
      </c>
      <c r="K35">
        <v>0</v>
      </c>
      <c r="L35">
        <v>1.5</v>
      </c>
      <c r="M35" s="3">
        <v>8.6499999999999994E-2</v>
      </c>
      <c r="N35" s="2">
        <v>0</v>
      </c>
      <c r="O35" s="3">
        <v>8.6499999999999994E-2</v>
      </c>
      <c r="P35" s="3">
        <v>0.84299999999999997</v>
      </c>
      <c r="Q35" s="2">
        <v>0</v>
      </c>
      <c r="R35" s="3">
        <v>0.84299999999999997</v>
      </c>
      <c r="S35" t="s">
        <v>31</v>
      </c>
    </row>
    <row r="36" spans="1:20" x14ac:dyDescent="0.6">
      <c r="A36">
        <v>298</v>
      </c>
      <c r="B36" t="str">
        <f>"8905"</f>
        <v>8905</v>
      </c>
      <c r="C36" t="s">
        <v>380</v>
      </c>
      <c r="D36" s="1">
        <v>42923</v>
      </c>
      <c r="E36">
        <v>17.600000000000001</v>
      </c>
      <c r="F36">
        <v>-0.1</v>
      </c>
      <c r="G36" s="3">
        <v>-5.5999999999999999E-3</v>
      </c>
      <c r="H36">
        <v>2013</v>
      </c>
      <c r="I36">
        <v>2.58</v>
      </c>
      <c r="J36">
        <v>1.5</v>
      </c>
      <c r="K36">
        <v>0</v>
      </c>
      <c r="L36">
        <v>1.5</v>
      </c>
      <c r="M36" s="3">
        <v>8.5199999999999998E-2</v>
      </c>
      <c r="N36" s="2">
        <v>0</v>
      </c>
      <c r="O36" s="3">
        <v>8.5199999999999998E-2</v>
      </c>
      <c r="P36" s="3">
        <v>0.58099999999999996</v>
      </c>
      <c r="Q36" s="2">
        <v>0</v>
      </c>
      <c r="R36" s="3">
        <v>0.58099999999999996</v>
      </c>
      <c r="S36" t="s">
        <v>22</v>
      </c>
    </row>
    <row r="37" spans="1:20" x14ac:dyDescent="0.6">
      <c r="A37">
        <v>181</v>
      </c>
      <c r="B37" t="str">
        <f>"3015"</f>
        <v>3015</v>
      </c>
      <c r="C37" t="s">
        <v>257</v>
      </c>
      <c r="D37" s="1">
        <v>42923</v>
      </c>
      <c r="E37">
        <v>23.4</v>
      </c>
      <c r="F37">
        <v>-0.1</v>
      </c>
      <c r="G37" s="3">
        <v>-4.3E-3</v>
      </c>
      <c r="H37">
        <v>2013</v>
      </c>
      <c r="I37">
        <v>2.5299999999999998</v>
      </c>
      <c r="J37">
        <v>1.99</v>
      </c>
      <c r="K37">
        <v>0</v>
      </c>
      <c r="L37">
        <v>1.99</v>
      </c>
      <c r="M37" s="3">
        <v>8.5099999999999995E-2</v>
      </c>
      <c r="N37" s="2">
        <v>0</v>
      </c>
      <c r="O37" s="3">
        <v>8.5099999999999995E-2</v>
      </c>
      <c r="P37" s="3">
        <v>0.78700000000000003</v>
      </c>
      <c r="Q37" s="2">
        <v>0</v>
      </c>
      <c r="R37" s="3">
        <v>0.78700000000000003</v>
      </c>
      <c r="S37" t="s">
        <v>38</v>
      </c>
    </row>
    <row r="38" spans="1:20" x14ac:dyDescent="0.6">
      <c r="A38">
        <v>279</v>
      </c>
      <c r="B38" t="str">
        <f>"4432"</f>
        <v>4432</v>
      </c>
      <c r="C38" t="s">
        <v>359</v>
      </c>
      <c r="D38" s="1">
        <v>42923</v>
      </c>
      <c r="E38">
        <v>41.5</v>
      </c>
      <c r="F38">
        <v>-0.2</v>
      </c>
      <c r="G38" s="3">
        <v>-4.7999999999999996E-3</v>
      </c>
      <c r="H38">
        <v>2013</v>
      </c>
      <c r="I38">
        <v>4.8899999999999997</v>
      </c>
      <c r="J38">
        <v>3.5</v>
      </c>
      <c r="K38">
        <v>0</v>
      </c>
      <c r="L38">
        <v>3.5</v>
      </c>
      <c r="M38" s="3">
        <v>8.43E-2</v>
      </c>
      <c r="N38" s="2">
        <v>0</v>
      </c>
      <c r="O38" s="3">
        <v>8.43E-2</v>
      </c>
      <c r="P38" s="3">
        <v>0.71599999999999997</v>
      </c>
      <c r="Q38" s="2">
        <v>0</v>
      </c>
      <c r="R38" s="3">
        <v>0.71599999999999997</v>
      </c>
      <c r="S38" t="s">
        <v>38</v>
      </c>
    </row>
    <row r="39" spans="1:20" x14ac:dyDescent="0.6">
      <c r="A39">
        <v>38</v>
      </c>
      <c r="B39" t="str">
        <f>"2493"</f>
        <v>2493</v>
      </c>
      <c r="C39" t="s">
        <v>79</v>
      </c>
      <c r="D39" s="1">
        <v>42923</v>
      </c>
      <c r="E39">
        <v>27.35</v>
      </c>
      <c r="F39">
        <v>0</v>
      </c>
      <c r="G39" s="2">
        <v>0</v>
      </c>
      <c r="H39">
        <v>2013</v>
      </c>
      <c r="I39">
        <v>3.03</v>
      </c>
      <c r="J39">
        <v>2.2999999999999998</v>
      </c>
      <c r="K39">
        <v>0</v>
      </c>
      <c r="L39">
        <v>2.2999999999999998</v>
      </c>
      <c r="M39" s="3">
        <v>8.4099999999999994E-2</v>
      </c>
      <c r="N39" s="2">
        <v>0</v>
      </c>
      <c r="O39" s="3">
        <v>8.4099999999999994E-2</v>
      </c>
      <c r="P39" s="3">
        <v>0.75900000000000001</v>
      </c>
      <c r="Q39" s="2">
        <v>0</v>
      </c>
      <c r="R39" s="3">
        <v>0.75900000000000001</v>
      </c>
      <c r="S39" t="s">
        <v>80</v>
      </c>
    </row>
    <row r="40" spans="1:20" x14ac:dyDescent="0.6">
      <c r="A40">
        <v>3</v>
      </c>
      <c r="B40" t="str">
        <f>"2596"</f>
        <v>2596</v>
      </c>
      <c r="C40" t="s">
        <v>25</v>
      </c>
      <c r="D40" s="1">
        <v>42923</v>
      </c>
      <c r="E40">
        <v>17.850000000000001</v>
      </c>
      <c r="F40">
        <v>-0.4</v>
      </c>
      <c r="G40" s="3">
        <v>-2.1899999999999999E-2</v>
      </c>
      <c r="H40">
        <v>2013</v>
      </c>
      <c r="I40">
        <v>2.54</v>
      </c>
      <c r="J40">
        <v>1.49</v>
      </c>
      <c r="K40">
        <v>0</v>
      </c>
      <c r="L40">
        <v>1.49</v>
      </c>
      <c r="M40" s="3">
        <v>8.3599999999999994E-2</v>
      </c>
      <c r="N40" s="2">
        <v>0</v>
      </c>
      <c r="O40" s="3">
        <v>8.3599999999999994E-2</v>
      </c>
      <c r="P40" s="3">
        <v>0.58699999999999997</v>
      </c>
      <c r="Q40" s="2">
        <v>0</v>
      </c>
      <c r="R40" s="3">
        <v>0.58699999999999997</v>
      </c>
      <c r="S40" t="s">
        <v>26</v>
      </c>
    </row>
    <row r="41" spans="1:20" x14ac:dyDescent="0.6">
      <c r="A41">
        <v>44</v>
      </c>
      <c r="B41" t="str">
        <f>"5487"</f>
        <v>5487</v>
      </c>
      <c r="C41" t="s">
        <v>90</v>
      </c>
      <c r="D41" s="1">
        <v>42923</v>
      </c>
      <c r="E41">
        <v>24.2</v>
      </c>
      <c r="F41">
        <v>0.35</v>
      </c>
      <c r="G41" s="3">
        <v>1.47E-2</v>
      </c>
      <c r="H41">
        <v>2013</v>
      </c>
      <c r="I41">
        <v>0.95</v>
      </c>
      <c r="J41">
        <v>2</v>
      </c>
      <c r="K41">
        <v>0</v>
      </c>
      <c r="L41">
        <v>2</v>
      </c>
      <c r="M41" s="3">
        <v>8.2600000000000007E-2</v>
      </c>
      <c r="N41" s="2">
        <v>0</v>
      </c>
      <c r="O41" s="3">
        <v>8.2600000000000007E-2</v>
      </c>
      <c r="P41" s="2">
        <v>2.11</v>
      </c>
      <c r="Q41" s="2">
        <v>0</v>
      </c>
      <c r="R41" s="2">
        <v>2.11</v>
      </c>
      <c r="S41" t="s">
        <v>22</v>
      </c>
    </row>
    <row r="42" spans="1:20" x14ac:dyDescent="0.6">
      <c r="A42">
        <v>329</v>
      </c>
      <c r="B42" t="str">
        <f>"4933"</f>
        <v>4933</v>
      </c>
      <c r="C42" t="s">
        <v>411</v>
      </c>
      <c r="D42" s="1">
        <v>42923</v>
      </c>
      <c r="E42">
        <v>24.45</v>
      </c>
      <c r="F42">
        <v>-0.3</v>
      </c>
      <c r="G42" s="3">
        <v>-1.21E-2</v>
      </c>
      <c r="H42">
        <v>2013</v>
      </c>
      <c r="I42">
        <v>10.31</v>
      </c>
      <c r="J42">
        <v>2</v>
      </c>
      <c r="K42">
        <v>3</v>
      </c>
      <c r="L42">
        <v>5</v>
      </c>
      <c r="M42" s="3">
        <v>8.1799999999999998E-2</v>
      </c>
      <c r="N42" s="3">
        <v>0.123</v>
      </c>
      <c r="O42" s="3">
        <v>0.20399999999999999</v>
      </c>
      <c r="P42" s="3">
        <v>0.19400000000000001</v>
      </c>
      <c r="Q42" s="3">
        <v>0.29099999999999998</v>
      </c>
      <c r="R42" s="3">
        <v>0.48499999999999999</v>
      </c>
      <c r="S42" t="s">
        <v>204</v>
      </c>
      <c r="T42" t="s">
        <v>204</v>
      </c>
    </row>
    <row r="43" spans="1:20" x14ac:dyDescent="0.6">
      <c r="A43">
        <v>345</v>
      </c>
      <c r="B43" t="str">
        <f>"5706"</f>
        <v>5706</v>
      </c>
      <c r="C43" t="s">
        <v>427</v>
      </c>
      <c r="D43" s="1">
        <v>42923</v>
      </c>
      <c r="E43">
        <v>36.950000000000003</v>
      </c>
      <c r="F43">
        <v>0.35</v>
      </c>
      <c r="G43" s="3">
        <v>9.5999999999999992E-3</v>
      </c>
      <c r="H43">
        <v>2013</v>
      </c>
      <c r="I43">
        <v>3.76</v>
      </c>
      <c r="J43">
        <v>3</v>
      </c>
      <c r="K43">
        <v>0</v>
      </c>
      <c r="L43">
        <v>3</v>
      </c>
      <c r="M43" s="3">
        <v>8.1199999999999994E-2</v>
      </c>
      <c r="N43" s="2">
        <v>0</v>
      </c>
      <c r="O43" s="3">
        <v>8.1199999999999994E-2</v>
      </c>
      <c r="P43" s="3">
        <v>0.79800000000000004</v>
      </c>
      <c r="Q43" s="2">
        <v>0</v>
      </c>
      <c r="R43" s="3">
        <v>0.79800000000000004</v>
      </c>
      <c r="S43" t="s">
        <v>103</v>
      </c>
    </row>
    <row r="44" spans="1:20" x14ac:dyDescent="0.6">
      <c r="A44">
        <v>439</v>
      </c>
      <c r="B44" t="str">
        <f>"4906"</f>
        <v>4906</v>
      </c>
      <c r="C44" t="s">
        <v>529</v>
      </c>
      <c r="D44" s="1">
        <v>42923</v>
      </c>
      <c r="E44">
        <v>29.6</v>
      </c>
      <c r="F44">
        <v>-0.1</v>
      </c>
      <c r="G44" s="3">
        <v>-3.3999999999999998E-3</v>
      </c>
      <c r="H44">
        <v>2013</v>
      </c>
      <c r="I44">
        <v>3.01</v>
      </c>
      <c r="J44">
        <v>2.4</v>
      </c>
      <c r="K44">
        <v>0</v>
      </c>
      <c r="L44">
        <v>2.4</v>
      </c>
      <c r="M44" s="3">
        <v>8.1100000000000005E-2</v>
      </c>
      <c r="N44" s="2">
        <v>0</v>
      </c>
      <c r="O44" s="3">
        <v>8.1100000000000005E-2</v>
      </c>
      <c r="P44" s="3">
        <v>0.79700000000000004</v>
      </c>
      <c r="Q44" s="2">
        <v>0</v>
      </c>
      <c r="R44" s="3">
        <v>0.79700000000000004</v>
      </c>
      <c r="S44" t="s">
        <v>95</v>
      </c>
    </row>
    <row r="45" spans="1:20" x14ac:dyDescent="0.6">
      <c r="A45">
        <v>461</v>
      </c>
      <c r="B45" t="str">
        <f>"6112"</f>
        <v>6112</v>
      </c>
      <c r="C45" t="s">
        <v>552</v>
      </c>
      <c r="D45" s="1">
        <v>42923</v>
      </c>
      <c r="E45">
        <v>30.9</v>
      </c>
      <c r="F45">
        <v>0.05</v>
      </c>
      <c r="G45" s="3">
        <v>1.6000000000000001E-3</v>
      </c>
      <c r="H45">
        <v>2013</v>
      </c>
      <c r="I45">
        <v>2.58</v>
      </c>
      <c r="J45">
        <v>2.5</v>
      </c>
      <c r="K45">
        <v>0.5</v>
      </c>
      <c r="L45">
        <v>3</v>
      </c>
      <c r="M45" s="3">
        <v>8.09E-2</v>
      </c>
      <c r="N45" s="3">
        <v>1.6199999999999999E-2</v>
      </c>
      <c r="O45" s="3">
        <v>9.7100000000000006E-2</v>
      </c>
      <c r="P45" s="3">
        <v>0.96899999999999997</v>
      </c>
      <c r="Q45" s="3">
        <v>0.19400000000000001</v>
      </c>
      <c r="R45" s="2">
        <v>1.1599999999999999</v>
      </c>
      <c r="S45" t="s">
        <v>103</v>
      </c>
      <c r="T45" t="s">
        <v>103</v>
      </c>
    </row>
    <row r="46" spans="1:20" x14ac:dyDescent="0.6">
      <c r="A46">
        <v>232</v>
      </c>
      <c r="B46" t="str">
        <f>"4942"</f>
        <v>4942</v>
      </c>
      <c r="C46" t="s">
        <v>311</v>
      </c>
      <c r="D46" s="1">
        <v>42923</v>
      </c>
      <c r="E46">
        <v>24.8</v>
      </c>
      <c r="F46">
        <v>0</v>
      </c>
      <c r="G46" s="2">
        <v>0</v>
      </c>
      <c r="H46">
        <v>2013</v>
      </c>
      <c r="I46">
        <v>4.0199999999999996</v>
      </c>
      <c r="J46">
        <v>2</v>
      </c>
      <c r="K46">
        <v>0</v>
      </c>
      <c r="L46">
        <v>2</v>
      </c>
      <c r="M46" s="3">
        <v>8.0799999999999997E-2</v>
      </c>
      <c r="N46" s="2">
        <v>0</v>
      </c>
      <c r="O46" s="3">
        <v>8.0799999999999997E-2</v>
      </c>
      <c r="P46" s="3">
        <v>0.498</v>
      </c>
      <c r="Q46" s="2">
        <v>0</v>
      </c>
      <c r="R46" s="3">
        <v>0.498</v>
      </c>
      <c r="S46" t="s">
        <v>226</v>
      </c>
    </row>
    <row r="47" spans="1:20" x14ac:dyDescent="0.6">
      <c r="A47">
        <v>133</v>
      </c>
      <c r="B47" t="str">
        <f>"6281"</f>
        <v>6281</v>
      </c>
      <c r="C47" t="s">
        <v>199</v>
      </c>
      <c r="D47" s="1">
        <v>42923</v>
      </c>
      <c r="E47">
        <v>61.8</v>
      </c>
      <c r="F47">
        <v>0.2</v>
      </c>
      <c r="G47" s="3">
        <v>3.2000000000000002E-3</v>
      </c>
      <c r="H47">
        <v>2013</v>
      </c>
      <c r="I47">
        <v>5.42</v>
      </c>
      <c r="J47">
        <v>4.9000000000000004</v>
      </c>
      <c r="K47">
        <v>0</v>
      </c>
      <c r="L47">
        <v>4.9000000000000004</v>
      </c>
      <c r="M47" s="3">
        <v>7.9299999999999995E-2</v>
      </c>
      <c r="N47" s="2">
        <v>0</v>
      </c>
      <c r="O47" s="3">
        <v>7.9299999999999995E-2</v>
      </c>
      <c r="P47" s="3">
        <v>0.90400000000000003</v>
      </c>
      <c r="Q47" s="2">
        <v>0</v>
      </c>
      <c r="R47" s="3">
        <v>0.90400000000000003</v>
      </c>
      <c r="S47" t="s">
        <v>85</v>
      </c>
    </row>
    <row r="48" spans="1:20" x14ac:dyDescent="0.6">
      <c r="A48">
        <v>199</v>
      </c>
      <c r="B48" t="str">
        <f>"3388"</f>
        <v>3388</v>
      </c>
      <c r="C48" t="s">
        <v>277</v>
      </c>
      <c r="D48" s="1">
        <v>42923</v>
      </c>
      <c r="E48">
        <v>63.8</v>
      </c>
      <c r="F48">
        <v>0.7</v>
      </c>
      <c r="G48" s="3">
        <v>1.11E-2</v>
      </c>
      <c r="H48">
        <v>2013</v>
      </c>
      <c r="I48">
        <v>5.48</v>
      </c>
      <c r="J48">
        <v>5</v>
      </c>
      <c r="K48">
        <v>0</v>
      </c>
      <c r="L48">
        <v>5</v>
      </c>
      <c r="M48" s="3">
        <v>7.8399999999999997E-2</v>
      </c>
      <c r="N48" s="2">
        <v>0</v>
      </c>
      <c r="O48" s="3">
        <v>7.8399999999999997E-2</v>
      </c>
      <c r="P48" s="3">
        <v>0.91200000000000003</v>
      </c>
      <c r="Q48" s="2">
        <v>0</v>
      </c>
      <c r="R48" s="3">
        <v>0.91200000000000003</v>
      </c>
      <c r="S48" t="s">
        <v>22</v>
      </c>
    </row>
    <row r="49" spans="1:20" x14ac:dyDescent="0.6">
      <c r="A49">
        <v>498</v>
      </c>
      <c r="B49" t="str">
        <f>"6143"</f>
        <v>6143</v>
      </c>
      <c r="C49" t="s">
        <v>592</v>
      </c>
      <c r="D49" s="1">
        <v>42923</v>
      </c>
      <c r="E49">
        <v>64.3</v>
      </c>
      <c r="F49">
        <v>-0.2</v>
      </c>
      <c r="G49" s="3">
        <v>-3.0999999999999999E-3</v>
      </c>
      <c r="H49">
        <v>2013</v>
      </c>
      <c r="I49">
        <v>5.12</v>
      </c>
      <c r="J49">
        <v>4.99</v>
      </c>
      <c r="K49">
        <v>0</v>
      </c>
      <c r="L49">
        <v>4.99</v>
      </c>
      <c r="M49" s="3">
        <v>7.7600000000000002E-2</v>
      </c>
      <c r="N49" s="2">
        <v>0</v>
      </c>
      <c r="O49" s="3">
        <v>7.7600000000000002E-2</v>
      </c>
      <c r="P49" s="3">
        <v>0.97499999999999998</v>
      </c>
      <c r="Q49" s="2">
        <v>0</v>
      </c>
      <c r="R49" s="3">
        <v>0.97499999999999998</v>
      </c>
      <c r="S49" t="s">
        <v>108</v>
      </c>
    </row>
    <row r="50" spans="1:20" x14ac:dyDescent="0.6">
      <c r="A50">
        <v>423</v>
      </c>
      <c r="B50" t="str">
        <f>"1465"</f>
        <v>1465</v>
      </c>
      <c r="C50" t="s">
        <v>510</v>
      </c>
      <c r="D50" s="1">
        <v>42923</v>
      </c>
      <c r="E50">
        <v>12.95</v>
      </c>
      <c r="F50">
        <v>0.05</v>
      </c>
      <c r="G50" s="3">
        <v>3.8999999999999998E-3</v>
      </c>
      <c r="H50">
        <v>2013</v>
      </c>
      <c r="I50">
        <v>0.96</v>
      </c>
      <c r="J50">
        <v>1</v>
      </c>
      <c r="K50">
        <v>0</v>
      </c>
      <c r="L50">
        <v>1</v>
      </c>
      <c r="M50" s="3">
        <v>7.7200000000000005E-2</v>
      </c>
      <c r="N50" s="2">
        <v>0</v>
      </c>
      <c r="O50" s="3">
        <v>7.7200000000000005E-2</v>
      </c>
      <c r="P50" s="2">
        <v>1.04</v>
      </c>
      <c r="Q50" s="2">
        <v>0</v>
      </c>
      <c r="R50" s="2">
        <v>1.04</v>
      </c>
      <c r="S50" t="s">
        <v>47</v>
      </c>
    </row>
    <row r="51" spans="1:20" x14ac:dyDescent="0.6">
      <c r="A51">
        <v>82</v>
      </c>
      <c r="B51" t="str">
        <f>"5426"</f>
        <v>5426</v>
      </c>
      <c r="C51" t="s">
        <v>144</v>
      </c>
      <c r="D51" s="1">
        <v>42923</v>
      </c>
      <c r="E51">
        <v>13</v>
      </c>
      <c r="F51">
        <v>-0.05</v>
      </c>
      <c r="G51" s="3">
        <v>-3.8E-3</v>
      </c>
      <c r="H51">
        <v>2013</v>
      </c>
      <c r="I51">
        <v>1.23</v>
      </c>
      <c r="J51">
        <v>1</v>
      </c>
      <c r="K51">
        <v>0</v>
      </c>
      <c r="L51">
        <v>1</v>
      </c>
      <c r="M51" s="3">
        <v>7.6899999999999996E-2</v>
      </c>
      <c r="N51" s="2">
        <v>0</v>
      </c>
      <c r="O51" s="3">
        <v>7.6899999999999996E-2</v>
      </c>
      <c r="P51" s="3">
        <v>0.81299999999999994</v>
      </c>
      <c r="Q51" s="2">
        <v>0</v>
      </c>
      <c r="R51" s="3">
        <v>0.81299999999999994</v>
      </c>
      <c r="S51" t="s">
        <v>47</v>
      </c>
    </row>
    <row r="52" spans="1:20" x14ac:dyDescent="0.6">
      <c r="A52">
        <v>380</v>
      </c>
      <c r="B52" t="str">
        <f>"3588"</f>
        <v>3588</v>
      </c>
      <c r="C52" t="s">
        <v>464</v>
      </c>
      <c r="D52" s="1">
        <v>42923</v>
      </c>
      <c r="E52">
        <v>28.65</v>
      </c>
      <c r="F52">
        <v>-0.05</v>
      </c>
      <c r="G52" s="3">
        <v>-1.6999999999999999E-3</v>
      </c>
      <c r="H52">
        <v>2013</v>
      </c>
      <c r="I52">
        <v>2.76</v>
      </c>
      <c r="J52">
        <v>2.2000000000000002</v>
      </c>
      <c r="K52">
        <v>0</v>
      </c>
      <c r="L52">
        <v>2.2000000000000002</v>
      </c>
      <c r="M52" s="3">
        <v>7.6799999999999993E-2</v>
      </c>
      <c r="N52" s="2">
        <v>0</v>
      </c>
      <c r="O52" s="3">
        <v>7.6799999999999993E-2</v>
      </c>
      <c r="P52" s="3">
        <v>0.79700000000000004</v>
      </c>
      <c r="Q52" s="2">
        <v>0</v>
      </c>
      <c r="R52" s="3">
        <v>0.79700000000000004</v>
      </c>
      <c r="S52" t="s">
        <v>226</v>
      </c>
    </row>
    <row r="53" spans="1:20" x14ac:dyDescent="0.6">
      <c r="A53">
        <v>85</v>
      </c>
      <c r="B53" t="str">
        <f>"2430"</f>
        <v>2430</v>
      </c>
      <c r="C53" t="s">
        <v>147</v>
      </c>
      <c r="D53" s="1">
        <v>42923</v>
      </c>
      <c r="E53">
        <v>26.25</v>
      </c>
      <c r="F53">
        <v>-0.15</v>
      </c>
      <c r="G53" s="3">
        <v>-5.7000000000000002E-3</v>
      </c>
      <c r="H53">
        <v>2013</v>
      </c>
      <c r="I53">
        <v>4.32</v>
      </c>
      <c r="J53">
        <v>2</v>
      </c>
      <c r="K53">
        <v>0</v>
      </c>
      <c r="L53">
        <v>2</v>
      </c>
      <c r="M53" s="3">
        <v>7.6200000000000004E-2</v>
      </c>
      <c r="N53" s="2">
        <v>0</v>
      </c>
      <c r="O53" s="3">
        <v>7.6200000000000004E-2</v>
      </c>
      <c r="P53" s="3">
        <v>0.46300000000000002</v>
      </c>
      <c r="Q53" s="2">
        <v>0</v>
      </c>
      <c r="R53" s="3">
        <v>0.46300000000000002</v>
      </c>
      <c r="S53" t="s">
        <v>148</v>
      </c>
    </row>
    <row r="54" spans="1:20" x14ac:dyDescent="0.6">
      <c r="A54">
        <v>165</v>
      </c>
      <c r="B54" t="str">
        <f>"6203"</f>
        <v>6203</v>
      </c>
      <c r="C54" t="s">
        <v>237</v>
      </c>
      <c r="D54" s="1">
        <v>42923</v>
      </c>
      <c r="E54">
        <v>30.3</v>
      </c>
      <c r="F54">
        <v>0.1</v>
      </c>
      <c r="G54" s="3">
        <v>3.3E-3</v>
      </c>
      <c r="H54">
        <v>2013</v>
      </c>
      <c r="I54">
        <v>3.35</v>
      </c>
      <c r="J54">
        <v>2.2999999999999998</v>
      </c>
      <c r="K54">
        <v>0.5</v>
      </c>
      <c r="L54">
        <v>2.8</v>
      </c>
      <c r="M54" s="3">
        <v>7.5899999999999995E-2</v>
      </c>
      <c r="N54" s="3">
        <v>1.6500000000000001E-2</v>
      </c>
      <c r="O54" s="3">
        <v>9.2399999999999996E-2</v>
      </c>
      <c r="P54" s="3">
        <v>0.68700000000000006</v>
      </c>
      <c r="Q54" s="3">
        <v>0.14899999999999999</v>
      </c>
      <c r="R54" s="3">
        <v>0.83599999999999997</v>
      </c>
      <c r="S54" t="s">
        <v>122</v>
      </c>
      <c r="T54" t="s">
        <v>122</v>
      </c>
    </row>
    <row r="55" spans="1:20" x14ac:dyDescent="0.6">
      <c r="A55">
        <v>248</v>
      </c>
      <c r="B55" t="str">
        <f>"6257"</f>
        <v>6257</v>
      </c>
      <c r="C55" t="s">
        <v>327</v>
      </c>
      <c r="D55" s="1">
        <v>42923</v>
      </c>
      <c r="E55">
        <v>27.75</v>
      </c>
      <c r="F55">
        <v>-0.3</v>
      </c>
      <c r="G55" s="3">
        <v>-1.0699999999999999E-2</v>
      </c>
      <c r="H55">
        <v>2013</v>
      </c>
      <c r="I55">
        <v>2.78</v>
      </c>
      <c r="J55">
        <v>2.1</v>
      </c>
      <c r="K55">
        <v>0</v>
      </c>
      <c r="L55">
        <v>2.1</v>
      </c>
      <c r="M55" s="3">
        <v>7.5700000000000003E-2</v>
      </c>
      <c r="N55" s="2">
        <v>0</v>
      </c>
      <c r="O55" s="3">
        <v>7.5700000000000003E-2</v>
      </c>
      <c r="P55" s="3">
        <v>0.755</v>
      </c>
      <c r="Q55" s="2">
        <v>0</v>
      </c>
      <c r="R55" s="3">
        <v>0.755</v>
      </c>
      <c r="S55" t="s">
        <v>183</v>
      </c>
    </row>
    <row r="56" spans="1:20" x14ac:dyDescent="0.6">
      <c r="A56">
        <v>364</v>
      </c>
      <c r="B56" t="str">
        <f>"8091"</f>
        <v>8091</v>
      </c>
      <c r="C56" t="s">
        <v>447</v>
      </c>
      <c r="D56" s="1">
        <v>42923</v>
      </c>
      <c r="E56">
        <v>68</v>
      </c>
      <c r="F56">
        <v>-0.2</v>
      </c>
      <c r="G56" s="3">
        <v>-2.8999999999999998E-3</v>
      </c>
      <c r="H56">
        <v>2013</v>
      </c>
      <c r="I56">
        <v>6.1</v>
      </c>
      <c r="J56">
        <v>5.13</v>
      </c>
      <c r="K56">
        <v>0</v>
      </c>
      <c r="L56">
        <v>5.13</v>
      </c>
      <c r="M56" s="3">
        <v>7.5399999999999995E-2</v>
      </c>
      <c r="N56" s="2">
        <v>0</v>
      </c>
      <c r="O56" s="3">
        <v>7.5399999999999995E-2</v>
      </c>
      <c r="P56" s="3">
        <v>0.84099999999999997</v>
      </c>
      <c r="Q56" s="2">
        <v>0</v>
      </c>
      <c r="R56" s="3">
        <v>0.84099999999999997</v>
      </c>
      <c r="S56" t="s">
        <v>31</v>
      </c>
    </row>
    <row r="57" spans="1:20" x14ac:dyDescent="0.6">
      <c r="A57">
        <v>204</v>
      </c>
      <c r="B57" t="str">
        <f>"4138"</f>
        <v>4138</v>
      </c>
      <c r="C57" t="s">
        <v>283</v>
      </c>
      <c r="D57" s="1">
        <v>42923</v>
      </c>
      <c r="E57">
        <v>56.9</v>
      </c>
      <c r="F57">
        <v>-0.4</v>
      </c>
      <c r="G57" s="3">
        <v>-7.0000000000000001E-3</v>
      </c>
      <c r="H57">
        <v>2013</v>
      </c>
      <c r="I57">
        <v>4.26</v>
      </c>
      <c r="J57">
        <v>4.25</v>
      </c>
      <c r="K57">
        <v>0</v>
      </c>
      <c r="L57">
        <v>4.25</v>
      </c>
      <c r="M57" s="3">
        <v>7.4700000000000003E-2</v>
      </c>
      <c r="N57" s="2">
        <v>0</v>
      </c>
      <c r="O57" s="3">
        <v>7.4700000000000003E-2</v>
      </c>
      <c r="P57" s="3">
        <v>0.998</v>
      </c>
      <c r="Q57" s="2">
        <v>0</v>
      </c>
      <c r="R57" s="3">
        <v>0.998</v>
      </c>
      <c r="S57" t="s">
        <v>136</v>
      </c>
    </row>
    <row r="58" spans="1:20" x14ac:dyDescent="0.6">
      <c r="A58">
        <v>249</v>
      </c>
      <c r="B58" t="str">
        <f>"1234"</f>
        <v>1234</v>
      </c>
      <c r="C58" t="s">
        <v>328</v>
      </c>
      <c r="D58" s="1">
        <v>42923</v>
      </c>
      <c r="E58">
        <v>33.65</v>
      </c>
      <c r="F58">
        <v>-0.25</v>
      </c>
      <c r="G58" s="3">
        <v>-7.4000000000000003E-3</v>
      </c>
      <c r="H58">
        <v>2013</v>
      </c>
      <c r="I58">
        <v>15.14</v>
      </c>
      <c r="J58">
        <v>2.5</v>
      </c>
      <c r="K58">
        <v>0</v>
      </c>
      <c r="L58">
        <v>2.5</v>
      </c>
      <c r="M58" s="3">
        <v>7.4300000000000005E-2</v>
      </c>
      <c r="N58" s="2">
        <v>0</v>
      </c>
      <c r="O58" s="3">
        <v>7.4300000000000005E-2</v>
      </c>
      <c r="P58" s="3">
        <v>0.16500000000000001</v>
      </c>
      <c r="Q58" s="2">
        <v>0</v>
      </c>
      <c r="R58" s="3">
        <v>0.16500000000000001</v>
      </c>
      <c r="S58" t="s">
        <v>40</v>
      </c>
    </row>
    <row r="59" spans="1:20" x14ac:dyDescent="0.6">
      <c r="A59">
        <v>15</v>
      </c>
      <c r="B59" t="str">
        <f>"8426"</f>
        <v>8426</v>
      </c>
      <c r="C59" t="s">
        <v>44</v>
      </c>
      <c r="D59" s="1">
        <v>42923</v>
      </c>
      <c r="E59">
        <v>40.6</v>
      </c>
      <c r="F59">
        <v>-0.35</v>
      </c>
      <c r="G59" s="3">
        <v>-8.5000000000000006E-3</v>
      </c>
      <c r="H59">
        <v>2013</v>
      </c>
      <c r="I59">
        <v>4.05</v>
      </c>
      <c r="J59">
        <v>3</v>
      </c>
      <c r="K59">
        <v>0</v>
      </c>
      <c r="L59">
        <v>3</v>
      </c>
      <c r="M59" s="3">
        <v>7.3899999999999993E-2</v>
      </c>
      <c r="N59" s="2">
        <v>0</v>
      </c>
      <c r="O59" s="3">
        <v>7.3899999999999993E-2</v>
      </c>
      <c r="P59" s="3">
        <v>0.74099999999999999</v>
      </c>
      <c r="Q59" s="2">
        <v>0</v>
      </c>
      <c r="R59" s="3">
        <v>0.74099999999999999</v>
      </c>
      <c r="S59" t="s">
        <v>45</v>
      </c>
    </row>
    <row r="60" spans="1:20" x14ac:dyDescent="0.6">
      <c r="A60">
        <v>446</v>
      </c>
      <c r="B60" t="str">
        <f>"6210"</f>
        <v>6210</v>
      </c>
      <c r="C60" t="s">
        <v>536</v>
      </c>
      <c r="D60" s="1">
        <v>42923</v>
      </c>
      <c r="E60">
        <v>40.700000000000003</v>
      </c>
      <c r="F60">
        <v>-0.25</v>
      </c>
      <c r="G60" s="3">
        <v>-6.1000000000000004E-3</v>
      </c>
      <c r="H60">
        <v>2013</v>
      </c>
      <c r="I60">
        <v>4.47</v>
      </c>
      <c r="J60">
        <v>3</v>
      </c>
      <c r="K60">
        <v>0</v>
      </c>
      <c r="L60">
        <v>3</v>
      </c>
      <c r="M60" s="3">
        <v>7.3700000000000002E-2</v>
      </c>
      <c r="N60" s="2">
        <v>0</v>
      </c>
      <c r="O60" s="3">
        <v>7.3700000000000002E-2</v>
      </c>
      <c r="P60" s="3">
        <v>0.67100000000000004</v>
      </c>
      <c r="Q60" s="2">
        <v>0</v>
      </c>
      <c r="R60" s="3">
        <v>0.67100000000000004</v>
      </c>
      <c r="S60" t="s">
        <v>31</v>
      </c>
    </row>
    <row r="61" spans="1:20" x14ac:dyDescent="0.6">
      <c r="A61">
        <v>23</v>
      </c>
      <c r="B61" t="str">
        <f>"2536"</f>
        <v>2536</v>
      </c>
      <c r="C61" t="s">
        <v>56</v>
      </c>
      <c r="D61" s="1">
        <v>42923</v>
      </c>
      <c r="E61">
        <v>23.3</v>
      </c>
      <c r="F61">
        <v>-0.15</v>
      </c>
      <c r="G61" s="3">
        <v>-6.4000000000000003E-3</v>
      </c>
      <c r="H61">
        <v>2013</v>
      </c>
      <c r="I61">
        <v>3.42</v>
      </c>
      <c r="J61">
        <v>1.7</v>
      </c>
      <c r="K61">
        <v>0</v>
      </c>
      <c r="L61">
        <v>1.7</v>
      </c>
      <c r="M61" s="3">
        <v>7.2999999999999995E-2</v>
      </c>
      <c r="N61" s="2">
        <v>0</v>
      </c>
      <c r="O61" s="3">
        <v>7.2999999999999995E-2</v>
      </c>
      <c r="P61" s="3">
        <v>0.497</v>
      </c>
      <c r="Q61" s="2">
        <v>0</v>
      </c>
      <c r="R61" s="3">
        <v>0.497</v>
      </c>
      <c r="S61" t="s">
        <v>31</v>
      </c>
    </row>
    <row r="62" spans="1:20" x14ac:dyDescent="0.6">
      <c r="A62">
        <v>258</v>
      </c>
      <c r="B62" t="str">
        <f>"6185"</f>
        <v>6185</v>
      </c>
      <c r="C62" t="s">
        <v>337</v>
      </c>
      <c r="D62" s="1">
        <v>42923</v>
      </c>
      <c r="E62">
        <v>22</v>
      </c>
      <c r="F62">
        <v>-0.1</v>
      </c>
      <c r="G62" s="3">
        <v>-4.4999999999999997E-3</v>
      </c>
      <c r="H62">
        <v>2013</v>
      </c>
      <c r="I62">
        <v>2.19</v>
      </c>
      <c r="J62">
        <v>1.6</v>
      </c>
      <c r="K62">
        <v>0.4</v>
      </c>
      <c r="L62">
        <v>2</v>
      </c>
      <c r="M62" s="3">
        <v>7.2700000000000001E-2</v>
      </c>
      <c r="N62" s="3">
        <v>1.8200000000000001E-2</v>
      </c>
      <c r="O62" s="3">
        <v>9.0899999999999995E-2</v>
      </c>
      <c r="P62" s="3">
        <v>0.73099999999999998</v>
      </c>
      <c r="Q62" s="3">
        <v>0.183</v>
      </c>
      <c r="R62" s="3">
        <v>0.91300000000000003</v>
      </c>
      <c r="S62" t="s">
        <v>24</v>
      </c>
      <c r="T62" t="s">
        <v>24</v>
      </c>
    </row>
    <row r="63" spans="1:20" x14ac:dyDescent="0.6">
      <c r="A63">
        <v>343</v>
      </c>
      <c r="B63" t="str">
        <f>"9905"</f>
        <v>9905</v>
      </c>
      <c r="C63" t="s">
        <v>425</v>
      </c>
      <c r="D63" s="1">
        <v>42923</v>
      </c>
      <c r="E63">
        <v>27.65</v>
      </c>
      <c r="F63">
        <v>-0.1</v>
      </c>
      <c r="G63" s="3">
        <v>-3.5999999999999999E-3</v>
      </c>
      <c r="H63">
        <v>2013</v>
      </c>
      <c r="I63">
        <v>2.72</v>
      </c>
      <c r="J63">
        <v>2</v>
      </c>
      <c r="K63">
        <v>0</v>
      </c>
      <c r="L63">
        <v>2</v>
      </c>
      <c r="M63" s="3">
        <v>7.2300000000000003E-2</v>
      </c>
      <c r="N63" s="2">
        <v>0</v>
      </c>
      <c r="O63" s="3">
        <v>7.2300000000000003E-2</v>
      </c>
      <c r="P63" s="3">
        <v>0.73499999999999999</v>
      </c>
      <c r="Q63" s="2">
        <v>0</v>
      </c>
      <c r="R63" s="3">
        <v>0.73499999999999999</v>
      </c>
      <c r="S63" t="s">
        <v>89</v>
      </c>
    </row>
    <row r="64" spans="1:20" x14ac:dyDescent="0.6">
      <c r="A64">
        <v>228</v>
      </c>
      <c r="B64" t="str">
        <f>"3093"</f>
        <v>3093</v>
      </c>
      <c r="C64" t="s">
        <v>307</v>
      </c>
      <c r="D64" s="1">
        <v>42923</v>
      </c>
      <c r="E64">
        <v>30</v>
      </c>
      <c r="F64">
        <v>-0.25</v>
      </c>
      <c r="G64" s="3">
        <v>-8.3000000000000001E-3</v>
      </c>
      <c r="H64">
        <v>2013</v>
      </c>
      <c r="I64">
        <v>2.63</v>
      </c>
      <c r="J64">
        <v>2.16</v>
      </c>
      <c r="K64">
        <v>0</v>
      </c>
      <c r="L64">
        <v>2.16</v>
      </c>
      <c r="M64" s="3">
        <v>7.1999999999999995E-2</v>
      </c>
      <c r="N64" s="2">
        <v>0</v>
      </c>
      <c r="O64" s="3">
        <v>7.1999999999999995E-2</v>
      </c>
      <c r="P64" s="3">
        <v>0.82099999999999995</v>
      </c>
      <c r="Q64" s="2">
        <v>0</v>
      </c>
      <c r="R64" s="3">
        <v>0.82099999999999995</v>
      </c>
      <c r="S64" t="s">
        <v>45</v>
      </c>
    </row>
    <row r="65" spans="1:20" x14ac:dyDescent="0.6">
      <c r="A65">
        <v>92</v>
      </c>
      <c r="B65" t="str">
        <f>"6189"</f>
        <v>6189</v>
      </c>
      <c r="C65" t="s">
        <v>155</v>
      </c>
      <c r="D65" s="1">
        <v>42923</v>
      </c>
      <c r="E65">
        <v>30.75</v>
      </c>
      <c r="F65">
        <v>-0.15</v>
      </c>
      <c r="G65" s="3">
        <v>-4.8999999999999998E-3</v>
      </c>
      <c r="H65">
        <v>2013</v>
      </c>
      <c r="I65">
        <v>2.57</v>
      </c>
      <c r="J65">
        <v>2.2000000000000002</v>
      </c>
      <c r="K65">
        <v>0</v>
      </c>
      <c r="L65">
        <v>2.2000000000000002</v>
      </c>
      <c r="M65" s="3">
        <v>7.1499999999999994E-2</v>
      </c>
      <c r="N65" s="2">
        <v>0</v>
      </c>
      <c r="O65" s="3">
        <v>7.1499999999999994E-2</v>
      </c>
      <c r="P65" s="3">
        <v>0.85599999999999998</v>
      </c>
      <c r="Q65" s="2">
        <v>0</v>
      </c>
      <c r="R65" s="3">
        <v>0.85599999999999998</v>
      </c>
      <c r="S65" t="s">
        <v>45</v>
      </c>
    </row>
    <row r="66" spans="1:20" x14ac:dyDescent="0.6">
      <c r="A66">
        <v>362</v>
      </c>
      <c r="B66" t="str">
        <f>"6195"</f>
        <v>6195</v>
      </c>
      <c r="C66" t="s">
        <v>445</v>
      </c>
      <c r="D66" s="1">
        <v>42923</v>
      </c>
      <c r="E66">
        <v>56</v>
      </c>
      <c r="F66">
        <v>-0.2</v>
      </c>
      <c r="G66" s="3">
        <v>-3.5999999999999999E-3</v>
      </c>
      <c r="H66">
        <v>2013</v>
      </c>
      <c r="I66">
        <v>5.04</v>
      </c>
      <c r="J66">
        <v>4</v>
      </c>
      <c r="K66">
        <v>0.5</v>
      </c>
      <c r="L66">
        <v>4.5</v>
      </c>
      <c r="M66" s="3">
        <v>7.1400000000000005E-2</v>
      </c>
      <c r="N66" s="3">
        <v>8.8999999999999999E-3</v>
      </c>
      <c r="O66" s="3">
        <v>8.0399999999999999E-2</v>
      </c>
      <c r="P66" s="3">
        <v>0.79400000000000004</v>
      </c>
      <c r="Q66" s="3">
        <v>9.9199999999999997E-2</v>
      </c>
      <c r="R66" s="3">
        <v>0.89300000000000002</v>
      </c>
      <c r="S66" t="s">
        <v>82</v>
      </c>
      <c r="T66" t="s">
        <v>82</v>
      </c>
    </row>
    <row r="67" spans="1:20" x14ac:dyDescent="0.6">
      <c r="A67">
        <v>22</v>
      </c>
      <c r="B67" t="str">
        <f>"6292"</f>
        <v>6292</v>
      </c>
      <c r="C67" t="s">
        <v>54</v>
      </c>
      <c r="D67" s="1">
        <v>42923</v>
      </c>
      <c r="E67">
        <v>35.200000000000003</v>
      </c>
      <c r="F67">
        <v>-0.1</v>
      </c>
      <c r="G67" s="3">
        <v>-2.8E-3</v>
      </c>
      <c r="H67">
        <v>2013</v>
      </c>
      <c r="I67">
        <v>2.81</v>
      </c>
      <c r="J67">
        <v>2.5</v>
      </c>
      <c r="K67">
        <v>0</v>
      </c>
      <c r="L67">
        <v>2.5</v>
      </c>
      <c r="M67" s="3">
        <v>7.0999999999999994E-2</v>
      </c>
      <c r="N67" s="2">
        <v>0</v>
      </c>
      <c r="O67" s="3">
        <v>7.0999999999999994E-2</v>
      </c>
      <c r="P67" s="2">
        <v>0.89</v>
      </c>
      <c r="Q67" s="2">
        <v>0</v>
      </c>
      <c r="R67" s="2">
        <v>0.89</v>
      </c>
      <c r="S67" t="s">
        <v>55</v>
      </c>
    </row>
    <row r="68" spans="1:20" x14ac:dyDescent="0.6">
      <c r="A68">
        <v>130</v>
      </c>
      <c r="B68" t="str">
        <f>"2450"</f>
        <v>2450</v>
      </c>
      <c r="C68" t="s">
        <v>196</v>
      </c>
      <c r="D68" s="1">
        <v>42923</v>
      </c>
      <c r="E68">
        <v>56.9</v>
      </c>
      <c r="F68">
        <v>0.1</v>
      </c>
      <c r="G68" s="3">
        <v>1.8E-3</v>
      </c>
      <c r="H68">
        <v>2013</v>
      </c>
      <c r="I68">
        <v>5.81</v>
      </c>
      <c r="J68">
        <v>3.99</v>
      </c>
      <c r="K68">
        <v>0</v>
      </c>
      <c r="L68">
        <v>3.99</v>
      </c>
      <c r="M68" s="3">
        <v>7.0199999999999999E-2</v>
      </c>
      <c r="N68" s="2">
        <v>0</v>
      </c>
      <c r="O68" s="3">
        <v>7.0199999999999999E-2</v>
      </c>
      <c r="P68" s="3">
        <v>0.68700000000000006</v>
      </c>
      <c r="Q68" s="2">
        <v>0</v>
      </c>
      <c r="R68" s="3">
        <v>0.68700000000000006</v>
      </c>
      <c r="S68" t="s">
        <v>183</v>
      </c>
    </row>
    <row r="69" spans="1:20" x14ac:dyDescent="0.6">
      <c r="A69">
        <v>276</v>
      </c>
      <c r="B69" t="str">
        <f>"6154"</f>
        <v>6154</v>
      </c>
      <c r="C69" t="s">
        <v>356</v>
      </c>
      <c r="D69" s="1">
        <v>42923</v>
      </c>
      <c r="E69">
        <v>17.25</v>
      </c>
      <c r="F69">
        <v>0</v>
      </c>
      <c r="G69" s="2">
        <v>0</v>
      </c>
      <c r="H69">
        <v>2013</v>
      </c>
      <c r="I69">
        <v>1.66</v>
      </c>
      <c r="J69">
        <v>1.2</v>
      </c>
      <c r="K69">
        <v>0</v>
      </c>
      <c r="L69">
        <v>1.2</v>
      </c>
      <c r="M69" s="3">
        <v>6.9599999999999995E-2</v>
      </c>
      <c r="N69" s="2">
        <v>0</v>
      </c>
      <c r="O69" s="3">
        <v>6.9599999999999995E-2</v>
      </c>
      <c r="P69" s="3">
        <v>0.72299999999999998</v>
      </c>
      <c r="Q69" s="2">
        <v>0</v>
      </c>
      <c r="R69" s="3">
        <v>0.72299999999999998</v>
      </c>
      <c r="S69" t="s">
        <v>339</v>
      </c>
    </row>
    <row r="70" spans="1:20" x14ac:dyDescent="0.6">
      <c r="A70">
        <v>78</v>
      </c>
      <c r="B70" t="str">
        <f>"2548"</f>
        <v>2548</v>
      </c>
      <c r="C70" t="s">
        <v>138</v>
      </c>
      <c r="D70" s="1">
        <v>42923</v>
      </c>
      <c r="E70">
        <v>72</v>
      </c>
      <c r="F70">
        <v>-0.3</v>
      </c>
      <c r="G70" s="3">
        <v>-4.1000000000000003E-3</v>
      </c>
      <c r="H70">
        <v>2013</v>
      </c>
      <c r="I70">
        <v>6.1</v>
      </c>
      <c r="J70">
        <v>5</v>
      </c>
      <c r="K70">
        <v>0</v>
      </c>
      <c r="L70">
        <v>5</v>
      </c>
      <c r="M70" s="3">
        <v>6.9400000000000003E-2</v>
      </c>
      <c r="N70" s="2">
        <v>0</v>
      </c>
      <c r="O70" s="3">
        <v>6.9400000000000003E-2</v>
      </c>
      <c r="P70" s="2">
        <v>0.82</v>
      </c>
      <c r="Q70" s="2">
        <v>0</v>
      </c>
      <c r="R70" s="2">
        <v>0.82</v>
      </c>
      <c r="S70" t="s">
        <v>75</v>
      </c>
    </row>
    <row r="71" spans="1:20" x14ac:dyDescent="0.6">
      <c r="A71">
        <v>135</v>
      </c>
      <c r="B71" t="str">
        <f>"5234"</f>
        <v>5234</v>
      </c>
      <c r="C71" t="s">
        <v>201</v>
      </c>
      <c r="D71" s="1">
        <v>42923</v>
      </c>
      <c r="E71">
        <v>43.25</v>
      </c>
      <c r="F71">
        <v>-0.5</v>
      </c>
      <c r="G71" s="3">
        <v>-1.14E-2</v>
      </c>
      <c r="H71">
        <v>2013</v>
      </c>
      <c r="I71">
        <v>4.05</v>
      </c>
      <c r="J71">
        <v>3</v>
      </c>
      <c r="K71">
        <v>0</v>
      </c>
      <c r="L71">
        <v>3</v>
      </c>
      <c r="M71" s="3">
        <v>6.9400000000000003E-2</v>
      </c>
      <c r="N71" s="2">
        <v>0</v>
      </c>
      <c r="O71" s="3">
        <v>6.9400000000000003E-2</v>
      </c>
      <c r="P71" s="3">
        <v>0.74099999999999999</v>
      </c>
      <c r="Q71" s="2">
        <v>0</v>
      </c>
      <c r="R71" s="3">
        <v>0.74099999999999999</v>
      </c>
      <c r="S71" t="s">
        <v>67</v>
      </c>
    </row>
    <row r="72" spans="1:20" x14ac:dyDescent="0.6">
      <c r="A72">
        <v>183</v>
      </c>
      <c r="B72" t="str">
        <f>"2451"</f>
        <v>2451</v>
      </c>
      <c r="C72" t="s">
        <v>259</v>
      </c>
      <c r="D72" s="1">
        <v>42923</v>
      </c>
      <c r="E72">
        <v>93.7</v>
      </c>
      <c r="F72">
        <v>0.2</v>
      </c>
      <c r="G72" s="3">
        <v>2.0999999999999999E-3</v>
      </c>
      <c r="H72">
        <v>2013</v>
      </c>
      <c r="I72">
        <v>6.61</v>
      </c>
      <c r="J72">
        <v>6.5</v>
      </c>
      <c r="K72">
        <v>0</v>
      </c>
      <c r="L72">
        <v>6.5</v>
      </c>
      <c r="M72" s="3">
        <v>6.9400000000000003E-2</v>
      </c>
      <c r="N72" s="2">
        <v>0</v>
      </c>
      <c r="O72" s="3">
        <v>6.9400000000000003E-2</v>
      </c>
      <c r="P72" s="3">
        <v>0.98299999999999998</v>
      </c>
      <c r="Q72" s="2">
        <v>0</v>
      </c>
      <c r="R72" s="3">
        <v>0.98299999999999998</v>
      </c>
      <c r="S72" t="s">
        <v>69</v>
      </c>
    </row>
    <row r="73" spans="1:20" x14ac:dyDescent="0.6">
      <c r="A73">
        <v>325</v>
      </c>
      <c r="B73" t="str">
        <f>"6218"</f>
        <v>6218</v>
      </c>
      <c r="C73" t="s">
        <v>407</v>
      </c>
      <c r="D73" s="1">
        <v>42923</v>
      </c>
      <c r="E73">
        <v>21.65</v>
      </c>
      <c r="F73">
        <v>-0.1</v>
      </c>
      <c r="G73" s="3">
        <v>-4.5999999999999999E-3</v>
      </c>
      <c r="H73">
        <v>2013</v>
      </c>
      <c r="I73">
        <v>1.06</v>
      </c>
      <c r="J73">
        <v>1.5</v>
      </c>
      <c r="K73">
        <v>0</v>
      </c>
      <c r="L73">
        <v>1.5</v>
      </c>
      <c r="M73" s="3">
        <v>6.93E-2</v>
      </c>
      <c r="N73" s="2">
        <v>0</v>
      </c>
      <c r="O73" s="3">
        <v>6.93E-2</v>
      </c>
      <c r="P73" s="2">
        <v>1.42</v>
      </c>
      <c r="Q73" s="2">
        <v>0</v>
      </c>
      <c r="R73" s="2">
        <v>1.42</v>
      </c>
      <c r="S73" t="s">
        <v>119</v>
      </c>
    </row>
    <row r="74" spans="1:20" x14ac:dyDescent="0.6">
      <c r="A74">
        <v>29</v>
      </c>
      <c r="B74" t="str">
        <f>"6115"</f>
        <v>6115</v>
      </c>
      <c r="C74" t="s">
        <v>63</v>
      </c>
      <c r="D74" s="1">
        <v>42923</v>
      </c>
      <c r="E74">
        <v>45.3</v>
      </c>
      <c r="F74">
        <v>-0.5</v>
      </c>
      <c r="G74" s="3">
        <v>-1.09E-2</v>
      </c>
      <c r="H74">
        <v>2013</v>
      </c>
      <c r="I74">
        <v>4.12</v>
      </c>
      <c r="J74">
        <v>3.14</v>
      </c>
      <c r="K74">
        <v>0</v>
      </c>
      <c r="L74">
        <v>3.14</v>
      </c>
      <c r="M74" s="3">
        <v>6.9199999999999998E-2</v>
      </c>
      <c r="N74" s="2">
        <v>0</v>
      </c>
      <c r="O74" s="3">
        <v>6.9199999999999998E-2</v>
      </c>
      <c r="P74" s="3">
        <v>0.76200000000000001</v>
      </c>
      <c r="Q74" s="2">
        <v>0</v>
      </c>
      <c r="R74" s="3">
        <v>0.76200000000000001</v>
      </c>
      <c r="S74" t="s">
        <v>43</v>
      </c>
    </row>
    <row r="75" spans="1:20" x14ac:dyDescent="0.6">
      <c r="A75">
        <v>62</v>
      </c>
      <c r="B75" t="str">
        <f>"3028"</f>
        <v>3028</v>
      </c>
      <c r="C75" t="s">
        <v>116</v>
      </c>
      <c r="D75" s="1">
        <v>42923</v>
      </c>
      <c r="E75">
        <v>18.899999999999999</v>
      </c>
      <c r="F75">
        <v>-0.05</v>
      </c>
      <c r="G75" s="3">
        <v>-2.5999999999999999E-3</v>
      </c>
      <c r="H75">
        <v>2013</v>
      </c>
      <c r="I75">
        <v>1.5</v>
      </c>
      <c r="J75">
        <v>1.3</v>
      </c>
      <c r="K75">
        <v>0</v>
      </c>
      <c r="L75">
        <v>1.3</v>
      </c>
      <c r="M75" s="3">
        <v>6.8900000000000003E-2</v>
      </c>
      <c r="N75" s="2">
        <v>0</v>
      </c>
      <c r="O75" s="3">
        <v>6.8900000000000003E-2</v>
      </c>
      <c r="P75" s="3">
        <v>0.86699999999999999</v>
      </c>
      <c r="Q75" s="2">
        <v>0</v>
      </c>
      <c r="R75" s="3">
        <v>0.86699999999999999</v>
      </c>
      <c r="S75" t="s">
        <v>22</v>
      </c>
    </row>
    <row r="76" spans="1:20" x14ac:dyDescent="0.6">
      <c r="A76">
        <v>334</v>
      </c>
      <c r="B76" t="str">
        <f>"3537"</f>
        <v>3537</v>
      </c>
      <c r="C76" t="s">
        <v>416</v>
      </c>
      <c r="D76" s="1">
        <v>42923</v>
      </c>
      <c r="E76">
        <v>21.9</v>
      </c>
      <c r="F76">
        <v>0</v>
      </c>
      <c r="G76" s="2">
        <v>0</v>
      </c>
      <c r="H76">
        <v>2013</v>
      </c>
      <c r="I76">
        <v>2.23</v>
      </c>
      <c r="J76">
        <v>1.5</v>
      </c>
      <c r="K76">
        <v>0.5</v>
      </c>
      <c r="L76">
        <v>2</v>
      </c>
      <c r="M76" s="3">
        <v>6.8500000000000005E-2</v>
      </c>
      <c r="N76" s="3">
        <v>2.2800000000000001E-2</v>
      </c>
      <c r="O76" s="3">
        <v>9.1300000000000006E-2</v>
      </c>
      <c r="P76" s="3">
        <v>0.67300000000000004</v>
      </c>
      <c r="Q76" s="3">
        <v>0.224</v>
      </c>
      <c r="R76" s="3">
        <v>0.89700000000000002</v>
      </c>
      <c r="S76" t="s">
        <v>108</v>
      </c>
      <c r="T76" t="s">
        <v>108</v>
      </c>
    </row>
    <row r="77" spans="1:20" x14ac:dyDescent="0.6">
      <c r="A77">
        <v>352</v>
      </c>
      <c r="B77" t="str">
        <f>"3454"</f>
        <v>3454</v>
      </c>
      <c r="C77" t="s">
        <v>435</v>
      </c>
      <c r="D77" s="1">
        <v>42923</v>
      </c>
      <c r="E77">
        <v>88.1</v>
      </c>
      <c r="F77">
        <v>1.2</v>
      </c>
      <c r="G77" s="3">
        <v>1.38E-2</v>
      </c>
      <c r="H77">
        <v>2013</v>
      </c>
      <c r="I77">
        <v>8.49</v>
      </c>
      <c r="J77">
        <v>6</v>
      </c>
      <c r="K77">
        <v>0.35</v>
      </c>
      <c r="L77">
        <v>6.35</v>
      </c>
      <c r="M77" s="3">
        <v>6.8099999999999994E-2</v>
      </c>
      <c r="N77" s="3">
        <v>4.0000000000000001E-3</v>
      </c>
      <c r="O77" s="3">
        <v>7.2099999999999997E-2</v>
      </c>
      <c r="P77" s="3">
        <v>0.70699999999999996</v>
      </c>
      <c r="Q77" s="3">
        <v>4.1200000000000001E-2</v>
      </c>
      <c r="R77" s="3">
        <v>0.748</v>
      </c>
      <c r="S77" t="s">
        <v>43</v>
      </c>
      <c r="T77" t="s">
        <v>43</v>
      </c>
    </row>
    <row r="78" spans="1:20" x14ac:dyDescent="0.6">
      <c r="A78">
        <v>126</v>
      </c>
      <c r="B78" t="str">
        <f>"2480"</f>
        <v>2480</v>
      </c>
      <c r="C78" t="s">
        <v>192</v>
      </c>
      <c r="D78" s="1">
        <v>42923</v>
      </c>
      <c r="E78">
        <v>29.75</v>
      </c>
      <c r="F78">
        <v>-0.1</v>
      </c>
      <c r="G78" s="3">
        <v>-3.3999999999999998E-3</v>
      </c>
      <c r="H78">
        <v>2013</v>
      </c>
      <c r="I78">
        <v>1.95</v>
      </c>
      <c r="J78">
        <v>2</v>
      </c>
      <c r="K78">
        <v>0</v>
      </c>
      <c r="L78">
        <v>2</v>
      </c>
      <c r="M78" s="3">
        <v>6.7199999999999996E-2</v>
      </c>
      <c r="N78" s="2">
        <v>0</v>
      </c>
      <c r="O78" s="3">
        <v>6.7199999999999996E-2</v>
      </c>
      <c r="P78" s="2">
        <v>1.03</v>
      </c>
      <c r="Q78" s="2">
        <v>0</v>
      </c>
      <c r="R78" s="2">
        <v>1.03</v>
      </c>
      <c r="S78" t="s">
        <v>85</v>
      </c>
    </row>
    <row r="79" spans="1:20" x14ac:dyDescent="0.6">
      <c r="A79">
        <v>153</v>
      </c>
      <c r="B79" t="str">
        <f>"2114"</f>
        <v>2114</v>
      </c>
      <c r="C79" t="s">
        <v>222</v>
      </c>
      <c r="D79" s="1">
        <v>42923</v>
      </c>
      <c r="E79">
        <v>74.5</v>
      </c>
      <c r="F79">
        <v>0.8</v>
      </c>
      <c r="G79" s="3">
        <v>1.09E-2</v>
      </c>
      <c r="H79">
        <v>2013</v>
      </c>
      <c r="I79">
        <v>7.46</v>
      </c>
      <c r="J79">
        <v>5</v>
      </c>
      <c r="K79">
        <v>0</v>
      </c>
      <c r="L79">
        <v>5</v>
      </c>
      <c r="M79" s="3">
        <v>6.7100000000000007E-2</v>
      </c>
      <c r="N79" s="2">
        <v>0</v>
      </c>
      <c r="O79" s="3">
        <v>6.7100000000000007E-2</v>
      </c>
      <c r="P79" s="2">
        <v>0.67</v>
      </c>
      <c r="Q79" s="2">
        <v>0</v>
      </c>
      <c r="R79" s="2">
        <v>0.67</v>
      </c>
      <c r="S79" t="s">
        <v>65</v>
      </c>
    </row>
    <row r="80" spans="1:20" x14ac:dyDescent="0.6">
      <c r="A80">
        <v>185</v>
      </c>
      <c r="B80" t="str">
        <f>"8422"</f>
        <v>8422</v>
      </c>
      <c r="C80" t="s">
        <v>261</v>
      </c>
      <c r="D80" s="1">
        <v>42923</v>
      </c>
      <c r="E80">
        <v>180</v>
      </c>
      <c r="F80">
        <v>-1</v>
      </c>
      <c r="G80" s="3">
        <v>-5.4999999999999997E-3</v>
      </c>
      <c r="H80">
        <v>2013</v>
      </c>
      <c r="I80">
        <v>13.37</v>
      </c>
      <c r="J80">
        <v>12.03</v>
      </c>
      <c r="K80">
        <v>0</v>
      </c>
      <c r="L80">
        <v>12.03</v>
      </c>
      <c r="M80" s="3">
        <v>6.6799999999999998E-2</v>
      </c>
      <c r="N80" s="2">
        <v>0</v>
      </c>
      <c r="O80" s="3">
        <v>6.6799999999999998E-2</v>
      </c>
      <c r="P80" s="2">
        <v>0.9</v>
      </c>
      <c r="Q80" s="2">
        <v>0</v>
      </c>
      <c r="R80" s="2">
        <v>0.9</v>
      </c>
      <c r="S80" t="s">
        <v>22</v>
      </c>
    </row>
    <row r="81" spans="1:20" x14ac:dyDescent="0.6">
      <c r="A81">
        <v>268</v>
      </c>
      <c r="B81" t="str">
        <f>"2357"</f>
        <v>2357</v>
      </c>
      <c r="C81" t="s">
        <v>348</v>
      </c>
      <c r="D81" s="1">
        <v>42923</v>
      </c>
      <c r="E81">
        <v>290</v>
      </c>
      <c r="F81">
        <v>0</v>
      </c>
      <c r="G81" s="2">
        <v>0</v>
      </c>
      <c r="H81">
        <v>2013</v>
      </c>
      <c r="I81">
        <v>29.79</v>
      </c>
      <c r="J81">
        <v>19.170000000000002</v>
      </c>
      <c r="K81">
        <v>0</v>
      </c>
      <c r="L81">
        <v>19.170000000000002</v>
      </c>
      <c r="M81" s="3">
        <v>6.6100000000000006E-2</v>
      </c>
      <c r="N81" s="2">
        <v>0</v>
      </c>
      <c r="O81" s="3">
        <v>6.6100000000000006E-2</v>
      </c>
      <c r="P81" s="3">
        <v>0.64400000000000002</v>
      </c>
      <c r="Q81" s="2">
        <v>0</v>
      </c>
      <c r="R81" s="3">
        <v>0.64400000000000002</v>
      </c>
      <c r="S81" t="s">
        <v>73</v>
      </c>
    </row>
    <row r="82" spans="1:20" x14ac:dyDescent="0.6">
      <c r="A82">
        <v>105</v>
      </c>
      <c r="B82" t="str">
        <f>"6224"</f>
        <v>6224</v>
      </c>
      <c r="C82" t="s">
        <v>168</v>
      </c>
      <c r="D82" s="1">
        <v>42923</v>
      </c>
      <c r="E82">
        <v>62.1</v>
      </c>
      <c r="F82">
        <v>-0.3</v>
      </c>
      <c r="G82" s="3">
        <v>-4.7999999999999996E-3</v>
      </c>
      <c r="H82">
        <v>2013</v>
      </c>
      <c r="I82">
        <v>4.9400000000000004</v>
      </c>
      <c r="J82">
        <v>4.0999999999999996</v>
      </c>
      <c r="K82">
        <v>0</v>
      </c>
      <c r="L82">
        <v>4.0999999999999996</v>
      </c>
      <c r="M82" s="3">
        <v>6.6000000000000003E-2</v>
      </c>
      <c r="N82" s="2">
        <v>0</v>
      </c>
      <c r="O82" s="3">
        <v>6.6000000000000003E-2</v>
      </c>
      <c r="P82" s="2">
        <v>0.83</v>
      </c>
      <c r="Q82" s="2">
        <v>0</v>
      </c>
      <c r="R82" s="2">
        <v>0.83</v>
      </c>
      <c r="S82" t="s">
        <v>67</v>
      </c>
    </row>
    <row r="83" spans="1:20" x14ac:dyDescent="0.6">
      <c r="A83">
        <v>155</v>
      </c>
      <c r="B83" t="str">
        <f>"6142"</f>
        <v>6142</v>
      </c>
      <c r="C83" t="s">
        <v>224</v>
      </c>
      <c r="D83" s="1">
        <v>42923</v>
      </c>
      <c r="E83">
        <v>8.3699999999999992</v>
      </c>
      <c r="F83">
        <v>-0.11</v>
      </c>
      <c r="G83" s="3">
        <v>-1.2999999999999999E-2</v>
      </c>
      <c r="H83">
        <v>2013</v>
      </c>
      <c r="I83">
        <v>0.61</v>
      </c>
      <c r="J83">
        <v>0.55000000000000004</v>
      </c>
      <c r="K83">
        <v>0</v>
      </c>
      <c r="L83">
        <v>0.55000000000000004</v>
      </c>
      <c r="M83" s="3">
        <v>6.5699999999999995E-2</v>
      </c>
      <c r="N83" s="2">
        <v>0</v>
      </c>
      <c r="O83" s="3">
        <v>6.5699999999999995E-2</v>
      </c>
      <c r="P83" s="3">
        <v>0.90200000000000002</v>
      </c>
      <c r="Q83" s="2">
        <v>0</v>
      </c>
      <c r="R83" s="3">
        <v>0.90200000000000002</v>
      </c>
      <c r="S83" t="s">
        <v>108</v>
      </c>
    </row>
    <row r="84" spans="1:20" x14ac:dyDescent="0.6">
      <c r="A84">
        <v>409</v>
      </c>
      <c r="B84" t="str">
        <f>"1722"</f>
        <v>1722</v>
      </c>
      <c r="C84" t="s">
        <v>496</v>
      </c>
      <c r="D84" s="1">
        <v>42923</v>
      </c>
      <c r="E84">
        <v>41.3</v>
      </c>
      <c r="F84">
        <v>-0.3</v>
      </c>
      <c r="G84" s="3">
        <v>-7.1999999999999998E-3</v>
      </c>
      <c r="H84">
        <v>2013</v>
      </c>
      <c r="I84">
        <v>3.41</v>
      </c>
      <c r="J84">
        <v>2.7</v>
      </c>
      <c r="K84">
        <v>0</v>
      </c>
      <c r="L84">
        <v>2.7</v>
      </c>
      <c r="M84" s="3">
        <v>6.54E-2</v>
      </c>
      <c r="N84" s="2">
        <v>0</v>
      </c>
      <c r="O84" s="3">
        <v>6.54E-2</v>
      </c>
      <c r="P84" s="3">
        <v>0.79200000000000004</v>
      </c>
      <c r="Q84" s="2">
        <v>0</v>
      </c>
      <c r="R84" s="3">
        <v>0.79200000000000004</v>
      </c>
      <c r="S84" t="s">
        <v>136</v>
      </c>
    </row>
    <row r="85" spans="1:20" x14ac:dyDescent="0.6">
      <c r="A85">
        <v>100</v>
      </c>
      <c r="B85" t="str">
        <f>"6123"</f>
        <v>6123</v>
      </c>
      <c r="C85" t="s">
        <v>163</v>
      </c>
      <c r="D85" s="1">
        <v>42923</v>
      </c>
      <c r="E85">
        <v>33.799999999999997</v>
      </c>
      <c r="F85">
        <v>-0.15</v>
      </c>
      <c r="G85" s="3">
        <v>-4.4000000000000003E-3</v>
      </c>
      <c r="H85">
        <v>2013</v>
      </c>
      <c r="I85">
        <v>2.5099999999999998</v>
      </c>
      <c r="J85">
        <v>2.2000000000000002</v>
      </c>
      <c r="K85">
        <v>0</v>
      </c>
      <c r="L85">
        <v>2.2000000000000002</v>
      </c>
      <c r="M85" s="3">
        <v>6.5100000000000005E-2</v>
      </c>
      <c r="N85" s="2">
        <v>0</v>
      </c>
      <c r="O85" s="3">
        <v>6.5100000000000005E-2</v>
      </c>
      <c r="P85" s="3">
        <v>0.876</v>
      </c>
      <c r="Q85" s="2">
        <v>0</v>
      </c>
      <c r="R85" s="3">
        <v>0.876</v>
      </c>
      <c r="S85" t="s">
        <v>103</v>
      </c>
      <c r="T85" t="s">
        <v>103</v>
      </c>
    </row>
    <row r="86" spans="1:20" x14ac:dyDescent="0.6">
      <c r="A86">
        <v>175</v>
      </c>
      <c r="B86" t="str">
        <f>"1540"</f>
        <v>1540</v>
      </c>
      <c r="C86" t="s">
        <v>249</v>
      </c>
      <c r="D86" s="1">
        <v>42923</v>
      </c>
      <c r="E86">
        <v>15.4</v>
      </c>
      <c r="F86">
        <v>0.1</v>
      </c>
      <c r="G86" s="3">
        <v>6.4999999999999997E-3</v>
      </c>
      <c r="H86">
        <v>2013</v>
      </c>
      <c r="I86">
        <v>1.19</v>
      </c>
      <c r="J86">
        <v>1</v>
      </c>
      <c r="K86">
        <v>0</v>
      </c>
      <c r="L86">
        <v>1</v>
      </c>
      <c r="M86" s="3">
        <v>6.4899999999999999E-2</v>
      </c>
      <c r="N86" s="2">
        <v>0</v>
      </c>
      <c r="O86" s="3">
        <v>6.4899999999999999E-2</v>
      </c>
      <c r="P86" s="2">
        <v>0.84</v>
      </c>
      <c r="Q86" s="2">
        <v>0</v>
      </c>
      <c r="R86" s="2">
        <v>0.84</v>
      </c>
      <c r="S86" t="s">
        <v>24</v>
      </c>
    </row>
    <row r="87" spans="1:20" x14ac:dyDescent="0.6">
      <c r="A87">
        <v>233</v>
      </c>
      <c r="B87" t="str">
        <f>"6282"</f>
        <v>6282</v>
      </c>
      <c r="C87" t="s">
        <v>312</v>
      </c>
      <c r="D87" s="1">
        <v>42923</v>
      </c>
      <c r="E87">
        <v>23.15</v>
      </c>
      <c r="F87">
        <v>-0.3</v>
      </c>
      <c r="G87" s="3">
        <v>-1.2800000000000001E-2</v>
      </c>
      <c r="H87">
        <v>2013</v>
      </c>
      <c r="I87">
        <v>2.0299999999999998</v>
      </c>
      <c r="J87">
        <v>1.5</v>
      </c>
      <c r="K87">
        <v>0</v>
      </c>
      <c r="L87">
        <v>1.5</v>
      </c>
      <c r="M87" s="3">
        <v>6.4799999999999996E-2</v>
      </c>
      <c r="N87" s="2">
        <v>0</v>
      </c>
      <c r="O87" s="3">
        <v>6.4799999999999996E-2</v>
      </c>
      <c r="P87" s="3">
        <v>0.73899999999999999</v>
      </c>
      <c r="Q87" s="2">
        <v>0</v>
      </c>
      <c r="R87" s="3">
        <v>0.73899999999999999</v>
      </c>
      <c r="S87" t="s">
        <v>114</v>
      </c>
    </row>
    <row r="88" spans="1:20" x14ac:dyDescent="0.6">
      <c r="A88">
        <v>479</v>
      </c>
      <c r="B88" t="str">
        <f>"6155"</f>
        <v>6155</v>
      </c>
      <c r="C88" t="s">
        <v>572</v>
      </c>
      <c r="D88" s="1">
        <v>42923</v>
      </c>
      <c r="E88">
        <v>17.75</v>
      </c>
      <c r="F88">
        <v>-0.25</v>
      </c>
      <c r="G88" s="3">
        <v>-1.3899999999999999E-2</v>
      </c>
      <c r="H88">
        <v>2013</v>
      </c>
      <c r="I88">
        <v>1.4</v>
      </c>
      <c r="J88">
        <v>1.1499999999999999</v>
      </c>
      <c r="K88">
        <v>0.1</v>
      </c>
      <c r="L88">
        <v>1.25</v>
      </c>
      <c r="M88" s="3">
        <v>6.4799999999999996E-2</v>
      </c>
      <c r="N88" s="3">
        <v>5.5999999999999999E-3</v>
      </c>
      <c r="O88" s="3">
        <v>7.0400000000000004E-2</v>
      </c>
      <c r="P88" s="3">
        <v>0.82099999999999995</v>
      </c>
      <c r="Q88" s="3">
        <v>7.1400000000000005E-2</v>
      </c>
      <c r="R88" s="3">
        <v>0.89300000000000002</v>
      </c>
      <c r="S88" t="s">
        <v>204</v>
      </c>
      <c r="T88" t="s">
        <v>204</v>
      </c>
    </row>
    <row r="89" spans="1:20" x14ac:dyDescent="0.6">
      <c r="A89">
        <v>194</v>
      </c>
      <c r="B89" t="str">
        <f>"5520"</f>
        <v>5520</v>
      </c>
      <c r="C89" t="s">
        <v>271</v>
      </c>
      <c r="D89" s="1">
        <v>42923</v>
      </c>
      <c r="E89">
        <v>27.8</v>
      </c>
      <c r="F89">
        <v>0.2</v>
      </c>
      <c r="G89" s="3">
        <v>7.1999999999999998E-3</v>
      </c>
      <c r="H89">
        <v>2013</v>
      </c>
      <c r="I89">
        <v>2.2200000000000002</v>
      </c>
      <c r="J89">
        <v>1.8</v>
      </c>
      <c r="K89">
        <v>0</v>
      </c>
      <c r="L89">
        <v>1.8</v>
      </c>
      <c r="M89" s="3">
        <v>6.4699999999999994E-2</v>
      </c>
      <c r="N89" s="2">
        <v>0</v>
      </c>
      <c r="O89" s="3">
        <v>6.4699999999999994E-2</v>
      </c>
      <c r="P89" s="3">
        <v>0.81100000000000005</v>
      </c>
      <c r="Q89" s="2">
        <v>0</v>
      </c>
      <c r="R89" s="3">
        <v>0.81100000000000005</v>
      </c>
      <c r="S89" t="s">
        <v>45</v>
      </c>
    </row>
    <row r="90" spans="1:20" x14ac:dyDescent="0.6">
      <c r="A90">
        <v>148</v>
      </c>
      <c r="B90" t="str">
        <f>"3479"</f>
        <v>3479</v>
      </c>
      <c r="C90" t="s">
        <v>216</v>
      </c>
      <c r="D90" s="1">
        <v>42923</v>
      </c>
      <c r="E90">
        <v>53.3</v>
      </c>
      <c r="F90">
        <v>0.3</v>
      </c>
      <c r="G90" s="3">
        <v>5.7000000000000002E-3</v>
      </c>
      <c r="H90">
        <v>2013</v>
      </c>
      <c r="I90">
        <v>4.88</v>
      </c>
      <c r="J90">
        <v>3.44</v>
      </c>
      <c r="K90">
        <v>0</v>
      </c>
      <c r="L90">
        <v>3.44</v>
      </c>
      <c r="M90" s="3">
        <v>6.4500000000000002E-2</v>
      </c>
      <c r="N90" s="2">
        <v>0</v>
      </c>
      <c r="O90" s="3">
        <v>6.4500000000000002E-2</v>
      </c>
      <c r="P90" s="3">
        <v>0.70499999999999996</v>
      </c>
      <c r="Q90" s="2">
        <v>0</v>
      </c>
      <c r="R90" s="3">
        <v>0.70499999999999996</v>
      </c>
      <c r="S90" t="s">
        <v>43</v>
      </c>
    </row>
    <row r="91" spans="1:20" x14ac:dyDescent="0.6">
      <c r="A91">
        <v>269</v>
      </c>
      <c r="B91" t="str">
        <f>"6121"</f>
        <v>6121</v>
      </c>
      <c r="C91" t="s">
        <v>349</v>
      </c>
      <c r="D91" s="1">
        <v>42923</v>
      </c>
      <c r="E91">
        <v>102.5</v>
      </c>
      <c r="F91">
        <v>-1.5</v>
      </c>
      <c r="G91" s="3">
        <v>-1.44E-2</v>
      </c>
      <c r="H91">
        <v>2013</v>
      </c>
      <c r="I91">
        <v>10.71</v>
      </c>
      <c r="J91">
        <v>6.5</v>
      </c>
      <c r="K91">
        <v>0</v>
      </c>
      <c r="L91">
        <v>6.5</v>
      </c>
      <c r="M91" s="3">
        <v>6.3399999999999998E-2</v>
      </c>
      <c r="N91" s="2">
        <v>0</v>
      </c>
      <c r="O91" s="3">
        <v>6.3399999999999998E-2</v>
      </c>
      <c r="P91" s="3">
        <v>0.60699999999999998</v>
      </c>
      <c r="Q91" s="2">
        <v>0</v>
      </c>
      <c r="R91" s="3">
        <v>0.60699999999999998</v>
      </c>
      <c r="S91" t="s">
        <v>210</v>
      </c>
    </row>
    <row r="92" spans="1:20" x14ac:dyDescent="0.6">
      <c r="A92">
        <v>198</v>
      </c>
      <c r="B92" t="str">
        <f>"1724"</f>
        <v>1724</v>
      </c>
      <c r="C92" t="s">
        <v>276</v>
      </c>
      <c r="D92" s="1">
        <v>42923</v>
      </c>
      <c r="E92">
        <v>15.95</v>
      </c>
      <c r="F92">
        <v>-0.2</v>
      </c>
      <c r="G92" s="3">
        <v>-1.24E-2</v>
      </c>
      <c r="H92">
        <v>2013</v>
      </c>
      <c r="I92">
        <v>1.75</v>
      </c>
      <c r="J92">
        <v>1</v>
      </c>
      <c r="K92">
        <v>0</v>
      </c>
      <c r="L92">
        <v>1</v>
      </c>
      <c r="M92" s="3">
        <v>6.2700000000000006E-2</v>
      </c>
      <c r="N92" s="2">
        <v>0</v>
      </c>
      <c r="O92" s="3">
        <v>6.2700000000000006E-2</v>
      </c>
      <c r="P92" s="3">
        <v>0.57099999999999995</v>
      </c>
      <c r="Q92" s="2">
        <v>0</v>
      </c>
      <c r="R92" s="3">
        <v>0.57099999999999995</v>
      </c>
      <c r="S92" t="s">
        <v>190</v>
      </c>
    </row>
    <row r="93" spans="1:20" x14ac:dyDescent="0.6">
      <c r="A93">
        <v>118</v>
      </c>
      <c r="B93" t="str">
        <f>"8427"</f>
        <v>8427</v>
      </c>
      <c r="C93" t="s">
        <v>182</v>
      </c>
      <c r="D93" s="1">
        <v>42923</v>
      </c>
      <c r="E93">
        <v>56</v>
      </c>
      <c r="F93">
        <v>-0.4</v>
      </c>
      <c r="G93" s="3">
        <v>-7.1000000000000004E-3</v>
      </c>
      <c r="H93">
        <v>2013</v>
      </c>
      <c r="I93">
        <v>4.0199999999999996</v>
      </c>
      <c r="J93">
        <v>3.5</v>
      </c>
      <c r="K93">
        <v>0</v>
      </c>
      <c r="L93">
        <v>3.5</v>
      </c>
      <c r="M93" s="3">
        <v>6.25E-2</v>
      </c>
      <c r="N93" s="2">
        <v>0</v>
      </c>
      <c r="O93" s="3">
        <v>6.25E-2</v>
      </c>
      <c r="P93" s="3">
        <v>0.871</v>
      </c>
      <c r="Q93" s="2">
        <v>0</v>
      </c>
      <c r="R93" s="3">
        <v>0.871</v>
      </c>
      <c r="S93" t="s">
        <v>183</v>
      </c>
    </row>
    <row r="94" spans="1:20" x14ac:dyDescent="0.6">
      <c r="A94">
        <v>208</v>
      </c>
      <c r="B94" t="str">
        <f>"8435"</f>
        <v>8435</v>
      </c>
      <c r="C94" t="s">
        <v>287</v>
      </c>
      <c r="D94" s="1">
        <v>42923</v>
      </c>
      <c r="E94">
        <v>48</v>
      </c>
      <c r="F94">
        <v>0.5</v>
      </c>
      <c r="G94" s="3">
        <v>1.0500000000000001E-2</v>
      </c>
      <c r="H94">
        <v>2013</v>
      </c>
      <c r="I94">
        <v>3.68</v>
      </c>
      <c r="J94">
        <v>3</v>
      </c>
      <c r="K94">
        <v>0</v>
      </c>
      <c r="L94">
        <v>3</v>
      </c>
      <c r="M94" s="3">
        <v>6.25E-2</v>
      </c>
      <c r="N94" s="2">
        <v>0</v>
      </c>
      <c r="O94" s="3">
        <v>6.25E-2</v>
      </c>
      <c r="P94" s="3">
        <v>0.81499999999999995</v>
      </c>
      <c r="Q94" s="2">
        <v>0</v>
      </c>
      <c r="R94" s="3">
        <v>0.81499999999999995</v>
      </c>
      <c r="S94" t="s">
        <v>36</v>
      </c>
    </row>
    <row r="95" spans="1:20" x14ac:dyDescent="0.6">
      <c r="A95">
        <v>56</v>
      </c>
      <c r="B95" t="str">
        <f>"3305"</f>
        <v>3305</v>
      </c>
      <c r="C95" t="s">
        <v>107</v>
      </c>
      <c r="D95" s="1">
        <v>42923</v>
      </c>
      <c r="E95">
        <v>29.4</v>
      </c>
      <c r="F95">
        <v>0</v>
      </c>
      <c r="G95" s="2">
        <v>0</v>
      </c>
      <c r="H95">
        <v>2013</v>
      </c>
      <c r="I95">
        <v>3</v>
      </c>
      <c r="J95">
        <v>1.82</v>
      </c>
      <c r="K95">
        <v>0</v>
      </c>
      <c r="L95">
        <v>1.82</v>
      </c>
      <c r="M95" s="3">
        <v>6.2100000000000002E-2</v>
      </c>
      <c r="N95" s="2">
        <v>0</v>
      </c>
      <c r="O95" s="3">
        <v>6.2100000000000002E-2</v>
      </c>
      <c r="P95" s="3">
        <v>0.60699999999999998</v>
      </c>
      <c r="Q95" s="2">
        <v>0</v>
      </c>
      <c r="R95" s="3">
        <v>0.60699999999999998</v>
      </c>
      <c r="S95" t="s">
        <v>108</v>
      </c>
    </row>
    <row r="96" spans="1:20" x14ac:dyDescent="0.6">
      <c r="A96">
        <v>215</v>
      </c>
      <c r="B96" t="str">
        <f>"6213"</f>
        <v>6213</v>
      </c>
      <c r="C96" t="s">
        <v>294</v>
      </c>
      <c r="D96" s="1">
        <v>42923</v>
      </c>
      <c r="E96">
        <v>40.35</v>
      </c>
      <c r="F96">
        <v>-0.2</v>
      </c>
      <c r="G96" s="3">
        <v>-4.8999999999999998E-3</v>
      </c>
      <c r="H96">
        <v>2013</v>
      </c>
      <c r="I96">
        <v>3.34</v>
      </c>
      <c r="J96">
        <v>2.5</v>
      </c>
      <c r="K96">
        <v>0</v>
      </c>
      <c r="L96">
        <v>2.5</v>
      </c>
      <c r="M96" s="3">
        <v>6.2E-2</v>
      </c>
      <c r="N96" s="2">
        <v>0</v>
      </c>
      <c r="O96" s="3">
        <v>6.2E-2</v>
      </c>
      <c r="P96" s="3">
        <v>0.748</v>
      </c>
      <c r="Q96" s="2">
        <v>0</v>
      </c>
      <c r="R96" s="3">
        <v>0.748</v>
      </c>
      <c r="S96" t="s">
        <v>67</v>
      </c>
    </row>
    <row r="97" spans="1:20" x14ac:dyDescent="0.6">
      <c r="A97">
        <v>10</v>
      </c>
      <c r="B97" t="str">
        <f>"1808"</f>
        <v>1808</v>
      </c>
      <c r="C97" t="s">
        <v>35</v>
      </c>
      <c r="D97" s="1">
        <v>42923</v>
      </c>
      <c r="E97">
        <v>48.75</v>
      </c>
      <c r="F97">
        <v>-0.3</v>
      </c>
      <c r="G97" s="3">
        <v>-6.1000000000000004E-3</v>
      </c>
      <c r="H97">
        <v>2013</v>
      </c>
      <c r="I97">
        <v>4.45</v>
      </c>
      <c r="J97">
        <v>3</v>
      </c>
      <c r="K97">
        <v>0</v>
      </c>
      <c r="L97">
        <v>3</v>
      </c>
      <c r="M97" s="3">
        <v>6.1499999999999999E-2</v>
      </c>
      <c r="N97" s="2">
        <v>0</v>
      </c>
      <c r="O97" s="3">
        <v>6.1499999999999999E-2</v>
      </c>
      <c r="P97" s="3">
        <v>0.67400000000000004</v>
      </c>
      <c r="Q97" s="2">
        <v>0</v>
      </c>
      <c r="R97" s="3">
        <v>0.67400000000000004</v>
      </c>
      <c r="S97" t="s">
        <v>36</v>
      </c>
    </row>
    <row r="98" spans="1:20" x14ac:dyDescent="0.6">
      <c r="A98">
        <v>136</v>
      </c>
      <c r="B98" t="str">
        <f>"2414"</f>
        <v>2414</v>
      </c>
      <c r="C98" t="s">
        <v>202</v>
      </c>
      <c r="D98" s="1">
        <v>42923</v>
      </c>
      <c r="E98">
        <v>18.75</v>
      </c>
      <c r="F98">
        <v>-0.05</v>
      </c>
      <c r="G98" s="3">
        <v>-2.7000000000000001E-3</v>
      </c>
      <c r="H98">
        <v>2013</v>
      </c>
      <c r="I98">
        <v>1.28</v>
      </c>
      <c r="J98">
        <v>1.1499999999999999</v>
      </c>
      <c r="K98">
        <v>0</v>
      </c>
      <c r="L98">
        <v>1.1499999999999999</v>
      </c>
      <c r="M98" s="3">
        <v>6.13E-2</v>
      </c>
      <c r="N98" s="2">
        <v>0</v>
      </c>
      <c r="O98" s="3">
        <v>6.13E-2</v>
      </c>
      <c r="P98" s="3">
        <v>0.89800000000000002</v>
      </c>
      <c r="Q98" s="2">
        <v>0</v>
      </c>
      <c r="R98" s="3">
        <v>0.89800000000000002</v>
      </c>
      <c r="S98" t="s">
        <v>31</v>
      </c>
    </row>
    <row r="99" spans="1:20" x14ac:dyDescent="0.6">
      <c r="A99">
        <v>436</v>
      </c>
      <c r="B99" t="str">
        <f>"5460"</f>
        <v>5460</v>
      </c>
      <c r="C99" t="s">
        <v>526</v>
      </c>
      <c r="D99" s="1">
        <v>42923</v>
      </c>
      <c r="E99">
        <v>13.1</v>
      </c>
      <c r="F99">
        <v>0.05</v>
      </c>
      <c r="G99" s="3">
        <v>3.8E-3</v>
      </c>
      <c r="H99">
        <v>2013</v>
      </c>
      <c r="I99">
        <v>1.02</v>
      </c>
      <c r="J99">
        <v>0.8</v>
      </c>
      <c r="K99">
        <v>0</v>
      </c>
      <c r="L99">
        <v>0.8</v>
      </c>
      <c r="M99" s="3">
        <v>6.1100000000000002E-2</v>
      </c>
      <c r="N99" s="2">
        <v>0</v>
      </c>
      <c r="O99" s="3">
        <v>6.1100000000000002E-2</v>
      </c>
      <c r="P99" s="3">
        <v>0.78400000000000003</v>
      </c>
      <c r="Q99" s="2">
        <v>0</v>
      </c>
      <c r="R99" s="3">
        <v>0.78400000000000003</v>
      </c>
      <c r="S99" t="s">
        <v>73</v>
      </c>
    </row>
    <row r="100" spans="1:20" x14ac:dyDescent="0.6">
      <c r="A100">
        <v>90</v>
      </c>
      <c r="B100" t="str">
        <f>"3501"</f>
        <v>3501</v>
      </c>
      <c r="C100" t="s">
        <v>153</v>
      </c>
      <c r="D100" s="1">
        <v>42923</v>
      </c>
      <c r="E100">
        <v>53.1</v>
      </c>
      <c r="F100">
        <v>-0.1</v>
      </c>
      <c r="G100" s="3">
        <v>-1.9E-3</v>
      </c>
      <c r="H100">
        <v>2013</v>
      </c>
      <c r="I100">
        <v>4.45</v>
      </c>
      <c r="J100">
        <v>3.2</v>
      </c>
      <c r="K100">
        <v>0</v>
      </c>
      <c r="L100">
        <v>3.2</v>
      </c>
      <c r="M100" s="3">
        <v>6.0299999999999999E-2</v>
      </c>
      <c r="N100" s="2">
        <v>0</v>
      </c>
      <c r="O100" s="3">
        <v>6.0299999999999999E-2</v>
      </c>
      <c r="P100" s="3">
        <v>0.71899999999999997</v>
      </c>
      <c r="Q100" s="2">
        <v>0</v>
      </c>
      <c r="R100" s="3">
        <v>0.71899999999999997</v>
      </c>
      <c r="S100" t="s">
        <v>45</v>
      </c>
    </row>
    <row r="101" spans="1:20" x14ac:dyDescent="0.6">
      <c r="A101">
        <v>240</v>
      </c>
      <c r="B101" t="str">
        <f>"8042"</f>
        <v>8042</v>
      </c>
      <c r="C101" t="s">
        <v>319</v>
      </c>
      <c r="D101" s="1">
        <v>42923</v>
      </c>
      <c r="E101">
        <v>57.8</v>
      </c>
      <c r="F101">
        <v>-0.3</v>
      </c>
      <c r="G101" s="3">
        <v>-5.1999999999999998E-3</v>
      </c>
      <c r="H101">
        <v>2013</v>
      </c>
      <c r="I101">
        <v>5.43</v>
      </c>
      <c r="J101">
        <v>3.47</v>
      </c>
      <c r="K101">
        <v>0</v>
      </c>
      <c r="L101">
        <v>3.47</v>
      </c>
      <c r="M101" s="3">
        <v>6.0100000000000001E-2</v>
      </c>
      <c r="N101" s="2">
        <v>0</v>
      </c>
      <c r="O101" s="3">
        <v>6.0100000000000001E-2</v>
      </c>
      <c r="P101" s="3">
        <v>0.63900000000000001</v>
      </c>
      <c r="Q101" s="2">
        <v>0</v>
      </c>
      <c r="R101" s="3">
        <v>0.63900000000000001</v>
      </c>
      <c r="S101" t="s">
        <v>143</v>
      </c>
    </row>
    <row r="102" spans="1:20" x14ac:dyDescent="0.6">
      <c r="A102">
        <v>14</v>
      </c>
      <c r="B102" t="str">
        <f>"2542"</f>
        <v>2542</v>
      </c>
      <c r="C102" t="s">
        <v>42</v>
      </c>
      <c r="D102" s="1">
        <v>42923</v>
      </c>
      <c r="E102">
        <v>50.4</v>
      </c>
      <c r="F102">
        <v>-0.3</v>
      </c>
      <c r="G102" s="3">
        <v>-5.8999999999999999E-3</v>
      </c>
      <c r="H102">
        <v>2013</v>
      </c>
      <c r="I102">
        <v>8.1300000000000008</v>
      </c>
      <c r="J102">
        <v>3</v>
      </c>
      <c r="K102">
        <v>0</v>
      </c>
      <c r="L102">
        <v>3</v>
      </c>
      <c r="M102" s="3">
        <v>5.9499999999999997E-2</v>
      </c>
      <c r="N102" s="2">
        <v>0</v>
      </c>
      <c r="O102" s="3">
        <v>5.9499999999999997E-2</v>
      </c>
      <c r="P102" s="3">
        <v>0.36899999999999999</v>
      </c>
      <c r="Q102" s="2">
        <v>0</v>
      </c>
      <c r="R102" s="3">
        <v>0.36899999999999999</v>
      </c>
      <c r="S102" t="s">
        <v>43</v>
      </c>
    </row>
    <row r="103" spans="1:20" x14ac:dyDescent="0.6">
      <c r="A103">
        <v>121</v>
      </c>
      <c r="B103" t="str">
        <f>"3628"</f>
        <v>3628</v>
      </c>
      <c r="C103" t="s">
        <v>186</v>
      </c>
      <c r="D103" s="1">
        <v>42923</v>
      </c>
      <c r="E103">
        <v>42.3</v>
      </c>
      <c r="F103">
        <v>-0.5</v>
      </c>
      <c r="G103" s="3">
        <v>-1.17E-2</v>
      </c>
      <c r="H103">
        <v>2013</v>
      </c>
      <c r="I103">
        <v>2.48</v>
      </c>
      <c r="J103">
        <v>2.5</v>
      </c>
      <c r="K103">
        <v>0</v>
      </c>
      <c r="L103">
        <v>2.5</v>
      </c>
      <c r="M103" s="3">
        <v>5.91E-2</v>
      </c>
      <c r="N103" s="2">
        <v>0</v>
      </c>
      <c r="O103" s="3">
        <v>5.91E-2</v>
      </c>
      <c r="P103" s="2">
        <v>1.01</v>
      </c>
      <c r="Q103" s="2">
        <v>0</v>
      </c>
      <c r="R103" s="2">
        <v>1.01</v>
      </c>
      <c r="S103" t="s">
        <v>122</v>
      </c>
    </row>
    <row r="104" spans="1:20" x14ac:dyDescent="0.6">
      <c r="A104">
        <v>72</v>
      </c>
      <c r="B104" t="str">
        <f>"9943"</f>
        <v>9943</v>
      </c>
      <c r="C104" t="s">
        <v>131</v>
      </c>
      <c r="D104" s="1">
        <v>42923</v>
      </c>
      <c r="E104">
        <v>50.9</v>
      </c>
      <c r="F104">
        <v>0</v>
      </c>
      <c r="G104" s="2">
        <v>0</v>
      </c>
      <c r="H104">
        <v>2013</v>
      </c>
      <c r="I104">
        <v>4</v>
      </c>
      <c r="J104">
        <v>3</v>
      </c>
      <c r="K104">
        <v>0</v>
      </c>
      <c r="L104">
        <v>3</v>
      </c>
      <c r="M104" s="3">
        <v>5.8900000000000001E-2</v>
      </c>
      <c r="N104" s="2">
        <v>0</v>
      </c>
      <c r="O104" s="3">
        <v>5.8900000000000001E-2</v>
      </c>
      <c r="P104" s="2">
        <v>0.75</v>
      </c>
      <c r="Q104" s="2">
        <v>0</v>
      </c>
      <c r="R104" s="2">
        <v>0.75</v>
      </c>
      <c r="S104" t="s">
        <v>126</v>
      </c>
    </row>
    <row r="105" spans="1:20" x14ac:dyDescent="0.6">
      <c r="A105">
        <v>263</v>
      </c>
      <c r="B105" t="str">
        <f>"3702"</f>
        <v>3702</v>
      </c>
      <c r="C105" t="s">
        <v>343</v>
      </c>
      <c r="D105" s="1">
        <v>42923</v>
      </c>
      <c r="E105">
        <v>40.85</v>
      </c>
      <c r="F105">
        <v>0.1</v>
      </c>
      <c r="G105" s="3">
        <v>2.5000000000000001E-3</v>
      </c>
      <c r="H105">
        <v>2013</v>
      </c>
      <c r="I105">
        <v>2.72</v>
      </c>
      <c r="J105">
        <v>2.4</v>
      </c>
      <c r="K105">
        <v>0</v>
      </c>
      <c r="L105">
        <v>2.4</v>
      </c>
      <c r="M105" s="3">
        <v>5.8799999999999998E-2</v>
      </c>
      <c r="N105" s="2">
        <v>0</v>
      </c>
      <c r="O105" s="3">
        <v>5.8799999999999998E-2</v>
      </c>
      <c r="P105" s="3">
        <v>0.88200000000000001</v>
      </c>
      <c r="Q105" s="2">
        <v>0</v>
      </c>
      <c r="R105" s="3">
        <v>0.88200000000000001</v>
      </c>
      <c r="S105" t="s">
        <v>31</v>
      </c>
    </row>
    <row r="106" spans="1:20" x14ac:dyDescent="0.6">
      <c r="A106">
        <v>191</v>
      </c>
      <c r="B106" t="str">
        <f>"2433"</f>
        <v>2433</v>
      </c>
      <c r="C106" t="s">
        <v>268</v>
      </c>
      <c r="D106" s="1">
        <v>42923</v>
      </c>
      <c r="E106">
        <v>42.65</v>
      </c>
      <c r="F106">
        <v>0</v>
      </c>
      <c r="G106" s="2">
        <v>0</v>
      </c>
      <c r="H106">
        <v>2013</v>
      </c>
      <c r="I106">
        <v>3.12</v>
      </c>
      <c r="J106">
        <v>2.5</v>
      </c>
      <c r="K106">
        <v>0</v>
      </c>
      <c r="L106">
        <v>2.5</v>
      </c>
      <c r="M106" s="3">
        <v>5.8599999999999999E-2</v>
      </c>
      <c r="N106" s="2">
        <v>0</v>
      </c>
      <c r="O106" s="3">
        <v>5.8599999999999999E-2</v>
      </c>
      <c r="P106" s="3">
        <v>0.80100000000000005</v>
      </c>
      <c r="Q106" s="2">
        <v>0</v>
      </c>
      <c r="R106" s="3">
        <v>0.80100000000000005</v>
      </c>
      <c r="S106" t="s">
        <v>34</v>
      </c>
    </row>
    <row r="107" spans="1:20" x14ac:dyDescent="0.6">
      <c r="A107">
        <v>499</v>
      </c>
      <c r="B107" t="str">
        <f>"5536"</f>
        <v>5536</v>
      </c>
      <c r="C107" t="s">
        <v>593</v>
      </c>
      <c r="D107" s="1">
        <v>42923</v>
      </c>
      <c r="E107">
        <v>172</v>
      </c>
      <c r="F107">
        <v>4</v>
      </c>
      <c r="G107" s="3">
        <v>2.3800000000000002E-2</v>
      </c>
      <c r="H107">
        <v>2013</v>
      </c>
      <c r="I107">
        <v>15.38</v>
      </c>
      <c r="J107">
        <v>10</v>
      </c>
      <c r="K107">
        <v>0</v>
      </c>
      <c r="L107">
        <v>10</v>
      </c>
      <c r="M107" s="3">
        <v>5.8099999999999999E-2</v>
      </c>
      <c r="N107" s="2">
        <v>0</v>
      </c>
      <c r="O107" s="3">
        <v>5.8099999999999999E-2</v>
      </c>
      <c r="P107" s="2">
        <v>0.65</v>
      </c>
      <c r="Q107" s="2">
        <v>0</v>
      </c>
      <c r="R107" s="2">
        <v>0.65</v>
      </c>
      <c r="S107" t="s">
        <v>22</v>
      </c>
    </row>
    <row r="108" spans="1:20" x14ac:dyDescent="0.6">
      <c r="A108">
        <v>486</v>
      </c>
      <c r="B108" t="str">
        <f>"2832"</f>
        <v>2832</v>
      </c>
      <c r="C108" t="s">
        <v>579</v>
      </c>
      <c r="D108" s="1">
        <v>42923</v>
      </c>
      <c r="E108">
        <v>19</v>
      </c>
      <c r="F108">
        <v>0.05</v>
      </c>
      <c r="G108" s="3">
        <v>2.5999999999999999E-3</v>
      </c>
      <c r="H108">
        <v>2013</v>
      </c>
      <c r="I108">
        <v>2.0299999999999998</v>
      </c>
      <c r="J108">
        <v>1.1000000000000001</v>
      </c>
      <c r="K108">
        <v>0</v>
      </c>
      <c r="L108">
        <v>1.1000000000000001</v>
      </c>
      <c r="M108" s="3">
        <v>5.79E-2</v>
      </c>
      <c r="N108" s="2">
        <v>0</v>
      </c>
      <c r="O108" s="3">
        <v>5.79E-2</v>
      </c>
      <c r="P108" s="3">
        <v>0.54200000000000004</v>
      </c>
      <c r="Q108" s="2">
        <v>0</v>
      </c>
      <c r="R108" s="3">
        <v>0.54200000000000004</v>
      </c>
      <c r="S108" t="s">
        <v>85</v>
      </c>
    </row>
    <row r="109" spans="1:20" x14ac:dyDescent="0.6">
      <c r="A109">
        <v>139</v>
      </c>
      <c r="B109" t="str">
        <f>"3684"</f>
        <v>3684</v>
      </c>
      <c r="C109" t="s">
        <v>206</v>
      </c>
      <c r="D109" s="1">
        <v>42923</v>
      </c>
      <c r="E109">
        <v>36.35</v>
      </c>
      <c r="F109">
        <v>-0.7</v>
      </c>
      <c r="G109" s="3">
        <v>-1.89E-2</v>
      </c>
      <c r="H109">
        <v>2013</v>
      </c>
      <c r="I109">
        <v>2.59</v>
      </c>
      <c r="J109">
        <v>2.1</v>
      </c>
      <c r="K109">
        <v>0.3</v>
      </c>
      <c r="L109">
        <v>2.4</v>
      </c>
      <c r="M109" s="3">
        <v>5.7799999999999997E-2</v>
      </c>
      <c r="N109" s="3">
        <v>8.3000000000000001E-3</v>
      </c>
      <c r="O109" s="3">
        <v>6.6000000000000003E-2</v>
      </c>
      <c r="P109" s="3">
        <v>0.81100000000000005</v>
      </c>
      <c r="Q109" s="3">
        <v>0.11600000000000001</v>
      </c>
      <c r="R109" s="3">
        <v>0.92700000000000005</v>
      </c>
      <c r="S109" t="s">
        <v>183</v>
      </c>
      <c r="T109" t="s">
        <v>183</v>
      </c>
    </row>
    <row r="110" spans="1:20" x14ac:dyDescent="0.6">
      <c r="A110">
        <v>285</v>
      </c>
      <c r="B110" t="s">
        <v>366</v>
      </c>
      <c r="C110" t="s">
        <v>367</v>
      </c>
      <c r="D110" s="1">
        <v>42923</v>
      </c>
      <c r="E110">
        <v>27.9</v>
      </c>
      <c r="F110">
        <v>0.05</v>
      </c>
      <c r="G110" s="3">
        <v>1.8E-3</v>
      </c>
      <c r="H110">
        <v>2013</v>
      </c>
      <c r="J110">
        <v>1.6</v>
      </c>
      <c r="K110">
        <v>0</v>
      </c>
      <c r="L110">
        <v>1.6</v>
      </c>
      <c r="M110" s="3">
        <v>5.7299999999999997E-2</v>
      </c>
      <c r="N110" s="2">
        <v>0</v>
      </c>
      <c r="O110" s="3">
        <v>5.7299999999999997E-2</v>
      </c>
      <c r="S110" t="s">
        <v>43</v>
      </c>
    </row>
    <row r="111" spans="1:20" x14ac:dyDescent="0.6">
      <c r="A111">
        <v>193</v>
      </c>
      <c r="B111" t="str">
        <f>"8074"</f>
        <v>8074</v>
      </c>
      <c r="C111" t="s">
        <v>270</v>
      </c>
      <c r="D111" s="1">
        <v>42923</v>
      </c>
      <c r="E111">
        <v>26.45</v>
      </c>
      <c r="F111">
        <v>-0.05</v>
      </c>
      <c r="G111" s="3">
        <v>-1.9E-3</v>
      </c>
      <c r="H111">
        <v>2013</v>
      </c>
      <c r="I111">
        <v>1.62</v>
      </c>
      <c r="J111">
        <v>1.5</v>
      </c>
      <c r="K111">
        <v>0</v>
      </c>
      <c r="L111">
        <v>1.5</v>
      </c>
      <c r="M111" s="3">
        <v>5.67E-2</v>
      </c>
      <c r="N111" s="2">
        <v>0</v>
      </c>
      <c r="O111" s="3">
        <v>5.67E-2</v>
      </c>
      <c r="P111" s="3">
        <v>0.92600000000000005</v>
      </c>
      <c r="Q111" s="2">
        <v>0</v>
      </c>
      <c r="R111" s="3">
        <v>0.92600000000000005</v>
      </c>
      <c r="S111" t="s">
        <v>82</v>
      </c>
    </row>
    <row r="112" spans="1:20" x14ac:dyDescent="0.6">
      <c r="A112">
        <v>76</v>
      </c>
      <c r="B112" t="str">
        <f>"1582"</f>
        <v>1582</v>
      </c>
      <c r="C112" t="s">
        <v>135</v>
      </c>
      <c r="D112" s="1">
        <v>42923</v>
      </c>
      <c r="E112">
        <v>69.900000000000006</v>
      </c>
      <c r="F112">
        <v>-0.2</v>
      </c>
      <c r="G112" s="3">
        <v>-2.8999999999999998E-3</v>
      </c>
      <c r="H112">
        <v>2013</v>
      </c>
      <c r="I112">
        <v>5.27</v>
      </c>
      <c r="J112">
        <v>3.94</v>
      </c>
      <c r="K112">
        <v>0</v>
      </c>
      <c r="L112">
        <v>3.94</v>
      </c>
      <c r="M112" s="3">
        <v>5.6399999999999999E-2</v>
      </c>
      <c r="N112" s="2">
        <v>0</v>
      </c>
      <c r="O112" s="3">
        <v>5.6399999999999999E-2</v>
      </c>
      <c r="P112" s="3">
        <v>0.748</v>
      </c>
      <c r="Q112" s="2">
        <v>0</v>
      </c>
      <c r="R112" s="3">
        <v>0.748</v>
      </c>
      <c r="S112" t="s">
        <v>136</v>
      </c>
    </row>
    <row r="113" spans="1:20" x14ac:dyDescent="0.6">
      <c r="A113">
        <v>91</v>
      </c>
      <c r="B113" t="str">
        <f>"3528"</f>
        <v>3528</v>
      </c>
      <c r="C113" t="s">
        <v>154</v>
      </c>
      <c r="D113" s="1">
        <v>42923</v>
      </c>
      <c r="E113">
        <v>31.9</v>
      </c>
      <c r="F113">
        <v>-0.1</v>
      </c>
      <c r="G113" s="3">
        <v>-3.0999999999999999E-3</v>
      </c>
      <c r="H113">
        <v>2013</v>
      </c>
      <c r="I113">
        <v>2.85</v>
      </c>
      <c r="J113">
        <v>1.8</v>
      </c>
      <c r="K113">
        <v>0.5</v>
      </c>
      <c r="L113">
        <v>2.2999999999999998</v>
      </c>
      <c r="M113" s="3">
        <v>5.6399999999999999E-2</v>
      </c>
      <c r="N113" s="3">
        <v>1.5699999999999999E-2</v>
      </c>
      <c r="O113" s="3">
        <v>7.2099999999999997E-2</v>
      </c>
      <c r="P113" s="3">
        <v>0.63200000000000001</v>
      </c>
      <c r="Q113" s="3">
        <v>0.17499999999999999</v>
      </c>
      <c r="R113" s="3">
        <v>0.80700000000000005</v>
      </c>
      <c r="S113" t="s">
        <v>126</v>
      </c>
      <c r="T113" t="s">
        <v>126</v>
      </c>
    </row>
    <row r="114" spans="1:20" x14ac:dyDescent="0.6">
      <c r="A114">
        <v>189</v>
      </c>
      <c r="B114" t="str">
        <f>"9927"</f>
        <v>9927</v>
      </c>
      <c r="C114" t="s">
        <v>266</v>
      </c>
      <c r="D114" s="1">
        <v>42923</v>
      </c>
      <c r="E114">
        <v>39.299999999999997</v>
      </c>
      <c r="F114">
        <v>-0.1</v>
      </c>
      <c r="G114" s="3">
        <v>-2.5000000000000001E-3</v>
      </c>
      <c r="H114">
        <v>2013</v>
      </c>
      <c r="I114">
        <v>2.74</v>
      </c>
      <c r="J114">
        <v>2.2000000000000002</v>
      </c>
      <c r="K114">
        <v>0.25</v>
      </c>
      <c r="L114">
        <v>2.4500000000000002</v>
      </c>
      <c r="M114" s="3">
        <v>5.6000000000000001E-2</v>
      </c>
      <c r="N114" s="3">
        <v>6.4000000000000003E-3</v>
      </c>
      <c r="O114" s="3">
        <v>6.2300000000000001E-2</v>
      </c>
      <c r="P114" s="3">
        <v>0.80300000000000005</v>
      </c>
      <c r="Q114" s="3">
        <v>9.1200000000000003E-2</v>
      </c>
      <c r="R114" s="3">
        <v>0.89400000000000002</v>
      </c>
      <c r="S114" t="s">
        <v>114</v>
      </c>
      <c r="T114" t="s">
        <v>114</v>
      </c>
    </row>
    <row r="115" spans="1:20" x14ac:dyDescent="0.6">
      <c r="A115">
        <v>39</v>
      </c>
      <c r="B115" t="str">
        <f>"2420"</f>
        <v>2420</v>
      </c>
      <c r="C115" t="s">
        <v>81</v>
      </c>
      <c r="D115" s="1">
        <v>42923</v>
      </c>
      <c r="E115">
        <v>35.9</v>
      </c>
      <c r="F115">
        <v>-0.1</v>
      </c>
      <c r="G115" s="3">
        <v>-2.8E-3</v>
      </c>
      <c r="H115">
        <v>2013</v>
      </c>
      <c r="I115">
        <v>2.16</v>
      </c>
      <c r="J115">
        <v>2</v>
      </c>
      <c r="K115">
        <v>0</v>
      </c>
      <c r="L115">
        <v>2</v>
      </c>
      <c r="M115" s="3">
        <v>5.57E-2</v>
      </c>
      <c r="N115" s="2">
        <v>0</v>
      </c>
      <c r="O115" s="3">
        <v>5.57E-2</v>
      </c>
      <c r="P115" s="3">
        <v>0.92600000000000005</v>
      </c>
      <c r="Q115" s="2">
        <v>0</v>
      </c>
      <c r="R115" s="3">
        <v>0.92600000000000005</v>
      </c>
      <c r="S115" t="s">
        <v>82</v>
      </c>
    </row>
    <row r="116" spans="1:20" x14ac:dyDescent="0.6">
      <c r="A116">
        <v>454</v>
      </c>
      <c r="B116" t="str">
        <f>"2382"</f>
        <v>2382</v>
      </c>
      <c r="C116" t="s">
        <v>544</v>
      </c>
      <c r="D116" s="1">
        <v>42923</v>
      </c>
      <c r="E116">
        <v>71.8</v>
      </c>
      <c r="F116">
        <v>0.2</v>
      </c>
      <c r="G116" s="3">
        <v>2.8E-3</v>
      </c>
      <c r="H116">
        <v>2013</v>
      </c>
      <c r="I116">
        <v>6.01</v>
      </c>
      <c r="J116">
        <v>4</v>
      </c>
      <c r="K116">
        <v>0</v>
      </c>
      <c r="L116">
        <v>4</v>
      </c>
      <c r="M116" s="3">
        <v>5.57E-2</v>
      </c>
      <c r="N116" s="2">
        <v>0</v>
      </c>
      <c r="O116" s="3">
        <v>5.57E-2</v>
      </c>
      <c r="P116" s="3">
        <v>0.66600000000000004</v>
      </c>
      <c r="Q116" s="2">
        <v>0</v>
      </c>
      <c r="R116" s="3">
        <v>0.66600000000000004</v>
      </c>
      <c r="S116" t="s">
        <v>40</v>
      </c>
    </row>
    <row r="117" spans="1:20" x14ac:dyDescent="0.6">
      <c r="A117">
        <v>395</v>
      </c>
      <c r="B117" t="str">
        <f>"8921"</f>
        <v>8921</v>
      </c>
      <c r="C117" t="s">
        <v>480</v>
      </c>
      <c r="D117" s="1">
        <v>42923</v>
      </c>
      <c r="E117">
        <v>15.35</v>
      </c>
      <c r="F117">
        <v>0.65</v>
      </c>
      <c r="G117" s="3">
        <v>4.4200000000000003E-2</v>
      </c>
      <c r="H117">
        <v>2013</v>
      </c>
      <c r="I117">
        <v>1.2</v>
      </c>
      <c r="J117">
        <v>0.85</v>
      </c>
      <c r="K117">
        <v>0</v>
      </c>
      <c r="L117">
        <v>0.85</v>
      </c>
      <c r="M117" s="3">
        <v>5.5399999999999998E-2</v>
      </c>
      <c r="N117" s="2">
        <v>0</v>
      </c>
      <c r="O117" s="3">
        <v>5.5399999999999998E-2</v>
      </c>
      <c r="P117" s="3">
        <v>0.70799999999999996</v>
      </c>
      <c r="Q117" s="2">
        <v>0</v>
      </c>
      <c r="R117" s="3">
        <v>0.70799999999999996</v>
      </c>
      <c r="S117" t="s">
        <v>481</v>
      </c>
    </row>
    <row r="118" spans="1:20" x14ac:dyDescent="0.6">
      <c r="A118">
        <v>131</v>
      </c>
      <c r="B118" t="str">
        <f>"1558"</f>
        <v>1558</v>
      </c>
      <c r="C118" t="s">
        <v>197</v>
      </c>
      <c r="D118" s="1">
        <v>42923</v>
      </c>
      <c r="E118">
        <v>136</v>
      </c>
      <c r="F118">
        <v>-0.5</v>
      </c>
      <c r="G118" s="3">
        <v>-3.7000000000000002E-3</v>
      </c>
      <c r="H118">
        <v>2013</v>
      </c>
      <c r="I118">
        <v>11.63</v>
      </c>
      <c r="J118">
        <v>7.5</v>
      </c>
      <c r="K118">
        <v>0.5</v>
      </c>
      <c r="L118">
        <v>8</v>
      </c>
      <c r="M118" s="3">
        <v>5.5100000000000003E-2</v>
      </c>
      <c r="N118" s="3">
        <v>3.7000000000000002E-3</v>
      </c>
      <c r="O118" s="3">
        <v>5.8799999999999998E-2</v>
      </c>
      <c r="P118" s="3">
        <v>0.64500000000000002</v>
      </c>
      <c r="Q118" s="3">
        <v>4.2999999999999997E-2</v>
      </c>
      <c r="R118" s="3">
        <v>0.68799999999999994</v>
      </c>
      <c r="S118" t="s">
        <v>103</v>
      </c>
      <c r="T118" t="s">
        <v>103</v>
      </c>
    </row>
    <row r="119" spans="1:20" x14ac:dyDescent="0.6">
      <c r="A119">
        <v>332</v>
      </c>
      <c r="B119" t="str">
        <f>"4909"</f>
        <v>4909</v>
      </c>
      <c r="C119" t="s">
        <v>414</v>
      </c>
      <c r="D119" s="1">
        <v>42923</v>
      </c>
      <c r="E119">
        <v>21.8</v>
      </c>
      <c r="F119">
        <v>-0.15</v>
      </c>
      <c r="G119" s="3">
        <v>-6.7999999999999996E-3</v>
      </c>
      <c r="H119">
        <v>2013</v>
      </c>
      <c r="I119">
        <v>2.1</v>
      </c>
      <c r="J119">
        <v>1.2</v>
      </c>
      <c r="K119">
        <v>0</v>
      </c>
      <c r="L119">
        <v>1.2</v>
      </c>
      <c r="M119" s="3">
        <v>5.5E-2</v>
      </c>
      <c r="N119" s="2">
        <v>0</v>
      </c>
      <c r="O119" s="3">
        <v>5.5E-2</v>
      </c>
      <c r="P119" s="3">
        <v>0.57099999999999995</v>
      </c>
      <c r="Q119" s="2">
        <v>0</v>
      </c>
      <c r="R119" s="3">
        <v>0.57099999999999995</v>
      </c>
      <c r="S119" t="s">
        <v>143</v>
      </c>
    </row>
    <row r="120" spans="1:20" x14ac:dyDescent="0.6">
      <c r="A120">
        <v>429</v>
      </c>
      <c r="B120" t="str">
        <f>"9933"</f>
        <v>9933</v>
      </c>
      <c r="C120" t="s">
        <v>517</v>
      </c>
      <c r="D120" s="1">
        <v>42923</v>
      </c>
      <c r="E120">
        <v>52.1</v>
      </c>
      <c r="F120">
        <v>-0.4</v>
      </c>
      <c r="G120" s="3">
        <v>-7.6E-3</v>
      </c>
      <c r="H120">
        <v>2013</v>
      </c>
      <c r="I120">
        <v>3.32</v>
      </c>
      <c r="J120">
        <v>2.84</v>
      </c>
      <c r="K120">
        <v>0</v>
      </c>
      <c r="L120">
        <v>2.84</v>
      </c>
      <c r="M120" s="3">
        <v>5.4399999999999997E-2</v>
      </c>
      <c r="N120" s="2">
        <v>0</v>
      </c>
      <c r="O120" s="3">
        <v>5.4399999999999997E-2</v>
      </c>
      <c r="P120" s="3">
        <v>0.85499999999999998</v>
      </c>
      <c r="Q120" s="2">
        <v>0</v>
      </c>
      <c r="R120" s="3">
        <v>0.85499999999999998</v>
      </c>
      <c r="S120" t="s">
        <v>82</v>
      </c>
    </row>
    <row r="121" spans="1:20" x14ac:dyDescent="0.6">
      <c r="A121">
        <v>202</v>
      </c>
      <c r="B121" t="str">
        <f>"1451"</f>
        <v>1451</v>
      </c>
      <c r="C121" t="s">
        <v>280</v>
      </c>
      <c r="D121" s="1">
        <v>42923</v>
      </c>
      <c r="E121">
        <v>23.95</v>
      </c>
      <c r="F121">
        <v>-0.1</v>
      </c>
      <c r="G121" s="3">
        <v>-4.1999999999999997E-3</v>
      </c>
      <c r="H121">
        <v>2013</v>
      </c>
      <c r="I121">
        <v>1.64</v>
      </c>
      <c r="J121">
        <v>1.3</v>
      </c>
      <c r="K121">
        <v>0</v>
      </c>
      <c r="L121">
        <v>1.3</v>
      </c>
      <c r="M121" s="3">
        <v>5.4300000000000001E-2</v>
      </c>
      <c r="N121" s="2">
        <v>0</v>
      </c>
      <c r="O121" s="3">
        <v>5.4300000000000001E-2</v>
      </c>
      <c r="P121" s="3">
        <v>0.79300000000000004</v>
      </c>
      <c r="Q121" s="2">
        <v>0</v>
      </c>
      <c r="R121" s="3">
        <v>0.79300000000000004</v>
      </c>
      <c r="S121" t="s">
        <v>38</v>
      </c>
    </row>
    <row r="122" spans="1:20" x14ac:dyDescent="0.6">
      <c r="A122">
        <v>2</v>
      </c>
      <c r="B122" t="str">
        <f>"3056"</f>
        <v>3056</v>
      </c>
      <c r="C122" t="s">
        <v>23</v>
      </c>
      <c r="D122" s="1">
        <v>42923</v>
      </c>
      <c r="E122">
        <v>18.5</v>
      </c>
      <c r="F122">
        <v>-0.1</v>
      </c>
      <c r="G122" s="3">
        <v>-5.4000000000000003E-3</v>
      </c>
      <c r="H122">
        <v>2013</v>
      </c>
      <c r="I122">
        <v>3.65</v>
      </c>
      <c r="J122">
        <v>1</v>
      </c>
      <c r="K122">
        <v>0.5</v>
      </c>
      <c r="L122">
        <v>1.5</v>
      </c>
      <c r="M122" s="3">
        <v>5.4100000000000002E-2</v>
      </c>
      <c r="N122" s="3">
        <v>2.7E-2</v>
      </c>
      <c r="O122" s="3">
        <v>8.1100000000000005E-2</v>
      </c>
      <c r="P122" s="3">
        <v>0.27400000000000002</v>
      </c>
      <c r="Q122" s="3">
        <v>0.13700000000000001</v>
      </c>
      <c r="R122" s="3">
        <v>0.41099999999999998</v>
      </c>
      <c r="S122" t="s">
        <v>24</v>
      </c>
      <c r="T122" t="s">
        <v>24</v>
      </c>
    </row>
    <row r="123" spans="1:20" x14ac:dyDescent="0.6">
      <c r="A123">
        <v>237</v>
      </c>
      <c r="B123" t="str">
        <f>"3118"</f>
        <v>3118</v>
      </c>
      <c r="C123" t="s">
        <v>316</v>
      </c>
      <c r="D123" s="1">
        <v>42923</v>
      </c>
      <c r="E123">
        <v>31.55</v>
      </c>
      <c r="F123">
        <v>0.05</v>
      </c>
      <c r="G123" s="3">
        <v>1.6000000000000001E-3</v>
      </c>
      <c r="H123">
        <v>2013</v>
      </c>
      <c r="I123">
        <v>1.63</v>
      </c>
      <c r="J123">
        <v>1.7</v>
      </c>
      <c r="K123">
        <v>0</v>
      </c>
      <c r="L123">
        <v>1.7</v>
      </c>
      <c r="M123" s="3">
        <v>5.3900000000000003E-2</v>
      </c>
      <c r="N123" s="2">
        <v>0</v>
      </c>
      <c r="O123" s="3">
        <v>5.3900000000000003E-2</v>
      </c>
      <c r="P123" s="2">
        <v>1.04</v>
      </c>
      <c r="Q123" s="2">
        <v>0</v>
      </c>
      <c r="R123" s="2">
        <v>1.04</v>
      </c>
      <c r="S123" t="s">
        <v>282</v>
      </c>
    </row>
    <row r="124" spans="1:20" x14ac:dyDescent="0.6">
      <c r="A124">
        <v>138</v>
      </c>
      <c r="B124" t="str">
        <f>"5878"</f>
        <v>5878</v>
      </c>
      <c r="C124" t="s">
        <v>205</v>
      </c>
      <c r="D124" s="1">
        <v>42923</v>
      </c>
      <c r="E124">
        <v>46.5</v>
      </c>
      <c r="F124">
        <v>-0.3</v>
      </c>
      <c r="G124" s="3">
        <v>-6.4000000000000003E-3</v>
      </c>
      <c r="H124">
        <v>2013</v>
      </c>
      <c r="I124">
        <v>3.76</v>
      </c>
      <c r="J124">
        <v>2.5</v>
      </c>
      <c r="K124">
        <v>0.8</v>
      </c>
      <c r="L124">
        <v>3.3</v>
      </c>
      <c r="M124" s="3">
        <v>5.3800000000000001E-2</v>
      </c>
      <c r="N124" s="3">
        <v>1.72E-2</v>
      </c>
      <c r="O124" s="3">
        <v>7.0999999999999994E-2</v>
      </c>
      <c r="P124" s="3">
        <v>0.66500000000000004</v>
      </c>
      <c r="Q124" s="3">
        <v>0.21299999999999999</v>
      </c>
      <c r="R124" s="3">
        <v>0.878</v>
      </c>
    </row>
    <row r="125" spans="1:20" x14ac:dyDescent="0.6">
      <c r="A125">
        <v>318</v>
      </c>
      <c r="B125" t="str">
        <f>"2385"</f>
        <v>2385</v>
      </c>
      <c r="C125" t="s">
        <v>400</v>
      </c>
      <c r="D125" s="1">
        <v>42923</v>
      </c>
      <c r="E125">
        <v>76.2</v>
      </c>
      <c r="F125">
        <v>0.3</v>
      </c>
      <c r="G125" s="3">
        <v>4.0000000000000001E-3</v>
      </c>
      <c r="H125">
        <v>2013</v>
      </c>
      <c r="I125">
        <v>6.05</v>
      </c>
      <c r="J125">
        <v>4.0999999999999996</v>
      </c>
      <c r="K125">
        <v>0.1</v>
      </c>
      <c r="L125">
        <v>4.2</v>
      </c>
      <c r="M125" s="3">
        <v>5.3800000000000001E-2</v>
      </c>
      <c r="N125" s="3">
        <v>1.2999999999999999E-3</v>
      </c>
      <c r="O125" s="3">
        <v>5.5100000000000003E-2</v>
      </c>
      <c r="P125" s="3">
        <v>0.67800000000000005</v>
      </c>
      <c r="Q125" s="3">
        <v>1.6500000000000001E-2</v>
      </c>
      <c r="R125" s="3">
        <v>0.69399999999999995</v>
      </c>
      <c r="S125" t="s">
        <v>75</v>
      </c>
      <c r="T125" t="s">
        <v>80</v>
      </c>
    </row>
    <row r="126" spans="1:20" x14ac:dyDescent="0.6">
      <c r="A126">
        <v>132</v>
      </c>
      <c r="B126" t="str">
        <f>"2459"</f>
        <v>2459</v>
      </c>
      <c r="C126" t="s">
        <v>198</v>
      </c>
      <c r="D126" s="1">
        <v>42923</v>
      </c>
      <c r="E126">
        <v>37.25</v>
      </c>
      <c r="F126">
        <v>-0.35</v>
      </c>
      <c r="G126" s="3">
        <v>-9.2999999999999992E-3</v>
      </c>
      <c r="H126">
        <v>2013</v>
      </c>
      <c r="I126">
        <v>2.86</v>
      </c>
      <c r="J126">
        <v>2</v>
      </c>
      <c r="K126">
        <v>0</v>
      </c>
      <c r="L126">
        <v>2</v>
      </c>
      <c r="M126" s="3">
        <v>5.3699999999999998E-2</v>
      </c>
      <c r="N126" s="2">
        <v>0</v>
      </c>
      <c r="O126" s="3">
        <v>5.3699999999999998E-2</v>
      </c>
      <c r="P126" s="3">
        <v>0.69899999999999995</v>
      </c>
      <c r="Q126" s="2">
        <v>0</v>
      </c>
      <c r="R126" s="3">
        <v>0.69899999999999995</v>
      </c>
      <c r="S126" t="s">
        <v>99</v>
      </c>
    </row>
    <row r="127" spans="1:20" x14ac:dyDescent="0.6">
      <c r="A127">
        <v>358</v>
      </c>
      <c r="B127" t="str">
        <f>"4103"</f>
        <v>4103</v>
      </c>
      <c r="C127" t="s">
        <v>441</v>
      </c>
      <c r="D127" s="1">
        <v>42923</v>
      </c>
      <c r="E127">
        <v>74.5</v>
      </c>
      <c r="F127">
        <v>0.2</v>
      </c>
      <c r="G127" s="3">
        <v>2.7000000000000001E-3</v>
      </c>
      <c r="H127">
        <v>2013</v>
      </c>
      <c r="I127">
        <v>4.72</v>
      </c>
      <c r="J127">
        <v>4</v>
      </c>
      <c r="K127">
        <v>0</v>
      </c>
      <c r="L127">
        <v>4</v>
      </c>
      <c r="M127" s="3">
        <v>5.3699999999999998E-2</v>
      </c>
      <c r="N127" s="2">
        <v>0</v>
      </c>
      <c r="O127" s="3">
        <v>5.3699999999999998E-2</v>
      </c>
      <c r="P127" s="3">
        <v>0.84799999999999998</v>
      </c>
      <c r="Q127" s="2">
        <v>0</v>
      </c>
      <c r="R127" s="3">
        <v>0.84799999999999998</v>
      </c>
      <c r="S127" t="s">
        <v>122</v>
      </c>
    </row>
    <row r="128" spans="1:20" x14ac:dyDescent="0.6">
      <c r="A128">
        <v>433</v>
      </c>
      <c r="B128" t="str">
        <f>"2707"</f>
        <v>2707</v>
      </c>
      <c r="C128" t="s">
        <v>521</v>
      </c>
      <c r="D128" s="1">
        <v>42923</v>
      </c>
      <c r="E128">
        <v>164</v>
      </c>
      <c r="F128">
        <v>-1</v>
      </c>
      <c r="G128" s="3">
        <v>-6.1000000000000004E-3</v>
      </c>
      <c r="H128">
        <v>2013</v>
      </c>
      <c r="I128">
        <v>11.24</v>
      </c>
      <c r="J128">
        <v>8.7899999999999991</v>
      </c>
      <c r="K128">
        <v>1</v>
      </c>
      <c r="L128">
        <v>9.7899999999999991</v>
      </c>
      <c r="M128" s="3">
        <v>5.3600000000000002E-2</v>
      </c>
      <c r="N128" s="3">
        <v>6.1000000000000004E-3</v>
      </c>
      <c r="O128" s="3">
        <v>5.9700000000000003E-2</v>
      </c>
      <c r="P128" s="3">
        <v>0.78200000000000003</v>
      </c>
      <c r="Q128" s="3">
        <v>8.8999999999999996E-2</v>
      </c>
      <c r="R128" s="3">
        <v>0.871</v>
      </c>
      <c r="S128" t="s">
        <v>24</v>
      </c>
      <c r="T128" t="s">
        <v>136</v>
      </c>
    </row>
    <row r="129" spans="1:20" x14ac:dyDescent="0.6">
      <c r="A129">
        <v>313</v>
      </c>
      <c r="B129" t="str">
        <f>"2820"</f>
        <v>2820</v>
      </c>
      <c r="C129" t="s">
        <v>395</v>
      </c>
      <c r="D129" s="1">
        <v>42923</v>
      </c>
      <c r="E129">
        <v>14.95</v>
      </c>
      <c r="F129">
        <v>-0.1</v>
      </c>
      <c r="G129" s="3">
        <v>-6.6E-3</v>
      </c>
      <c r="H129">
        <v>2013</v>
      </c>
      <c r="I129">
        <v>0.87</v>
      </c>
      <c r="J129">
        <v>0.8</v>
      </c>
      <c r="K129">
        <v>0</v>
      </c>
      <c r="L129">
        <v>0.8</v>
      </c>
      <c r="M129" s="3">
        <v>5.3499999999999999E-2</v>
      </c>
      <c r="N129" s="2">
        <v>0</v>
      </c>
      <c r="O129" s="3">
        <v>5.3499999999999999E-2</v>
      </c>
      <c r="P129" s="2">
        <v>0.92</v>
      </c>
      <c r="Q129" s="2">
        <v>0</v>
      </c>
      <c r="R129" s="2">
        <v>0.92</v>
      </c>
      <c r="S129" t="s">
        <v>253</v>
      </c>
    </row>
    <row r="130" spans="1:20" x14ac:dyDescent="0.6">
      <c r="A130">
        <v>25</v>
      </c>
      <c r="B130" t="str">
        <f>"6201"</f>
        <v>6201</v>
      </c>
      <c r="C130" t="s">
        <v>59</v>
      </c>
      <c r="D130" s="1">
        <v>42923</v>
      </c>
      <c r="E130">
        <v>33.75</v>
      </c>
      <c r="F130">
        <v>0</v>
      </c>
      <c r="G130" s="2">
        <v>0</v>
      </c>
      <c r="H130">
        <v>2013</v>
      </c>
      <c r="I130">
        <v>1.91</v>
      </c>
      <c r="J130">
        <v>1.8</v>
      </c>
      <c r="K130">
        <v>0</v>
      </c>
      <c r="L130">
        <v>1.8</v>
      </c>
      <c r="M130" s="3">
        <v>5.33E-2</v>
      </c>
      <c r="N130" s="2">
        <v>0</v>
      </c>
      <c r="O130" s="3">
        <v>5.33E-2</v>
      </c>
      <c r="P130" s="3">
        <v>0.94199999999999995</v>
      </c>
      <c r="Q130" s="2">
        <v>0</v>
      </c>
      <c r="R130" s="3">
        <v>0.94199999999999995</v>
      </c>
      <c r="S130" t="s">
        <v>40</v>
      </c>
    </row>
    <row r="131" spans="1:20" x14ac:dyDescent="0.6">
      <c r="A131">
        <v>61</v>
      </c>
      <c r="B131" t="str">
        <f>"2546"</f>
        <v>2546</v>
      </c>
      <c r="C131" t="s">
        <v>115</v>
      </c>
      <c r="D131" s="1">
        <v>42923</v>
      </c>
      <c r="E131">
        <v>18.8</v>
      </c>
      <c r="F131">
        <v>0</v>
      </c>
      <c r="G131" s="2">
        <v>0</v>
      </c>
      <c r="H131">
        <v>2013</v>
      </c>
      <c r="I131">
        <v>1.1200000000000001</v>
      </c>
      <c r="J131">
        <v>1</v>
      </c>
      <c r="K131">
        <v>0</v>
      </c>
      <c r="L131">
        <v>1</v>
      </c>
      <c r="M131" s="3">
        <v>5.3199999999999997E-2</v>
      </c>
      <c r="N131" s="2">
        <v>0</v>
      </c>
      <c r="O131" s="3">
        <v>5.3199999999999997E-2</v>
      </c>
      <c r="P131" s="3">
        <v>0.89300000000000002</v>
      </c>
      <c r="Q131" s="2">
        <v>0</v>
      </c>
      <c r="R131" s="3">
        <v>0.89300000000000002</v>
      </c>
      <c r="S131" t="s">
        <v>43</v>
      </c>
    </row>
    <row r="132" spans="1:20" x14ac:dyDescent="0.6">
      <c r="A132">
        <v>187</v>
      </c>
      <c r="B132" t="str">
        <f>"2509"</f>
        <v>2509</v>
      </c>
      <c r="C132" t="s">
        <v>263</v>
      </c>
      <c r="D132" s="1">
        <v>42923</v>
      </c>
      <c r="E132">
        <v>18.850000000000001</v>
      </c>
      <c r="F132">
        <v>0.1</v>
      </c>
      <c r="G132" s="3">
        <v>5.3E-3</v>
      </c>
      <c r="H132">
        <v>2013</v>
      </c>
      <c r="I132">
        <v>1.52</v>
      </c>
      <c r="J132">
        <v>1</v>
      </c>
      <c r="K132">
        <v>0</v>
      </c>
      <c r="L132">
        <v>1</v>
      </c>
      <c r="M132" s="3">
        <v>5.3100000000000001E-2</v>
      </c>
      <c r="N132" s="2">
        <v>0</v>
      </c>
      <c r="O132" s="3">
        <v>5.3100000000000001E-2</v>
      </c>
      <c r="P132" s="3">
        <v>0.65800000000000003</v>
      </c>
      <c r="Q132" s="2">
        <v>0</v>
      </c>
      <c r="R132" s="3">
        <v>0.65800000000000003</v>
      </c>
      <c r="S132" t="s">
        <v>264</v>
      </c>
    </row>
    <row r="133" spans="1:20" x14ac:dyDescent="0.6">
      <c r="A133">
        <v>471</v>
      </c>
      <c r="B133" t="str">
        <f>"1528"</f>
        <v>1528</v>
      </c>
      <c r="C133" t="s">
        <v>564</v>
      </c>
      <c r="D133" s="1">
        <v>42923</v>
      </c>
      <c r="E133">
        <v>10.4</v>
      </c>
      <c r="F133">
        <v>0.05</v>
      </c>
      <c r="G133" s="3">
        <v>4.7999999999999996E-3</v>
      </c>
      <c r="H133">
        <v>2013</v>
      </c>
      <c r="I133">
        <v>0.62</v>
      </c>
      <c r="J133">
        <v>0.55000000000000004</v>
      </c>
      <c r="K133">
        <v>0</v>
      </c>
      <c r="L133">
        <v>0.55000000000000004</v>
      </c>
      <c r="M133" s="3">
        <v>5.2900000000000003E-2</v>
      </c>
      <c r="N133" s="2">
        <v>0</v>
      </c>
      <c r="O133" s="3">
        <v>5.2900000000000003E-2</v>
      </c>
      <c r="P133" s="3">
        <v>0.88700000000000001</v>
      </c>
      <c r="Q133" s="2">
        <v>0</v>
      </c>
      <c r="R133" s="3">
        <v>0.88700000000000001</v>
      </c>
      <c r="S133" t="s">
        <v>36</v>
      </c>
    </row>
    <row r="134" spans="1:20" x14ac:dyDescent="0.6">
      <c r="A134">
        <v>140</v>
      </c>
      <c r="B134" t="str">
        <f>"2376"</f>
        <v>2376</v>
      </c>
      <c r="C134" t="s">
        <v>207</v>
      </c>
      <c r="D134" s="1">
        <v>42923</v>
      </c>
      <c r="E134">
        <v>37.9</v>
      </c>
      <c r="F134">
        <v>-0.4</v>
      </c>
      <c r="G134" s="3">
        <v>-1.04E-2</v>
      </c>
      <c r="H134">
        <v>2013</v>
      </c>
      <c r="I134">
        <v>2.48</v>
      </c>
      <c r="J134">
        <v>2</v>
      </c>
      <c r="K134">
        <v>0</v>
      </c>
      <c r="L134">
        <v>2</v>
      </c>
      <c r="M134" s="3">
        <v>5.28E-2</v>
      </c>
      <c r="N134" s="2">
        <v>0</v>
      </c>
      <c r="O134" s="3">
        <v>5.28E-2</v>
      </c>
      <c r="P134" s="3">
        <v>0.80600000000000005</v>
      </c>
      <c r="Q134" s="2">
        <v>0</v>
      </c>
      <c r="R134" s="3">
        <v>0.80600000000000005</v>
      </c>
      <c r="S134" t="s">
        <v>45</v>
      </c>
    </row>
    <row r="135" spans="1:20" x14ac:dyDescent="0.6">
      <c r="A135">
        <v>375</v>
      </c>
      <c r="B135" t="str">
        <f>"2006"</f>
        <v>2006</v>
      </c>
      <c r="C135" t="s">
        <v>458</v>
      </c>
      <c r="D135" s="1">
        <v>42923</v>
      </c>
      <c r="E135">
        <v>24.75</v>
      </c>
      <c r="F135">
        <v>-0.05</v>
      </c>
      <c r="G135" s="3">
        <v>-2E-3</v>
      </c>
      <c r="H135">
        <v>2013</v>
      </c>
      <c r="I135">
        <v>1.78</v>
      </c>
      <c r="J135">
        <v>1.3</v>
      </c>
      <c r="K135">
        <v>0</v>
      </c>
      <c r="L135">
        <v>1.3</v>
      </c>
      <c r="M135" s="3">
        <v>5.2499999999999998E-2</v>
      </c>
      <c r="N135" s="2">
        <v>0</v>
      </c>
      <c r="O135" s="3">
        <v>5.2499999999999998E-2</v>
      </c>
      <c r="P135" s="2">
        <v>0.73</v>
      </c>
      <c r="Q135" s="2">
        <v>0</v>
      </c>
      <c r="R135" s="2">
        <v>0.73</v>
      </c>
      <c r="S135" t="s">
        <v>103</v>
      </c>
    </row>
    <row r="136" spans="1:20" x14ac:dyDescent="0.6">
      <c r="A136">
        <v>81</v>
      </c>
      <c r="B136" t="str">
        <f>"2419"</f>
        <v>2419</v>
      </c>
      <c r="C136" t="s">
        <v>142</v>
      </c>
      <c r="D136" s="1">
        <v>42923</v>
      </c>
      <c r="E136">
        <v>23</v>
      </c>
      <c r="F136">
        <v>0.05</v>
      </c>
      <c r="G136" s="3">
        <v>2.2000000000000001E-3</v>
      </c>
      <c r="H136">
        <v>2013</v>
      </c>
      <c r="I136">
        <v>1.61</v>
      </c>
      <c r="J136">
        <v>1.2</v>
      </c>
      <c r="K136">
        <v>0</v>
      </c>
      <c r="L136">
        <v>1.2</v>
      </c>
      <c r="M136" s="3">
        <v>5.2200000000000003E-2</v>
      </c>
      <c r="N136" s="2">
        <v>0</v>
      </c>
      <c r="O136" s="3">
        <v>5.2200000000000003E-2</v>
      </c>
      <c r="P136" s="3">
        <v>0.745</v>
      </c>
      <c r="Q136" s="2">
        <v>0</v>
      </c>
      <c r="R136" s="3">
        <v>0.745</v>
      </c>
      <c r="S136" t="s">
        <v>143</v>
      </c>
    </row>
    <row r="137" spans="1:20" x14ac:dyDescent="0.6">
      <c r="A137">
        <v>103</v>
      </c>
      <c r="B137" t="str">
        <f>"4305"</f>
        <v>4305</v>
      </c>
      <c r="C137" t="s">
        <v>166</v>
      </c>
      <c r="D137" s="1">
        <v>42923</v>
      </c>
      <c r="E137">
        <v>32.549999999999997</v>
      </c>
      <c r="F137">
        <v>0</v>
      </c>
      <c r="G137" s="2">
        <v>0</v>
      </c>
      <c r="H137">
        <v>2013</v>
      </c>
      <c r="I137">
        <v>2.41</v>
      </c>
      <c r="J137">
        <v>1.7</v>
      </c>
      <c r="K137">
        <v>0</v>
      </c>
      <c r="L137">
        <v>1.7</v>
      </c>
      <c r="M137" s="3">
        <v>5.2200000000000003E-2</v>
      </c>
      <c r="N137" s="2">
        <v>0</v>
      </c>
      <c r="O137" s="3">
        <v>5.2200000000000003E-2</v>
      </c>
      <c r="P137" s="3">
        <v>0.70499999999999996</v>
      </c>
      <c r="Q137" s="2">
        <v>0</v>
      </c>
      <c r="R137" s="3">
        <v>0.70499999999999996</v>
      </c>
      <c r="S137" t="s">
        <v>40</v>
      </c>
    </row>
    <row r="138" spans="1:20" x14ac:dyDescent="0.6">
      <c r="A138">
        <v>114</v>
      </c>
      <c r="B138" t="str">
        <f>"8032"</f>
        <v>8032</v>
      </c>
      <c r="C138" t="s">
        <v>178</v>
      </c>
      <c r="D138" s="1">
        <v>42923</v>
      </c>
      <c r="E138">
        <v>24.95</v>
      </c>
      <c r="F138">
        <v>-0.25</v>
      </c>
      <c r="G138" s="3">
        <v>-9.9000000000000008E-3</v>
      </c>
      <c r="H138">
        <v>2013</v>
      </c>
      <c r="I138">
        <v>2.2400000000000002</v>
      </c>
      <c r="J138">
        <v>1.3</v>
      </c>
      <c r="K138">
        <v>0</v>
      </c>
      <c r="L138">
        <v>1.3</v>
      </c>
      <c r="M138" s="3">
        <v>5.21E-2</v>
      </c>
      <c r="N138" s="2">
        <v>0</v>
      </c>
      <c r="O138" s="3">
        <v>5.21E-2</v>
      </c>
      <c r="P138" s="2">
        <v>0.57999999999999996</v>
      </c>
      <c r="Q138" s="2">
        <v>0</v>
      </c>
      <c r="R138" s="2">
        <v>0.57999999999999996</v>
      </c>
      <c r="S138" t="s">
        <v>89</v>
      </c>
    </row>
    <row r="139" spans="1:20" x14ac:dyDescent="0.6">
      <c r="A139">
        <v>305</v>
      </c>
      <c r="B139" t="str">
        <f>"2373"</f>
        <v>2373</v>
      </c>
      <c r="C139" t="s">
        <v>387</v>
      </c>
      <c r="D139" s="1">
        <v>42923</v>
      </c>
      <c r="E139">
        <v>57.6</v>
      </c>
      <c r="F139">
        <v>-0.4</v>
      </c>
      <c r="G139" s="3">
        <v>-6.8999999999999999E-3</v>
      </c>
      <c r="H139">
        <v>2013</v>
      </c>
      <c r="I139">
        <v>3.51</v>
      </c>
      <c r="J139">
        <v>3</v>
      </c>
      <c r="K139">
        <v>0</v>
      </c>
      <c r="L139">
        <v>3</v>
      </c>
      <c r="M139" s="3">
        <v>5.21E-2</v>
      </c>
      <c r="N139" s="2">
        <v>0</v>
      </c>
      <c r="O139" s="3">
        <v>5.21E-2</v>
      </c>
      <c r="P139" s="3">
        <v>0.85499999999999998</v>
      </c>
      <c r="Q139" s="2">
        <v>0</v>
      </c>
      <c r="R139" s="3">
        <v>0.85499999999999998</v>
      </c>
      <c r="S139" t="s">
        <v>75</v>
      </c>
    </row>
    <row r="140" spans="1:20" x14ac:dyDescent="0.6">
      <c r="A140">
        <v>367</v>
      </c>
      <c r="B140" t="str">
        <f>"4974"</f>
        <v>4974</v>
      </c>
      <c r="C140" t="s">
        <v>450</v>
      </c>
      <c r="D140" s="1">
        <v>42923</v>
      </c>
      <c r="E140">
        <v>46.95</v>
      </c>
      <c r="F140">
        <v>0</v>
      </c>
      <c r="G140" s="2">
        <v>0</v>
      </c>
      <c r="H140">
        <v>2013</v>
      </c>
      <c r="I140">
        <v>3.65</v>
      </c>
      <c r="J140">
        <v>2.44</v>
      </c>
      <c r="K140">
        <v>0</v>
      </c>
      <c r="L140">
        <v>2.44</v>
      </c>
      <c r="M140" s="3">
        <v>5.1999999999999998E-2</v>
      </c>
      <c r="N140" s="2">
        <v>0</v>
      </c>
      <c r="O140" s="3">
        <v>5.1999999999999998E-2</v>
      </c>
      <c r="P140" s="3">
        <v>0.66800000000000004</v>
      </c>
      <c r="Q140" s="2">
        <v>0</v>
      </c>
      <c r="R140" s="3">
        <v>0.66800000000000004</v>
      </c>
      <c r="S140" t="s">
        <v>47</v>
      </c>
    </row>
    <row r="141" spans="1:20" x14ac:dyDescent="0.6">
      <c r="A141">
        <v>398</v>
      </c>
      <c r="B141" t="str">
        <f>"8926"</f>
        <v>8926</v>
      </c>
      <c r="C141" t="s">
        <v>484</v>
      </c>
      <c r="D141" s="1">
        <v>42923</v>
      </c>
      <c r="E141">
        <v>23.4</v>
      </c>
      <c r="F141">
        <v>-0.1</v>
      </c>
      <c r="G141" s="3">
        <v>-4.3E-3</v>
      </c>
      <c r="H141">
        <v>2013</v>
      </c>
      <c r="I141">
        <v>0.9</v>
      </c>
      <c r="J141">
        <v>1.2</v>
      </c>
      <c r="K141">
        <v>0</v>
      </c>
      <c r="L141">
        <v>1.2</v>
      </c>
      <c r="M141" s="3">
        <v>5.1299999999999998E-2</v>
      </c>
      <c r="N141" s="2">
        <v>0</v>
      </c>
      <c r="O141" s="3">
        <v>5.1299999999999998E-2</v>
      </c>
      <c r="P141" s="2">
        <v>1.33</v>
      </c>
      <c r="Q141" s="2">
        <v>0</v>
      </c>
      <c r="R141" s="2">
        <v>1.33</v>
      </c>
      <c r="S141" t="s">
        <v>119</v>
      </c>
    </row>
    <row r="142" spans="1:20" x14ac:dyDescent="0.6">
      <c r="A142">
        <v>392</v>
      </c>
      <c r="B142" t="str">
        <f>"5512"</f>
        <v>5512</v>
      </c>
      <c r="C142" t="s">
        <v>476</v>
      </c>
      <c r="D142" s="1">
        <v>42923</v>
      </c>
      <c r="E142">
        <v>9.69</v>
      </c>
      <c r="F142">
        <v>-0.11</v>
      </c>
      <c r="G142" s="3">
        <v>-1.12E-2</v>
      </c>
      <c r="H142">
        <v>2013</v>
      </c>
      <c r="I142">
        <v>3.02</v>
      </c>
      <c r="J142">
        <v>0.5</v>
      </c>
      <c r="K142">
        <v>0.99</v>
      </c>
      <c r="L142">
        <v>1.49</v>
      </c>
      <c r="M142" s="3">
        <v>5.1200000000000002E-2</v>
      </c>
      <c r="N142" s="3">
        <v>0.10199999999999999</v>
      </c>
      <c r="O142" s="3">
        <v>0.154</v>
      </c>
      <c r="P142" s="3">
        <v>0.16600000000000001</v>
      </c>
      <c r="Q142" s="3">
        <v>0.32800000000000001</v>
      </c>
      <c r="R142" s="3">
        <v>0.49299999999999999</v>
      </c>
      <c r="S142" t="s">
        <v>174</v>
      </c>
      <c r="T142" t="s">
        <v>174</v>
      </c>
    </row>
    <row r="143" spans="1:20" x14ac:dyDescent="0.6">
      <c r="A143">
        <v>400</v>
      </c>
      <c r="B143" t="str">
        <f>"8410"</f>
        <v>8410</v>
      </c>
      <c r="C143" t="s">
        <v>486</v>
      </c>
      <c r="D143" s="1">
        <v>42923</v>
      </c>
      <c r="E143">
        <v>29.3</v>
      </c>
      <c r="F143">
        <v>0.2</v>
      </c>
      <c r="G143" s="3">
        <v>6.8999999999999999E-3</v>
      </c>
      <c r="H143">
        <v>2013</v>
      </c>
      <c r="I143">
        <v>2.46</v>
      </c>
      <c r="J143">
        <v>1.5</v>
      </c>
      <c r="K143">
        <v>0</v>
      </c>
      <c r="L143">
        <v>1.5</v>
      </c>
      <c r="M143" s="3">
        <v>5.1200000000000002E-2</v>
      </c>
      <c r="N143" s="2">
        <v>0</v>
      </c>
      <c r="O143" s="3">
        <v>5.1200000000000002E-2</v>
      </c>
      <c r="P143" s="2">
        <v>0.61</v>
      </c>
      <c r="Q143" s="2">
        <v>0</v>
      </c>
      <c r="R143" s="2">
        <v>0.61</v>
      </c>
      <c r="S143" t="s">
        <v>105</v>
      </c>
    </row>
    <row r="144" spans="1:20" x14ac:dyDescent="0.6">
      <c r="A144">
        <v>401</v>
      </c>
      <c r="B144" t="str">
        <f>"3131"</f>
        <v>3131</v>
      </c>
      <c r="C144" t="s">
        <v>487</v>
      </c>
      <c r="D144" s="1">
        <v>42923</v>
      </c>
      <c r="E144">
        <v>195.5</v>
      </c>
      <c r="F144">
        <v>2</v>
      </c>
      <c r="G144" s="3">
        <v>1.03E-2</v>
      </c>
      <c r="H144">
        <v>2013</v>
      </c>
      <c r="I144">
        <v>12.46</v>
      </c>
      <c r="J144">
        <v>10</v>
      </c>
      <c r="K144">
        <v>0</v>
      </c>
      <c r="L144">
        <v>10</v>
      </c>
      <c r="M144" s="3">
        <v>5.1200000000000002E-2</v>
      </c>
      <c r="N144" s="2">
        <v>0</v>
      </c>
      <c r="O144" s="3">
        <v>5.1200000000000002E-2</v>
      </c>
      <c r="P144" s="3">
        <v>0.80300000000000005</v>
      </c>
      <c r="Q144" s="2">
        <v>0</v>
      </c>
      <c r="R144" s="3">
        <v>0.80300000000000005</v>
      </c>
      <c r="S144" t="s">
        <v>45</v>
      </c>
    </row>
    <row r="145" spans="1:19" x14ac:dyDescent="0.6">
      <c r="A145">
        <v>407</v>
      </c>
      <c r="B145" t="str">
        <f>"2534"</f>
        <v>2534</v>
      </c>
      <c r="C145" t="s">
        <v>493</v>
      </c>
      <c r="D145" s="1">
        <v>42923</v>
      </c>
      <c r="E145">
        <v>19.649999999999999</v>
      </c>
      <c r="F145">
        <v>-0.05</v>
      </c>
      <c r="G145" s="3">
        <v>-2.5000000000000001E-3</v>
      </c>
      <c r="H145">
        <v>2013</v>
      </c>
      <c r="I145">
        <v>0.5</v>
      </c>
      <c r="J145">
        <v>1</v>
      </c>
      <c r="K145">
        <v>0</v>
      </c>
      <c r="L145">
        <v>1</v>
      </c>
      <c r="M145" s="3">
        <v>5.0900000000000001E-2</v>
      </c>
      <c r="N145" s="2">
        <v>0</v>
      </c>
      <c r="O145" s="3">
        <v>5.0900000000000001E-2</v>
      </c>
      <c r="P145" s="2">
        <v>2</v>
      </c>
      <c r="Q145" s="2">
        <v>0</v>
      </c>
      <c r="R145" s="2">
        <v>2</v>
      </c>
      <c r="S145" t="s">
        <v>78</v>
      </c>
    </row>
    <row r="146" spans="1:19" x14ac:dyDescent="0.6">
      <c r="A146">
        <v>94</v>
      </c>
      <c r="B146" t="str">
        <f>"3338"</f>
        <v>3338</v>
      </c>
      <c r="C146" t="s">
        <v>157</v>
      </c>
      <c r="D146" s="1">
        <v>42923</v>
      </c>
      <c r="E146">
        <v>29.5</v>
      </c>
      <c r="F146">
        <v>-0.25</v>
      </c>
      <c r="G146" s="3">
        <v>-8.3999999999999995E-3</v>
      </c>
      <c r="H146">
        <v>2013</v>
      </c>
      <c r="I146">
        <v>2.21</v>
      </c>
      <c r="J146">
        <v>1.5</v>
      </c>
      <c r="K146">
        <v>0</v>
      </c>
      <c r="L146">
        <v>1.5</v>
      </c>
      <c r="M146" s="3">
        <v>5.0799999999999998E-2</v>
      </c>
      <c r="N146" s="2">
        <v>0</v>
      </c>
      <c r="O146" s="3">
        <v>5.0799999999999998E-2</v>
      </c>
      <c r="P146" s="3">
        <v>0.67900000000000005</v>
      </c>
      <c r="Q146" s="2">
        <v>0</v>
      </c>
      <c r="R146" s="3">
        <v>0.67900000000000005</v>
      </c>
      <c r="S146" t="s">
        <v>22</v>
      </c>
    </row>
    <row r="147" spans="1:19" x14ac:dyDescent="0.6">
      <c r="A147">
        <v>413</v>
      </c>
      <c r="B147" t="str">
        <f>"9930"</f>
        <v>9930</v>
      </c>
      <c r="C147" t="s">
        <v>500</v>
      </c>
      <c r="D147" s="1">
        <v>42923</v>
      </c>
      <c r="E147">
        <v>55.3</v>
      </c>
      <c r="F147">
        <v>-0.1</v>
      </c>
      <c r="G147" s="3">
        <v>-1.8E-3</v>
      </c>
      <c r="H147">
        <v>2013</v>
      </c>
      <c r="I147">
        <v>2.96</v>
      </c>
      <c r="J147">
        <v>2.8</v>
      </c>
      <c r="K147">
        <v>0</v>
      </c>
      <c r="L147">
        <v>2.8</v>
      </c>
      <c r="M147" s="3">
        <v>5.0599999999999999E-2</v>
      </c>
      <c r="N147" s="2">
        <v>0</v>
      </c>
      <c r="O147" s="3">
        <v>5.0599999999999999E-2</v>
      </c>
      <c r="P147" s="3">
        <v>0.94599999999999995</v>
      </c>
      <c r="Q147" s="2">
        <v>0</v>
      </c>
      <c r="R147" s="3">
        <v>0.94599999999999995</v>
      </c>
      <c r="S147" t="s">
        <v>126</v>
      </c>
    </row>
    <row r="148" spans="1:19" x14ac:dyDescent="0.6">
      <c r="A148">
        <v>254</v>
      </c>
      <c r="B148" t="str">
        <f>"1712"</f>
        <v>1712</v>
      </c>
      <c r="C148" t="s">
        <v>333</v>
      </c>
      <c r="D148" s="1">
        <v>42923</v>
      </c>
      <c r="E148">
        <v>15.85</v>
      </c>
      <c r="F148">
        <v>-0.1</v>
      </c>
      <c r="G148" s="3">
        <v>-6.3E-3</v>
      </c>
      <c r="H148">
        <v>2013</v>
      </c>
      <c r="I148">
        <v>1.21</v>
      </c>
      <c r="J148">
        <v>0.8</v>
      </c>
      <c r="K148">
        <v>0</v>
      </c>
      <c r="L148">
        <v>0.8</v>
      </c>
      <c r="M148" s="3">
        <v>5.0500000000000003E-2</v>
      </c>
      <c r="N148" s="2">
        <v>0</v>
      </c>
      <c r="O148" s="3">
        <v>5.0500000000000003E-2</v>
      </c>
      <c r="P148" s="3">
        <v>0.66100000000000003</v>
      </c>
      <c r="Q148" s="2">
        <v>0</v>
      </c>
      <c r="R148" s="3">
        <v>0.66100000000000003</v>
      </c>
      <c r="S148" t="s">
        <v>247</v>
      </c>
    </row>
    <row r="149" spans="1:19" x14ac:dyDescent="0.6">
      <c r="A149">
        <v>418</v>
      </c>
      <c r="B149" t="str">
        <f>"3285"</f>
        <v>3285</v>
      </c>
      <c r="C149" t="s">
        <v>505</v>
      </c>
      <c r="D149" s="1">
        <v>42923</v>
      </c>
      <c r="E149">
        <v>19.850000000000001</v>
      </c>
      <c r="F149">
        <v>0.05</v>
      </c>
      <c r="G149" s="3">
        <v>2.5000000000000001E-3</v>
      </c>
      <c r="H149">
        <v>2013</v>
      </c>
      <c r="I149">
        <v>1.22</v>
      </c>
      <c r="J149">
        <v>1</v>
      </c>
      <c r="K149">
        <v>0</v>
      </c>
      <c r="L149">
        <v>1</v>
      </c>
      <c r="M149" s="3">
        <v>5.04E-2</v>
      </c>
      <c r="N149" s="2">
        <v>0</v>
      </c>
      <c r="O149" s="3">
        <v>5.04E-2</v>
      </c>
      <c r="P149" s="2">
        <v>0.82</v>
      </c>
      <c r="Q149" s="2">
        <v>0</v>
      </c>
      <c r="R149" s="2">
        <v>0.82</v>
      </c>
      <c r="S149" t="s">
        <v>126</v>
      </c>
    </row>
    <row r="150" spans="1:19" x14ac:dyDescent="0.6">
      <c r="A150">
        <v>89</v>
      </c>
      <c r="B150" t="str">
        <f>"2501"</f>
        <v>2501</v>
      </c>
      <c r="C150" t="s">
        <v>152</v>
      </c>
      <c r="D150" s="1">
        <v>42923</v>
      </c>
      <c r="E150">
        <v>19.899999999999999</v>
      </c>
      <c r="F150">
        <v>0</v>
      </c>
      <c r="G150" s="2">
        <v>0</v>
      </c>
      <c r="H150">
        <v>2013</v>
      </c>
      <c r="I150">
        <v>1.02</v>
      </c>
      <c r="J150">
        <v>1</v>
      </c>
      <c r="K150">
        <v>0</v>
      </c>
      <c r="L150">
        <v>1</v>
      </c>
      <c r="M150" s="3">
        <v>5.0299999999999997E-2</v>
      </c>
      <c r="N150" s="2">
        <v>0</v>
      </c>
      <c r="O150" s="3">
        <v>5.0299999999999997E-2</v>
      </c>
      <c r="P150" s="2">
        <v>0.98</v>
      </c>
      <c r="Q150" s="2">
        <v>0</v>
      </c>
      <c r="R150" s="2">
        <v>0.98</v>
      </c>
      <c r="S150" t="s">
        <v>38</v>
      </c>
    </row>
    <row r="151" spans="1:19" x14ac:dyDescent="0.6">
      <c r="A151">
        <v>184</v>
      </c>
      <c r="B151" t="str">
        <f>"3042"</f>
        <v>3042</v>
      </c>
      <c r="C151" t="s">
        <v>260</v>
      </c>
      <c r="D151" s="1">
        <v>42923</v>
      </c>
      <c r="E151">
        <v>43.8</v>
      </c>
      <c r="F151">
        <v>-0.95</v>
      </c>
      <c r="G151" s="3">
        <v>-2.12E-2</v>
      </c>
      <c r="H151">
        <v>2013</v>
      </c>
      <c r="I151">
        <v>3.79</v>
      </c>
      <c r="J151">
        <v>2.2000000000000002</v>
      </c>
      <c r="K151">
        <v>0</v>
      </c>
      <c r="L151">
        <v>2.2000000000000002</v>
      </c>
      <c r="M151" s="3">
        <v>5.0200000000000002E-2</v>
      </c>
      <c r="N151" s="2">
        <v>0</v>
      </c>
      <c r="O151" s="3">
        <v>5.0200000000000002E-2</v>
      </c>
      <c r="P151" s="2">
        <v>0.57999999999999996</v>
      </c>
      <c r="Q151" s="2">
        <v>0</v>
      </c>
      <c r="R151" s="2">
        <v>0.57999999999999996</v>
      </c>
      <c r="S151" t="s">
        <v>124</v>
      </c>
    </row>
    <row r="152" spans="1:19" x14ac:dyDescent="0.6">
      <c r="A152">
        <v>238</v>
      </c>
      <c r="B152" t="str">
        <f>"5604"</f>
        <v>5604</v>
      </c>
      <c r="C152" t="s">
        <v>317</v>
      </c>
      <c r="D152" s="1">
        <v>42923</v>
      </c>
      <c r="E152">
        <v>29.9</v>
      </c>
      <c r="F152">
        <v>0.1</v>
      </c>
      <c r="G152" s="3">
        <v>3.3999999999999998E-3</v>
      </c>
      <c r="H152">
        <v>2013</v>
      </c>
      <c r="I152">
        <v>0.82</v>
      </c>
      <c r="J152">
        <v>1.5</v>
      </c>
      <c r="K152">
        <v>0</v>
      </c>
      <c r="L152">
        <v>1.5</v>
      </c>
      <c r="M152" s="3">
        <v>5.0200000000000002E-2</v>
      </c>
      <c r="N152" s="2">
        <v>0</v>
      </c>
      <c r="O152" s="3">
        <v>5.0200000000000002E-2</v>
      </c>
      <c r="P152" s="2">
        <v>1.83</v>
      </c>
      <c r="Q152" s="2">
        <v>0</v>
      </c>
      <c r="R152" s="2">
        <v>1.83</v>
      </c>
      <c r="S152" t="s">
        <v>128</v>
      </c>
    </row>
    <row r="153" spans="1:19" x14ac:dyDescent="0.6">
      <c r="A153">
        <v>180</v>
      </c>
      <c r="B153" t="str">
        <f>"6803"</f>
        <v>6803</v>
      </c>
      <c r="C153" t="s">
        <v>256</v>
      </c>
      <c r="D153" s="1">
        <v>42923</v>
      </c>
      <c r="E153">
        <v>177</v>
      </c>
      <c r="F153">
        <v>0</v>
      </c>
      <c r="G153" s="2">
        <v>0</v>
      </c>
      <c r="H153">
        <v>2013</v>
      </c>
      <c r="I153">
        <v>10.39</v>
      </c>
      <c r="J153">
        <v>8.86</v>
      </c>
      <c r="K153">
        <v>0</v>
      </c>
      <c r="L153">
        <v>8.86</v>
      </c>
      <c r="M153" s="3">
        <v>5.0099999999999999E-2</v>
      </c>
      <c r="N153" s="2">
        <v>0</v>
      </c>
      <c r="O153" s="3">
        <v>5.0099999999999999E-2</v>
      </c>
      <c r="P153" s="3">
        <v>0.85299999999999998</v>
      </c>
      <c r="Q153" s="2">
        <v>0</v>
      </c>
      <c r="R153" s="3">
        <v>0.85299999999999998</v>
      </c>
      <c r="S153" t="s">
        <v>103</v>
      </c>
    </row>
    <row r="154" spans="1:19" x14ac:dyDescent="0.6">
      <c r="A154">
        <v>370</v>
      </c>
      <c r="B154" t="str">
        <f>"3332"</f>
        <v>3332</v>
      </c>
      <c r="C154" t="s">
        <v>453</v>
      </c>
      <c r="D154" s="1">
        <v>42923</v>
      </c>
      <c r="E154">
        <v>37.9</v>
      </c>
      <c r="F154">
        <v>0</v>
      </c>
      <c r="G154" s="2">
        <v>0</v>
      </c>
      <c r="H154">
        <v>2013</v>
      </c>
      <c r="I154">
        <v>2.2000000000000002</v>
      </c>
      <c r="J154">
        <v>1.9</v>
      </c>
      <c r="K154">
        <v>0</v>
      </c>
      <c r="L154">
        <v>1.9</v>
      </c>
      <c r="M154" s="3">
        <v>5.0099999999999999E-2</v>
      </c>
      <c r="N154" s="2">
        <v>0</v>
      </c>
      <c r="O154" s="3">
        <v>5.0099999999999999E-2</v>
      </c>
      <c r="P154" s="3">
        <v>0.86399999999999999</v>
      </c>
      <c r="Q154" s="2">
        <v>0</v>
      </c>
      <c r="R154" s="3">
        <v>0.86399999999999999</v>
      </c>
      <c r="S154" t="s">
        <v>47</v>
      </c>
    </row>
    <row r="155" spans="1:19" x14ac:dyDescent="0.6">
      <c r="A155">
        <v>311</v>
      </c>
      <c r="B155" t="str">
        <f>"8923"</f>
        <v>8923</v>
      </c>
      <c r="C155" t="s">
        <v>393</v>
      </c>
      <c r="D155" s="1">
        <v>42923</v>
      </c>
      <c r="E155">
        <v>16</v>
      </c>
      <c r="F155">
        <v>0</v>
      </c>
      <c r="G155" s="2">
        <v>0</v>
      </c>
      <c r="H155">
        <v>2013</v>
      </c>
      <c r="I155">
        <v>0.6</v>
      </c>
      <c r="J155">
        <v>0.8</v>
      </c>
      <c r="K155">
        <v>0</v>
      </c>
      <c r="L155">
        <v>0.8</v>
      </c>
      <c r="M155" s="2">
        <v>0.05</v>
      </c>
      <c r="N155" s="2">
        <v>0</v>
      </c>
      <c r="O155" s="2">
        <v>0.05</v>
      </c>
      <c r="P155" s="2">
        <v>1.33</v>
      </c>
      <c r="Q155" s="2">
        <v>0</v>
      </c>
      <c r="R155" s="2">
        <v>1.33</v>
      </c>
      <c r="S155" t="s">
        <v>126</v>
      </c>
    </row>
    <row r="156" spans="1:19" hidden="1" x14ac:dyDescent="0.6">
      <c r="A156">
        <v>166</v>
      </c>
      <c r="B156" t="str">
        <f>"6290"</f>
        <v>6290</v>
      </c>
      <c r="C156" t="s">
        <v>238</v>
      </c>
      <c r="D156" s="1">
        <v>42923</v>
      </c>
      <c r="E156">
        <v>40.200000000000003</v>
      </c>
      <c r="F156">
        <v>-0.75</v>
      </c>
      <c r="G156" s="3">
        <v>-1.83E-2</v>
      </c>
      <c r="H156">
        <v>2013</v>
      </c>
      <c r="I156">
        <v>2</v>
      </c>
      <c r="J156">
        <v>2</v>
      </c>
      <c r="K156">
        <v>0</v>
      </c>
      <c r="L156">
        <v>2</v>
      </c>
      <c r="M156" s="3">
        <v>4.9799999999999997E-2</v>
      </c>
      <c r="N156" s="2">
        <v>0</v>
      </c>
      <c r="O156" s="3">
        <v>4.9799999999999997E-2</v>
      </c>
      <c r="P156" s="2">
        <v>1</v>
      </c>
      <c r="Q156" s="2">
        <v>0</v>
      </c>
      <c r="R156" s="2">
        <v>1</v>
      </c>
      <c r="S156" t="s">
        <v>103</v>
      </c>
    </row>
    <row r="157" spans="1:19" hidden="1" x14ac:dyDescent="0.6">
      <c r="A157">
        <v>434</v>
      </c>
      <c r="B157" t="str">
        <f>"6160"</f>
        <v>6160</v>
      </c>
      <c r="C157" t="s">
        <v>522</v>
      </c>
      <c r="D157" s="1">
        <v>42923</v>
      </c>
      <c r="E157">
        <v>20.100000000000001</v>
      </c>
      <c r="F157">
        <v>0.2</v>
      </c>
      <c r="G157" s="3">
        <v>1.01E-2</v>
      </c>
      <c r="H157">
        <v>2013</v>
      </c>
      <c r="I157">
        <v>1.18</v>
      </c>
      <c r="J157">
        <v>1</v>
      </c>
      <c r="K157">
        <v>0</v>
      </c>
      <c r="L157">
        <v>1</v>
      </c>
      <c r="M157" s="3">
        <v>4.9799999999999997E-2</v>
      </c>
      <c r="N157" s="2">
        <v>0</v>
      </c>
      <c r="O157" s="3">
        <v>4.9799999999999997E-2</v>
      </c>
      <c r="P157" s="3">
        <v>0.84799999999999998</v>
      </c>
      <c r="Q157" s="2">
        <v>0</v>
      </c>
      <c r="R157" s="3">
        <v>0.84799999999999998</v>
      </c>
      <c r="S157" t="s">
        <v>523</v>
      </c>
    </row>
    <row r="158" spans="1:19" hidden="1" x14ac:dyDescent="0.6">
      <c r="A158">
        <v>391</v>
      </c>
      <c r="B158" t="str">
        <f>"3010"</f>
        <v>3010</v>
      </c>
      <c r="C158" t="s">
        <v>475</v>
      </c>
      <c r="D158" s="1">
        <v>42923</v>
      </c>
      <c r="E158">
        <v>50.3</v>
      </c>
      <c r="F158">
        <v>0</v>
      </c>
      <c r="G158" s="2">
        <v>0</v>
      </c>
      <c r="H158">
        <v>2013</v>
      </c>
      <c r="I158">
        <v>4.24</v>
      </c>
      <c r="J158">
        <v>2.5</v>
      </c>
      <c r="K158">
        <v>0</v>
      </c>
      <c r="L158">
        <v>2.5</v>
      </c>
      <c r="M158" s="3">
        <v>4.9700000000000001E-2</v>
      </c>
      <c r="N158" s="2">
        <v>0</v>
      </c>
      <c r="O158" s="3">
        <v>4.9700000000000001E-2</v>
      </c>
      <c r="P158" s="2">
        <v>0.59</v>
      </c>
      <c r="Q158" s="2">
        <v>0</v>
      </c>
      <c r="R158" s="2">
        <v>0.59</v>
      </c>
      <c r="S158" t="s">
        <v>282</v>
      </c>
    </row>
    <row r="159" spans="1:19" hidden="1" x14ac:dyDescent="0.6">
      <c r="A159">
        <v>256</v>
      </c>
      <c r="B159" t="str">
        <f>"2324"</f>
        <v>2324</v>
      </c>
      <c r="C159" t="s">
        <v>335</v>
      </c>
      <c r="D159" s="1">
        <v>42923</v>
      </c>
      <c r="E159">
        <v>20.3</v>
      </c>
      <c r="F159">
        <v>-0.15</v>
      </c>
      <c r="G159" s="3">
        <v>-7.3000000000000001E-3</v>
      </c>
      <c r="H159">
        <v>2013</v>
      </c>
      <c r="I159">
        <v>1.47</v>
      </c>
      <c r="J159">
        <v>1.01</v>
      </c>
      <c r="K159">
        <v>0</v>
      </c>
      <c r="L159">
        <v>1.01</v>
      </c>
      <c r="M159" s="3">
        <v>4.9599999999999998E-2</v>
      </c>
      <c r="N159" s="2">
        <v>0</v>
      </c>
      <c r="O159" s="3">
        <v>4.9599999999999998E-2</v>
      </c>
      <c r="P159" s="3">
        <v>0.68700000000000006</v>
      </c>
      <c r="Q159" s="2">
        <v>0</v>
      </c>
      <c r="R159" s="3">
        <v>0.68700000000000006</v>
      </c>
      <c r="S159" t="s">
        <v>73</v>
      </c>
    </row>
    <row r="160" spans="1:19" hidden="1" x14ac:dyDescent="0.6">
      <c r="A160">
        <v>253</v>
      </c>
      <c r="B160" t="str">
        <f>"2015"</f>
        <v>2015</v>
      </c>
      <c r="C160" t="s">
        <v>332</v>
      </c>
      <c r="D160" s="1">
        <v>42923</v>
      </c>
      <c r="E160">
        <v>50.6</v>
      </c>
      <c r="F160">
        <v>-0.4</v>
      </c>
      <c r="G160" s="3">
        <v>-7.7999999999999996E-3</v>
      </c>
      <c r="H160">
        <v>2013</v>
      </c>
      <c r="I160">
        <v>2.78</v>
      </c>
      <c r="J160">
        <v>2.5</v>
      </c>
      <c r="K160">
        <v>0</v>
      </c>
      <c r="L160">
        <v>2.5</v>
      </c>
      <c r="M160" s="3">
        <v>4.9399999999999999E-2</v>
      </c>
      <c r="N160" s="2">
        <v>0</v>
      </c>
      <c r="O160" s="3">
        <v>4.9399999999999999E-2</v>
      </c>
      <c r="P160" s="3">
        <v>0.89900000000000002</v>
      </c>
      <c r="Q160" s="2">
        <v>0</v>
      </c>
      <c r="R160" s="3">
        <v>0.89900000000000002</v>
      </c>
      <c r="S160" t="s">
        <v>34</v>
      </c>
    </row>
    <row r="161" spans="1:20" hidden="1" x14ac:dyDescent="0.6">
      <c r="A161">
        <v>219</v>
      </c>
      <c r="B161" t="str">
        <f>"3026"</f>
        <v>3026</v>
      </c>
      <c r="C161" t="s">
        <v>298</v>
      </c>
      <c r="D161" s="1">
        <v>42923</v>
      </c>
      <c r="E161">
        <v>40.6</v>
      </c>
      <c r="F161">
        <v>-0.3</v>
      </c>
      <c r="G161" s="3">
        <v>-7.3000000000000001E-3</v>
      </c>
      <c r="H161">
        <v>2013</v>
      </c>
      <c r="I161">
        <v>2.0499999999999998</v>
      </c>
      <c r="J161">
        <v>2</v>
      </c>
      <c r="K161">
        <v>0</v>
      </c>
      <c r="L161">
        <v>2</v>
      </c>
      <c r="M161" s="3">
        <v>4.9299999999999997E-2</v>
      </c>
      <c r="N161" s="2">
        <v>0</v>
      </c>
      <c r="O161" s="3">
        <v>4.9299999999999997E-2</v>
      </c>
      <c r="P161" s="3">
        <v>0.97599999999999998</v>
      </c>
      <c r="Q161" s="2">
        <v>0</v>
      </c>
      <c r="R161" s="3">
        <v>0.97599999999999998</v>
      </c>
      <c r="S161" t="s">
        <v>78</v>
      </c>
    </row>
    <row r="162" spans="1:20" hidden="1" x14ac:dyDescent="0.6">
      <c r="A162">
        <v>440</v>
      </c>
      <c r="B162" t="str">
        <f>"5312"</f>
        <v>5312</v>
      </c>
      <c r="C162" t="s">
        <v>530</v>
      </c>
      <c r="D162" s="1">
        <v>42923</v>
      </c>
      <c r="E162">
        <v>73</v>
      </c>
      <c r="F162">
        <v>-0.4</v>
      </c>
      <c r="G162" s="3">
        <v>-5.4000000000000003E-3</v>
      </c>
      <c r="H162">
        <v>2013</v>
      </c>
      <c r="I162">
        <v>5.13</v>
      </c>
      <c r="J162">
        <v>3.6</v>
      </c>
      <c r="K162">
        <v>0</v>
      </c>
      <c r="L162">
        <v>3.6</v>
      </c>
      <c r="M162" s="3">
        <v>4.9299999999999997E-2</v>
      </c>
      <c r="N162" s="2">
        <v>0</v>
      </c>
      <c r="O162" s="3">
        <v>4.9299999999999997E-2</v>
      </c>
      <c r="P162" s="3">
        <v>0.70199999999999996</v>
      </c>
      <c r="Q162" s="2">
        <v>0</v>
      </c>
      <c r="R162" s="3">
        <v>0.70199999999999996</v>
      </c>
      <c r="S162" t="s">
        <v>82</v>
      </c>
    </row>
    <row r="163" spans="1:20" hidden="1" x14ac:dyDescent="0.6">
      <c r="A163">
        <v>445</v>
      </c>
      <c r="B163" t="str">
        <f>"1513"</f>
        <v>1513</v>
      </c>
      <c r="C163" t="s">
        <v>535</v>
      </c>
      <c r="D163" s="1">
        <v>42923</v>
      </c>
      <c r="E163">
        <v>20.350000000000001</v>
      </c>
      <c r="F163">
        <v>-0.6</v>
      </c>
      <c r="G163" s="3">
        <v>-2.86E-2</v>
      </c>
      <c r="H163">
        <v>2013</v>
      </c>
      <c r="I163">
        <v>1.1599999999999999</v>
      </c>
      <c r="J163">
        <v>1</v>
      </c>
      <c r="K163">
        <v>0</v>
      </c>
      <c r="L163">
        <v>1</v>
      </c>
      <c r="M163" s="3">
        <v>4.9099999999999998E-2</v>
      </c>
      <c r="N163" s="2">
        <v>0</v>
      </c>
      <c r="O163" s="3">
        <v>4.9099999999999998E-2</v>
      </c>
      <c r="P163" s="3">
        <v>0.86199999999999999</v>
      </c>
      <c r="Q163" s="2">
        <v>0</v>
      </c>
      <c r="R163" s="3">
        <v>0.86199999999999999</v>
      </c>
      <c r="S163" t="s">
        <v>240</v>
      </c>
    </row>
    <row r="164" spans="1:20" hidden="1" x14ac:dyDescent="0.6">
      <c r="A164">
        <v>457</v>
      </c>
      <c r="B164" t="str">
        <f>"6508"</f>
        <v>6508</v>
      </c>
      <c r="C164" t="s">
        <v>547</v>
      </c>
      <c r="D164" s="1">
        <v>42923</v>
      </c>
      <c r="E164">
        <v>26.7</v>
      </c>
      <c r="F164">
        <v>-0.1</v>
      </c>
      <c r="G164" s="3">
        <v>-3.7000000000000002E-3</v>
      </c>
      <c r="H164">
        <v>2013</v>
      </c>
      <c r="I164">
        <v>2.02</v>
      </c>
      <c r="J164">
        <v>1.3</v>
      </c>
      <c r="K164">
        <v>0.2</v>
      </c>
      <c r="L164">
        <v>1.5</v>
      </c>
      <c r="M164" s="3">
        <v>4.87E-2</v>
      </c>
      <c r="N164" s="3">
        <v>7.4999999999999997E-3</v>
      </c>
      <c r="O164" s="3">
        <v>5.62E-2</v>
      </c>
      <c r="P164" s="3">
        <v>0.64400000000000002</v>
      </c>
      <c r="Q164" s="3">
        <v>9.9000000000000005E-2</v>
      </c>
      <c r="R164" s="3">
        <v>0.74299999999999999</v>
      </c>
      <c r="S164" t="s">
        <v>548</v>
      </c>
      <c r="T164" t="s">
        <v>548</v>
      </c>
    </row>
    <row r="165" spans="1:20" hidden="1" x14ac:dyDescent="0.6">
      <c r="A165">
        <v>347</v>
      </c>
      <c r="B165" t="str">
        <f>"2520"</f>
        <v>2520</v>
      </c>
      <c r="C165" t="s">
        <v>429</v>
      </c>
      <c r="D165" s="1">
        <v>42923</v>
      </c>
      <c r="E165">
        <v>20.350000000000001</v>
      </c>
      <c r="F165">
        <v>0.1</v>
      </c>
      <c r="G165" s="3">
        <v>4.8999999999999998E-3</v>
      </c>
      <c r="H165">
        <v>2013</v>
      </c>
      <c r="I165">
        <v>2.11</v>
      </c>
      <c r="J165">
        <v>0.99</v>
      </c>
      <c r="K165">
        <v>0</v>
      </c>
      <c r="L165">
        <v>0.99</v>
      </c>
      <c r="M165" s="3">
        <v>4.8599999999999997E-2</v>
      </c>
      <c r="N165" s="2">
        <v>0</v>
      </c>
      <c r="O165" s="3">
        <v>4.8599999999999997E-2</v>
      </c>
      <c r="P165" s="3">
        <v>0.46899999999999997</v>
      </c>
      <c r="Q165" s="2">
        <v>0</v>
      </c>
      <c r="R165" s="3">
        <v>0.46899999999999997</v>
      </c>
      <c r="S165" t="s">
        <v>43</v>
      </c>
    </row>
    <row r="166" spans="1:20" hidden="1" x14ac:dyDescent="0.6">
      <c r="A166">
        <v>458</v>
      </c>
      <c r="B166" t="str">
        <f>"5102"</f>
        <v>5102</v>
      </c>
      <c r="C166" t="s">
        <v>549</v>
      </c>
      <c r="D166" s="1">
        <v>42923</v>
      </c>
      <c r="E166">
        <v>14.4</v>
      </c>
      <c r="F166">
        <v>0</v>
      </c>
      <c r="G166" s="2">
        <v>0</v>
      </c>
      <c r="H166">
        <v>2013</v>
      </c>
      <c r="I166">
        <v>0.98</v>
      </c>
      <c r="J166">
        <v>0.7</v>
      </c>
      <c r="K166">
        <v>0</v>
      </c>
      <c r="L166">
        <v>0.7</v>
      </c>
      <c r="M166" s="3">
        <v>4.8599999999999997E-2</v>
      </c>
      <c r="N166" s="2">
        <v>0</v>
      </c>
      <c r="O166" s="3">
        <v>4.8599999999999997E-2</v>
      </c>
      <c r="P166" s="3">
        <v>0.71399999999999997</v>
      </c>
      <c r="Q166" s="2">
        <v>0</v>
      </c>
      <c r="R166" s="3">
        <v>0.71399999999999997</v>
      </c>
      <c r="S166" t="s">
        <v>40</v>
      </c>
    </row>
    <row r="167" spans="1:20" hidden="1" x14ac:dyDescent="0.6">
      <c r="A167">
        <v>162</v>
      </c>
      <c r="B167" t="str">
        <f>"8050"</f>
        <v>8050</v>
      </c>
      <c r="C167" t="s">
        <v>233</v>
      </c>
      <c r="D167" s="1">
        <v>42923</v>
      </c>
      <c r="E167">
        <v>60.4</v>
      </c>
      <c r="F167">
        <v>-0.1</v>
      </c>
      <c r="G167" s="3">
        <v>-1.6999999999999999E-3</v>
      </c>
      <c r="H167">
        <v>2013</v>
      </c>
      <c r="I167">
        <v>3.83</v>
      </c>
      <c r="J167">
        <v>2.93</v>
      </c>
      <c r="K167">
        <v>0.49</v>
      </c>
      <c r="L167">
        <v>3.42</v>
      </c>
      <c r="M167" s="3">
        <v>4.8500000000000001E-2</v>
      </c>
      <c r="N167" s="3">
        <v>8.0999999999999996E-3</v>
      </c>
      <c r="O167" s="3">
        <v>5.6599999999999998E-2</v>
      </c>
      <c r="P167" s="3">
        <v>0.76500000000000001</v>
      </c>
      <c r="Q167" s="3">
        <v>0.128</v>
      </c>
      <c r="R167" s="3">
        <v>0.89300000000000002</v>
      </c>
      <c r="S167" t="s">
        <v>40</v>
      </c>
      <c r="T167" t="s">
        <v>234</v>
      </c>
    </row>
    <row r="168" spans="1:20" hidden="1" x14ac:dyDescent="0.6">
      <c r="A168">
        <v>147</v>
      </c>
      <c r="B168" t="str">
        <f>"4987"</f>
        <v>4987</v>
      </c>
      <c r="C168" t="s">
        <v>215</v>
      </c>
      <c r="D168" s="1">
        <v>42923</v>
      </c>
      <c r="E168">
        <v>51.8</v>
      </c>
      <c r="F168">
        <v>0.3</v>
      </c>
      <c r="G168" s="3">
        <v>5.7999999999999996E-3</v>
      </c>
      <c r="H168">
        <v>2013</v>
      </c>
      <c r="I168">
        <v>4.6900000000000004</v>
      </c>
      <c r="J168">
        <v>2.5</v>
      </c>
      <c r="K168">
        <v>0</v>
      </c>
      <c r="L168">
        <v>2.5</v>
      </c>
      <c r="M168" s="3">
        <v>4.8300000000000003E-2</v>
      </c>
      <c r="N168" s="2">
        <v>0</v>
      </c>
      <c r="O168" s="3">
        <v>4.8300000000000003E-2</v>
      </c>
      <c r="P168" s="3">
        <v>0.53300000000000003</v>
      </c>
      <c r="Q168" s="2">
        <v>0</v>
      </c>
      <c r="R168" s="3">
        <v>0.53300000000000003</v>
      </c>
      <c r="S168" t="s">
        <v>22</v>
      </c>
    </row>
    <row r="169" spans="1:20" hidden="1" x14ac:dyDescent="0.6">
      <c r="A169">
        <v>270</v>
      </c>
      <c r="B169" t="str">
        <f>"1410"</f>
        <v>1410</v>
      </c>
      <c r="C169" t="s">
        <v>350</v>
      </c>
      <c r="D169" s="1">
        <v>42923</v>
      </c>
      <c r="E169">
        <v>24.85</v>
      </c>
      <c r="F169">
        <v>0.05</v>
      </c>
      <c r="G169" s="3">
        <v>2E-3</v>
      </c>
      <c r="H169">
        <v>2013</v>
      </c>
      <c r="I169">
        <v>1.28</v>
      </c>
      <c r="J169">
        <v>1.2</v>
      </c>
      <c r="K169">
        <v>0</v>
      </c>
      <c r="L169">
        <v>1.2</v>
      </c>
      <c r="M169" s="3">
        <v>4.8300000000000003E-2</v>
      </c>
      <c r="N169" s="2">
        <v>0</v>
      </c>
      <c r="O169" s="3">
        <v>4.8300000000000003E-2</v>
      </c>
      <c r="P169" s="3">
        <v>0.93799999999999994</v>
      </c>
      <c r="Q169" s="2">
        <v>0</v>
      </c>
      <c r="R169" s="3">
        <v>0.93799999999999994</v>
      </c>
      <c r="S169" t="s">
        <v>85</v>
      </c>
    </row>
    <row r="170" spans="1:20" hidden="1" x14ac:dyDescent="0.6">
      <c r="A170">
        <v>467</v>
      </c>
      <c r="B170" t="str">
        <f>"6204"</f>
        <v>6204</v>
      </c>
      <c r="C170" t="s">
        <v>558</v>
      </c>
      <c r="D170" s="1">
        <v>42923</v>
      </c>
      <c r="E170">
        <v>20.75</v>
      </c>
      <c r="F170">
        <v>-0.05</v>
      </c>
      <c r="G170" s="3">
        <v>-2.3999999999999998E-3</v>
      </c>
      <c r="H170">
        <v>2013</v>
      </c>
      <c r="I170">
        <v>2.02</v>
      </c>
      <c r="J170">
        <v>1</v>
      </c>
      <c r="K170">
        <v>0</v>
      </c>
      <c r="L170">
        <v>1</v>
      </c>
      <c r="M170" s="3">
        <v>4.82E-2</v>
      </c>
      <c r="N170" s="2">
        <v>0</v>
      </c>
      <c r="O170" s="3">
        <v>4.82E-2</v>
      </c>
      <c r="P170" s="3">
        <v>0.495</v>
      </c>
      <c r="Q170" s="2">
        <v>0</v>
      </c>
      <c r="R170" s="3">
        <v>0.495</v>
      </c>
      <c r="S170" t="s">
        <v>559</v>
      </c>
    </row>
    <row r="171" spans="1:20" hidden="1" x14ac:dyDescent="0.6">
      <c r="A171">
        <v>212</v>
      </c>
      <c r="B171" t="str">
        <f>"8099"</f>
        <v>8099</v>
      </c>
      <c r="C171" t="s">
        <v>291</v>
      </c>
      <c r="D171" s="1">
        <v>42923</v>
      </c>
      <c r="E171">
        <v>18.350000000000001</v>
      </c>
      <c r="F171">
        <v>-0.15</v>
      </c>
      <c r="G171" s="3">
        <v>-8.0999999999999996E-3</v>
      </c>
      <c r="H171">
        <v>2013</v>
      </c>
      <c r="I171">
        <v>1.1200000000000001</v>
      </c>
      <c r="J171">
        <v>0.88</v>
      </c>
      <c r="K171">
        <v>0</v>
      </c>
      <c r="L171">
        <v>0.88</v>
      </c>
      <c r="M171" s="3">
        <v>4.8000000000000001E-2</v>
      </c>
      <c r="N171" s="2">
        <v>0</v>
      </c>
      <c r="O171" s="3">
        <v>4.8000000000000001E-2</v>
      </c>
      <c r="P171" s="3">
        <v>0.78600000000000003</v>
      </c>
      <c r="Q171" s="2">
        <v>0</v>
      </c>
      <c r="R171" s="3">
        <v>0.78600000000000003</v>
      </c>
      <c r="S171" t="s">
        <v>105</v>
      </c>
    </row>
    <row r="172" spans="1:20" hidden="1" x14ac:dyDescent="0.6">
      <c r="A172">
        <v>450</v>
      </c>
      <c r="B172" t="str">
        <f>"3045"</f>
        <v>3045</v>
      </c>
      <c r="C172" t="s">
        <v>540</v>
      </c>
      <c r="D172" s="1">
        <v>42923</v>
      </c>
      <c r="E172">
        <v>114.5</v>
      </c>
      <c r="F172">
        <v>-0.5</v>
      </c>
      <c r="G172" s="3">
        <v>-4.3E-3</v>
      </c>
      <c r="H172">
        <v>2013</v>
      </c>
      <c r="I172">
        <v>5.46</v>
      </c>
      <c r="J172">
        <v>5.5</v>
      </c>
      <c r="K172">
        <v>0</v>
      </c>
      <c r="L172">
        <v>5.5</v>
      </c>
      <c r="M172" s="3">
        <v>4.8000000000000001E-2</v>
      </c>
      <c r="N172" s="2">
        <v>0</v>
      </c>
      <c r="O172" s="3">
        <v>4.8000000000000001E-2</v>
      </c>
      <c r="P172" s="2">
        <v>1.01</v>
      </c>
      <c r="Q172" s="2">
        <v>0</v>
      </c>
      <c r="R172" s="2">
        <v>1.01</v>
      </c>
      <c r="S172" t="s">
        <v>22</v>
      </c>
    </row>
    <row r="173" spans="1:20" hidden="1" x14ac:dyDescent="0.6">
      <c r="A173">
        <v>477</v>
      </c>
      <c r="B173" t="str">
        <f>"8287"</f>
        <v>8287</v>
      </c>
      <c r="C173" t="s">
        <v>570</v>
      </c>
      <c r="D173" s="1">
        <v>42923</v>
      </c>
      <c r="E173">
        <v>16.7</v>
      </c>
      <c r="F173">
        <v>-0.15</v>
      </c>
      <c r="G173" s="3">
        <v>-8.8999999999999999E-3</v>
      </c>
      <c r="H173">
        <v>2013</v>
      </c>
      <c r="I173">
        <v>1.0900000000000001</v>
      </c>
      <c r="J173">
        <v>0.8</v>
      </c>
      <c r="K173">
        <v>0</v>
      </c>
      <c r="L173">
        <v>0.8</v>
      </c>
      <c r="M173" s="3">
        <v>4.7899999999999998E-2</v>
      </c>
      <c r="N173" s="2">
        <v>0</v>
      </c>
      <c r="O173" s="3">
        <v>4.7899999999999998E-2</v>
      </c>
      <c r="P173" s="3">
        <v>0.73399999999999999</v>
      </c>
      <c r="Q173" s="2">
        <v>0</v>
      </c>
      <c r="R173" s="3">
        <v>0.73399999999999999</v>
      </c>
      <c r="S173" t="s">
        <v>47</v>
      </c>
    </row>
    <row r="174" spans="1:20" hidden="1" x14ac:dyDescent="0.6">
      <c r="A174">
        <v>481</v>
      </c>
      <c r="B174" t="str">
        <f>"1514"</f>
        <v>1514</v>
      </c>
      <c r="C174" t="s">
        <v>574</v>
      </c>
      <c r="D174" s="1">
        <v>42923</v>
      </c>
      <c r="E174">
        <v>10.45</v>
      </c>
      <c r="F174">
        <v>0.05</v>
      </c>
      <c r="G174" s="3">
        <v>4.7999999999999996E-3</v>
      </c>
      <c r="H174">
        <v>2013</v>
      </c>
      <c r="I174">
        <v>0.57999999999999996</v>
      </c>
      <c r="J174">
        <v>0.5</v>
      </c>
      <c r="K174">
        <v>0</v>
      </c>
      <c r="L174">
        <v>0.5</v>
      </c>
      <c r="M174" s="3">
        <v>4.7800000000000002E-2</v>
      </c>
      <c r="N174" s="2">
        <v>0</v>
      </c>
      <c r="O174" s="3">
        <v>4.7800000000000002E-2</v>
      </c>
      <c r="P174" s="3">
        <v>0.86199999999999999</v>
      </c>
      <c r="Q174" s="2">
        <v>0</v>
      </c>
      <c r="R174" s="3">
        <v>0.86199999999999999</v>
      </c>
      <c r="S174" t="s">
        <v>45</v>
      </c>
    </row>
    <row r="175" spans="1:20" hidden="1" x14ac:dyDescent="0.6">
      <c r="A175">
        <v>482</v>
      </c>
      <c r="B175" t="str">
        <f>"2809"</f>
        <v>2809</v>
      </c>
      <c r="C175" t="s">
        <v>575</v>
      </c>
      <c r="D175" s="1">
        <v>42923</v>
      </c>
      <c r="E175">
        <v>31.35</v>
      </c>
      <c r="F175">
        <v>-0.9</v>
      </c>
      <c r="G175" s="3">
        <v>-2.7900000000000001E-2</v>
      </c>
      <c r="H175">
        <v>2013</v>
      </c>
      <c r="I175">
        <v>3.28</v>
      </c>
      <c r="J175">
        <v>1.5</v>
      </c>
      <c r="K175">
        <v>0</v>
      </c>
      <c r="L175">
        <v>1.5</v>
      </c>
      <c r="M175" s="3">
        <v>4.7800000000000002E-2</v>
      </c>
      <c r="N175" s="2">
        <v>0</v>
      </c>
      <c r="O175" s="3">
        <v>4.7800000000000002E-2</v>
      </c>
      <c r="P175" s="3">
        <v>0.45700000000000002</v>
      </c>
      <c r="Q175" s="2">
        <v>0</v>
      </c>
      <c r="R175" s="3">
        <v>0.45700000000000002</v>
      </c>
      <c r="S175" t="s">
        <v>47</v>
      </c>
    </row>
    <row r="176" spans="1:20" hidden="1" x14ac:dyDescent="0.6">
      <c r="A176">
        <v>11</v>
      </c>
      <c r="B176" t="str">
        <f>"2597"</f>
        <v>2597</v>
      </c>
      <c r="C176" t="s">
        <v>37</v>
      </c>
      <c r="D176" s="1">
        <v>42923</v>
      </c>
      <c r="E176">
        <v>39.799999999999997</v>
      </c>
      <c r="F176">
        <v>-0.3</v>
      </c>
      <c r="G176" s="3">
        <v>-7.4999999999999997E-3</v>
      </c>
      <c r="H176">
        <v>2013</v>
      </c>
      <c r="I176">
        <v>2.14</v>
      </c>
      <c r="J176">
        <v>1.9</v>
      </c>
      <c r="K176">
        <v>0</v>
      </c>
      <c r="L176">
        <v>1.9</v>
      </c>
      <c r="M176" s="3">
        <v>4.7699999999999999E-2</v>
      </c>
      <c r="N176" s="2">
        <v>0</v>
      </c>
      <c r="O176" s="3">
        <v>4.7699999999999999E-2</v>
      </c>
      <c r="P176" s="3">
        <v>0.88800000000000001</v>
      </c>
      <c r="Q176" s="2">
        <v>0</v>
      </c>
      <c r="R176" s="3">
        <v>0.88800000000000001</v>
      </c>
      <c r="S176" t="s">
        <v>38</v>
      </c>
    </row>
    <row r="177" spans="1:20" hidden="1" x14ac:dyDescent="0.6">
      <c r="A177">
        <v>68</v>
      </c>
      <c r="B177" t="str">
        <f>"2227"</f>
        <v>2227</v>
      </c>
      <c r="C177" t="s">
        <v>125</v>
      </c>
      <c r="D177" s="1">
        <v>42923</v>
      </c>
      <c r="E177">
        <v>279</v>
      </c>
      <c r="F177">
        <v>-1.5</v>
      </c>
      <c r="G177" s="3">
        <v>-5.3E-3</v>
      </c>
      <c r="H177">
        <v>2013</v>
      </c>
      <c r="I177">
        <v>16.43</v>
      </c>
      <c r="J177">
        <v>13.3</v>
      </c>
      <c r="K177">
        <v>0</v>
      </c>
      <c r="L177">
        <v>13.3</v>
      </c>
      <c r="M177" s="3">
        <v>4.7699999999999999E-2</v>
      </c>
      <c r="N177" s="2">
        <v>0</v>
      </c>
      <c r="O177" s="3">
        <v>4.7699999999999999E-2</v>
      </c>
      <c r="P177" s="2">
        <v>0.81</v>
      </c>
      <c r="Q177" s="2">
        <v>0</v>
      </c>
      <c r="R177" s="2">
        <v>0.81</v>
      </c>
      <c r="S177" t="s">
        <v>126</v>
      </c>
    </row>
    <row r="178" spans="1:20" hidden="1" x14ac:dyDescent="0.6">
      <c r="A178">
        <v>371</v>
      </c>
      <c r="B178" t="str">
        <f>"3444"</f>
        <v>3444</v>
      </c>
      <c r="C178" t="s">
        <v>454</v>
      </c>
      <c r="D178" s="1">
        <v>42923</v>
      </c>
      <c r="E178">
        <v>18.95</v>
      </c>
      <c r="F178">
        <v>-0.05</v>
      </c>
      <c r="G178" s="3">
        <v>-2.5999999999999999E-3</v>
      </c>
      <c r="H178">
        <v>2013</v>
      </c>
      <c r="I178">
        <v>0.47</v>
      </c>
      <c r="J178">
        <v>0.9</v>
      </c>
      <c r="K178">
        <v>0</v>
      </c>
      <c r="L178">
        <v>0.9</v>
      </c>
      <c r="M178" s="3">
        <v>4.7500000000000001E-2</v>
      </c>
      <c r="N178" s="2">
        <v>0</v>
      </c>
      <c r="O178" s="3">
        <v>4.7500000000000001E-2</v>
      </c>
      <c r="P178" s="2">
        <v>1.91</v>
      </c>
      <c r="Q178" s="2">
        <v>0</v>
      </c>
      <c r="R178" s="2">
        <v>1.91</v>
      </c>
      <c r="S178" t="s">
        <v>43</v>
      </c>
    </row>
    <row r="179" spans="1:20" hidden="1" x14ac:dyDescent="0.6">
      <c r="A179">
        <v>251</v>
      </c>
      <c r="B179" t="str">
        <f>"2850"</f>
        <v>2850</v>
      </c>
      <c r="C179" t="s">
        <v>330</v>
      </c>
      <c r="D179" s="1">
        <v>42923</v>
      </c>
      <c r="E179">
        <v>25.45</v>
      </c>
      <c r="F179">
        <v>0.05</v>
      </c>
      <c r="G179" s="3">
        <v>2E-3</v>
      </c>
      <c r="H179">
        <v>2013</v>
      </c>
      <c r="I179">
        <v>2.4</v>
      </c>
      <c r="J179">
        <v>1.2</v>
      </c>
      <c r="K179">
        <v>0</v>
      </c>
      <c r="L179">
        <v>1.2</v>
      </c>
      <c r="M179" s="3">
        <v>4.7199999999999999E-2</v>
      </c>
      <c r="N179" s="2">
        <v>0</v>
      </c>
      <c r="O179" s="3">
        <v>4.7199999999999999E-2</v>
      </c>
      <c r="P179" s="2">
        <v>0.5</v>
      </c>
      <c r="Q179" s="2">
        <v>0</v>
      </c>
      <c r="R179" s="2">
        <v>0.5</v>
      </c>
      <c r="S179" t="s">
        <v>31</v>
      </c>
    </row>
    <row r="180" spans="1:20" hidden="1" x14ac:dyDescent="0.6">
      <c r="A180">
        <v>441</v>
      </c>
      <c r="B180" t="str">
        <f>"1507"</f>
        <v>1507</v>
      </c>
      <c r="C180" t="s">
        <v>531</v>
      </c>
      <c r="D180" s="1">
        <v>42923</v>
      </c>
      <c r="E180">
        <v>48.7</v>
      </c>
      <c r="F180">
        <v>-0.9</v>
      </c>
      <c r="G180" s="3">
        <v>-1.8100000000000002E-2</v>
      </c>
      <c r="H180">
        <v>2013</v>
      </c>
      <c r="I180">
        <v>3.79</v>
      </c>
      <c r="J180">
        <v>2.2999999999999998</v>
      </c>
      <c r="K180">
        <v>0</v>
      </c>
      <c r="L180">
        <v>2.2999999999999998</v>
      </c>
      <c r="M180" s="3">
        <v>4.7199999999999999E-2</v>
      </c>
      <c r="N180" s="2">
        <v>0</v>
      </c>
      <c r="O180" s="3">
        <v>4.7199999999999999E-2</v>
      </c>
      <c r="P180" s="3">
        <v>0.60699999999999998</v>
      </c>
      <c r="Q180" s="2">
        <v>0</v>
      </c>
      <c r="R180" s="3">
        <v>0.60699999999999998</v>
      </c>
      <c r="S180" t="s">
        <v>38</v>
      </c>
    </row>
    <row r="181" spans="1:20" hidden="1" x14ac:dyDescent="0.6">
      <c r="A181">
        <v>490</v>
      </c>
      <c r="B181" t="str">
        <f>"1312"</f>
        <v>1312</v>
      </c>
      <c r="C181" t="s">
        <v>583</v>
      </c>
      <c r="D181" s="1">
        <v>42923</v>
      </c>
      <c r="E181">
        <v>21.2</v>
      </c>
      <c r="F181">
        <v>-0.3</v>
      </c>
      <c r="G181" s="3">
        <v>-1.4E-2</v>
      </c>
      <c r="H181">
        <v>2013</v>
      </c>
      <c r="I181">
        <v>1.92</v>
      </c>
      <c r="J181">
        <v>1</v>
      </c>
      <c r="K181">
        <v>0</v>
      </c>
      <c r="L181">
        <v>1</v>
      </c>
      <c r="M181" s="3">
        <v>4.7199999999999999E-2</v>
      </c>
      <c r="N181" s="2">
        <v>0</v>
      </c>
      <c r="O181" s="3">
        <v>4.7199999999999999E-2</v>
      </c>
      <c r="P181" s="3">
        <v>0.52100000000000002</v>
      </c>
      <c r="Q181" s="2">
        <v>0</v>
      </c>
      <c r="R181" s="3">
        <v>0.52100000000000002</v>
      </c>
      <c r="S181" t="s">
        <v>43</v>
      </c>
    </row>
    <row r="182" spans="1:20" hidden="1" x14ac:dyDescent="0.6">
      <c r="A182">
        <v>355</v>
      </c>
      <c r="B182" t="str">
        <f>"3036"</f>
        <v>3036</v>
      </c>
      <c r="C182" t="s">
        <v>438</v>
      </c>
      <c r="D182" s="1">
        <v>42923</v>
      </c>
      <c r="E182">
        <v>44.6</v>
      </c>
      <c r="F182">
        <v>-0.35</v>
      </c>
      <c r="G182" s="3">
        <v>-7.7999999999999996E-3</v>
      </c>
      <c r="H182">
        <v>2013</v>
      </c>
      <c r="I182">
        <v>3.23</v>
      </c>
      <c r="J182">
        <v>2.1</v>
      </c>
      <c r="K182">
        <v>0</v>
      </c>
      <c r="L182">
        <v>2.1</v>
      </c>
      <c r="M182" s="3">
        <v>4.7100000000000003E-2</v>
      </c>
      <c r="N182" s="2">
        <v>0</v>
      </c>
      <c r="O182" s="3">
        <v>4.7100000000000003E-2</v>
      </c>
      <c r="P182" s="2">
        <v>0.65</v>
      </c>
      <c r="Q182" s="2">
        <v>0</v>
      </c>
      <c r="R182" s="2">
        <v>0.65</v>
      </c>
      <c r="S182" t="s">
        <v>103</v>
      </c>
    </row>
    <row r="183" spans="1:20" hidden="1" x14ac:dyDescent="0.6">
      <c r="A183">
        <v>492</v>
      </c>
      <c r="B183" t="str">
        <f>"2908"</f>
        <v>2908</v>
      </c>
      <c r="C183" t="s">
        <v>586</v>
      </c>
      <c r="D183" s="1">
        <v>42923</v>
      </c>
      <c r="E183">
        <v>22.95</v>
      </c>
      <c r="F183">
        <v>0.25</v>
      </c>
      <c r="G183" s="3">
        <v>1.0999999999999999E-2</v>
      </c>
      <c r="H183">
        <v>2013</v>
      </c>
      <c r="I183">
        <v>1.4</v>
      </c>
      <c r="J183">
        <v>1.08</v>
      </c>
      <c r="K183">
        <v>0</v>
      </c>
      <c r="L183">
        <v>1.08</v>
      </c>
      <c r="M183" s="3">
        <v>4.7100000000000003E-2</v>
      </c>
      <c r="N183" s="2">
        <v>0</v>
      </c>
      <c r="O183" s="3">
        <v>4.7100000000000003E-2</v>
      </c>
      <c r="P183" s="3">
        <v>0.77100000000000002</v>
      </c>
      <c r="Q183" s="2">
        <v>0</v>
      </c>
      <c r="R183" s="3">
        <v>0.77100000000000002</v>
      </c>
      <c r="S183" t="s">
        <v>45</v>
      </c>
    </row>
    <row r="184" spans="1:20" hidden="1" x14ac:dyDescent="0.6">
      <c r="A184">
        <v>267</v>
      </c>
      <c r="B184" t="str">
        <f>"2301"</f>
        <v>2301</v>
      </c>
      <c r="C184" t="s">
        <v>347</v>
      </c>
      <c r="D184" s="1">
        <v>42923</v>
      </c>
      <c r="E184">
        <v>49.8</v>
      </c>
      <c r="F184">
        <v>-0.2</v>
      </c>
      <c r="G184" s="3">
        <v>-4.0000000000000001E-3</v>
      </c>
      <c r="H184">
        <v>2013</v>
      </c>
      <c r="I184">
        <v>3.33</v>
      </c>
      <c r="J184">
        <v>2.34</v>
      </c>
      <c r="K184">
        <v>0.05</v>
      </c>
      <c r="L184">
        <v>2.39</v>
      </c>
      <c r="M184" s="3">
        <v>4.7E-2</v>
      </c>
      <c r="N184" s="3">
        <v>1E-3</v>
      </c>
      <c r="O184" s="3">
        <v>4.8000000000000001E-2</v>
      </c>
      <c r="P184" s="3">
        <v>0.70299999999999996</v>
      </c>
      <c r="Q184" s="3">
        <v>1.4999999999999999E-2</v>
      </c>
      <c r="R184" s="3">
        <v>0.71799999999999997</v>
      </c>
      <c r="S184" t="s">
        <v>78</v>
      </c>
      <c r="T184" t="s">
        <v>78</v>
      </c>
    </row>
    <row r="185" spans="1:20" hidden="1" x14ac:dyDescent="0.6">
      <c r="A185">
        <v>307</v>
      </c>
      <c r="B185" t="str">
        <f>"8210"</f>
        <v>8210</v>
      </c>
      <c r="C185" t="s">
        <v>389</v>
      </c>
      <c r="D185" s="1">
        <v>42923</v>
      </c>
      <c r="E185">
        <v>53.2</v>
      </c>
      <c r="F185">
        <v>-0.6</v>
      </c>
      <c r="G185" s="3">
        <v>-1.12E-2</v>
      </c>
      <c r="H185">
        <v>2013</v>
      </c>
      <c r="I185">
        <v>4.01</v>
      </c>
      <c r="J185">
        <v>2.5</v>
      </c>
      <c r="K185">
        <v>0</v>
      </c>
      <c r="L185">
        <v>2.5</v>
      </c>
      <c r="M185" s="3">
        <v>4.7E-2</v>
      </c>
      <c r="N185" s="2">
        <v>0</v>
      </c>
      <c r="O185" s="3">
        <v>4.7E-2</v>
      </c>
      <c r="P185" s="3">
        <v>0.623</v>
      </c>
      <c r="Q185" s="2">
        <v>0</v>
      </c>
      <c r="R185" s="3">
        <v>0.623</v>
      </c>
      <c r="S185" t="s">
        <v>36</v>
      </c>
    </row>
    <row r="186" spans="1:20" hidden="1" x14ac:dyDescent="0.6">
      <c r="A186">
        <v>203</v>
      </c>
      <c r="B186" t="str">
        <f>"1773"</f>
        <v>1773</v>
      </c>
      <c r="C186" t="s">
        <v>281</v>
      </c>
      <c r="D186" s="1">
        <v>42923</v>
      </c>
      <c r="E186">
        <v>63.9</v>
      </c>
      <c r="F186">
        <v>-0.3</v>
      </c>
      <c r="G186" s="3">
        <v>-4.7000000000000002E-3</v>
      </c>
      <c r="H186">
        <v>2013</v>
      </c>
      <c r="I186">
        <v>4.0599999999999996</v>
      </c>
      <c r="J186">
        <v>3</v>
      </c>
      <c r="K186">
        <v>0</v>
      </c>
      <c r="L186">
        <v>3</v>
      </c>
      <c r="M186" s="3">
        <v>4.6899999999999997E-2</v>
      </c>
      <c r="N186" s="2">
        <v>0</v>
      </c>
      <c r="O186" s="3">
        <v>4.6899999999999997E-2</v>
      </c>
      <c r="P186" s="3">
        <v>0.73899999999999999</v>
      </c>
      <c r="Q186" s="2">
        <v>0</v>
      </c>
      <c r="R186" s="3">
        <v>0.73899999999999999</v>
      </c>
      <c r="S186" t="s">
        <v>282</v>
      </c>
    </row>
    <row r="187" spans="1:20" hidden="1" x14ac:dyDescent="0.6">
      <c r="A187">
        <v>178</v>
      </c>
      <c r="B187" t="str">
        <f>"6023"</f>
        <v>6023</v>
      </c>
      <c r="C187" t="s">
        <v>254</v>
      </c>
      <c r="D187" s="1">
        <v>42923</v>
      </c>
      <c r="E187">
        <v>38.35</v>
      </c>
      <c r="F187">
        <v>0.25</v>
      </c>
      <c r="G187" s="3">
        <v>6.6E-3</v>
      </c>
      <c r="H187">
        <v>2013</v>
      </c>
      <c r="I187">
        <v>2.5099999999999998</v>
      </c>
      <c r="J187">
        <v>1.79</v>
      </c>
      <c r="K187">
        <v>0</v>
      </c>
      <c r="L187">
        <v>1.79</v>
      </c>
      <c r="M187" s="3">
        <v>4.6699999999999998E-2</v>
      </c>
      <c r="N187" s="2">
        <v>0</v>
      </c>
      <c r="O187" s="3">
        <v>4.6699999999999998E-2</v>
      </c>
      <c r="P187" s="3">
        <v>0.71299999999999997</v>
      </c>
      <c r="Q187" s="2">
        <v>0</v>
      </c>
      <c r="R187" s="3">
        <v>0.71299999999999997</v>
      </c>
      <c r="S187" t="s">
        <v>253</v>
      </c>
    </row>
    <row r="188" spans="1:20" hidden="1" x14ac:dyDescent="0.6">
      <c r="A188">
        <v>306</v>
      </c>
      <c r="B188" t="str">
        <f>"5439"</f>
        <v>5439</v>
      </c>
      <c r="C188" t="s">
        <v>388</v>
      </c>
      <c r="D188" s="1">
        <v>42923</v>
      </c>
      <c r="E188">
        <v>32.15</v>
      </c>
      <c r="F188">
        <v>0</v>
      </c>
      <c r="G188" s="2">
        <v>0</v>
      </c>
      <c r="H188">
        <v>2013</v>
      </c>
      <c r="I188">
        <v>1.65</v>
      </c>
      <c r="J188">
        <v>1.5</v>
      </c>
      <c r="K188">
        <v>0</v>
      </c>
      <c r="L188">
        <v>1.5</v>
      </c>
      <c r="M188" s="3">
        <v>4.6699999999999998E-2</v>
      </c>
      <c r="N188" s="2">
        <v>0</v>
      </c>
      <c r="O188" s="3">
        <v>4.6699999999999998E-2</v>
      </c>
      <c r="P188" s="3">
        <v>0.90900000000000003</v>
      </c>
      <c r="Q188" s="2">
        <v>0</v>
      </c>
      <c r="R188" s="3">
        <v>0.90900000000000003</v>
      </c>
      <c r="S188" t="s">
        <v>80</v>
      </c>
    </row>
    <row r="189" spans="1:20" hidden="1" x14ac:dyDescent="0.6">
      <c r="A189">
        <v>79</v>
      </c>
      <c r="B189" t="str">
        <f>"4722"</f>
        <v>4722</v>
      </c>
      <c r="C189" t="s">
        <v>139</v>
      </c>
      <c r="D189" s="1">
        <v>42923</v>
      </c>
      <c r="E189">
        <v>32.35</v>
      </c>
      <c r="F189">
        <v>-0.2</v>
      </c>
      <c r="G189" s="3">
        <v>-6.1000000000000004E-3</v>
      </c>
      <c r="H189">
        <v>2013</v>
      </c>
      <c r="I189">
        <v>2.5</v>
      </c>
      <c r="J189">
        <v>1.5</v>
      </c>
      <c r="K189">
        <v>0</v>
      </c>
      <c r="L189">
        <v>1.5</v>
      </c>
      <c r="M189" s="3">
        <v>4.6399999999999997E-2</v>
      </c>
      <c r="N189" s="2">
        <v>0</v>
      </c>
      <c r="O189" s="3">
        <v>4.6399999999999997E-2</v>
      </c>
      <c r="P189" s="2">
        <v>0.6</v>
      </c>
      <c r="Q189" s="2">
        <v>0</v>
      </c>
      <c r="R189" s="2">
        <v>0.6</v>
      </c>
      <c r="S189" t="s">
        <v>140</v>
      </c>
    </row>
    <row r="190" spans="1:20" hidden="1" x14ac:dyDescent="0.6">
      <c r="A190">
        <v>236</v>
      </c>
      <c r="B190" t="str">
        <f>"4706"</f>
        <v>4706</v>
      </c>
      <c r="C190" t="s">
        <v>315</v>
      </c>
      <c r="D190" s="1">
        <v>42923</v>
      </c>
      <c r="E190">
        <v>21.55</v>
      </c>
      <c r="F190">
        <v>0.15</v>
      </c>
      <c r="G190" s="3">
        <v>7.0000000000000001E-3</v>
      </c>
      <c r="H190">
        <v>2013</v>
      </c>
      <c r="I190">
        <v>1.04</v>
      </c>
      <c r="J190">
        <v>1</v>
      </c>
      <c r="K190">
        <v>0</v>
      </c>
      <c r="L190">
        <v>1</v>
      </c>
      <c r="M190" s="3">
        <v>4.6399999999999997E-2</v>
      </c>
      <c r="N190" s="2">
        <v>0</v>
      </c>
      <c r="O190" s="3">
        <v>4.6399999999999997E-2</v>
      </c>
      <c r="P190" s="3">
        <v>0.96199999999999997</v>
      </c>
      <c r="Q190" s="2">
        <v>0</v>
      </c>
      <c r="R190" s="3">
        <v>0.96199999999999997</v>
      </c>
      <c r="S190" t="s">
        <v>69</v>
      </c>
    </row>
    <row r="191" spans="1:20" hidden="1" x14ac:dyDescent="0.6">
      <c r="A191">
        <v>122</v>
      </c>
      <c r="B191" t="str">
        <f>"5410"</f>
        <v>5410</v>
      </c>
      <c r="C191" t="s">
        <v>187</v>
      </c>
      <c r="D191" s="1">
        <v>42923</v>
      </c>
      <c r="E191">
        <v>14.1</v>
      </c>
      <c r="F191">
        <v>0</v>
      </c>
      <c r="G191" s="2">
        <v>0</v>
      </c>
      <c r="H191">
        <v>2013</v>
      </c>
      <c r="I191">
        <v>1.1000000000000001</v>
      </c>
      <c r="J191">
        <v>0.65</v>
      </c>
      <c r="K191">
        <v>0.35</v>
      </c>
      <c r="L191">
        <v>1</v>
      </c>
      <c r="M191" s="3">
        <v>4.6100000000000002E-2</v>
      </c>
      <c r="N191" s="3">
        <v>2.4799999999999999E-2</v>
      </c>
      <c r="O191" s="3">
        <v>7.0900000000000005E-2</v>
      </c>
      <c r="P191" s="3">
        <v>0.59099999999999997</v>
      </c>
      <c r="Q191" s="3">
        <v>0.318</v>
      </c>
      <c r="R191" s="3">
        <v>0.90900000000000003</v>
      </c>
      <c r="S191" t="s">
        <v>108</v>
      </c>
      <c r="T191" t="s">
        <v>108</v>
      </c>
    </row>
    <row r="192" spans="1:20" hidden="1" x14ac:dyDescent="0.6">
      <c r="A192">
        <v>169</v>
      </c>
      <c r="B192" t="str">
        <f>"6108"</f>
        <v>6108</v>
      </c>
      <c r="C192" t="s">
        <v>242</v>
      </c>
      <c r="D192" s="1">
        <v>42923</v>
      </c>
      <c r="E192">
        <v>30.5</v>
      </c>
      <c r="F192">
        <v>0.1</v>
      </c>
      <c r="G192" s="3">
        <v>3.3E-3</v>
      </c>
      <c r="H192">
        <v>2013</v>
      </c>
      <c r="I192">
        <v>2.14</v>
      </c>
      <c r="J192">
        <v>1.4</v>
      </c>
      <c r="K192">
        <v>0</v>
      </c>
      <c r="L192">
        <v>1.4</v>
      </c>
      <c r="M192" s="3">
        <v>4.5900000000000003E-2</v>
      </c>
      <c r="N192" s="2">
        <v>0</v>
      </c>
      <c r="O192" s="3">
        <v>4.5900000000000003E-2</v>
      </c>
      <c r="P192" s="3">
        <v>0.65400000000000003</v>
      </c>
      <c r="Q192" s="2">
        <v>0</v>
      </c>
      <c r="R192" s="3">
        <v>0.65400000000000003</v>
      </c>
      <c r="S192" t="s">
        <v>40</v>
      </c>
    </row>
    <row r="193" spans="1:20" hidden="1" x14ac:dyDescent="0.6">
      <c r="A193">
        <v>289</v>
      </c>
      <c r="B193" t="str">
        <f>"3034"</f>
        <v>3034</v>
      </c>
      <c r="C193" t="s">
        <v>371</v>
      </c>
      <c r="D193" s="1">
        <v>42923</v>
      </c>
      <c r="E193">
        <v>122.5</v>
      </c>
      <c r="F193">
        <v>-2</v>
      </c>
      <c r="G193" s="3">
        <v>-1.61E-2</v>
      </c>
      <c r="H193">
        <v>2013</v>
      </c>
      <c r="I193">
        <v>7.36</v>
      </c>
      <c r="J193">
        <v>5.59</v>
      </c>
      <c r="K193">
        <v>0</v>
      </c>
      <c r="L193">
        <v>5.59</v>
      </c>
      <c r="M193" s="3">
        <v>4.5699999999999998E-2</v>
      </c>
      <c r="N193" s="2">
        <v>0</v>
      </c>
      <c r="O193" s="3">
        <v>4.5699999999999998E-2</v>
      </c>
      <c r="P193" s="2">
        <v>0.76</v>
      </c>
      <c r="Q193" s="2">
        <v>0</v>
      </c>
      <c r="R193" s="2">
        <v>0.76</v>
      </c>
      <c r="S193" t="s">
        <v>136</v>
      </c>
    </row>
    <row r="194" spans="1:20" hidden="1" x14ac:dyDescent="0.6">
      <c r="A194">
        <v>412</v>
      </c>
      <c r="B194" t="str">
        <f>"9925"</f>
        <v>9925</v>
      </c>
      <c r="C194" t="s">
        <v>499</v>
      </c>
      <c r="D194" s="1">
        <v>42923</v>
      </c>
      <c r="E194">
        <v>39.5</v>
      </c>
      <c r="F194">
        <v>-0.05</v>
      </c>
      <c r="G194" s="3">
        <v>-1.2999999999999999E-3</v>
      </c>
      <c r="H194">
        <v>2013</v>
      </c>
      <c r="I194">
        <v>2.56</v>
      </c>
      <c r="J194">
        <v>1.8</v>
      </c>
      <c r="K194">
        <v>0</v>
      </c>
      <c r="L194">
        <v>1.8</v>
      </c>
      <c r="M194" s="3">
        <v>4.5600000000000002E-2</v>
      </c>
      <c r="N194" s="2">
        <v>0</v>
      </c>
      <c r="O194" s="3">
        <v>4.5600000000000002E-2</v>
      </c>
      <c r="P194" s="3">
        <v>0.70299999999999996</v>
      </c>
      <c r="Q194" s="2">
        <v>0</v>
      </c>
      <c r="R194" s="3">
        <v>0.70299999999999996</v>
      </c>
      <c r="S194" t="s">
        <v>31</v>
      </c>
    </row>
    <row r="195" spans="1:20" hidden="1" x14ac:dyDescent="0.6">
      <c r="A195">
        <v>21</v>
      </c>
      <c r="B195" t="str">
        <f>"5215"</f>
        <v>5215</v>
      </c>
      <c r="C195" t="s">
        <v>53</v>
      </c>
      <c r="D195" s="1">
        <v>42923</v>
      </c>
      <c r="E195">
        <v>32.950000000000003</v>
      </c>
      <c r="F195">
        <v>0.05</v>
      </c>
      <c r="G195" s="3">
        <v>1.5E-3</v>
      </c>
      <c r="H195">
        <v>2013</v>
      </c>
      <c r="I195">
        <v>4.54</v>
      </c>
      <c r="J195">
        <v>1.5</v>
      </c>
      <c r="K195">
        <v>1.5</v>
      </c>
      <c r="L195">
        <v>3</v>
      </c>
      <c r="M195" s="3">
        <v>4.5499999999999999E-2</v>
      </c>
      <c r="N195" s="3">
        <v>4.5499999999999999E-2</v>
      </c>
      <c r="O195" s="3">
        <v>9.0999999999999998E-2</v>
      </c>
      <c r="P195" s="2">
        <v>0.33</v>
      </c>
      <c r="Q195" s="2">
        <v>0.33</v>
      </c>
      <c r="R195" s="3">
        <v>0.66100000000000003</v>
      </c>
      <c r="S195" t="s">
        <v>38</v>
      </c>
      <c r="T195" t="s">
        <v>38</v>
      </c>
    </row>
    <row r="196" spans="1:20" hidden="1" x14ac:dyDescent="0.6">
      <c r="A196">
        <v>188</v>
      </c>
      <c r="B196" t="str">
        <f>"6202"</f>
        <v>6202</v>
      </c>
      <c r="C196" t="s">
        <v>265</v>
      </c>
      <c r="D196" s="1">
        <v>42923</v>
      </c>
      <c r="E196">
        <v>55</v>
      </c>
      <c r="F196">
        <v>-0.4</v>
      </c>
      <c r="G196" s="3">
        <v>-7.1999999999999998E-3</v>
      </c>
      <c r="H196">
        <v>2013</v>
      </c>
      <c r="I196">
        <v>2.5099999999999998</v>
      </c>
      <c r="J196">
        <v>2.5</v>
      </c>
      <c r="K196">
        <v>0</v>
      </c>
      <c r="L196">
        <v>2.5</v>
      </c>
      <c r="M196" s="3">
        <v>4.5400000000000003E-2</v>
      </c>
      <c r="N196" s="2">
        <v>0</v>
      </c>
      <c r="O196" s="3">
        <v>4.5400000000000003E-2</v>
      </c>
      <c r="P196" s="3">
        <v>0.996</v>
      </c>
      <c r="Q196" s="2">
        <v>0</v>
      </c>
      <c r="R196" s="3">
        <v>0.996</v>
      </c>
      <c r="S196" t="s">
        <v>108</v>
      </c>
    </row>
    <row r="197" spans="1:20" hidden="1" x14ac:dyDescent="0.6">
      <c r="A197">
        <v>157</v>
      </c>
      <c r="B197" t="str">
        <f>"6105"</f>
        <v>6105</v>
      </c>
      <c r="C197" t="s">
        <v>227</v>
      </c>
      <c r="D197" s="1">
        <v>42923</v>
      </c>
      <c r="E197">
        <v>44.3</v>
      </c>
      <c r="F197">
        <v>-0.4</v>
      </c>
      <c r="G197" s="3">
        <v>-8.8999999999999999E-3</v>
      </c>
      <c r="H197">
        <v>2013</v>
      </c>
      <c r="I197">
        <v>3.3</v>
      </c>
      <c r="J197">
        <v>2</v>
      </c>
      <c r="K197">
        <v>0</v>
      </c>
      <c r="L197">
        <v>2</v>
      </c>
      <c r="M197" s="3">
        <v>4.5100000000000001E-2</v>
      </c>
      <c r="N197" s="2">
        <v>0</v>
      </c>
      <c r="O197" s="3">
        <v>4.5100000000000001E-2</v>
      </c>
      <c r="P197" s="3">
        <v>0.60599999999999998</v>
      </c>
      <c r="Q197" s="2">
        <v>0</v>
      </c>
      <c r="R197" s="3">
        <v>0.60599999999999998</v>
      </c>
      <c r="S197" t="s">
        <v>226</v>
      </c>
    </row>
    <row r="198" spans="1:20" hidden="1" x14ac:dyDescent="0.6">
      <c r="A198">
        <v>27</v>
      </c>
      <c r="B198" t="str">
        <f>"4550"</f>
        <v>4550</v>
      </c>
      <c r="C198" t="s">
        <v>61</v>
      </c>
      <c r="D198" s="1">
        <v>42923</v>
      </c>
      <c r="E198">
        <v>22.3</v>
      </c>
      <c r="F198">
        <v>0.3</v>
      </c>
      <c r="G198" s="3">
        <v>1.3599999999999999E-2</v>
      </c>
      <c r="H198">
        <v>2013</v>
      </c>
      <c r="J198">
        <v>1</v>
      </c>
      <c r="K198">
        <v>1</v>
      </c>
      <c r="L198">
        <v>2</v>
      </c>
      <c r="M198" s="3">
        <v>4.48E-2</v>
      </c>
      <c r="N198" s="3">
        <v>4.48E-2</v>
      </c>
      <c r="O198" s="3">
        <v>8.9700000000000002E-2</v>
      </c>
    </row>
    <row r="199" spans="1:20" hidden="1" x14ac:dyDescent="0.6">
      <c r="A199">
        <v>421</v>
      </c>
      <c r="B199" t="str">
        <f>"4535"</f>
        <v>4535</v>
      </c>
      <c r="C199" t="s">
        <v>508</v>
      </c>
      <c r="D199" s="1">
        <v>42923</v>
      </c>
      <c r="E199">
        <v>44.7</v>
      </c>
      <c r="F199">
        <v>-0.25</v>
      </c>
      <c r="G199" s="3">
        <v>-5.5999999999999999E-3</v>
      </c>
      <c r="H199">
        <v>2013</v>
      </c>
      <c r="I199">
        <v>2.79</v>
      </c>
      <c r="J199">
        <v>2</v>
      </c>
      <c r="K199">
        <v>0</v>
      </c>
      <c r="L199">
        <v>2</v>
      </c>
      <c r="M199" s="3">
        <v>4.4699999999999997E-2</v>
      </c>
      <c r="N199" s="2">
        <v>0</v>
      </c>
      <c r="O199" s="3">
        <v>4.4699999999999997E-2</v>
      </c>
      <c r="P199" s="3">
        <v>0.71699999999999997</v>
      </c>
      <c r="Q199" s="2">
        <v>0</v>
      </c>
      <c r="R199" s="3">
        <v>0.71699999999999997</v>
      </c>
      <c r="S199" t="s">
        <v>126</v>
      </c>
    </row>
    <row r="200" spans="1:20" hidden="1" x14ac:dyDescent="0.6">
      <c r="A200">
        <v>478</v>
      </c>
      <c r="B200" t="str">
        <f>"4904"</f>
        <v>4904</v>
      </c>
      <c r="C200" t="s">
        <v>571</v>
      </c>
      <c r="D200" s="1">
        <v>42923</v>
      </c>
      <c r="E200">
        <v>78.3</v>
      </c>
      <c r="F200">
        <v>-0.3</v>
      </c>
      <c r="G200" s="3">
        <v>-3.8E-3</v>
      </c>
      <c r="H200">
        <v>2013</v>
      </c>
      <c r="I200">
        <v>3.25</v>
      </c>
      <c r="J200">
        <v>3.5</v>
      </c>
      <c r="K200">
        <v>0</v>
      </c>
      <c r="L200">
        <v>3.5</v>
      </c>
      <c r="M200" s="3">
        <v>4.4699999999999997E-2</v>
      </c>
      <c r="N200" s="2">
        <v>0</v>
      </c>
      <c r="O200" s="3">
        <v>4.4699999999999997E-2</v>
      </c>
      <c r="P200" s="2">
        <v>1.08</v>
      </c>
      <c r="Q200" s="2">
        <v>0</v>
      </c>
      <c r="R200" s="2">
        <v>1.08</v>
      </c>
      <c r="S200" t="s">
        <v>47</v>
      </c>
    </row>
    <row r="201" spans="1:20" hidden="1" x14ac:dyDescent="0.6">
      <c r="A201">
        <v>24</v>
      </c>
      <c r="B201" t="str">
        <f>"6186"</f>
        <v>6186</v>
      </c>
      <c r="C201" t="s">
        <v>57</v>
      </c>
      <c r="D201" s="1">
        <v>42923</v>
      </c>
      <c r="E201">
        <v>22.4</v>
      </c>
      <c r="F201">
        <v>0</v>
      </c>
      <c r="G201" s="2">
        <v>0</v>
      </c>
      <c r="H201">
        <v>2013</v>
      </c>
      <c r="I201">
        <v>1.55</v>
      </c>
      <c r="J201">
        <v>1</v>
      </c>
      <c r="K201">
        <v>0</v>
      </c>
      <c r="L201">
        <v>1</v>
      </c>
      <c r="M201" s="3">
        <v>4.4600000000000001E-2</v>
      </c>
      <c r="N201" s="2">
        <v>0</v>
      </c>
      <c r="O201" s="3">
        <v>4.4600000000000001E-2</v>
      </c>
      <c r="P201" s="3">
        <v>0.64500000000000002</v>
      </c>
      <c r="Q201" s="2">
        <v>0</v>
      </c>
      <c r="R201" s="3">
        <v>0.64500000000000002</v>
      </c>
      <c r="S201" t="s">
        <v>58</v>
      </c>
    </row>
    <row r="202" spans="1:20" hidden="1" x14ac:dyDescent="0.6">
      <c r="A202">
        <v>110</v>
      </c>
      <c r="B202" t="str">
        <f>"4527"</f>
        <v>4527</v>
      </c>
      <c r="C202" t="s">
        <v>173</v>
      </c>
      <c r="D202" s="1">
        <v>42923</v>
      </c>
      <c r="E202">
        <v>30.3</v>
      </c>
      <c r="F202">
        <v>-1.65</v>
      </c>
      <c r="G202" s="3">
        <v>-5.16E-2</v>
      </c>
      <c r="H202">
        <v>2013</v>
      </c>
      <c r="I202">
        <v>2.11</v>
      </c>
      <c r="J202">
        <v>1.34</v>
      </c>
      <c r="K202">
        <v>0</v>
      </c>
      <c r="L202">
        <v>1.34</v>
      </c>
      <c r="M202" s="3">
        <v>4.4299999999999999E-2</v>
      </c>
      <c r="N202" s="2">
        <v>0</v>
      </c>
      <c r="O202" s="3">
        <v>4.4299999999999999E-2</v>
      </c>
      <c r="P202" s="3">
        <v>0.63500000000000001</v>
      </c>
      <c r="Q202" s="2">
        <v>0</v>
      </c>
      <c r="R202" s="3">
        <v>0.63500000000000001</v>
      </c>
      <c r="S202" t="s">
        <v>174</v>
      </c>
    </row>
    <row r="203" spans="1:20" hidden="1" x14ac:dyDescent="0.6">
      <c r="A203">
        <v>320</v>
      </c>
      <c r="B203" t="str">
        <f>"6158"</f>
        <v>6158</v>
      </c>
      <c r="C203" t="s">
        <v>402</v>
      </c>
      <c r="D203" s="1">
        <v>42923</v>
      </c>
      <c r="E203">
        <v>21.55</v>
      </c>
      <c r="F203">
        <v>-0.35</v>
      </c>
      <c r="G203" s="3">
        <v>-1.6E-2</v>
      </c>
      <c r="H203">
        <v>2013</v>
      </c>
      <c r="I203">
        <v>1.17</v>
      </c>
      <c r="J203">
        <v>0.95</v>
      </c>
      <c r="K203">
        <v>0</v>
      </c>
      <c r="L203">
        <v>0.95</v>
      </c>
      <c r="M203" s="3">
        <v>4.41E-2</v>
      </c>
      <c r="N203" s="2">
        <v>0</v>
      </c>
      <c r="O203" s="3">
        <v>4.41E-2</v>
      </c>
      <c r="P203" s="3">
        <v>0.81200000000000006</v>
      </c>
      <c r="Q203" s="2">
        <v>0</v>
      </c>
      <c r="R203" s="3">
        <v>0.81200000000000006</v>
      </c>
      <c r="S203" t="s">
        <v>210</v>
      </c>
    </row>
    <row r="204" spans="1:20" hidden="1" x14ac:dyDescent="0.6">
      <c r="A204">
        <v>462</v>
      </c>
      <c r="B204" t="str">
        <f>"3094"</f>
        <v>3094</v>
      </c>
      <c r="C204" t="s">
        <v>553</v>
      </c>
      <c r="D204" s="1">
        <v>42923</v>
      </c>
      <c r="E204">
        <v>22.7</v>
      </c>
      <c r="F204">
        <v>-0.15</v>
      </c>
      <c r="G204" s="3">
        <v>-6.6E-3</v>
      </c>
      <c r="H204">
        <v>2013</v>
      </c>
      <c r="I204">
        <v>0.75</v>
      </c>
      <c r="J204">
        <v>1</v>
      </c>
      <c r="K204">
        <v>0</v>
      </c>
      <c r="L204">
        <v>1</v>
      </c>
      <c r="M204" s="3">
        <v>4.41E-2</v>
      </c>
      <c r="N204" s="2">
        <v>0</v>
      </c>
      <c r="O204" s="3">
        <v>4.41E-2</v>
      </c>
      <c r="P204" s="2">
        <v>1.33</v>
      </c>
      <c r="Q204" s="2">
        <v>0</v>
      </c>
      <c r="R204" s="2">
        <v>1.33</v>
      </c>
      <c r="S204" t="s">
        <v>126</v>
      </c>
    </row>
    <row r="205" spans="1:20" hidden="1" x14ac:dyDescent="0.6">
      <c r="A205">
        <v>221</v>
      </c>
      <c r="B205" t="str">
        <f>"2010"</f>
        <v>2010</v>
      </c>
      <c r="C205" t="s">
        <v>300</v>
      </c>
      <c r="D205" s="1">
        <v>42923</v>
      </c>
      <c r="E205">
        <v>11.4</v>
      </c>
      <c r="F205">
        <v>0</v>
      </c>
      <c r="G205" s="2">
        <v>0</v>
      </c>
      <c r="H205">
        <v>2013</v>
      </c>
      <c r="I205">
        <v>0.6</v>
      </c>
      <c r="J205">
        <v>0.5</v>
      </c>
      <c r="K205">
        <v>0</v>
      </c>
      <c r="L205">
        <v>0.5</v>
      </c>
      <c r="M205" s="3">
        <v>4.3900000000000002E-2</v>
      </c>
      <c r="N205" s="2">
        <v>0</v>
      </c>
      <c r="O205" s="3">
        <v>4.3900000000000002E-2</v>
      </c>
      <c r="P205" s="3">
        <v>0.83299999999999996</v>
      </c>
      <c r="Q205" s="2">
        <v>0</v>
      </c>
      <c r="R205" s="3">
        <v>0.83299999999999996</v>
      </c>
      <c r="S205" t="s">
        <v>69</v>
      </c>
    </row>
    <row r="206" spans="1:20" hidden="1" x14ac:dyDescent="0.6">
      <c r="A206">
        <v>372</v>
      </c>
      <c r="B206" t="str">
        <f>"3416"</f>
        <v>3416</v>
      </c>
      <c r="C206" t="s">
        <v>455</v>
      </c>
      <c r="D206" s="1">
        <v>42923</v>
      </c>
      <c r="E206">
        <v>56.9</v>
      </c>
      <c r="F206">
        <v>-0.4</v>
      </c>
      <c r="G206" s="3">
        <v>-7.0000000000000001E-3</v>
      </c>
      <c r="H206">
        <v>2013</v>
      </c>
      <c r="I206">
        <v>3.34</v>
      </c>
      <c r="J206">
        <v>2.5</v>
      </c>
      <c r="K206">
        <v>0.5</v>
      </c>
      <c r="L206">
        <v>3</v>
      </c>
      <c r="M206" s="3">
        <v>4.3900000000000002E-2</v>
      </c>
      <c r="N206" s="3">
        <v>8.8000000000000005E-3</v>
      </c>
      <c r="O206" s="3">
        <v>5.2699999999999997E-2</v>
      </c>
      <c r="P206" s="3">
        <v>0.748</v>
      </c>
      <c r="Q206" s="2">
        <v>0.15</v>
      </c>
      <c r="R206" s="3">
        <v>0.89800000000000002</v>
      </c>
      <c r="S206" t="s">
        <v>103</v>
      </c>
      <c r="T206" t="s">
        <v>103</v>
      </c>
    </row>
    <row r="207" spans="1:20" hidden="1" x14ac:dyDescent="0.6">
      <c r="A207">
        <v>48</v>
      </c>
      <c r="B207" t="str">
        <f>"5403"</f>
        <v>5403</v>
      </c>
      <c r="C207" t="s">
        <v>96</v>
      </c>
      <c r="D207" s="1">
        <v>42923</v>
      </c>
      <c r="E207">
        <v>36.5</v>
      </c>
      <c r="F207">
        <v>-0.05</v>
      </c>
      <c r="G207" s="3">
        <v>-1.4E-3</v>
      </c>
      <c r="H207">
        <v>2013</v>
      </c>
      <c r="I207">
        <v>2.04</v>
      </c>
      <c r="J207">
        <v>1.6</v>
      </c>
      <c r="K207">
        <v>0</v>
      </c>
      <c r="L207">
        <v>1.6</v>
      </c>
      <c r="M207" s="3">
        <v>4.3799999999999999E-2</v>
      </c>
      <c r="N207" s="2">
        <v>0</v>
      </c>
      <c r="O207" s="3">
        <v>4.3799999999999999E-2</v>
      </c>
      <c r="P207" s="3">
        <v>0.78400000000000003</v>
      </c>
      <c r="Q207" s="2">
        <v>0</v>
      </c>
      <c r="R207" s="3">
        <v>0.78400000000000003</v>
      </c>
      <c r="S207" t="s">
        <v>34</v>
      </c>
    </row>
    <row r="208" spans="1:20" hidden="1" x14ac:dyDescent="0.6">
      <c r="A208">
        <v>113</v>
      </c>
      <c r="B208" t="str">
        <f>"6128"</f>
        <v>6128</v>
      </c>
      <c r="C208" t="s">
        <v>177</v>
      </c>
      <c r="D208" s="1">
        <v>42923</v>
      </c>
      <c r="E208">
        <v>38.799999999999997</v>
      </c>
      <c r="F208">
        <v>0.05</v>
      </c>
      <c r="G208" s="3">
        <v>1.2999999999999999E-3</v>
      </c>
      <c r="H208">
        <v>2013</v>
      </c>
      <c r="I208">
        <v>2.13</v>
      </c>
      <c r="J208">
        <v>1.7</v>
      </c>
      <c r="K208">
        <v>0</v>
      </c>
      <c r="L208">
        <v>1.7</v>
      </c>
      <c r="M208" s="3">
        <v>4.3799999999999999E-2</v>
      </c>
      <c r="N208" s="2">
        <v>0</v>
      </c>
      <c r="O208" s="3">
        <v>4.3799999999999999E-2</v>
      </c>
      <c r="P208" s="3">
        <v>0.79800000000000004</v>
      </c>
      <c r="Q208" s="2">
        <v>0</v>
      </c>
      <c r="R208" s="3">
        <v>0.79800000000000004</v>
      </c>
      <c r="S208" t="s">
        <v>34</v>
      </c>
    </row>
    <row r="209" spans="1:20" hidden="1" x14ac:dyDescent="0.6">
      <c r="A209">
        <v>154</v>
      </c>
      <c r="B209" t="str">
        <f>"4532"</f>
        <v>4532</v>
      </c>
      <c r="C209" t="s">
        <v>223</v>
      </c>
      <c r="D209" s="1">
        <v>42923</v>
      </c>
      <c r="E209">
        <v>34.299999999999997</v>
      </c>
      <c r="F209">
        <v>-0.35</v>
      </c>
      <c r="G209" s="3">
        <v>-1.01E-2</v>
      </c>
      <c r="H209">
        <v>2013</v>
      </c>
      <c r="I209">
        <v>2.21</v>
      </c>
      <c r="J209">
        <v>1.5</v>
      </c>
      <c r="K209">
        <v>0.3</v>
      </c>
      <c r="L209">
        <v>1.8</v>
      </c>
      <c r="M209" s="3">
        <v>4.3700000000000003E-2</v>
      </c>
      <c r="N209" s="3">
        <v>8.6999999999999994E-3</v>
      </c>
      <c r="O209" s="3">
        <v>5.2499999999999998E-2</v>
      </c>
      <c r="P209" s="3">
        <v>0.67900000000000005</v>
      </c>
      <c r="Q209" s="3">
        <v>0.13600000000000001</v>
      </c>
      <c r="R209" s="3">
        <v>0.81399999999999995</v>
      </c>
      <c r="S209" t="s">
        <v>65</v>
      </c>
      <c r="T209" t="s">
        <v>65</v>
      </c>
    </row>
    <row r="210" spans="1:20" hidden="1" x14ac:dyDescent="0.6">
      <c r="A210">
        <v>337</v>
      </c>
      <c r="B210" t="str">
        <f>"1788"</f>
        <v>1788</v>
      </c>
      <c r="C210" t="s">
        <v>419</v>
      </c>
      <c r="D210" s="1">
        <v>42923</v>
      </c>
      <c r="E210">
        <v>91.5</v>
      </c>
      <c r="F210">
        <v>-0.5</v>
      </c>
      <c r="G210" s="3">
        <v>-5.4000000000000003E-3</v>
      </c>
      <c r="H210">
        <v>2013</v>
      </c>
      <c r="I210">
        <v>5.37</v>
      </c>
      <c r="J210">
        <v>4</v>
      </c>
      <c r="K210">
        <v>0</v>
      </c>
      <c r="L210">
        <v>4</v>
      </c>
      <c r="M210" s="3">
        <v>4.3700000000000003E-2</v>
      </c>
      <c r="N210" s="2">
        <v>0</v>
      </c>
      <c r="O210" s="3">
        <v>4.3700000000000003E-2</v>
      </c>
      <c r="P210" s="3">
        <v>0.745</v>
      </c>
      <c r="Q210" s="2">
        <v>0</v>
      </c>
      <c r="R210" s="3">
        <v>0.745</v>
      </c>
      <c r="S210" t="s">
        <v>31</v>
      </c>
    </row>
    <row r="211" spans="1:20" hidden="1" x14ac:dyDescent="0.6">
      <c r="A211">
        <v>250</v>
      </c>
      <c r="B211" t="str">
        <f>"2616"</f>
        <v>2616</v>
      </c>
      <c r="C211" t="s">
        <v>329</v>
      </c>
      <c r="D211" s="1">
        <v>42923</v>
      </c>
      <c r="E211">
        <v>34.6</v>
      </c>
      <c r="F211">
        <v>-0.1</v>
      </c>
      <c r="G211" s="3">
        <v>-2.8999999999999998E-3</v>
      </c>
      <c r="H211">
        <v>2013</v>
      </c>
      <c r="I211">
        <v>2.4500000000000002</v>
      </c>
      <c r="J211">
        <v>1.5</v>
      </c>
      <c r="K211">
        <v>0</v>
      </c>
      <c r="L211">
        <v>1.5</v>
      </c>
      <c r="M211" s="3">
        <v>4.3400000000000001E-2</v>
      </c>
      <c r="N211" s="2">
        <v>0</v>
      </c>
      <c r="O211" s="3">
        <v>4.3400000000000001E-2</v>
      </c>
      <c r="P211" s="3">
        <v>0.61199999999999999</v>
      </c>
      <c r="Q211" s="2">
        <v>0</v>
      </c>
      <c r="R211" s="3">
        <v>0.61199999999999999</v>
      </c>
      <c r="S211" t="s">
        <v>190</v>
      </c>
    </row>
    <row r="212" spans="1:20" hidden="1" x14ac:dyDescent="0.6">
      <c r="A212">
        <v>315</v>
      </c>
      <c r="B212" t="str">
        <f>"2886"</f>
        <v>2886</v>
      </c>
      <c r="C212" t="s">
        <v>397</v>
      </c>
      <c r="D212" s="1">
        <v>42923</v>
      </c>
      <c r="E212">
        <v>25.35</v>
      </c>
      <c r="F212">
        <v>-0.25</v>
      </c>
      <c r="G212" s="3">
        <v>-9.7999999999999997E-3</v>
      </c>
      <c r="H212">
        <v>2013</v>
      </c>
      <c r="I212">
        <v>1.88</v>
      </c>
      <c r="J212">
        <v>1.1000000000000001</v>
      </c>
      <c r="K212">
        <v>0</v>
      </c>
      <c r="L212">
        <v>1.1000000000000001</v>
      </c>
      <c r="M212" s="3">
        <v>4.3400000000000001E-2</v>
      </c>
      <c r="N212" s="2">
        <v>0</v>
      </c>
      <c r="O212" s="3">
        <v>4.3400000000000001E-2</v>
      </c>
      <c r="P212" s="3">
        <v>0.58499999999999996</v>
      </c>
      <c r="Q212" s="2">
        <v>0</v>
      </c>
      <c r="R212" s="3">
        <v>0.58499999999999996</v>
      </c>
      <c r="S212" t="s">
        <v>275</v>
      </c>
    </row>
    <row r="213" spans="1:20" hidden="1" x14ac:dyDescent="0.6">
      <c r="A213">
        <v>494</v>
      </c>
      <c r="B213" t="str">
        <f>"1477"</f>
        <v>1477</v>
      </c>
      <c r="C213" t="s">
        <v>588</v>
      </c>
      <c r="D213" s="1">
        <v>42923</v>
      </c>
      <c r="E213">
        <v>143</v>
      </c>
      <c r="F213">
        <v>-2.5</v>
      </c>
      <c r="G213" s="3">
        <v>-1.72E-2</v>
      </c>
      <c r="H213">
        <v>2013</v>
      </c>
      <c r="I213">
        <v>7.17</v>
      </c>
      <c r="J213">
        <v>6.14</v>
      </c>
      <c r="K213">
        <v>0</v>
      </c>
      <c r="L213">
        <v>6.14</v>
      </c>
      <c r="M213" s="3">
        <v>4.2999999999999997E-2</v>
      </c>
      <c r="N213" s="2">
        <v>0</v>
      </c>
      <c r="O213" s="3">
        <v>4.2999999999999997E-2</v>
      </c>
      <c r="P213" s="3">
        <v>0.85599999999999998</v>
      </c>
      <c r="Q213" s="2">
        <v>0</v>
      </c>
      <c r="R213" s="3">
        <v>0.85599999999999998</v>
      </c>
      <c r="S213" t="s">
        <v>24</v>
      </c>
    </row>
    <row r="214" spans="1:20" hidden="1" x14ac:dyDescent="0.6">
      <c r="A214">
        <v>196</v>
      </c>
      <c r="B214" t="str">
        <f>"8421"</f>
        <v>8421</v>
      </c>
      <c r="C214" t="s">
        <v>273</v>
      </c>
      <c r="D214" s="1">
        <v>42923</v>
      </c>
      <c r="E214">
        <v>18.8</v>
      </c>
      <c r="F214">
        <v>0.2</v>
      </c>
      <c r="G214" s="3">
        <v>1.0800000000000001E-2</v>
      </c>
      <c r="H214">
        <v>2013</v>
      </c>
      <c r="I214">
        <v>0.76</v>
      </c>
      <c r="J214">
        <v>0.8</v>
      </c>
      <c r="K214">
        <v>0.1</v>
      </c>
      <c r="L214">
        <v>0.9</v>
      </c>
      <c r="M214" s="3">
        <v>4.2599999999999999E-2</v>
      </c>
      <c r="N214" s="3">
        <v>5.3E-3</v>
      </c>
      <c r="O214" s="3">
        <v>4.7899999999999998E-2</v>
      </c>
      <c r="P214" s="2">
        <v>1.05</v>
      </c>
      <c r="Q214" s="3">
        <v>0.13200000000000001</v>
      </c>
      <c r="R214" s="2">
        <v>1.18</v>
      </c>
      <c r="S214" t="s">
        <v>82</v>
      </c>
      <c r="T214" t="s">
        <v>82</v>
      </c>
    </row>
    <row r="215" spans="1:20" hidden="1" x14ac:dyDescent="0.6">
      <c r="A215">
        <v>455</v>
      </c>
      <c r="B215" t="str">
        <f>"1726"</f>
        <v>1726</v>
      </c>
      <c r="C215" t="s">
        <v>545</v>
      </c>
      <c r="D215" s="1">
        <v>42923</v>
      </c>
      <c r="E215">
        <v>82.1</v>
      </c>
      <c r="F215">
        <v>-0.5</v>
      </c>
      <c r="G215" s="3">
        <v>-6.1000000000000004E-3</v>
      </c>
      <c r="H215">
        <v>2013</v>
      </c>
      <c r="I215">
        <v>5.39</v>
      </c>
      <c r="J215">
        <v>3.5</v>
      </c>
      <c r="K215">
        <v>0</v>
      </c>
      <c r="L215">
        <v>3.5</v>
      </c>
      <c r="M215" s="3">
        <v>4.2599999999999999E-2</v>
      </c>
      <c r="N215" s="2">
        <v>0</v>
      </c>
      <c r="O215" s="3">
        <v>4.2599999999999999E-2</v>
      </c>
      <c r="P215" s="3">
        <v>0.64900000000000002</v>
      </c>
      <c r="Q215" s="2">
        <v>0</v>
      </c>
      <c r="R215" s="3">
        <v>0.64900000000000002</v>
      </c>
      <c r="S215" t="s">
        <v>26</v>
      </c>
    </row>
    <row r="216" spans="1:20" hidden="1" x14ac:dyDescent="0.6">
      <c r="A216">
        <v>40</v>
      </c>
      <c r="B216" t="str">
        <f>"6216"</f>
        <v>6216</v>
      </c>
      <c r="C216" t="s">
        <v>83</v>
      </c>
      <c r="D216" s="1">
        <v>42923</v>
      </c>
      <c r="E216">
        <v>32.200000000000003</v>
      </c>
      <c r="F216">
        <v>-0.25</v>
      </c>
      <c r="G216" s="3">
        <v>-7.7000000000000002E-3</v>
      </c>
      <c r="H216">
        <v>2013</v>
      </c>
      <c r="I216">
        <v>1.51</v>
      </c>
      <c r="J216">
        <v>1.35</v>
      </c>
      <c r="K216">
        <v>0</v>
      </c>
      <c r="L216">
        <v>1.35</v>
      </c>
      <c r="M216" s="3">
        <v>4.2099999999999999E-2</v>
      </c>
      <c r="N216" s="2">
        <v>0</v>
      </c>
      <c r="O216" s="3">
        <v>4.2099999999999999E-2</v>
      </c>
      <c r="P216" s="3">
        <v>0.89400000000000002</v>
      </c>
      <c r="Q216" s="2">
        <v>0</v>
      </c>
      <c r="R216" s="3">
        <v>0.89400000000000002</v>
      </c>
      <c r="S216" t="s">
        <v>55</v>
      </c>
    </row>
    <row r="217" spans="1:20" hidden="1" x14ac:dyDescent="0.6">
      <c r="A217">
        <v>379</v>
      </c>
      <c r="B217" t="str">
        <f>"4104"</f>
        <v>4104</v>
      </c>
      <c r="C217" t="s">
        <v>462</v>
      </c>
      <c r="D217" s="1">
        <v>42923</v>
      </c>
      <c r="E217">
        <v>47.7</v>
      </c>
      <c r="F217">
        <v>-0.85</v>
      </c>
      <c r="G217" s="3">
        <v>-1.7500000000000002E-2</v>
      </c>
      <c r="H217">
        <v>2013</v>
      </c>
      <c r="I217">
        <v>2.44</v>
      </c>
      <c r="J217">
        <v>2</v>
      </c>
      <c r="K217">
        <v>0</v>
      </c>
      <c r="L217">
        <v>2</v>
      </c>
      <c r="M217" s="3">
        <v>4.19E-2</v>
      </c>
      <c r="N217" s="2">
        <v>0</v>
      </c>
      <c r="O217" s="3">
        <v>4.19E-2</v>
      </c>
      <c r="P217" s="2">
        <v>0.82</v>
      </c>
      <c r="Q217" s="2">
        <v>0</v>
      </c>
      <c r="R217" s="2">
        <v>0.82</v>
      </c>
      <c r="S217" t="s">
        <v>463</v>
      </c>
    </row>
    <row r="218" spans="1:20" hidden="1" x14ac:dyDescent="0.6">
      <c r="A218">
        <v>98</v>
      </c>
      <c r="B218" t="str">
        <f>"1776"</f>
        <v>1776</v>
      </c>
      <c r="C218" t="s">
        <v>161</v>
      </c>
      <c r="D218" s="1">
        <v>42923</v>
      </c>
      <c r="E218">
        <v>21.6</v>
      </c>
      <c r="F218">
        <v>0.5</v>
      </c>
      <c r="G218" s="3">
        <v>2.3699999999999999E-2</v>
      </c>
      <c r="H218">
        <v>2013</v>
      </c>
      <c r="I218">
        <v>2.61</v>
      </c>
      <c r="J218">
        <v>0.9</v>
      </c>
      <c r="K218">
        <v>0.6</v>
      </c>
      <c r="L218">
        <v>1.5</v>
      </c>
      <c r="M218" s="3">
        <v>4.1700000000000001E-2</v>
      </c>
      <c r="N218" s="3">
        <v>2.7799999999999998E-2</v>
      </c>
      <c r="O218" s="3">
        <v>6.9400000000000003E-2</v>
      </c>
      <c r="P218" s="3">
        <v>0.34499999999999997</v>
      </c>
      <c r="Q218" s="2">
        <v>0.23</v>
      </c>
      <c r="R218" s="3">
        <v>0.57499999999999996</v>
      </c>
      <c r="S218" t="s">
        <v>122</v>
      </c>
      <c r="T218" t="s">
        <v>122</v>
      </c>
    </row>
    <row r="219" spans="1:20" hidden="1" x14ac:dyDescent="0.6">
      <c r="A219">
        <v>205</v>
      </c>
      <c r="B219" t="str">
        <f>"3029"</f>
        <v>3029</v>
      </c>
      <c r="C219" t="s">
        <v>284</v>
      </c>
      <c r="D219" s="1">
        <v>42923</v>
      </c>
      <c r="E219">
        <v>19.2</v>
      </c>
      <c r="F219">
        <v>0.15</v>
      </c>
      <c r="G219" s="3">
        <v>7.9000000000000008E-3</v>
      </c>
      <c r="H219">
        <v>2013</v>
      </c>
      <c r="I219">
        <v>0.82</v>
      </c>
      <c r="J219">
        <v>0.8</v>
      </c>
      <c r="K219">
        <v>0</v>
      </c>
      <c r="L219">
        <v>0.8</v>
      </c>
      <c r="M219" s="3">
        <v>4.1700000000000001E-2</v>
      </c>
      <c r="N219" s="2">
        <v>0</v>
      </c>
      <c r="O219" s="3">
        <v>4.1700000000000001E-2</v>
      </c>
      <c r="P219" s="3">
        <v>0.97599999999999998</v>
      </c>
      <c r="Q219" s="2">
        <v>0</v>
      </c>
      <c r="R219" s="3">
        <v>0.97599999999999998</v>
      </c>
      <c r="S219" t="s">
        <v>67</v>
      </c>
    </row>
    <row r="220" spans="1:20" hidden="1" x14ac:dyDescent="0.6">
      <c r="A220">
        <v>43</v>
      </c>
      <c r="B220" t="str">
        <f>"2065"</f>
        <v>2065</v>
      </c>
      <c r="C220" t="s">
        <v>88</v>
      </c>
      <c r="D220" s="1">
        <v>42923</v>
      </c>
      <c r="E220">
        <v>36.299999999999997</v>
      </c>
      <c r="F220">
        <v>-0.7</v>
      </c>
      <c r="G220" s="3">
        <v>-1.89E-2</v>
      </c>
      <c r="H220">
        <v>2013</v>
      </c>
      <c r="I220">
        <v>1.1299999999999999</v>
      </c>
      <c r="J220">
        <v>1.5</v>
      </c>
      <c r="K220">
        <v>0</v>
      </c>
      <c r="L220">
        <v>1.5</v>
      </c>
      <c r="M220" s="3">
        <v>4.1300000000000003E-2</v>
      </c>
      <c r="N220" s="2">
        <v>0</v>
      </c>
      <c r="O220" s="3">
        <v>4.1300000000000003E-2</v>
      </c>
      <c r="P220" s="2">
        <v>1.33</v>
      </c>
      <c r="Q220" s="2">
        <v>0</v>
      </c>
      <c r="R220" s="2">
        <v>1.33</v>
      </c>
      <c r="S220" t="s">
        <v>89</v>
      </c>
    </row>
    <row r="221" spans="1:20" hidden="1" x14ac:dyDescent="0.6">
      <c r="A221">
        <v>213</v>
      </c>
      <c r="B221" t="str">
        <f>"8416"</f>
        <v>8416</v>
      </c>
      <c r="C221" t="s">
        <v>292</v>
      </c>
      <c r="D221" s="1">
        <v>42923</v>
      </c>
      <c r="E221">
        <v>96.8</v>
      </c>
      <c r="F221">
        <v>0</v>
      </c>
      <c r="G221" s="2">
        <v>0</v>
      </c>
      <c r="H221">
        <v>2013</v>
      </c>
      <c r="I221">
        <v>5.21</v>
      </c>
      <c r="J221">
        <v>4</v>
      </c>
      <c r="K221">
        <v>0</v>
      </c>
      <c r="L221">
        <v>4</v>
      </c>
      <c r="M221" s="3">
        <v>4.1300000000000003E-2</v>
      </c>
      <c r="N221" s="2">
        <v>0</v>
      </c>
      <c r="O221" s="3">
        <v>4.1300000000000003E-2</v>
      </c>
      <c r="P221" s="3">
        <v>0.76800000000000002</v>
      </c>
      <c r="Q221" s="2">
        <v>0</v>
      </c>
      <c r="R221" s="3">
        <v>0.76800000000000002</v>
      </c>
      <c r="S221" t="s">
        <v>24</v>
      </c>
    </row>
    <row r="222" spans="1:20" hidden="1" x14ac:dyDescent="0.6">
      <c r="A222">
        <v>46</v>
      </c>
      <c r="B222" t="str">
        <f>"2511"</f>
        <v>2511</v>
      </c>
      <c r="C222" t="s">
        <v>92</v>
      </c>
      <c r="D222" s="1">
        <v>42923</v>
      </c>
      <c r="E222">
        <v>12.15</v>
      </c>
      <c r="F222">
        <v>-0.05</v>
      </c>
      <c r="G222" s="3">
        <v>-4.1000000000000003E-3</v>
      </c>
      <c r="H222">
        <v>2013</v>
      </c>
      <c r="I222">
        <v>1.54</v>
      </c>
      <c r="J222">
        <v>0.5</v>
      </c>
      <c r="K222">
        <v>1</v>
      </c>
      <c r="L222">
        <v>1.5</v>
      </c>
      <c r="M222" s="3">
        <v>4.1200000000000001E-2</v>
      </c>
      <c r="N222" s="3">
        <v>8.2299999999999998E-2</v>
      </c>
      <c r="O222" s="3">
        <v>0.124</v>
      </c>
      <c r="P222" s="3">
        <v>0.32500000000000001</v>
      </c>
      <c r="Q222" s="3">
        <v>0.64900000000000002</v>
      </c>
      <c r="R222" s="3">
        <v>0.97399999999999998</v>
      </c>
      <c r="S222" t="s">
        <v>93</v>
      </c>
      <c r="T222" t="s">
        <v>93</v>
      </c>
    </row>
    <row r="223" spans="1:20" hidden="1" x14ac:dyDescent="0.6">
      <c r="A223">
        <v>235</v>
      </c>
      <c r="B223" t="str">
        <f>"8271"</f>
        <v>8271</v>
      </c>
      <c r="C223" t="s">
        <v>314</v>
      </c>
      <c r="D223" s="1">
        <v>42923</v>
      </c>
      <c r="E223">
        <v>39.75</v>
      </c>
      <c r="F223">
        <v>-0.25</v>
      </c>
      <c r="G223" s="3">
        <v>-6.1999999999999998E-3</v>
      </c>
      <c r="H223">
        <v>2013</v>
      </c>
      <c r="I223">
        <v>3.07</v>
      </c>
      <c r="J223">
        <v>1.62</v>
      </c>
      <c r="K223">
        <v>0.18</v>
      </c>
      <c r="L223">
        <v>1.8</v>
      </c>
      <c r="M223" s="3">
        <v>4.0800000000000003E-2</v>
      </c>
      <c r="N223" s="3">
        <v>4.4999999999999997E-3</v>
      </c>
      <c r="O223" s="3">
        <v>4.53E-2</v>
      </c>
      <c r="P223" s="3">
        <v>0.52800000000000002</v>
      </c>
      <c r="Q223" s="3">
        <v>5.8599999999999999E-2</v>
      </c>
      <c r="R223" s="3">
        <v>0.58599999999999997</v>
      </c>
      <c r="S223" t="s">
        <v>71</v>
      </c>
      <c r="T223" t="s">
        <v>71</v>
      </c>
    </row>
    <row r="224" spans="1:20" hidden="1" x14ac:dyDescent="0.6">
      <c r="A224">
        <v>449</v>
      </c>
      <c r="B224" t="str">
        <f>"6271"</f>
        <v>6271</v>
      </c>
      <c r="C224" t="s">
        <v>539</v>
      </c>
      <c r="D224" s="1">
        <v>42923</v>
      </c>
      <c r="E224">
        <v>122.5</v>
      </c>
      <c r="F224">
        <v>-2.5</v>
      </c>
      <c r="G224" s="2">
        <v>-0.02</v>
      </c>
      <c r="H224">
        <v>2013</v>
      </c>
      <c r="I224">
        <v>8.08</v>
      </c>
      <c r="J224">
        <v>5</v>
      </c>
      <c r="K224">
        <v>0</v>
      </c>
      <c r="L224">
        <v>5</v>
      </c>
      <c r="M224" s="3">
        <v>4.0800000000000003E-2</v>
      </c>
      <c r="N224" s="2">
        <v>0</v>
      </c>
      <c r="O224" s="3">
        <v>4.0800000000000003E-2</v>
      </c>
      <c r="P224" s="3">
        <v>0.61899999999999999</v>
      </c>
      <c r="Q224" s="2">
        <v>0</v>
      </c>
      <c r="R224" s="3">
        <v>0.61899999999999999</v>
      </c>
      <c r="S224" t="s">
        <v>31</v>
      </c>
    </row>
    <row r="225" spans="1:20" hidden="1" x14ac:dyDescent="0.6">
      <c r="A225">
        <v>231</v>
      </c>
      <c r="B225" t="str">
        <f>"1521"</f>
        <v>1521</v>
      </c>
      <c r="C225" t="s">
        <v>310</v>
      </c>
      <c r="D225" s="1">
        <v>42923</v>
      </c>
      <c r="E225">
        <v>85.9</v>
      </c>
      <c r="F225">
        <v>0</v>
      </c>
      <c r="G225" s="2">
        <v>0</v>
      </c>
      <c r="H225">
        <v>2013</v>
      </c>
      <c r="I225">
        <v>3.66</v>
      </c>
      <c r="J225">
        <v>3.5</v>
      </c>
      <c r="K225">
        <v>0</v>
      </c>
      <c r="L225">
        <v>3.5</v>
      </c>
      <c r="M225" s="3">
        <v>4.07E-2</v>
      </c>
      <c r="N225" s="2">
        <v>0</v>
      </c>
      <c r="O225" s="3">
        <v>4.07E-2</v>
      </c>
      <c r="P225" s="3">
        <v>0.95599999999999996</v>
      </c>
      <c r="Q225" s="2">
        <v>0</v>
      </c>
      <c r="R225" s="3">
        <v>0.95599999999999996</v>
      </c>
      <c r="S225" t="s">
        <v>210</v>
      </c>
    </row>
    <row r="226" spans="1:20" hidden="1" x14ac:dyDescent="0.6">
      <c r="A226">
        <v>111</v>
      </c>
      <c r="B226" t="str">
        <f>"8249"</f>
        <v>8249</v>
      </c>
      <c r="C226" t="s">
        <v>175</v>
      </c>
      <c r="D226" s="1">
        <v>42923</v>
      </c>
      <c r="E226">
        <v>22.15</v>
      </c>
      <c r="F226">
        <v>-0.05</v>
      </c>
      <c r="G226" s="3">
        <v>-2.3E-3</v>
      </c>
      <c r="H226">
        <v>2013</v>
      </c>
      <c r="I226">
        <v>1.17</v>
      </c>
      <c r="J226">
        <v>0.9</v>
      </c>
      <c r="K226">
        <v>0</v>
      </c>
      <c r="L226">
        <v>0.9</v>
      </c>
      <c r="M226" s="3">
        <v>4.0599999999999997E-2</v>
      </c>
      <c r="N226" s="2">
        <v>0</v>
      </c>
      <c r="O226" s="3">
        <v>4.0599999999999997E-2</v>
      </c>
      <c r="P226" s="3">
        <v>0.76900000000000002</v>
      </c>
      <c r="Q226" s="2">
        <v>0</v>
      </c>
      <c r="R226" s="3">
        <v>0.76900000000000002</v>
      </c>
      <c r="S226" t="s">
        <v>38</v>
      </c>
    </row>
    <row r="227" spans="1:20" hidden="1" x14ac:dyDescent="0.6">
      <c r="A227">
        <v>327</v>
      </c>
      <c r="B227" t="str">
        <f>"3570"</f>
        <v>3570</v>
      </c>
      <c r="C227" t="s">
        <v>409</v>
      </c>
      <c r="D227" s="1">
        <v>42923</v>
      </c>
      <c r="E227">
        <v>54.3</v>
      </c>
      <c r="F227">
        <v>-0.8</v>
      </c>
      <c r="G227" s="3">
        <v>-1.4500000000000001E-2</v>
      </c>
      <c r="H227">
        <v>2013</v>
      </c>
      <c r="I227">
        <v>3.55</v>
      </c>
      <c r="J227">
        <v>2.2000000000000002</v>
      </c>
      <c r="K227">
        <v>0</v>
      </c>
      <c r="L227">
        <v>2.2000000000000002</v>
      </c>
      <c r="M227" s="3">
        <v>4.0500000000000001E-2</v>
      </c>
      <c r="N227" s="2">
        <v>0</v>
      </c>
      <c r="O227" s="3">
        <v>4.0500000000000001E-2</v>
      </c>
      <c r="P227" s="2">
        <v>0.62</v>
      </c>
      <c r="Q227" s="2">
        <v>0</v>
      </c>
      <c r="R227" s="2">
        <v>0.62</v>
      </c>
      <c r="S227" t="s">
        <v>226</v>
      </c>
    </row>
    <row r="228" spans="1:20" hidden="1" x14ac:dyDescent="0.6">
      <c r="A228">
        <v>87</v>
      </c>
      <c r="B228" t="str">
        <f>"3303"</f>
        <v>3303</v>
      </c>
      <c r="C228" t="s">
        <v>150</v>
      </c>
      <c r="D228" s="1">
        <v>42923</v>
      </c>
      <c r="E228">
        <v>19.8</v>
      </c>
      <c r="F228">
        <v>0</v>
      </c>
      <c r="G228" s="2">
        <v>0</v>
      </c>
      <c r="H228">
        <v>2013</v>
      </c>
      <c r="I228">
        <v>1.58</v>
      </c>
      <c r="J228">
        <v>0.79</v>
      </c>
      <c r="K228">
        <v>0</v>
      </c>
      <c r="L228">
        <v>0.79</v>
      </c>
      <c r="M228" s="3">
        <v>4.0099999999999997E-2</v>
      </c>
      <c r="N228" s="2">
        <v>0</v>
      </c>
      <c r="O228" s="3">
        <v>4.0099999999999997E-2</v>
      </c>
      <c r="P228" s="2">
        <v>0.5</v>
      </c>
      <c r="Q228" s="2">
        <v>0</v>
      </c>
      <c r="R228" s="2">
        <v>0.5</v>
      </c>
      <c r="S228" t="s">
        <v>89</v>
      </c>
    </row>
    <row r="229" spans="1:20" hidden="1" x14ac:dyDescent="0.6">
      <c r="A229">
        <v>137</v>
      </c>
      <c r="B229" t="str">
        <f>"3556"</f>
        <v>3556</v>
      </c>
      <c r="C229" t="s">
        <v>203</v>
      </c>
      <c r="D229" s="1">
        <v>42923</v>
      </c>
      <c r="E229">
        <v>53.7</v>
      </c>
      <c r="F229">
        <v>-0.4</v>
      </c>
      <c r="G229" s="3">
        <v>-7.4000000000000003E-3</v>
      </c>
      <c r="H229">
        <v>2013</v>
      </c>
      <c r="I229">
        <v>2.33</v>
      </c>
      <c r="J229">
        <v>2.15</v>
      </c>
      <c r="K229">
        <v>0.85</v>
      </c>
      <c r="L229">
        <v>3</v>
      </c>
      <c r="M229" s="2">
        <v>0.04</v>
      </c>
      <c r="N229" s="3">
        <v>1.5800000000000002E-2</v>
      </c>
      <c r="O229" s="3">
        <v>5.5899999999999998E-2</v>
      </c>
      <c r="P229" s="3">
        <v>0.92300000000000004</v>
      </c>
      <c r="Q229" s="3">
        <v>0.36499999999999999</v>
      </c>
      <c r="R229" s="2">
        <v>1.29</v>
      </c>
      <c r="S229" t="s">
        <v>204</v>
      </c>
      <c r="T229" t="s">
        <v>204</v>
      </c>
    </row>
    <row r="230" spans="1:20" hidden="1" x14ac:dyDescent="0.6">
      <c r="A230">
        <v>427</v>
      </c>
      <c r="B230" t="str">
        <f>"5007"</f>
        <v>5007</v>
      </c>
      <c r="C230" t="s">
        <v>515</v>
      </c>
      <c r="D230" s="1">
        <v>42923</v>
      </c>
      <c r="E230">
        <v>50</v>
      </c>
      <c r="F230">
        <v>-0.1</v>
      </c>
      <c r="G230" s="3">
        <v>-2E-3</v>
      </c>
      <c r="H230">
        <v>2013</v>
      </c>
      <c r="I230">
        <v>2.41</v>
      </c>
      <c r="J230">
        <v>2</v>
      </c>
      <c r="K230">
        <v>0.6</v>
      </c>
      <c r="L230">
        <v>2.6</v>
      </c>
      <c r="M230" s="2">
        <v>0.04</v>
      </c>
      <c r="N230" s="3">
        <v>1.2E-2</v>
      </c>
      <c r="O230" s="3">
        <v>5.1999999999999998E-2</v>
      </c>
      <c r="P230" s="2">
        <v>0.83</v>
      </c>
      <c r="Q230" s="3">
        <v>0.249</v>
      </c>
      <c r="R230" s="2">
        <v>1.08</v>
      </c>
      <c r="S230" t="s">
        <v>24</v>
      </c>
      <c r="T230" t="s">
        <v>24</v>
      </c>
    </row>
    <row r="231" spans="1:20" hidden="1" x14ac:dyDescent="0.6">
      <c r="A231">
        <v>430</v>
      </c>
      <c r="B231" t="str">
        <f>"3617"</f>
        <v>3617</v>
      </c>
      <c r="C231" t="s">
        <v>518</v>
      </c>
      <c r="D231" s="1">
        <v>42923</v>
      </c>
      <c r="E231">
        <v>95.2</v>
      </c>
      <c r="F231">
        <v>-0.1</v>
      </c>
      <c r="G231" s="3">
        <v>-1E-3</v>
      </c>
      <c r="H231">
        <v>2013</v>
      </c>
      <c r="I231">
        <v>5</v>
      </c>
      <c r="J231">
        <v>3.8</v>
      </c>
      <c r="K231">
        <v>0</v>
      </c>
      <c r="L231">
        <v>3.8</v>
      </c>
      <c r="M231" s="3">
        <v>3.9899999999999998E-2</v>
      </c>
      <c r="N231" s="2">
        <v>0</v>
      </c>
      <c r="O231" s="3">
        <v>3.9899999999999998E-2</v>
      </c>
      <c r="P231" s="2">
        <v>0.76</v>
      </c>
      <c r="Q231" s="2">
        <v>0</v>
      </c>
      <c r="R231" s="2">
        <v>0.76</v>
      </c>
      <c r="S231" t="s">
        <v>65</v>
      </c>
    </row>
    <row r="232" spans="1:20" hidden="1" x14ac:dyDescent="0.6">
      <c r="A232">
        <v>134</v>
      </c>
      <c r="B232" t="str">
        <f>"6277"</f>
        <v>6277</v>
      </c>
      <c r="C232" t="s">
        <v>200</v>
      </c>
      <c r="D232" s="1">
        <v>42923</v>
      </c>
      <c r="E232">
        <v>83.5</v>
      </c>
      <c r="F232">
        <v>-0.2</v>
      </c>
      <c r="G232" s="3">
        <v>-2.3999999999999998E-3</v>
      </c>
      <c r="H232">
        <v>2013</v>
      </c>
      <c r="I232">
        <v>4.03</v>
      </c>
      <c r="J232">
        <v>3.3</v>
      </c>
      <c r="K232">
        <v>0</v>
      </c>
      <c r="L232">
        <v>3.3</v>
      </c>
      <c r="M232" s="3">
        <v>3.95E-2</v>
      </c>
      <c r="N232" s="2">
        <v>0</v>
      </c>
      <c r="O232" s="3">
        <v>3.95E-2</v>
      </c>
      <c r="P232" s="3">
        <v>0.81899999999999995</v>
      </c>
      <c r="Q232" s="2">
        <v>0</v>
      </c>
      <c r="R232" s="3">
        <v>0.81899999999999995</v>
      </c>
      <c r="S232" t="s">
        <v>82</v>
      </c>
    </row>
    <row r="233" spans="1:20" hidden="1" x14ac:dyDescent="0.6">
      <c r="A233">
        <v>475</v>
      </c>
      <c r="B233" t="str">
        <f>"1580"</f>
        <v>1580</v>
      </c>
      <c r="C233" t="s">
        <v>568</v>
      </c>
      <c r="D233" s="1">
        <v>42923</v>
      </c>
      <c r="E233">
        <v>177</v>
      </c>
      <c r="F233">
        <v>-0.5</v>
      </c>
      <c r="G233" s="3">
        <v>-2.8E-3</v>
      </c>
      <c r="H233">
        <v>2013</v>
      </c>
      <c r="I233">
        <v>9.35</v>
      </c>
      <c r="J233">
        <v>7</v>
      </c>
      <c r="K233">
        <v>0.5</v>
      </c>
      <c r="L233">
        <v>7.5</v>
      </c>
      <c r="M233" s="3">
        <v>3.95E-2</v>
      </c>
      <c r="N233" s="3">
        <v>2.8E-3</v>
      </c>
      <c r="O233" s="3">
        <v>4.24E-2</v>
      </c>
      <c r="P233" s="3">
        <v>0.749</v>
      </c>
      <c r="Q233" s="3">
        <v>5.3499999999999999E-2</v>
      </c>
      <c r="R233" s="3">
        <v>0.80200000000000005</v>
      </c>
      <c r="S233" t="s">
        <v>73</v>
      </c>
      <c r="T233" t="s">
        <v>73</v>
      </c>
    </row>
    <row r="234" spans="1:20" hidden="1" x14ac:dyDescent="0.6">
      <c r="A234">
        <v>330</v>
      </c>
      <c r="B234" t="str">
        <f>"8109"</f>
        <v>8109</v>
      </c>
      <c r="C234" t="s">
        <v>412</v>
      </c>
      <c r="D234" s="1">
        <v>42923</v>
      </c>
      <c r="E234">
        <v>63.4</v>
      </c>
      <c r="F234">
        <v>-0.2</v>
      </c>
      <c r="G234" s="3">
        <v>-3.0999999999999999E-3</v>
      </c>
      <c r="H234">
        <v>2013</v>
      </c>
      <c r="I234">
        <v>2.78</v>
      </c>
      <c r="J234">
        <v>2.5</v>
      </c>
      <c r="K234">
        <v>0</v>
      </c>
      <c r="L234">
        <v>2.5</v>
      </c>
      <c r="M234" s="3">
        <v>3.9399999999999998E-2</v>
      </c>
      <c r="N234" s="2">
        <v>0</v>
      </c>
      <c r="O234" s="3">
        <v>3.9399999999999998E-2</v>
      </c>
      <c r="P234" s="3">
        <v>0.89900000000000002</v>
      </c>
      <c r="Q234" s="2">
        <v>0</v>
      </c>
      <c r="R234" s="3">
        <v>0.89900000000000002</v>
      </c>
      <c r="S234" t="s">
        <v>45</v>
      </c>
    </row>
    <row r="235" spans="1:20" hidden="1" x14ac:dyDescent="0.6">
      <c r="A235">
        <v>336</v>
      </c>
      <c r="B235" t="str">
        <f>"5434"</f>
        <v>5434</v>
      </c>
      <c r="C235" t="s">
        <v>418</v>
      </c>
      <c r="D235" s="1">
        <v>42923</v>
      </c>
      <c r="E235">
        <v>91.4</v>
      </c>
      <c r="F235">
        <v>-0.4</v>
      </c>
      <c r="G235" s="3">
        <v>-4.4000000000000003E-3</v>
      </c>
      <c r="H235">
        <v>2013</v>
      </c>
      <c r="I235">
        <v>5.4</v>
      </c>
      <c r="J235">
        <v>3.58</v>
      </c>
      <c r="K235">
        <v>0.2</v>
      </c>
      <c r="L235">
        <v>3.78</v>
      </c>
      <c r="M235" s="3">
        <v>3.9199999999999999E-2</v>
      </c>
      <c r="N235" s="3">
        <v>2.2000000000000001E-3</v>
      </c>
      <c r="O235" s="3">
        <v>4.1399999999999999E-2</v>
      </c>
      <c r="P235" s="3">
        <v>0.66300000000000003</v>
      </c>
      <c r="Q235" s="3">
        <v>3.6999999999999998E-2</v>
      </c>
      <c r="R235" s="2">
        <v>0.7</v>
      </c>
      <c r="S235" t="s">
        <v>103</v>
      </c>
      <c r="T235" t="s">
        <v>103</v>
      </c>
    </row>
    <row r="236" spans="1:20" hidden="1" x14ac:dyDescent="0.6">
      <c r="A236">
        <v>385</v>
      </c>
      <c r="B236" t="str">
        <f>"8039"</f>
        <v>8039</v>
      </c>
      <c r="C236" t="s">
        <v>469</v>
      </c>
      <c r="D236" s="1">
        <v>42923</v>
      </c>
      <c r="E236">
        <v>38.5</v>
      </c>
      <c r="F236">
        <v>-0.25</v>
      </c>
      <c r="G236" s="3">
        <v>-6.4999999999999997E-3</v>
      </c>
      <c r="H236">
        <v>2013</v>
      </c>
      <c r="I236">
        <v>3.06</v>
      </c>
      <c r="J236">
        <v>1.5</v>
      </c>
      <c r="K236">
        <v>0</v>
      </c>
      <c r="L236">
        <v>1.5</v>
      </c>
      <c r="M236" s="3">
        <v>3.9E-2</v>
      </c>
      <c r="N236" s="2">
        <v>0</v>
      </c>
      <c r="O236" s="3">
        <v>3.9E-2</v>
      </c>
      <c r="P236" s="2">
        <v>0.49</v>
      </c>
      <c r="Q236" s="2">
        <v>0</v>
      </c>
      <c r="R236" s="2">
        <v>0.49</v>
      </c>
      <c r="S236" t="s">
        <v>87</v>
      </c>
    </row>
    <row r="237" spans="1:20" hidden="1" x14ac:dyDescent="0.6">
      <c r="A237">
        <v>163</v>
      </c>
      <c r="B237" t="str">
        <f>"3213"</f>
        <v>3213</v>
      </c>
      <c r="C237" t="s">
        <v>235</v>
      </c>
      <c r="D237" s="1">
        <v>42923</v>
      </c>
      <c r="E237">
        <v>51.4</v>
      </c>
      <c r="F237">
        <v>0.4</v>
      </c>
      <c r="G237" s="3">
        <v>7.7999999999999996E-3</v>
      </c>
      <c r="H237">
        <v>2013</v>
      </c>
      <c r="I237">
        <v>2.66</v>
      </c>
      <c r="J237">
        <v>2</v>
      </c>
      <c r="K237">
        <v>0</v>
      </c>
      <c r="L237">
        <v>2</v>
      </c>
      <c r="M237" s="3">
        <v>3.8899999999999997E-2</v>
      </c>
      <c r="N237" s="2">
        <v>0</v>
      </c>
      <c r="O237" s="3">
        <v>3.8899999999999997E-2</v>
      </c>
      <c r="P237" s="3">
        <v>0.752</v>
      </c>
      <c r="Q237" s="2">
        <v>0</v>
      </c>
      <c r="R237" s="3">
        <v>0.752</v>
      </c>
      <c r="S237" t="s">
        <v>82</v>
      </c>
    </row>
    <row r="238" spans="1:20" hidden="1" x14ac:dyDescent="0.6">
      <c r="A238">
        <v>167</v>
      </c>
      <c r="B238" t="str">
        <f>"2476"</f>
        <v>2476</v>
      </c>
      <c r="C238" t="s">
        <v>239</v>
      </c>
      <c r="D238" s="1">
        <v>42923</v>
      </c>
      <c r="E238">
        <v>25.8</v>
      </c>
      <c r="F238">
        <v>0</v>
      </c>
      <c r="G238" s="2">
        <v>0</v>
      </c>
      <c r="H238">
        <v>2013</v>
      </c>
      <c r="I238">
        <v>1.67</v>
      </c>
      <c r="J238">
        <v>1</v>
      </c>
      <c r="K238">
        <v>0</v>
      </c>
      <c r="L238">
        <v>1</v>
      </c>
      <c r="M238" s="3">
        <v>3.8800000000000001E-2</v>
      </c>
      <c r="N238" s="2">
        <v>0</v>
      </c>
      <c r="O238" s="3">
        <v>3.8800000000000001E-2</v>
      </c>
      <c r="P238" s="3">
        <v>0.59899999999999998</v>
      </c>
      <c r="Q238" s="2">
        <v>0</v>
      </c>
      <c r="R238" s="3">
        <v>0.59899999999999998</v>
      </c>
      <c r="S238" t="s">
        <v>240</v>
      </c>
    </row>
    <row r="239" spans="1:20" hidden="1" x14ac:dyDescent="0.6">
      <c r="A239">
        <v>195</v>
      </c>
      <c r="B239" t="str">
        <f>"1220"</f>
        <v>1220</v>
      </c>
      <c r="C239" t="s">
        <v>272</v>
      </c>
      <c r="D239" s="1">
        <v>42923</v>
      </c>
      <c r="E239">
        <v>10.35</v>
      </c>
      <c r="F239">
        <v>0</v>
      </c>
      <c r="G239" s="2">
        <v>0</v>
      </c>
      <c r="H239">
        <v>2013</v>
      </c>
      <c r="I239">
        <v>0.81</v>
      </c>
      <c r="J239">
        <v>0.4</v>
      </c>
      <c r="K239">
        <v>0</v>
      </c>
      <c r="L239">
        <v>0.4</v>
      </c>
      <c r="M239" s="3">
        <v>3.8600000000000002E-2</v>
      </c>
      <c r="N239" s="2">
        <v>0</v>
      </c>
      <c r="O239" s="3">
        <v>3.8600000000000002E-2</v>
      </c>
      <c r="P239" s="3">
        <v>0.49399999999999999</v>
      </c>
      <c r="Q239" s="2">
        <v>0</v>
      </c>
      <c r="R239" s="3">
        <v>0.49399999999999999</v>
      </c>
      <c r="S239" t="s">
        <v>126</v>
      </c>
    </row>
    <row r="240" spans="1:20" hidden="1" x14ac:dyDescent="0.6">
      <c r="A240">
        <v>229</v>
      </c>
      <c r="B240" t="str">
        <f>"1307"</f>
        <v>1307</v>
      </c>
      <c r="C240" t="s">
        <v>308</v>
      </c>
      <c r="D240" s="1">
        <v>42923</v>
      </c>
      <c r="E240">
        <v>36.299999999999997</v>
      </c>
      <c r="F240">
        <v>-0.25</v>
      </c>
      <c r="G240" s="3">
        <v>-6.7999999999999996E-3</v>
      </c>
      <c r="H240">
        <v>2013</v>
      </c>
      <c r="I240">
        <v>2</v>
      </c>
      <c r="J240">
        <v>1.4</v>
      </c>
      <c r="K240">
        <v>0.3</v>
      </c>
      <c r="L240">
        <v>1.7</v>
      </c>
      <c r="M240" s="3">
        <v>3.8600000000000002E-2</v>
      </c>
      <c r="N240" s="3">
        <v>8.3000000000000001E-3</v>
      </c>
      <c r="O240" s="3">
        <v>4.6800000000000001E-2</v>
      </c>
      <c r="P240" s="2">
        <v>0.7</v>
      </c>
      <c r="Q240" s="2">
        <v>0.15</v>
      </c>
      <c r="R240" s="2">
        <v>0.85</v>
      </c>
      <c r="S240" t="s">
        <v>114</v>
      </c>
      <c r="T240" t="s">
        <v>114</v>
      </c>
    </row>
    <row r="241" spans="1:20" hidden="1" x14ac:dyDescent="0.6">
      <c r="A241">
        <v>230</v>
      </c>
      <c r="B241" t="str">
        <f>"4119"</f>
        <v>4119</v>
      </c>
      <c r="C241" t="s">
        <v>309</v>
      </c>
      <c r="D241" s="1">
        <v>42923</v>
      </c>
      <c r="E241">
        <v>69.3</v>
      </c>
      <c r="F241">
        <v>-0.6</v>
      </c>
      <c r="G241" s="3">
        <v>-8.6E-3</v>
      </c>
      <c r="H241">
        <v>2013</v>
      </c>
      <c r="I241">
        <v>3.95</v>
      </c>
      <c r="J241">
        <v>2.68</v>
      </c>
      <c r="K241">
        <v>0.8</v>
      </c>
      <c r="L241">
        <v>3.47</v>
      </c>
      <c r="M241" s="3">
        <v>3.8600000000000002E-2</v>
      </c>
      <c r="N241" s="3">
        <v>1.15E-2</v>
      </c>
      <c r="O241" s="3">
        <v>5.0099999999999999E-2</v>
      </c>
      <c r="P241" s="3">
        <v>0.67800000000000005</v>
      </c>
      <c r="Q241" s="3">
        <v>0.20200000000000001</v>
      </c>
      <c r="R241" s="3">
        <v>0.878</v>
      </c>
      <c r="S241" t="s">
        <v>190</v>
      </c>
      <c r="T241" t="s">
        <v>190</v>
      </c>
    </row>
    <row r="242" spans="1:20" hidden="1" x14ac:dyDescent="0.6">
      <c r="A242">
        <v>473</v>
      </c>
      <c r="B242" t="str">
        <f>"9942"</f>
        <v>9942</v>
      </c>
      <c r="C242" t="s">
        <v>566</v>
      </c>
      <c r="D242" s="1">
        <v>42923</v>
      </c>
      <c r="E242">
        <v>83.2</v>
      </c>
      <c r="F242">
        <v>1</v>
      </c>
      <c r="G242" s="3">
        <v>1.2200000000000001E-2</v>
      </c>
      <c r="H242">
        <v>2013</v>
      </c>
      <c r="I242">
        <v>4.32</v>
      </c>
      <c r="J242">
        <v>3.2</v>
      </c>
      <c r="K242">
        <v>0</v>
      </c>
      <c r="L242">
        <v>3.2</v>
      </c>
      <c r="M242" s="3">
        <v>3.85E-2</v>
      </c>
      <c r="N242" s="2">
        <v>0</v>
      </c>
      <c r="O242" s="3">
        <v>3.85E-2</v>
      </c>
      <c r="P242" s="3">
        <v>0.74099999999999999</v>
      </c>
      <c r="Q242" s="2">
        <v>0</v>
      </c>
      <c r="R242" s="3">
        <v>0.74099999999999999</v>
      </c>
      <c r="S242" t="s">
        <v>119</v>
      </c>
    </row>
    <row r="243" spans="1:20" hidden="1" x14ac:dyDescent="0.6">
      <c r="A243">
        <v>123</v>
      </c>
      <c r="B243" t="str">
        <f>"6263"</f>
        <v>6263</v>
      </c>
      <c r="C243" t="s">
        <v>188</v>
      </c>
      <c r="D243" s="1">
        <v>42923</v>
      </c>
      <c r="E243">
        <v>55</v>
      </c>
      <c r="F243">
        <v>0.1</v>
      </c>
      <c r="G243" s="3">
        <v>1.8E-3</v>
      </c>
      <c r="H243">
        <v>2013</v>
      </c>
      <c r="I243">
        <v>2.62</v>
      </c>
      <c r="J243">
        <v>2.1</v>
      </c>
      <c r="K243">
        <v>0.2</v>
      </c>
      <c r="L243">
        <v>2.2999999999999998</v>
      </c>
      <c r="M243" s="3">
        <v>3.8199999999999998E-2</v>
      </c>
      <c r="N243" s="3">
        <v>3.5999999999999999E-3</v>
      </c>
      <c r="O243" s="3">
        <v>4.1799999999999997E-2</v>
      </c>
      <c r="P243" s="3">
        <v>0.80200000000000005</v>
      </c>
      <c r="Q243" s="3">
        <v>7.6300000000000007E-2</v>
      </c>
      <c r="R243" s="3">
        <v>0.878</v>
      </c>
      <c r="S243" t="s">
        <v>136</v>
      </c>
      <c r="T243" t="s">
        <v>136</v>
      </c>
    </row>
    <row r="244" spans="1:20" hidden="1" x14ac:dyDescent="0.6">
      <c r="A244">
        <v>209</v>
      </c>
      <c r="B244" t="str">
        <f>"2449"</f>
        <v>2449</v>
      </c>
      <c r="C244" t="s">
        <v>288</v>
      </c>
      <c r="D244" s="1">
        <v>42923</v>
      </c>
      <c r="E244">
        <v>28.75</v>
      </c>
      <c r="F244">
        <v>-0.3</v>
      </c>
      <c r="G244" s="3">
        <v>-1.03E-2</v>
      </c>
      <c r="H244">
        <v>2013</v>
      </c>
      <c r="I244">
        <v>1.31</v>
      </c>
      <c r="J244">
        <v>1.1000000000000001</v>
      </c>
      <c r="K244">
        <v>0</v>
      </c>
      <c r="L244">
        <v>1.1000000000000001</v>
      </c>
      <c r="M244" s="3">
        <v>3.8199999999999998E-2</v>
      </c>
      <c r="N244" s="2">
        <v>0</v>
      </c>
      <c r="O244" s="3">
        <v>3.8199999999999998E-2</v>
      </c>
      <c r="P244" s="2">
        <v>0.84</v>
      </c>
      <c r="Q244" s="2">
        <v>0</v>
      </c>
      <c r="R244" s="2">
        <v>0.84</v>
      </c>
      <c r="S244" t="s">
        <v>36</v>
      </c>
    </row>
    <row r="245" spans="1:20" hidden="1" x14ac:dyDescent="0.6">
      <c r="A245">
        <v>265</v>
      </c>
      <c r="B245" t="str">
        <f>"5287"</f>
        <v>5287</v>
      </c>
      <c r="C245" t="s">
        <v>345</v>
      </c>
      <c r="D245" s="1">
        <v>42923</v>
      </c>
      <c r="E245">
        <v>255.5</v>
      </c>
      <c r="F245">
        <v>0</v>
      </c>
      <c r="G245" s="2">
        <v>0</v>
      </c>
      <c r="H245">
        <v>2013</v>
      </c>
      <c r="I245">
        <v>10.66</v>
      </c>
      <c r="J245">
        <v>9.6999999999999993</v>
      </c>
      <c r="K245">
        <v>0</v>
      </c>
      <c r="L245">
        <v>9.6999999999999993</v>
      </c>
      <c r="M245" s="3">
        <v>3.7999999999999999E-2</v>
      </c>
      <c r="N245" s="2">
        <v>0</v>
      </c>
      <c r="O245" s="3">
        <v>3.7999999999999999E-2</v>
      </c>
      <c r="P245" s="2">
        <v>0.91</v>
      </c>
      <c r="Q245" s="2">
        <v>0</v>
      </c>
      <c r="R245" s="2">
        <v>0.91</v>
      </c>
    </row>
    <row r="246" spans="1:20" hidden="1" x14ac:dyDescent="0.6">
      <c r="A246">
        <v>399</v>
      </c>
      <c r="B246" t="str">
        <f>"2926"</f>
        <v>2926</v>
      </c>
      <c r="C246" t="s">
        <v>485</v>
      </c>
      <c r="D246" s="1">
        <v>42923</v>
      </c>
      <c r="E246">
        <v>150</v>
      </c>
      <c r="F246">
        <v>0</v>
      </c>
      <c r="G246" s="2">
        <v>0</v>
      </c>
      <c r="H246">
        <v>2013</v>
      </c>
      <c r="I246">
        <v>6.89</v>
      </c>
      <c r="J246">
        <v>5.6</v>
      </c>
      <c r="K246">
        <v>0</v>
      </c>
      <c r="L246">
        <v>5.6</v>
      </c>
      <c r="M246" s="3">
        <v>3.73E-2</v>
      </c>
      <c r="N246" s="2">
        <v>0</v>
      </c>
      <c r="O246" s="3">
        <v>3.73E-2</v>
      </c>
      <c r="P246" s="3">
        <v>0.81299999999999994</v>
      </c>
      <c r="Q246" s="2">
        <v>0</v>
      </c>
      <c r="R246" s="3">
        <v>0.81299999999999994</v>
      </c>
      <c r="S246" t="s">
        <v>45</v>
      </c>
    </row>
    <row r="247" spans="1:20" hidden="1" x14ac:dyDescent="0.6">
      <c r="A247">
        <v>390</v>
      </c>
      <c r="B247" t="str">
        <f>"4919"</f>
        <v>4919</v>
      </c>
      <c r="C247" t="s">
        <v>474</v>
      </c>
      <c r="D247" s="1">
        <v>42923</v>
      </c>
      <c r="E247">
        <v>46.35</v>
      </c>
      <c r="F247">
        <v>0.15</v>
      </c>
      <c r="G247" s="3">
        <v>3.2000000000000002E-3</v>
      </c>
      <c r="H247">
        <v>2013</v>
      </c>
      <c r="I247">
        <v>3.02</v>
      </c>
      <c r="J247">
        <v>1.7</v>
      </c>
      <c r="K247">
        <v>0</v>
      </c>
      <c r="L247">
        <v>1.7</v>
      </c>
      <c r="M247" s="3">
        <v>3.6700000000000003E-2</v>
      </c>
      <c r="N247" s="2">
        <v>0</v>
      </c>
      <c r="O247" s="3">
        <v>3.6700000000000003E-2</v>
      </c>
      <c r="P247" s="3">
        <v>0.56299999999999994</v>
      </c>
      <c r="Q247" s="2">
        <v>0</v>
      </c>
      <c r="R247" s="3">
        <v>0.56299999999999994</v>
      </c>
      <c r="S247" t="s">
        <v>110</v>
      </c>
    </row>
    <row r="248" spans="1:20" hidden="1" x14ac:dyDescent="0.6">
      <c r="A248">
        <v>301</v>
      </c>
      <c r="B248" t="str">
        <f>"4999"</f>
        <v>4999</v>
      </c>
      <c r="C248" t="s">
        <v>383</v>
      </c>
      <c r="D248" s="1">
        <v>42923</v>
      </c>
      <c r="E248">
        <v>54.7</v>
      </c>
      <c r="F248">
        <v>-0.5</v>
      </c>
      <c r="G248" s="3">
        <v>-9.1000000000000004E-3</v>
      </c>
      <c r="H248">
        <v>2013</v>
      </c>
      <c r="I248">
        <v>6.22</v>
      </c>
      <c r="J248">
        <v>2</v>
      </c>
      <c r="K248">
        <v>1</v>
      </c>
      <c r="L248">
        <v>3</v>
      </c>
      <c r="M248" s="3">
        <v>3.6600000000000001E-2</v>
      </c>
      <c r="N248" s="3">
        <v>1.83E-2</v>
      </c>
      <c r="O248" s="3">
        <v>5.4800000000000001E-2</v>
      </c>
      <c r="P248" s="3">
        <v>0.32200000000000001</v>
      </c>
      <c r="Q248" s="3">
        <v>0.161</v>
      </c>
      <c r="R248" s="3">
        <v>0.48199999999999998</v>
      </c>
      <c r="S248" t="s">
        <v>55</v>
      </c>
      <c r="T248" t="s">
        <v>55</v>
      </c>
    </row>
    <row r="249" spans="1:20" hidden="1" x14ac:dyDescent="0.6">
      <c r="A249">
        <v>365</v>
      </c>
      <c r="B249" t="str">
        <f>"2355"</f>
        <v>2355</v>
      </c>
      <c r="C249" t="s">
        <v>448</v>
      </c>
      <c r="D249" s="1">
        <v>42923</v>
      </c>
      <c r="E249">
        <v>60.1</v>
      </c>
      <c r="F249">
        <v>-0.7</v>
      </c>
      <c r="G249" s="3">
        <v>-1.15E-2</v>
      </c>
      <c r="H249">
        <v>2013</v>
      </c>
      <c r="I249">
        <v>3.9</v>
      </c>
      <c r="J249">
        <v>2.2000000000000002</v>
      </c>
      <c r="K249">
        <v>0</v>
      </c>
      <c r="L249">
        <v>2.2000000000000002</v>
      </c>
      <c r="M249" s="3">
        <v>3.6600000000000001E-2</v>
      </c>
      <c r="N249" s="2">
        <v>0</v>
      </c>
      <c r="O249" s="3">
        <v>3.6600000000000001E-2</v>
      </c>
      <c r="P249" s="3">
        <v>0.56399999999999995</v>
      </c>
      <c r="Q249" s="2">
        <v>0</v>
      </c>
      <c r="R249" s="3">
        <v>0.56399999999999995</v>
      </c>
      <c r="S249" t="s">
        <v>40</v>
      </c>
    </row>
    <row r="250" spans="1:20" hidden="1" x14ac:dyDescent="0.6">
      <c r="A250">
        <v>7</v>
      </c>
      <c r="B250" t="str">
        <f>"1416"</f>
        <v>1416</v>
      </c>
      <c r="C250" t="s">
        <v>30</v>
      </c>
      <c r="D250" s="1">
        <v>42923</v>
      </c>
      <c r="E250">
        <v>27.5</v>
      </c>
      <c r="F250">
        <v>0</v>
      </c>
      <c r="G250" s="2">
        <v>0</v>
      </c>
      <c r="H250">
        <v>2013</v>
      </c>
      <c r="I250">
        <v>3.11</v>
      </c>
      <c r="J250">
        <v>1</v>
      </c>
      <c r="K250">
        <v>0</v>
      </c>
      <c r="L250">
        <v>1</v>
      </c>
      <c r="M250" s="3">
        <v>3.6400000000000002E-2</v>
      </c>
      <c r="N250" s="2">
        <v>0</v>
      </c>
      <c r="O250" s="3">
        <v>3.6400000000000002E-2</v>
      </c>
      <c r="P250" s="3">
        <v>0.32200000000000001</v>
      </c>
      <c r="Q250" s="2">
        <v>0</v>
      </c>
      <c r="R250" s="3">
        <v>0.32200000000000001</v>
      </c>
      <c r="S250" t="s">
        <v>31</v>
      </c>
    </row>
    <row r="251" spans="1:20" hidden="1" x14ac:dyDescent="0.6">
      <c r="A251">
        <v>26</v>
      </c>
      <c r="B251" t="str">
        <f>"6151"</f>
        <v>6151</v>
      </c>
      <c r="C251" t="s">
        <v>60</v>
      </c>
      <c r="D251" s="1">
        <v>42923</v>
      </c>
      <c r="E251">
        <v>24.8</v>
      </c>
      <c r="F251">
        <v>-0.3</v>
      </c>
      <c r="G251" s="3">
        <v>-1.2E-2</v>
      </c>
      <c r="H251">
        <v>2013</v>
      </c>
      <c r="I251">
        <v>1</v>
      </c>
      <c r="J251">
        <v>0.9</v>
      </c>
      <c r="K251">
        <v>0</v>
      </c>
      <c r="L251">
        <v>0.9</v>
      </c>
      <c r="M251" s="3">
        <v>3.6299999999999999E-2</v>
      </c>
      <c r="N251" s="2">
        <v>0</v>
      </c>
      <c r="O251" s="3">
        <v>3.6299999999999999E-2</v>
      </c>
      <c r="P251" s="2">
        <v>0.9</v>
      </c>
      <c r="Q251" s="2">
        <v>0</v>
      </c>
      <c r="R251" s="2">
        <v>0.9</v>
      </c>
      <c r="S251" t="s">
        <v>34</v>
      </c>
    </row>
    <row r="252" spans="1:20" hidden="1" x14ac:dyDescent="0.6">
      <c r="A252">
        <v>144</v>
      </c>
      <c r="B252" t="str">
        <f>"1615"</f>
        <v>1615</v>
      </c>
      <c r="C252" t="s">
        <v>212</v>
      </c>
      <c r="D252" s="1">
        <v>42923</v>
      </c>
      <c r="E252">
        <v>11.05</v>
      </c>
      <c r="F252">
        <v>-0.05</v>
      </c>
      <c r="G252" s="3">
        <v>-4.4999999999999997E-3</v>
      </c>
      <c r="H252">
        <v>2013</v>
      </c>
      <c r="I252">
        <v>0.76</v>
      </c>
      <c r="J252">
        <v>0.4</v>
      </c>
      <c r="K252">
        <v>0</v>
      </c>
      <c r="L252">
        <v>0.4</v>
      </c>
      <c r="M252" s="3">
        <v>3.6200000000000003E-2</v>
      </c>
      <c r="N252" s="2">
        <v>0</v>
      </c>
      <c r="O252" s="3">
        <v>3.6200000000000003E-2</v>
      </c>
      <c r="P252" s="3">
        <v>0.52600000000000002</v>
      </c>
      <c r="Q252" s="2">
        <v>0</v>
      </c>
      <c r="R252" s="3">
        <v>0.52600000000000002</v>
      </c>
      <c r="S252" t="s">
        <v>140</v>
      </c>
    </row>
    <row r="253" spans="1:20" hidden="1" x14ac:dyDescent="0.6">
      <c r="A253">
        <v>57</v>
      </c>
      <c r="B253" t="str">
        <f>"3299"</f>
        <v>3299</v>
      </c>
      <c r="C253" t="s">
        <v>109</v>
      </c>
      <c r="D253" s="1">
        <v>42923</v>
      </c>
      <c r="E253">
        <v>63.7</v>
      </c>
      <c r="F253">
        <v>-1.7</v>
      </c>
      <c r="G253" s="3">
        <v>-2.5999999999999999E-2</v>
      </c>
      <c r="H253">
        <v>2013</v>
      </c>
      <c r="I253">
        <v>2.58</v>
      </c>
      <c r="J253">
        <v>2.2999999999999998</v>
      </c>
      <c r="K253">
        <v>0</v>
      </c>
      <c r="L253">
        <v>2.2999999999999998</v>
      </c>
      <c r="M253" s="3">
        <v>3.61E-2</v>
      </c>
      <c r="N253" s="2">
        <v>0</v>
      </c>
      <c r="O253" s="3">
        <v>3.61E-2</v>
      </c>
      <c r="P253" s="3">
        <v>0.89200000000000002</v>
      </c>
      <c r="Q253" s="2">
        <v>0</v>
      </c>
      <c r="R253" s="3">
        <v>0.89200000000000002</v>
      </c>
      <c r="S253" t="s">
        <v>110</v>
      </c>
    </row>
    <row r="254" spans="1:20" hidden="1" x14ac:dyDescent="0.6">
      <c r="A254">
        <v>116</v>
      </c>
      <c r="B254" t="str">
        <f>"4711"</f>
        <v>4711</v>
      </c>
      <c r="C254" t="s">
        <v>180</v>
      </c>
      <c r="D254" s="1">
        <v>42923</v>
      </c>
      <c r="E254">
        <v>19.5</v>
      </c>
      <c r="F254">
        <v>0.1</v>
      </c>
      <c r="G254" s="3">
        <v>5.1999999999999998E-3</v>
      </c>
      <c r="H254">
        <v>2013</v>
      </c>
      <c r="I254">
        <v>0.75</v>
      </c>
      <c r="J254">
        <v>0.7</v>
      </c>
      <c r="K254">
        <v>0</v>
      </c>
      <c r="L254">
        <v>0.7</v>
      </c>
      <c r="M254" s="3">
        <v>3.5900000000000001E-2</v>
      </c>
      <c r="N254" s="2">
        <v>0</v>
      </c>
      <c r="O254" s="3">
        <v>3.5900000000000001E-2</v>
      </c>
      <c r="P254" s="3">
        <v>0.93300000000000005</v>
      </c>
      <c r="Q254" s="2">
        <v>0</v>
      </c>
      <c r="R254" s="3">
        <v>0.93300000000000005</v>
      </c>
      <c r="S254" t="s">
        <v>24</v>
      </c>
    </row>
    <row r="255" spans="1:20" hidden="1" x14ac:dyDescent="0.6">
      <c r="A255">
        <v>425</v>
      </c>
      <c r="B255" t="str">
        <f>"2891"</f>
        <v>2891</v>
      </c>
      <c r="C255" t="s">
        <v>512</v>
      </c>
      <c r="D255" s="1">
        <v>42923</v>
      </c>
      <c r="E255">
        <v>19.95</v>
      </c>
      <c r="F255">
        <v>-0.2</v>
      </c>
      <c r="G255" s="3">
        <v>-9.9000000000000008E-3</v>
      </c>
      <c r="H255">
        <v>2013</v>
      </c>
      <c r="I255">
        <v>1.65</v>
      </c>
      <c r="J255">
        <v>0.71</v>
      </c>
      <c r="K255">
        <v>0.7</v>
      </c>
      <c r="L255">
        <v>1.41</v>
      </c>
      <c r="M255" s="3">
        <v>3.56E-2</v>
      </c>
      <c r="N255" s="3">
        <v>3.5099999999999999E-2</v>
      </c>
      <c r="O255" s="3">
        <v>7.0699999999999999E-2</v>
      </c>
      <c r="P255" s="2">
        <v>0.43</v>
      </c>
      <c r="Q255" s="3">
        <v>0.42399999999999999</v>
      </c>
      <c r="R255" s="3">
        <v>0.85399999999999998</v>
      </c>
      <c r="S255" t="s">
        <v>24</v>
      </c>
      <c r="T255" t="s">
        <v>513</v>
      </c>
    </row>
    <row r="256" spans="1:20" hidden="1" x14ac:dyDescent="0.6">
      <c r="A256">
        <v>182</v>
      </c>
      <c r="B256" t="str">
        <f>"3293"</f>
        <v>3293</v>
      </c>
      <c r="C256" t="s">
        <v>258</v>
      </c>
      <c r="D256" s="1">
        <v>42923</v>
      </c>
      <c r="E256">
        <v>156</v>
      </c>
      <c r="F256">
        <v>-3</v>
      </c>
      <c r="G256" s="3">
        <v>-1.89E-2</v>
      </c>
      <c r="H256">
        <v>2013</v>
      </c>
      <c r="I256">
        <v>4.49</v>
      </c>
      <c r="J256">
        <v>5.5</v>
      </c>
      <c r="K256">
        <v>0</v>
      </c>
      <c r="L256">
        <v>5.5</v>
      </c>
      <c r="M256" s="3">
        <v>3.5299999999999998E-2</v>
      </c>
      <c r="N256" s="2">
        <v>0</v>
      </c>
      <c r="O256" s="3">
        <v>3.5299999999999998E-2</v>
      </c>
      <c r="P256" s="2">
        <v>1.22</v>
      </c>
      <c r="Q256" s="2">
        <v>0</v>
      </c>
      <c r="R256" s="2">
        <v>1.22</v>
      </c>
      <c r="S256" t="s">
        <v>55</v>
      </c>
    </row>
    <row r="257" spans="1:20" hidden="1" x14ac:dyDescent="0.6">
      <c r="A257">
        <v>64</v>
      </c>
      <c r="B257" t="str">
        <f>"3402"</f>
        <v>3402</v>
      </c>
      <c r="C257" t="s">
        <v>118</v>
      </c>
      <c r="D257" s="1">
        <v>42923</v>
      </c>
      <c r="E257">
        <v>25.25</v>
      </c>
      <c r="F257">
        <v>0.05</v>
      </c>
      <c r="G257" s="3">
        <v>2E-3</v>
      </c>
      <c r="H257">
        <v>2013</v>
      </c>
      <c r="I257">
        <v>0.96</v>
      </c>
      <c r="J257">
        <v>0.89</v>
      </c>
      <c r="K257">
        <v>0</v>
      </c>
      <c r="L257">
        <v>0.89</v>
      </c>
      <c r="M257" s="3">
        <v>3.5200000000000002E-2</v>
      </c>
      <c r="N257" s="2">
        <v>0</v>
      </c>
      <c r="O257" s="3">
        <v>3.5200000000000002E-2</v>
      </c>
      <c r="P257" s="3">
        <v>0.92700000000000005</v>
      </c>
      <c r="Q257" s="2">
        <v>0</v>
      </c>
      <c r="R257" s="3">
        <v>0.92700000000000005</v>
      </c>
      <c r="S257" t="s">
        <v>119</v>
      </c>
    </row>
    <row r="258" spans="1:20" hidden="1" x14ac:dyDescent="0.6">
      <c r="A258">
        <v>168</v>
      </c>
      <c r="B258" t="str">
        <f>"9924"</f>
        <v>9924</v>
      </c>
      <c r="C258" t="s">
        <v>241</v>
      </c>
      <c r="D258" s="1">
        <v>42923</v>
      </c>
      <c r="E258">
        <v>42.65</v>
      </c>
      <c r="F258">
        <v>-0.15</v>
      </c>
      <c r="G258" s="3">
        <v>-3.5000000000000001E-3</v>
      </c>
      <c r="H258">
        <v>2013</v>
      </c>
      <c r="I258">
        <v>2.0499999999999998</v>
      </c>
      <c r="J258">
        <v>1.5</v>
      </c>
      <c r="K258">
        <v>0</v>
      </c>
      <c r="L258">
        <v>1.5</v>
      </c>
      <c r="M258" s="3">
        <v>3.5200000000000002E-2</v>
      </c>
      <c r="N258" s="2">
        <v>0</v>
      </c>
      <c r="O258" s="3">
        <v>3.5200000000000002E-2</v>
      </c>
      <c r="P258" s="3">
        <v>0.73199999999999998</v>
      </c>
      <c r="Q258" s="2">
        <v>0</v>
      </c>
      <c r="R258" s="3">
        <v>0.73199999999999998</v>
      </c>
      <c r="S258" t="s">
        <v>85</v>
      </c>
    </row>
    <row r="259" spans="1:20" hidden="1" x14ac:dyDescent="0.6">
      <c r="A259">
        <v>278</v>
      </c>
      <c r="B259" t="str">
        <f>"3296"</f>
        <v>3296</v>
      </c>
      <c r="C259" t="s">
        <v>358</v>
      </c>
      <c r="D259" s="1">
        <v>42923</v>
      </c>
      <c r="E259">
        <v>20.75</v>
      </c>
      <c r="F259">
        <v>-0.45</v>
      </c>
      <c r="G259" s="3">
        <v>-2.12E-2</v>
      </c>
      <c r="H259">
        <v>2013</v>
      </c>
      <c r="I259">
        <v>1.02</v>
      </c>
      <c r="J259">
        <v>0.73</v>
      </c>
      <c r="K259">
        <v>0</v>
      </c>
      <c r="L259">
        <v>0.73</v>
      </c>
      <c r="M259" s="3">
        <v>3.5200000000000002E-2</v>
      </c>
      <c r="N259" s="2">
        <v>0</v>
      </c>
      <c r="O259" s="3">
        <v>3.5200000000000002E-2</v>
      </c>
      <c r="P259" s="3">
        <v>0.71599999999999997</v>
      </c>
      <c r="Q259" s="2">
        <v>0</v>
      </c>
      <c r="R259" s="3">
        <v>0.71599999999999997</v>
      </c>
      <c r="S259" t="s">
        <v>24</v>
      </c>
    </row>
    <row r="260" spans="1:20" hidden="1" x14ac:dyDescent="0.6">
      <c r="A260">
        <v>304</v>
      </c>
      <c r="B260" t="str">
        <f>"1229"</f>
        <v>1229</v>
      </c>
      <c r="C260" t="s">
        <v>386</v>
      </c>
      <c r="D260" s="1">
        <v>42923</v>
      </c>
      <c r="E260">
        <v>28.35</v>
      </c>
      <c r="F260">
        <v>-0.15</v>
      </c>
      <c r="G260" s="3">
        <v>-5.3E-3</v>
      </c>
      <c r="H260">
        <v>2013</v>
      </c>
      <c r="I260">
        <v>1.86</v>
      </c>
      <c r="J260">
        <v>1</v>
      </c>
      <c r="K260">
        <v>0</v>
      </c>
      <c r="L260">
        <v>1</v>
      </c>
      <c r="M260" s="3">
        <v>3.5200000000000002E-2</v>
      </c>
      <c r="N260" s="2">
        <v>0</v>
      </c>
      <c r="O260" s="3">
        <v>3.5200000000000002E-2</v>
      </c>
      <c r="P260" s="3">
        <v>0.53800000000000003</v>
      </c>
      <c r="Q260" s="2">
        <v>0</v>
      </c>
      <c r="R260" s="3">
        <v>0.53800000000000003</v>
      </c>
      <c r="S260" t="s">
        <v>71</v>
      </c>
    </row>
    <row r="261" spans="1:20" hidden="1" x14ac:dyDescent="0.6">
      <c r="A261">
        <v>127</v>
      </c>
      <c r="B261" t="str">
        <f>"8131"</f>
        <v>8131</v>
      </c>
      <c r="C261" t="s">
        <v>193</v>
      </c>
      <c r="D261" s="1">
        <v>42923</v>
      </c>
      <c r="E261">
        <v>28.45</v>
      </c>
      <c r="F261">
        <v>-0.1</v>
      </c>
      <c r="G261" s="3">
        <v>-3.5000000000000001E-3</v>
      </c>
      <c r="H261">
        <v>2013</v>
      </c>
      <c r="I261">
        <v>0.66</v>
      </c>
      <c r="J261">
        <v>1</v>
      </c>
      <c r="K261">
        <v>0</v>
      </c>
      <c r="L261">
        <v>1</v>
      </c>
      <c r="M261" s="3">
        <v>3.5099999999999999E-2</v>
      </c>
      <c r="N261" s="2">
        <v>0</v>
      </c>
      <c r="O261" s="3">
        <v>3.5099999999999999E-2</v>
      </c>
      <c r="P261" s="2">
        <v>1.52</v>
      </c>
      <c r="Q261" s="2">
        <v>0</v>
      </c>
      <c r="R261" s="2">
        <v>1.52</v>
      </c>
      <c r="S261" t="s">
        <v>47</v>
      </c>
    </row>
    <row r="262" spans="1:20" hidden="1" x14ac:dyDescent="0.6">
      <c r="A262">
        <v>288</v>
      </c>
      <c r="B262" t="str">
        <f>"9188"</f>
        <v>9188</v>
      </c>
      <c r="C262" t="s">
        <v>370</v>
      </c>
      <c r="D262" s="1">
        <v>42923</v>
      </c>
      <c r="E262">
        <v>4.8499999999999996</v>
      </c>
      <c r="F262">
        <v>0</v>
      </c>
      <c r="G262" s="2">
        <v>0</v>
      </c>
      <c r="H262">
        <v>2013</v>
      </c>
      <c r="I262">
        <v>0</v>
      </c>
      <c r="J262">
        <v>0.17</v>
      </c>
      <c r="K262">
        <v>0</v>
      </c>
      <c r="L262">
        <v>0.17</v>
      </c>
      <c r="M262" s="3">
        <v>3.5099999999999999E-2</v>
      </c>
      <c r="N262" s="2">
        <v>0</v>
      </c>
      <c r="O262" s="3">
        <v>3.5099999999999999E-2</v>
      </c>
      <c r="P262" s="2">
        <v>0</v>
      </c>
      <c r="Q262" s="2">
        <v>0</v>
      </c>
      <c r="R262" s="2">
        <v>0</v>
      </c>
      <c r="S262" t="s">
        <v>282</v>
      </c>
    </row>
    <row r="263" spans="1:20" hidden="1" x14ac:dyDescent="0.6">
      <c r="A263">
        <v>69</v>
      </c>
      <c r="B263" t="str">
        <f>"5016"</f>
        <v>5016</v>
      </c>
      <c r="C263" t="s">
        <v>127</v>
      </c>
      <c r="D263" s="1">
        <v>42923</v>
      </c>
      <c r="E263">
        <v>31.75</v>
      </c>
      <c r="F263">
        <v>-0.15</v>
      </c>
      <c r="G263" s="3">
        <v>-4.7000000000000002E-3</v>
      </c>
      <c r="H263">
        <v>2013</v>
      </c>
      <c r="I263">
        <v>0.72</v>
      </c>
      <c r="J263">
        <v>1.1000000000000001</v>
      </c>
      <c r="K263">
        <v>0</v>
      </c>
      <c r="L263">
        <v>1.1000000000000001</v>
      </c>
      <c r="M263" s="3">
        <v>3.4599999999999999E-2</v>
      </c>
      <c r="N263" s="2">
        <v>0</v>
      </c>
      <c r="O263" s="3">
        <v>3.4599999999999999E-2</v>
      </c>
      <c r="P263" s="2">
        <v>1.53</v>
      </c>
      <c r="Q263" s="2">
        <v>0</v>
      </c>
      <c r="R263" s="2">
        <v>1.53</v>
      </c>
      <c r="S263" t="s">
        <v>128</v>
      </c>
    </row>
    <row r="264" spans="1:20" hidden="1" x14ac:dyDescent="0.6">
      <c r="A264">
        <v>179</v>
      </c>
      <c r="B264" t="str">
        <f>"3088"</f>
        <v>3088</v>
      </c>
      <c r="C264" t="s">
        <v>255</v>
      </c>
      <c r="D264" s="1">
        <v>42923</v>
      </c>
      <c r="E264">
        <v>56.8</v>
      </c>
      <c r="F264">
        <v>-0.4</v>
      </c>
      <c r="G264" s="3">
        <v>-7.0000000000000001E-3</v>
      </c>
      <c r="H264">
        <v>2013</v>
      </c>
      <c r="I264">
        <v>2.31</v>
      </c>
      <c r="J264">
        <v>1.96</v>
      </c>
      <c r="K264">
        <v>0</v>
      </c>
      <c r="L264">
        <v>1.96</v>
      </c>
      <c r="M264" s="3">
        <v>3.4500000000000003E-2</v>
      </c>
      <c r="N264" s="2">
        <v>0</v>
      </c>
      <c r="O264" s="3">
        <v>3.4500000000000003E-2</v>
      </c>
      <c r="P264" s="3">
        <v>0.84799999999999998</v>
      </c>
      <c r="Q264" s="2">
        <v>0</v>
      </c>
      <c r="R264" s="3">
        <v>0.84799999999999998</v>
      </c>
      <c r="S264" t="s">
        <v>190</v>
      </c>
    </row>
    <row r="265" spans="1:20" hidden="1" x14ac:dyDescent="0.6">
      <c r="A265">
        <v>58</v>
      </c>
      <c r="B265" t="str">
        <f>"1604"</f>
        <v>1604</v>
      </c>
      <c r="C265" t="s">
        <v>111</v>
      </c>
      <c r="D265" s="1">
        <v>42923</v>
      </c>
      <c r="E265">
        <v>17.5</v>
      </c>
      <c r="F265">
        <v>-0.1</v>
      </c>
      <c r="G265" s="3">
        <v>-5.7000000000000002E-3</v>
      </c>
      <c r="H265">
        <v>2013</v>
      </c>
      <c r="I265">
        <v>0.94</v>
      </c>
      <c r="J265">
        <v>0.6</v>
      </c>
      <c r="K265">
        <v>0</v>
      </c>
      <c r="L265">
        <v>0.6</v>
      </c>
      <c r="M265" s="3">
        <v>3.4299999999999997E-2</v>
      </c>
      <c r="N265" s="2">
        <v>0</v>
      </c>
      <c r="O265" s="3">
        <v>3.4299999999999997E-2</v>
      </c>
      <c r="P265" s="3">
        <v>0.63800000000000001</v>
      </c>
      <c r="Q265" s="2">
        <v>0</v>
      </c>
      <c r="R265" s="3">
        <v>0.63800000000000001</v>
      </c>
      <c r="S265" t="s">
        <v>95</v>
      </c>
    </row>
    <row r="266" spans="1:20" hidden="1" x14ac:dyDescent="0.6">
      <c r="A266">
        <v>402</v>
      </c>
      <c r="B266" t="str">
        <f>"6206"</f>
        <v>6206</v>
      </c>
      <c r="C266" t="s">
        <v>488</v>
      </c>
      <c r="D266" s="1">
        <v>42923</v>
      </c>
      <c r="E266">
        <v>97.9</v>
      </c>
      <c r="F266">
        <v>-0.5</v>
      </c>
      <c r="G266" s="3">
        <v>-5.1000000000000004E-3</v>
      </c>
      <c r="H266">
        <v>2013</v>
      </c>
      <c r="I266">
        <v>6.07</v>
      </c>
      <c r="J266">
        <v>3.35</v>
      </c>
      <c r="K266">
        <v>0.96</v>
      </c>
      <c r="L266">
        <v>4.3099999999999996</v>
      </c>
      <c r="M266" s="3">
        <v>3.4299999999999997E-2</v>
      </c>
      <c r="N266" s="3">
        <v>9.7999999999999997E-3</v>
      </c>
      <c r="O266" s="3">
        <v>4.41E-2</v>
      </c>
      <c r="P266" s="3">
        <v>0.55200000000000005</v>
      </c>
      <c r="Q266" s="3">
        <v>0.158</v>
      </c>
      <c r="R266" s="2">
        <v>0.71</v>
      </c>
      <c r="S266" t="s">
        <v>174</v>
      </c>
      <c r="T266" t="s">
        <v>174</v>
      </c>
    </row>
    <row r="267" spans="1:20" hidden="1" x14ac:dyDescent="0.6">
      <c r="A267">
        <v>376</v>
      </c>
      <c r="B267" t="str">
        <f>"5388"</f>
        <v>5388</v>
      </c>
      <c r="C267" t="s">
        <v>459</v>
      </c>
      <c r="D267" s="1">
        <v>42923</v>
      </c>
      <c r="E267">
        <v>80</v>
      </c>
      <c r="F267">
        <v>-0.4</v>
      </c>
      <c r="G267" s="3">
        <v>-5.0000000000000001E-3</v>
      </c>
      <c r="H267">
        <v>2013</v>
      </c>
      <c r="I267">
        <v>3.9</v>
      </c>
      <c r="J267">
        <v>2.73</v>
      </c>
      <c r="K267">
        <v>0</v>
      </c>
      <c r="L267">
        <v>2.73</v>
      </c>
      <c r="M267" s="3">
        <v>3.4099999999999998E-2</v>
      </c>
      <c r="N267" s="2">
        <v>0</v>
      </c>
      <c r="O267" s="3">
        <v>3.4099999999999998E-2</v>
      </c>
      <c r="P267" s="2">
        <v>0.7</v>
      </c>
      <c r="Q267" s="2">
        <v>0</v>
      </c>
      <c r="R267" s="2">
        <v>0.7</v>
      </c>
      <c r="S267" t="s">
        <v>89</v>
      </c>
    </row>
    <row r="268" spans="1:20" hidden="1" x14ac:dyDescent="0.6">
      <c r="A268">
        <v>150</v>
      </c>
      <c r="B268" t="str">
        <f>"5493"</f>
        <v>5493</v>
      </c>
      <c r="C268" t="s">
        <v>218</v>
      </c>
      <c r="D268" s="1">
        <v>42923</v>
      </c>
      <c r="E268">
        <v>29.7</v>
      </c>
      <c r="F268">
        <v>0.05</v>
      </c>
      <c r="G268" s="3">
        <v>1.6999999999999999E-3</v>
      </c>
      <c r="H268">
        <v>2013</v>
      </c>
      <c r="I268">
        <v>2.0499999999999998</v>
      </c>
      <c r="J268">
        <v>1</v>
      </c>
      <c r="K268">
        <v>0.8</v>
      </c>
      <c r="L268">
        <v>1.8</v>
      </c>
      <c r="M268" s="3">
        <v>3.3700000000000001E-2</v>
      </c>
      <c r="N268" s="3">
        <v>2.69E-2</v>
      </c>
      <c r="O268" s="3">
        <v>6.0600000000000001E-2</v>
      </c>
      <c r="P268" s="3">
        <v>0.48799999999999999</v>
      </c>
      <c r="Q268" s="2">
        <v>0.39</v>
      </c>
      <c r="R268" s="3">
        <v>0.878</v>
      </c>
      <c r="S268" t="s">
        <v>114</v>
      </c>
      <c r="T268" t="s">
        <v>114</v>
      </c>
    </row>
    <row r="269" spans="1:20" hidden="1" x14ac:dyDescent="0.6">
      <c r="A269">
        <v>74</v>
      </c>
      <c r="B269" t="str">
        <f>"8942"</f>
        <v>8942</v>
      </c>
      <c r="C269" t="s">
        <v>133</v>
      </c>
      <c r="D269" s="1">
        <v>42923</v>
      </c>
      <c r="E269">
        <v>67</v>
      </c>
      <c r="F269">
        <v>-0.3</v>
      </c>
      <c r="G269" s="3">
        <v>-4.4999999999999997E-3</v>
      </c>
      <c r="H269">
        <v>2013</v>
      </c>
      <c r="I269">
        <v>4.17</v>
      </c>
      <c r="J269">
        <v>2.25</v>
      </c>
      <c r="K269">
        <v>0</v>
      </c>
      <c r="L269">
        <v>2.25</v>
      </c>
      <c r="M269" s="3">
        <v>3.3599999999999998E-2</v>
      </c>
      <c r="N269" s="2">
        <v>0</v>
      </c>
      <c r="O269" s="3">
        <v>3.3599999999999998E-2</v>
      </c>
      <c r="P269" s="2">
        <v>0.54</v>
      </c>
      <c r="Q269" s="2">
        <v>0</v>
      </c>
      <c r="R269" s="2">
        <v>0.54</v>
      </c>
      <c r="S269" t="s">
        <v>93</v>
      </c>
    </row>
    <row r="270" spans="1:20" hidden="1" x14ac:dyDescent="0.6">
      <c r="A270">
        <v>12</v>
      </c>
      <c r="B270" t="str">
        <f>"4984"</f>
        <v>4984</v>
      </c>
      <c r="C270" t="s">
        <v>39</v>
      </c>
      <c r="D270" s="1">
        <v>42923</v>
      </c>
      <c r="E270">
        <v>44.8</v>
      </c>
      <c r="F270">
        <v>-0.1</v>
      </c>
      <c r="G270" s="3">
        <v>-2.2000000000000001E-3</v>
      </c>
      <c r="H270">
        <v>2013</v>
      </c>
      <c r="I270">
        <v>0.4</v>
      </c>
      <c r="J270">
        <v>1.5</v>
      </c>
      <c r="K270">
        <v>0</v>
      </c>
      <c r="L270">
        <v>1.5</v>
      </c>
      <c r="M270" s="3">
        <v>3.3399999999999999E-2</v>
      </c>
      <c r="N270" s="2">
        <v>0</v>
      </c>
      <c r="O270" s="3">
        <v>3.3399999999999999E-2</v>
      </c>
      <c r="P270" s="2">
        <v>3.75</v>
      </c>
      <c r="Q270" s="2">
        <v>0</v>
      </c>
      <c r="R270" s="2">
        <v>3.75</v>
      </c>
      <c r="S270" t="s">
        <v>40</v>
      </c>
    </row>
    <row r="271" spans="1:20" hidden="1" x14ac:dyDescent="0.6">
      <c r="A271">
        <v>408</v>
      </c>
      <c r="B271" t="str">
        <f>"0056"</f>
        <v>0056</v>
      </c>
      <c r="C271" t="s">
        <v>494</v>
      </c>
      <c r="D271" s="1">
        <v>42923</v>
      </c>
      <c r="E271">
        <v>25.56</v>
      </c>
      <c r="F271">
        <v>-0.08</v>
      </c>
      <c r="G271" s="3">
        <v>-3.0999999999999999E-3</v>
      </c>
      <c r="H271">
        <v>2013</v>
      </c>
      <c r="J271">
        <v>0.85</v>
      </c>
      <c r="K271">
        <v>0</v>
      </c>
      <c r="L271">
        <v>0.85</v>
      </c>
      <c r="M271" s="3">
        <v>3.3300000000000003E-2</v>
      </c>
      <c r="N271" s="2">
        <v>0</v>
      </c>
      <c r="O271" s="3">
        <v>3.3300000000000003E-2</v>
      </c>
      <c r="S271" t="s">
        <v>495</v>
      </c>
    </row>
    <row r="272" spans="1:20" hidden="1" x14ac:dyDescent="0.6">
      <c r="A272">
        <v>218</v>
      </c>
      <c r="B272" t="str">
        <f>"8255"</f>
        <v>8255</v>
      </c>
      <c r="C272" t="s">
        <v>297</v>
      </c>
      <c r="D272" s="1">
        <v>42923</v>
      </c>
      <c r="E272">
        <v>105.5</v>
      </c>
      <c r="F272">
        <v>-1.5</v>
      </c>
      <c r="G272" s="3">
        <v>-1.4E-2</v>
      </c>
      <c r="H272">
        <v>2013</v>
      </c>
      <c r="I272">
        <v>4.43</v>
      </c>
      <c r="J272">
        <v>3.5</v>
      </c>
      <c r="K272">
        <v>0</v>
      </c>
      <c r="L272">
        <v>3.5</v>
      </c>
      <c r="M272" s="3">
        <v>3.32E-2</v>
      </c>
      <c r="N272" s="2">
        <v>0</v>
      </c>
      <c r="O272" s="3">
        <v>3.32E-2</v>
      </c>
      <c r="P272" s="2">
        <v>0.79</v>
      </c>
      <c r="Q272" s="2">
        <v>0</v>
      </c>
      <c r="R272" s="2">
        <v>0.79</v>
      </c>
      <c r="S272" t="s">
        <v>143</v>
      </c>
    </row>
    <row r="273" spans="1:20" hidden="1" x14ac:dyDescent="0.6">
      <c r="A273">
        <v>464</v>
      </c>
      <c r="B273" t="str">
        <f>"1231"</f>
        <v>1231</v>
      </c>
      <c r="C273" t="s">
        <v>555</v>
      </c>
      <c r="D273" s="1">
        <v>42923</v>
      </c>
      <c r="E273">
        <v>36.15</v>
      </c>
      <c r="F273">
        <v>0</v>
      </c>
      <c r="G273" s="2">
        <v>0</v>
      </c>
      <c r="H273">
        <v>2013</v>
      </c>
      <c r="I273">
        <v>3</v>
      </c>
      <c r="J273">
        <v>1.2</v>
      </c>
      <c r="K273">
        <v>0.8</v>
      </c>
      <c r="L273">
        <v>2</v>
      </c>
      <c r="M273" s="3">
        <v>3.32E-2</v>
      </c>
      <c r="N273" s="3">
        <v>2.2100000000000002E-2</v>
      </c>
      <c r="O273" s="3">
        <v>5.5300000000000002E-2</v>
      </c>
      <c r="P273" s="2">
        <v>0.4</v>
      </c>
      <c r="Q273" s="3">
        <v>0.26700000000000002</v>
      </c>
      <c r="R273" s="3">
        <v>0.66700000000000004</v>
      </c>
      <c r="S273" t="s">
        <v>226</v>
      </c>
      <c r="T273" t="s">
        <v>226</v>
      </c>
    </row>
    <row r="274" spans="1:20" hidden="1" x14ac:dyDescent="0.6">
      <c r="A274">
        <v>33</v>
      </c>
      <c r="B274" t="str">
        <f>"3679"</f>
        <v>3679</v>
      </c>
      <c r="C274" t="s">
        <v>70</v>
      </c>
      <c r="D274" s="1">
        <v>42923</v>
      </c>
      <c r="E274">
        <v>91.9</v>
      </c>
      <c r="F274">
        <v>0.1</v>
      </c>
      <c r="G274" s="3">
        <v>1.1000000000000001E-3</v>
      </c>
      <c r="H274">
        <v>2013</v>
      </c>
      <c r="I274">
        <v>5.0999999999999996</v>
      </c>
      <c r="J274">
        <v>3.04</v>
      </c>
      <c r="K274">
        <v>0</v>
      </c>
      <c r="L274">
        <v>3.04</v>
      </c>
      <c r="M274" s="3">
        <v>3.3000000000000002E-2</v>
      </c>
      <c r="N274" s="2">
        <v>0</v>
      </c>
      <c r="O274" s="3">
        <v>3.3000000000000002E-2</v>
      </c>
      <c r="P274" s="3">
        <v>0.59599999999999997</v>
      </c>
      <c r="Q274" s="2">
        <v>0</v>
      </c>
      <c r="R274" s="3">
        <v>0.59599999999999997</v>
      </c>
      <c r="S274" t="s">
        <v>71</v>
      </c>
    </row>
    <row r="275" spans="1:20" hidden="1" x14ac:dyDescent="0.6">
      <c r="A275">
        <v>335</v>
      </c>
      <c r="B275" t="str">
        <f>"6205"</f>
        <v>6205</v>
      </c>
      <c r="C275" t="s">
        <v>417</v>
      </c>
      <c r="D275" s="1">
        <v>42923</v>
      </c>
      <c r="E275">
        <v>36.5</v>
      </c>
      <c r="F275">
        <v>-0.75</v>
      </c>
      <c r="G275" s="3">
        <v>-2.01E-2</v>
      </c>
      <c r="H275">
        <v>2013</v>
      </c>
      <c r="I275">
        <v>1.57</v>
      </c>
      <c r="J275">
        <v>1.2</v>
      </c>
      <c r="K275">
        <v>0</v>
      </c>
      <c r="L275">
        <v>1.2</v>
      </c>
      <c r="M275" s="3">
        <v>3.2899999999999999E-2</v>
      </c>
      <c r="N275" s="2">
        <v>0</v>
      </c>
      <c r="O275" s="3">
        <v>3.2899999999999999E-2</v>
      </c>
      <c r="P275" s="3">
        <v>0.76400000000000001</v>
      </c>
      <c r="Q275" s="2">
        <v>0</v>
      </c>
      <c r="R275" s="3">
        <v>0.76400000000000001</v>
      </c>
      <c r="S275" t="s">
        <v>226</v>
      </c>
    </row>
    <row r="276" spans="1:20" hidden="1" x14ac:dyDescent="0.6">
      <c r="A276">
        <v>348</v>
      </c>
      <c r="B276" t="str">
        <f>"4747"</f>
        <v>4747</v>
      </c>
      <c r="C276" t="s">
        <v>430</v>
      </c>
      <c r="D276" s="1">
        <v>42923</v>
      </c>
      <c r="E276">
        <v>35.15</v>
      </c>
      <c r="F276">
        <v>-0.25</v>
      </c>
      <c r="G276" s="3">
        <v>-7.1000000000000004E-3</v>
      </c>
      <c r="H276">
        <v>2013</v>
      </c>
      <c r="I276">
        <v>2.71</v>
      </c>
      <c r="J276">
        <v>1.1499999999999999</v>
      </c>
      <c r="K276">
        <v>1.25</v>
      </c>
      <c r="L276">
        <v>2.4</v>
      </c>
      <c r="M276" s="3">
        <v>3.27E-2</v>
      </c>
      <c r="N276" s="3">
        <v>3.56E-2</v>
      </c>
      <c r="O276" s="3">
        <v>6.83E-2</v>
      </c>
      <c r="P276" s="3">
        <v>0.42399999999999999</v>
      </c>
      <c r="Q276" s="3">
        <v>0.46100000000000002</v>
      </c>
      <c r="R276" s="3">
        <v>0.88600000000000001</v>
      </c>
      <c r="S276" t="s">
        <v>43</v>
      </c>
      <c r="T276" t="s">
        <v>43</v>
      </c>
    </row>
    <row r="277" spans="1:20" hidden="1" x14ac:dyDescent="0.6">
      <c r="A277">
        <v>420</v>
      </c>
      <c r="B277" t="str">
        <f>"9937"</f>
        <v>9937</v>
      </c>
      <c r="C277" t="s">
        <v>507</v>
      </c>
      <c r="D277" s="1">
        <v>42923</v>
      </c>
      <c r="E277">
        <v>39.700000000000003</v>
      </c>
      <c r="F277">
        <v>-0.25</v>
      </c>
      <c r="G277" s="3">
        <v>-6.3E-3</v>
      </c>
      <c r="H277">
        <v>2013</v>
      </c>
      <c r="I277">
        <v>1.34</v>
      </c>
      <c r="J277">
        <v>1.3</v>
      </c>
      <c r="K277">
        <v>0</v>
      </c>
      <c r="L277">
        <v>1.3</v>
      </c>
      <c r="M277" s="3">
        <v>3.27E-2</v>
      </c>
      <c r="N277" s="2">
        <v>0</v>
      </c>
      <c r="O277" s="3">
        <v>3.27E-2</v>
      </c>
      <c r="P277" s="2">
        <v>0.97</v>
      </c>
      <c r="Q277" s="2">
        <v>0</v>
      </c>
      <c r="R277" s="2">
        <v>0.97</v>
      </c>
      <c r="S277" t="s">
        <v>31</v>
      </c>
    </row>
    <row r="278" spans="1:20" hidden="1" x14ac:dyDescent="0.6">
      <c r="A278">
        <v>497</v>
      </c>
      <c r="B278" t="str">
        <f>"3611"</f>
        <v>3611</v>
      </c>
      <c r="C278" t="s">
        <v>591</v>
      </c>
      <c r="D278" s="1">
        <v>42923</v>
      </c>
      <c r="E278">
        <v>214</v>
      </c>
      <c r="F278">
        <v>1.5</v>
      </c>
      <c r="G278" s="3">
        <v>7.1000000000000004E-3</v>
      </c>
      <c r="H278">
        <v>2013</v>
      </c>
      <c r="I278">
        <v>8.8800000000000008</v>
      </c>
      <c r="J278">
        <v>7</v>
      </c>
      <c r="K278">
        <v>0</v>
      </c>
      <c r="L278">
        <v>7</v>
      </c>
      <c r="M278" s="3">
        <v>3.27E-2</v>
      </c>
      <c r="N278" s="2">
        <v>0</v>
      </c>
      <c r="O278" s="3">
        <v>3.27E-2</v>
      </c>
      <c r="P278" s="3">
        <v>0.78800000000000003</v>
      </c>
      <c r="Q278" s="2">
        <v>0</v>
      </c>
      <c r="R278" s="3">
        <v>0.78800000000000003</v>
      </c>
      <c r="S278" t="s">
        <v>143</v>
      </c>
    </row>
    <row r="279" spans="1:20" hidden="1" x14ac:dyDescent="0.6">
      <c r="A279">
        <v>323</v>
      </c>
      <c r="B279" t="str">
        <f>"1532"</f>
        <v>1532</v>
      </c>
      <c r="C279" t="s">
        <v>405</v>
      </c>
      <c r="D279" s="1">
        <v>42923</v>
      </c>
      <c r="E279">
        <v>30.65</v>
      </c>
      <c r="F279">
        <v>0.15</v>
      </c>
      <c r="G279" s="3">
        <v>4.8999999999999998E-3</v>
      </c>
      <c r="H279">
        <v>2013</v>
      </c>
      <c r="I279">
        <v>1.78</v>
      </c>
      <c r="J279">
        <v>1</v>
      </c>
      <c r="K279">
        <v>0.2</v>
      </c>
      <c r="L279">
        <v>1.2</v>
      </c>
      <c r="M279" s="3">
        <v>3.2599999999999997E-2</v>
      </c>
      <c r="N279" s="3">
        <v>6.4999999999999997E-3</v>
      </c>
      <c r="O279" s="3">
        <v>3.9199999999999999E-2</v>
      </c>
      <c r="P279" s="3">
        <v>0.56200000000000006</v>
      </c>
      <c r="Q279" s="3">
        <v>0.112</v>
      </c>
      <c r="R279" s="3">
        <v>0.67400000000000004</v>
      </c>
      <c r="S279" t="s">
        <v>99</v>
      </c>
      <c r="T279" t="s">
        <v>99</v>
      </c>
    </row>
    <row r="280" spans="1:20" hidden="1" x14ac:dyDescent="0.6">
      <c r="A280">
        <v>67</v>
      </c>
      <c r="B280" t="str">
        <f>"3014"</f>
        <v>3014</v>
      </c>
      <c r="C280" t="s">
        <v>123</v>
      </c>
      <c r="D280" s="1">
        <v>42923</v>
      </c>
      <c r="E280">
        <v>37.1</v>
      </c>
      <c r="F280">
        <v>-0.15</v>
      </c>
      <c r="G280" s="3">
        <v>-4.0000000000000001E-3</v>
      </c>
      <c r="H280">
        <v>2013</v>
      </c>
      <c r="I280">
        <v>1.06</v>
      </c>
      <c r="J280">
        <v>1.2</v>
      </c>
      <c r="K280">
        <v>0</v>
      </c>
      <c r="L280">
        <v>1.2</v>
      </c>
      <c r="M280" s="3">
        <v>3.2399999999999998E-2</v>
      </c>
      <c r="N280" s="2">
        <v>0</v>
      </c>
      <c r="O280" s="3">
        <v>3.2399999999999998E-2</v>
      </c>
      <c r="P280" s="2">
        <v>1.1299999999999999</v>
      </c>
      <c r="Q280" s="2">
        <v>0</v>
      </c>
      <c r="R280" s="2">
        <v>1.1299999999999999</v>
      </c>
      <c r="S280" t="s">
        <v>124</v>
      </c>
    </row>
    <row r="281" spans="1:20" hidden="1" x14ac:dyDescent="0.6">
      <c r="A281">
        <v>176</v>
      </c>
      <c r="B281" t="str">
        <f>"3022"</f>
        <v>3022</v>
      </c>
      <c r="C281" t="s">
        <v>250</v>
      </c>
      <c r="D281" s="1">
        <v>42923</v>
      </c>
      <c r="E281">
        <v>46.25</v>
      </c>
      <c r="F281">
        <v>-0.1</v>
      </c>
      <c r="G281" s="3">
        <v>-2.2000000000000001E-3</v>
      </c>
      <c r="H281">
        <v>2013</v>
      </c>
      <c r="I281">
        <v>3.44</v>
      </c>
      <c r="J281">
        <v>1.5</v>
      </c>
      <c r="K281">
        <v>0.5</v>
      </c>
      <c r="L281">
        <v>2</v>
      </c>
      <c r="M281" s="3">
        <v>3.2399999999999998E-2</v>
      </c>
      <c r="N281" s="3">
        <v>1.0800000000000001E-2</v>
      </c>
      <c r="O281" s="3">
        <v>4.3200000000000002E-2</v>
      </c>
      <c r="P281" s="3">
        <v>0.436</v>
      </c>
      <c r="Q281" s="3">
        <v>0.14499999999999999</v>
      </c>
      <c r="R281" s="3">
        <v>0.58099999999999996</v>
      </c>
      <c r="S281" t="s">
        <v>251</v>
      </c>
      <c r="T281" t="s">
        <v>251</v>
      </c>
    </row>
    <row r="282" spans="1:20" hidden="1" x14ac:dyDescent="0.6">
      <c r="A282">
        <v>319</v>
      </c>
      <c r="B282" t="str">
        <f>"2441"</f>
        <v>2441</v>
      </c>
      <c r="C282" t="s">
        <v>401</v>
      </c>
      <c r="D282" s="1">
        <v>42923</v>
      </c>
      <c r="E282">
        <v>49.35</v>
      </c>
      <c r="F282">
        <v>-0.15</v>
      </c>
      <c r="G282" s="3">
        <v>-3.0000000000000001E-3</v>
      </c>
      <c r="H282">
        <v>2013</v>
      </c>
      <c r="I282">
        <v>2.2400000000000002</v>
      </c>
      <c r="J282">
        <v>1.6</v>
      </c>
      <c r="K282">
        <v>0</v>
      </c>
      <c r="L282">
        <v>1.6</v>
      </c>
      <c r="M282" s="3">
        <v>3.2399999999999998E-2</v>
      </c>
      <c r="N282" s="2">
        <v>0</v>
      </c>
      <c r="O282" s="3">
        <v>3.2399999999999998E-2</v>
      </c>
      <c r="P282" s="3">
        <v>0.71399999999999997</v>
      </c>
      <c r="Q282" s="2">
        <v>0</v>
      </c>
      <c r="R282" s="3">
        <v>0.71399999999999997</v>
      </c>
      <c r="S282" t="s">
        <v>105</v>
      </c>
    </row>
    <row r="283" spans="1:20" hidden="1" x14ac:dyDescent="0.6">
      <c r="A283">
        <v>63</v>
      </c>
      <c r="B283" t="str">
        <f>"4972"</f>
        <v>4972</v>
      </c>
      <c r="C283" t="s">
        <v>117</v>
      </c>
      <c r="D283" s="1">
        <v>42923</v>
      </c>
      <c r="E283">
        <v>32.799999999999997</v>
      </c>
      <c r="F283">
        <v>-0.2</v>
      </c>
      <c r="G283" s="3">
        <v>-6.1000000000000004E-3</v>
      </c>
      <c r="H283">
        <v>2013</v>
      </c>
      <c r="I283">
        <v>2.3199999999999998</v>
      </c>
      <c r="J283">
        <v>1.06</v>
      </c>
      <c r="K283">
        <v>0.53</v>
      </c>
      <c r="L283">
        <v>1.59</v>
      </c>
      <c r="M283" s="3">
        <v>3.2300000000000002E-2</v>
      </c>
      <c r="N283" s="3">
        <v>1.61E-2</v>
      </c>
      <c r="O283" s="3">
        <v>4.8399999999999999E-2</v>
      </c>
      <c r="P283" s="3">
        <v>0.45700000000000002</v>
      </c>
      <c r="Q283" s="3">
        <v>0.22800000000000001</v>
      </c>
      <c r="R283" s="3">
        <v>0.68500000000000005</v>
      </c>
      <c r="S283" t="s">
        <v>103</v>
      </c>
      <c r="T283" t="s">
        <v>103</v>
      </c>
    </row>
    <row r="284" spans="1:20" hidden="1" x14ac:dyDescent="0.6">
      <c r="A284">
        <v>480</v>
      </c>
      <c r="B284" t="str">
        <f>"3163"</f>
        <v>3163</v>
      </c>
      <c r="C284" t="s">
        <v>573</v>
      </c>
      <c r="D284" s="1">
        <v>42923</v>
      </c>
      <c r="E284">
        <v>45.95</v>
      </c>
      <c r="F284">
        <v>-0.45</v>
      </c>
      <c r="G284" s="3">
        <v>-9.7000000000000003E-3</v>
      </c>
      <c r="H284">
        <v>2013</v>
      </c>
      <c r="I284">
        <v>3.16</v>
      </c>
      <c r="J284">
        <v>1.48</v>
      </c>
      <c r="K284">
        <v>0</v>
      </c>
      <c r="L284">
        <v>1.48</v>
      </c>
      <c r="M284" s="3">
        <v>3.2199999999999999E-2</v>
      </c>
      <c r="N284" s="2">
        <v>0</v>
      </c>
      <c r="O284" s="3">
        <v>3.2199999999999999E-2</v>
      </c>
      <c r="P284" s="3">
        <v>0.46800000000000003</v>
      </c>
      <c r="Q284" s="2">
        <v>0</v>
      </c>
      <c r="R284" s="3">
        <v>0.46800000000000003</v>
      </c>
      <c r="S284" t="s">
        <v>93</v>
      </c>
    </row>
    <row r="285" spans="1:20" hidden="1" x14ac:dyDescent="0.6">
      <c r="A285">
        <v>476</v>
      </c>
      <c r="B285" t="str">
        <f>"1434"</f>
        <v>1434</v>
      </c>
      <c r="C285" t="s">
        <v>569</v>
      </c>
      <c r="D285" s="1">
        <v>42923</v>
      </c>
      <c r="E285">
        <v>31.25</v>
      </c>
      <c r="F285">
        <v>0.05</v>
      </c>
      <c r="G285" s="3">
        <v>1.6000000000000001E-3</v>
      </c>
      <c r="H285">
        <v>2013</v>
      </c>
      <c r="I285">
        <v>1.43</v>
      </c>
      <c r="J285">
        <v>1</v>
      </c>
      <c r="K285">
        <v>0</v>
      </c>
      <c r="L285">
        <v>1</v>
      </c>
      <c r="M285" s="3">
        <v>3.2000000000000001E-2</v>
      </c>
      <c r="N285" s="2">
        <v>0</v>
      </c>
      <c r="O285" s="3">
        <v>3.2000000000000001E-2</v>
      </c>
      <c r="P285" s="3">
        <v>0.69899999999999995</v>
      </c>
      <c r="Q285" s="2">
        <v>0</v>
      </c>
      <c r="R285" s="3">
        <v>0.69899999999999995</v>
      </c>
      <c r="S285" t="s">
        <v>247</v>
      </c>
    </row>
    <row r="286" spans="1:20" hidden="1" x14ac:dyDescent="0.6">
      <c r="A286">
        <v>465</v>
      </c>
      <c r="B286" t="str">
        <f>"1727"</f>
        <v>1727</v>
      </c>
      <c r="C286" t="s">
        <v>556</v>
      </c>
      <c r="D286" s="1">
        <v>42923</v>
      </c>
      <c r="E286">
        <v>12.4</v>
      </c>
      <c r="F286">
        <v>-0.2</v>
      </c>
      <c r="G286" s="3">
        <v>-1.5900000000000001E-2</v>
      </c>
      <c r="H286">
        <v>2013</v>
      </c>
      <c r="I286">
        <v>1.21</v>
      </c>
      <c r="J286">
        <v>0.4</v>
      </c>
      <c r="K286">
        <v>0.7</v>
      </c>
      <c r="L286">
        <v>1.0900000000000001</v>
      </c>
      <c r="M286" s="3">
        <v>3.1899999999999998E-2</v>
      </c>
      <c r="N286" s="3">
        <v>5.6099999999999997E-2</v>
      </c>
      <c r="O286" s="3">
        <v>8.7999999999999995E-2</v>
      </c>
      <c r="P286" s="3">
        <v>0.33100000000000002</v>
      </c>
      <c r="Q286" s="3">
        <v>0.57799999999999996</v>
      </c>
      <c r="R286" s="3">
        <v>0.90100000000000002</v>
      </c>
      <c r="S286" t="s">
        <v>78</v>
      </c>
      <c r="T286" t="s">
        <v>78</v>
      </c>
    </row>
    <row r="287" spans="1:20" hidden="1" x14ac:dyDescent="0.6">
      <c r="A287">
        <v>308</v>
      </c>
      <c r="B287" t="str">
        <f>"2204"</f>
        <v>2204</v>
      </c>
      <c r="C287" t="s">
        <v>390</v>
      </c>
      <c r="D287" s="1">
        <v>42923</v>
      </c>
      <c r="E287">
        <v>28.4</v>
      </c>
      <c r="F287">
        <v>-0.15</v>
      </c>
      <c r="G287" s="3">
        <v>-5.3E-3</v>
      </c>
      <c r="H287">
        <v>2013</v>
      </c>
      <c r="I287">
        <v>1.56</v>
      </c>
      <c r="J287">
        <v>0.9</v>
      </c>
      <c r="K287">
        <v>0</v>
      </c>
      <c r="L287">
        <v>0.9</v>
      </c>
      <c r="M287" s="3">
        <v>3.1699999999999999E-2</v>
      </c>
      <c r="N287" s="2">
        <v>0</v>
      </c>
      <c r="O287" s="3">
        <v>3.1699999999999999E-2</v>
      </c>
      <c r="P287" s="3">
        <v>0.57699999999999996</v>
      </c>
      <c r="Q287" s="2">
        <v>0</v>
      </c>
      <c r="R287" s="3">
        <v>0.57699999999999996</v>
      </c>
      <c r="S287" t="s">
        <v>36</v>
      </c>
    </row>
    <row r="288" spans="1:20" hidden="1" x14ac:dyDescent="0.6">
      <c r="A288">
        <v>287</v>
      </c>
      <c r="B288" t="str">
        <f>"2356"</f>
        <v>2356</v>
      </c>
      <c r="C288" t="s">
        <v>369</v>
      </c>
      <c r="D288" s="1">
        <v>42923</v>
      </c>
      <c r="E288">
        <v>25.35</v>
      </c>
      <c r="F288">
        <v>0.15</v>
      </c>
      <c r="G288" s="3">
        <v>6.0000000000000001E-3</v>
      </c>
      <c r="H288">
        <v>2013</v>
      </c>
      <c r="I288">
        <v>0.9</v>
      </c>
      <c r="J288">
        <v>0.8</v>
      </c>
      <c r="K288">
        <v>0</v>
      </c>
      <c r="L288">
        <v>0.8</v>
      </c>
      <c r="M288" s="3">
        <v>3.1600000000000003E-2</v>
      </c>
      <c r="N288" s="2">
        <v>0</v>
      </c>
      <c r="O288" s="3">
        <v>3.1600000000000003E-2</v>
      </c>
      <c r="P288" s="3">
        <v>0.88900000000000001</v>
      </c>
      <c r="Q288" s="2">
        <v>0</v>
      </c>
      <c r="R288" s="3">
        <v>0.88900000000000001</v>
      </c>
      <c r="S288" t="s">
        <v>119</v>
      </c>
    </row>
    <row r="289" spans="1:20" hidden="1" x14ac:dyDescent="0.6">
      <c r="A289">
        <v>354</v>
      </c>
      <c r="B289" t="str">
        <f>"3260"</f>
        <v>3260</v>
      </c>
      <c r="C289" t="s">
        <v>437</v>
      </c>
      <c r="D289" s="1">
        <v>42923</v>
      </c>
      <c r="E289">
        <v>74.3</v>
      </c>
      <c r="F289">
        <v>-0.5</v>
      </c>
      <c r="G289" s="3">
        <v>-6.7000000000000002E-3</v>
      </c>
      <c r="H289">
        <v>2013</v>
      </c>
      <c r="I289">
        <v>3.04</v>
      </c>
      <c r="J289">
        <v>2.35</v>
      </c>
      <c r="K289">
        <v>0</v>
      </c>
      <c r="L289">
        <v>2.35</v>
      </c>
      <c r="M289" s="3">
        <v>3.1600000000000003E-2</v>
      </c>
      <c r="N289" s="2">
        <v>0</v>
      </c>
      <c r="O289" s="3">
        <v>3.1600000000000003E-2</v>
      </c>
      <c r="P289" s="3">
        <v>0.77300000000000002</v>
      </c>
      <c r="Q289" s="2">
        <v>0</v>
      </c>
      <c r="R289" s="3">
        <v>0.77300000000000002</v>
      </c>
      <c r="S289" t="s">
        <v>80</v>
      </c>
    </row>
    <row r="290" spans="1:20" hidden="1" x14ac:dyDescent="0.6">
      <c r="A290">
        <v>456</v>
      </c>
      <c r="B290" t="str">
        <f>"4137"</f>
        <v>4137</v>
      </c>
      <c r="C290" t="s">
        <v>546</v>
      </c>
      <c r="D290" s="1">
        <v>42923</v>
      </c>
      <c r="E290">
        <v>133.5</v>
      </c>
      <c r="F290">
        <v>-0.5</v>
      </c>
      <c r="G290" s="3">
        <v>-3.7000000000000002E-3</v>
      </c>
      <c r="H290">
        <v>2013</v>
      </c>
      <c r="J290">
        <v>4.2</v>
      </c>
      <c r="K290">
        <v>0</v>
      </c>
      <c r="L290">
        <v>4.2</v>
      </c>
      <c r="M290" s="3">
        <v>3.15E-2</v>
      </c>
      <c r="N290" s="2">
        <v>0</v>
      </c>
      <c r="O290" s="3">
        <v>3.15E-2</v>
      </c>
    </row>
    <row r="291" spans="1:20" hidden="1" x14ac:dyDescent="0.6">
      <c r="A291">
        <v>422</v>
      </c>
      <c r="B291" t="str">
        <f>"8114"</f>
        <v>8114</v>
      </c>
      <c r="C291" t="s">
        <v>509</v>
      </c>
      <c r="D291" s="1">
        <v>42923</v>
      </c>
      <c r="E291">
        <v>159</v>
      </c>
      <c r="F291">
        <v>-6</v>
      </c>
      <c r="G291" s="3">
        <v>-3.6400000000000002E-2</v>
      </c>
      <c r="H291">
        <v>2013</v>
      </c>
      <c r="I291">
        <v>5.98</v>
      </c>
      <c r="J291">
        <v>5</v>
      </c>
      <c r="K291">
        <v>0.35</v>
      </c>
      <c r="L291">
        <v>5.35</v>
      </c>
      <c r="M291" s="3">
        <v>3.1399999999999997E-2</v>
      </c>
      <c r="N291" s="3">
        <v>2.2000000000000001E-3</v>
      </c>
      <c r="O291" s="3">
        <v>3.3599999999999998E-2</v>
      </c>
      <c r="P291" s="3">
        <v>0.83599999999999997</v>
      </c>
      <c r="Q291" s="3">
        <v>5.8500000000000003E-2</v>
      </c>
      <c r="R291" s="3">
        <v>0.89500000000000002</v>
      </c>
      <c r="S291" t="s">
        <v>40</v>
      </c>
      <c r="T291" t="s">
        <v>40</v>
      </c>
    </row>
    <row r="292" spans="1:20" hidden="1" x14ac:dyDescent="0.6">
      <c r="A292">
        <v>75</v>
      </c>
      <c r="B292" t="str">
        <f>"6214"</f>
        <v>6214</v>
      </c>
      <c r="C292" t="s">
        <v>134</v>
      </c>
      <c r="D292" s="1">
        <v>42923</v>
      </c>
      <c r="E292">
        <v>63.9</v>
      </c>
      <c r="F292">
        <v>-0.3</v>
      </c>
      <c r="G292" s="3">
        <v>-4.7000000000000002E-3</v>
      </c>
      <c r="H292">
        <v>2013</v>
      </c>
      <c r="I292">
        <v>1.27</v>
      </c>
      <c r="J292">
        <v>2</v>
      </c>
      <c r="K292">
        <v>0</v>
      </c>
      <c r="L292">
        <v>2</v>
      </c>
      <c r="M292" s="3">
        <v>3.1300000000000001E-2</v>
      </c>
      <c r="N292" s="2">
        <v>0</v>
      </c>
      <c r="O292" s="3">
        <v>3.1300000000000001E-2</v>
      </c>
      <c r="P292" s="2">
        <v>1.57</v>
      </c>
      <c r="Q292" s="2">
        <v>0</v>
      </c>
      <c r="R292" s="2">
        <v>1.57</v>
      </c>
      <c r="S292" t="s">
        <v>45</v>
      </c>
    </row>
    <row r="293" spans="1:20" hidden="1" x14ac:dyDescent="0.6">
      <c r="A293">
        <v>242</v>
      </c>
      <c r="B293" t="str">
        <f>"8155"</f>
        <v>8155</v>
      </c>
      <c r="C293" t="s">
        <v>321</v>
      </c>
      <c r="D293" s="1">
        <v>42923</v>
      </c>
      <c r="E293">
        <v>48.85</v>
      </c>
      <c r="F293">
        <v>-0.25</v>
      </c>
      <c r="G293" s="3">
        <v>-5.1000000000000004E-3</v>
      </c>
      <c r="H293">
        <v>2013</v>
      </c>
      <c r="I293">
        <v>3.63</v>
      </c>
      <c r="J293">
        <v>1.5</v>
      </c>
      <c r="K293">
        <v>0</v>
      </c>
      <c r="L293">
        <v>1.5</v>
      </c>
      <c r="M293" s="3">
        <v>3.0700000000000002E-2</v>
      </c>
      <c r="N293" s="2">
        <v>0</v>
      </c>
      <c r="O293" s="3">
        <v>3.0700000000000002E-2</v>
      </c>
      <c r="P293" s="3">
        <v>0.41299999999999998</v>
      </c>
      <c r="Q293" s="2">
        <v>0</v>
      </c>
      <c r="R293" s="3">
        <v>0.41299999999999998</v>
      </c>
      <c r="S293" t="s">
        <v>99</v>
      </c>
    </row>
    <row r="294" spans="1:20" hidden="1" x14ac:dyDescent="0.6">
      <c r="A294">
        <v>310</v>
      </c>
      <c r="B294" t="str">
        <f>"1817"</f>
        <v>1817</v>
      </c>
      <c r="C294" t="s">
        <v>392</v>
      </c>
      <c r="D294" s="1">
        <v>42923</v>
      </c>
      <c r="E294">
        <v>39.1</v>
      </c>
      <c r="F294">
        <v>-0.25</v>
      </c>
      <c r="G294" s="3">
        <v>-6.4000000000000003E-3</v>
      </c>
      <c r="H294">
        <v>2013</v>
      </c>
      <c r="I294">
        <v>1.87</v>
      </c>
      <c r="J294">
        <v>1.2</v>
      </c>
      <c r="K294">
        <v>0</v>
      </c>
      <c r="L294">
        <v>1.2</v>
      </c>
      <c r="M294" s="3">
        <v>3.0700000000000002E-2</v>
      </c>
      <c r="N294" s="2">
        <v>0</v>
      </c>
      <c r="O294" s="3">
        <v>3.0700000000000002E-2</v>
      </c>
      <c r="P294" s="3">
        <v>0.64200000000000002</v>
      </c>
      <c r="Q294" s="2">
        <v>0</v>
      </c>
      <c r="R294" s="3">
        <v>0.64200000000000002</v>
      </c>
      <c r="S294" t="s">
        <v>82</v>
      </c>
    </row>
    <row r="295" spans="1:20" hidden="1" x14ac:dyDescent="0.6">
      <c r="A295">
        <v>394</v>
      </c>
      <c r="B295" t="str">
        <f>"3491"</f>
        <v>3491</v>
      </c>
      <c r="C295" t="s">
        <v>479</v>
      </c>
      <c r="D295" s="1">
        <v>42923</v>
      </c>
      <c r="E295">
        <v>77.599999999999994</v>
      </c>
      <c r="F295">
        <v>-1.9</v>
      </c>
      <c r="G295" s="3">
        <v>-2.3900000000000001E-2</v>
      </c>
      <c r="H295">
        <v>2013</v>
      </c>
      <c r="I295">
        <v>3.21</v>
      </c>
      <c r="J295">
        <v>2.38</v>
      </c>
      <c r="K295">
        <v>0</v>
      </c>
      <c r="L295">
        <v>2.38</v>
      </c>
      <c r="M295" s="3">
        <v>3.0599999999999999E-2</v>
      </c>
      <c r="N295" s="2">
        <v>0</v>
      </c>
      <c r="O295" s="3">
        <v>3.0599999999999999E-2</v>
      </c>
      <c r="P295" s="3">
        <v>0.74099999999999999</v>
      </c>
      <c r="Q295" s="2">
        <v>0</v>
      </c>
      <c r="R295" s="3">
        <v>0.74099999999999999</v>
      </c>
      <c r="S295" t="s">
        <v>103</v>
      </c>
    </row>
    <row r="296" spans="1:20" hidden="1" x14ac:dyDescent="0.6">
      <c r="A296">
        <v>344</v>
      </c>
      <c r="B296" t="str">
        <f>"1232"</f>
        <v>1232</v>
      </c>
      <c r="C296" t="s">
        <v>426</v>
      </c>
      <c r="D296" s="1">
        <v>42923</v>
      </c>
      <c r="E296">
        <v>92.2</v>
      </c>
      <c r="F296">
        <v>-0.1</v>
      </c>
      <c r="G296" s="3">
        <v>-1.1000000000000001E-3</v>
      </c>
      <c r="H296">
        <v>2013</v>
      </c>
      <c r="I296">
        <v>2.77</v>
      </c>
      <c r="J296">
        <v>2.8</v>
      </c>
      <c r="K296">
        <v>0</v>
      </c>
      <c r="L296">
        <v>2.8</v>
      </c>
      <c r="M296" s="3">
        <v>3.04E-2</v>
      </c>
      <c r="N296" s="2">
        <v>0</v>
      </c>
      <c r="O296" s="3">
        <v>3.04E-2</v>
      </c>
      <c r="P296" s="2">
        <v>1.01</v>
      </c>
      <c r="Q296" s="2">
        <v>0</v>
      </c>
      <c r="R296" s="2">
        <v>1.01</v>
      </c>
      <c r="S296" t="s">
        <v>38</v>
      </c>
    </row>
    <row r="297" spans="1:20" hidden="1" x14ac:dyDescent="0.6">
      <c r="A297">
        <v>466</v>
      </c>
      <c r="B297" t="str">
        <f>"1104"</f>
        <v>1104</v>
      </c>
      <c r="C297" t="s">
        <v>557</v>
      </c>
      <c r="D297" s="1">
        <v>42923</v>
      </c>
      <c r="E297">
        <v>24.9</v>
      </c>
      <c r="F297">
        <v>-0.1</v>
      </c>
      <c r="G297" s="3">
        <v>-4.0000000000000001E-3</v>
      </c>
      <c r="H297">
        <v>2013</v>
      </c>
      <c r="I297">
        <v>1.18</v>
      </c>
      <c r="J297">
        <v>0.75</v>
      </c>
      <c r="K297">
        <v>0</v>
      </c>
      <c r="L297">
        <v>0.75</v>
      </c>
      <c r="M297" s="3">
        <v>3.0099999999999998E-2</v>
      </c>
      <c r="N297" s="2">
        <v>0</v>
      </c>
      <c r="O297" s="3">
        <v>3.0099999999999998E-2</v>
      </c>
      <c r="P297" s="3">
        <v>0.63600000000000001</v>
      </c>
      <c r="Q297" s="2">
        <v>0</v>
      </c>
      <c r="R297" s="3">
        <v>0.63600000000000001</v>
      </c>
      <c r="S297" t="s">
        <v>36</v>
      </c>
    </row>
    <row r="298" spans="1:20" hidden="1" x14ac:dyDescent="0.6">
      <c r="A298">
        <v>60</v>
      </c>
      <c r="B298" t="str">
        <f>"8916"</f>
        <v>8916</v>
      </c>
      <c r="C298" t="s">
        <v>113</v>
      </c>
      <c r="D298" s="1">
        <v>42923</v>
      </c>
      <c r="E298">
        <v>45.1</v>
      </c>
      <c r="F298">
        <v>0.1</v>
      </c>
      <c r="G298" s="3">
        <v>2.2000000000000001E-3</v>
      </c>
      <c r="H298">
        <v>2013</v>
      </c>
      <c r="I298">
        <v>2.2999999999999998</v>
      </c>
      <c r="J298">
        <v>1.3</v>
      </c>
      <c r="K298">
        <v>0</v>
      </c>
      <c r="L298">
        <v>1.3</v>
      </c>
      <c r="M298" s="3">
        <v>2.8799999999999999E-2</v>
      </c>
      <c r="N298" s="2">
        <v>0</v>
      </c>
      <c r="O298" s="3">
        <v>2.8799999999999999E-2</v>
      </c>
      <c r="P298" s="3">
        <v>0.56499999999999995</v>
      </c>
      <c r="Q298" s="2">
        <v>0</v>
      </c>
      <c r="R298" s="3">
        <v>0.56499999999999995</v>
      </c>
      <c r="S298" t="s">
        <v>114</v>
      </c>
    </row>
    <row r="299" spans="1:20" hidden="1" x14ac:dyDescent="0.6">
      <c r="A299">
        <v>470</v>
      </c>
      <c r="B299" t="str">
        <f>"4736"</f>
        <v>4736</v>
      </c>
      <c r="C299" t="s">
        <v>563</v>
      </c>
      <c r="D299" s="1">
        <v>42923</v>
      </c>
      <c r="E299">
        <v>104</v>
      </c>
      <c r="F299">
        <v>-1.5</v>
      </c>
      <c r="G299" s="3">
        <v>-1.4200000000000001E-2</v>
      </c>
      <c r="H299">
        <v>2013</v>
      </c>
      <c r="I299">
        <v>2.56</v>
      </c>
      <c r="J299">
        <v>3</v>
      </c>
      <c r="K299">
        <v>0</v>
      </c>
      <c r="L299">
        <v>3</v>
      </c>
      <c r="M299" s="3">
        <v>2.8799999999999999E-2</v>
      </c>
      <c r="N299" s="2">
        <v>0</v>
      </c>
      <c r="O299" s="3">
        <v>2.8799999999999999E-2</v>
      </c>
      <c r="P299" s="2">
        <v>1.17</v>
      </c>
      <c r="Q299" s="2">
        <v>0</v>
      </c>
      <c r="R299" s="2">
        <v>1.17</v>
      </c>
      <c r="S299" t="s">
        <v>71</v>
      </c>
    </row>
    <row r="300" spans="1:20" hidden="1" x14ac:dyDescent="0.6">
      <c r="A300">
        <v>83</v>
      </c>
      <c r="B300" t="str">
        <f>"3217"</f>
        <v>3217</v>
      </c>
      <c r="C300" t="s">
        <v>145</v>
      </c>
      <c r="D300" s="1">
        <v>42923</v>
      </c>
      <c r="E300">
        <v>26.15</v>
      </c>
      <c r="F300">
        <v>-0.2</v>
      </c>
      <c r="G300" s="3">
        <v>-7.6E-3</v>
      </c>
      <c r="H300">
        <v>2013</v>
      </c>
      <c r="I300">
        <v>1.02</v>
      </c>
      <c r="J300">
        <v>0.75</v>
      </c>
      <c r="K300">
        <v>0</v>
      </c>
      <c r="L300">
        <v>0.75</v>
      </c>
      <c r="M300" s="3">
        <v>2.87E-2</v>
      </c>
      <c r="N300" s="2">
        <v>0</v>
      </c>
      <c r="O300" s="3">
        <v>2.87E-2</v>
      </c>
      <c r="P300" s="3">
        <v>0.73499999999999999</v>
      </c>
      <c r="Q300" s="2">
        <v>0</v>
      </c>
      <c r="R300" s="3">
        <v>0.73499999999999999</v>
      </c>
      <c r="S300" t="s">
        <v>43</v>
      </c>
    </row>
    <row r="301" spans="1:20" hidden="1" x14ac:dyDescent="0.6">
      <c r="A301">
        <v>101</v>
      </c>
      <c r="B301" t="str">
        <f>"2034"</f>
        <v>2034</v>
      </c>
      <c r="C301" t="s">
        <v>164</v>
      </c>
      <c r="D301" s="1">
        <v>42923</v>
      </c>
      <c r="E301">
        <v>24.35</v>
      </c>
      <c r="F301">
        <v>-0.2</v>
      </c>
      <c r="G301" s="3">
        <v>-8.0999999999999996E-3</v>
      </c>
      <c r="H301">
        <v>2013</v>
      </c>
      <c r="I301">
        <v>0.87</v>
      </c>
      <c r="J301">
        <v>0.7</v>
      </c>
      <c r="K301">
        <v>0</v>
      </c>
      <c r="L301">
        <v>0.7</v>
      </c>
      <c r="M301" s="3">
        <v>2.87E-2</v>
      </c>
      <c r="N301" s="2">
        <v>0</v>
      </c>
      <c r="O301" s="3">
        <v>2.87E-2</v>
      </c>
      <c r="P301" s="3">
        <v>0.80500000000000005</v>
      </c>
      <c r="Q301" s="2">
        <v>0</v>
      </c>
      <c r="R301" s="3">
        <v>0.80500000000000005</v>
      </c>
      <c r="S301" t="s">
        <v>43</v>
      </c>
    </row>
    <row r="302" spans="1:20" hidden="1" x14ac:dyDescent="0.6">
      <c r="A302">
        <v>143</v>
      </c>
      <c r="B302" t="str">
        <f>"3130"</f>
        <v>3130</v>
      </c>
      <c r="C302" t="s">
        <v>211</v>
      </c>
      <c r="D302" s="1">
        <v>42923</v>
      </c>
      <c r="E302">
        <v>159</v>
      </c>
      <c r="F302">
        <v>-0.5</v>
      </c>
      <c r="G302" s="3">
        <v>-3.0999999999999999E-3</v>
      </c>
      <c r="H302">
        <v>2013</v>
      </c>
      <c r="I302">
        <v>5.05</v>
      </c>
      <c r="J302">
        <v>4.5599999999999996</v>
      </c>
      <c r="K302">
        <v>0</v>
      </c>
      <c r="L302">
        <v>4.5599999999999996</v>
      </c>
      <c r="M302" s="3">
        <v>2.87E-2</v>
      </c>
      <c r="N302" s="2">
        <v>0</v>
      </c>
      <c r="O302" s="3">
        <v>2.87E-2</v>
      </c>
      <c r="P302" s="3">
        <v>0.90300000000000002</v>
      </c>
      <c r="Q302" s="2">
        <v>0</v>
      </c>
      <c r="R302" s="3">
        <v>0.90300000000000002</v>
      </c>
      <c r="S302" t="s">
        <v>65</v>
      </c>
    </row>
    <row r="303" spans="1:20" hidden="1" x14ac:dyDescent="0.6">
      <c r="A303">
        <v>291</v>
      </c>
      <c r="B303" t="str">
        <f>"4536"</f>
        <v>4536</v>
      </c>
      <c r="C303" t="s">
        <v>373</v>
      </c>
      <c r="D303" s="1">
        <v>42923</v>
      </c>
      <c r="E303">
        <v>105</v>
      </c>
      <c r="F303">
        <v>0.5</v>
      </c>
      <c r="G303" s="3">
        <v>4.7999999999999996E-3</v>
      </c>
      <c r="H303">
        <v>2013</v>
      </c>
      <c r="I303">
        <v>5.51</v>
      </c>
      <c r="J303">
        <v>3</v>
      </c>
      <c r="K303">
        <v>0</v>
      </c>
      <c r="L303">
        <v>3</v>
      </c>
      <c r="M303" s="3">
        <v>2.86E-2</v>
      </c>
      <c r="N303" s="2">
        <v>0</v>
      </c>
      <c r="O303" s="3">
        <v>2.86E-2</v>
      </c>
      <c r="P303" s="3">
        <v>0.54400000000000004</v>
      </c>
      <c r="Q303" s="2">
        <v>0</v>
      </c>
      <c r="R303" s="3">
        <v>0.54400000000000004</v>
      </c>
      <c r="S303" t="s">
        <v>40</v>
      </c>
    </row>
    <row r="304" spans="1:20" hidden="1" x14ac:dyDescent="0.6">
      <c r="A304">
        <v>141</v>
      </c>
      <c r="B304" t="str">
        <f>"8016"</f>
        <v>8016</v>
      </c>
      <c r="C304" t="s">
        <v>208</v>
      </c>
      <c r="D304" s="1">
        <v>42923</v>
      </c>
      <c r="E304">
        <v>87.7</v>
      </c>
      <c r="F304">
        <v>-1.6</v>
      </c>
      <c r="G304" s="3">
        <v>-1.7899999999999999E-2</v>
      </c>
      <c r="H304">
        <v>2013</v>
      </c>
      <c r="I304">
        <v>3.01</v>
      </c>
      <c r="J304">
        <v>2.5</v>
      </c>
      <c r="K304">
        <v>0</v>
      </c>
      <c r="L304">
        <v>2.5</v>
      </c>
      <c r="M304" s="3">
        <v>2.8500000000000001E-2</v>
      </c>
      <c r="N304" s="2">
        <v>0</v>
      </c>
      <c r="O304" s="3">
        <v>2.8500000000000001E-2</v>
      </c>
      <c r="P304" s="3">
        <v>0.83099999999999996</v>
      </c>
      <c r="Q304" s="2">
        <v>0</v>
      </c>
      <c r="R304" s="3">
        <v>0.83099999999999996</v>
      </c>
      <c r="S304" t="s">
        <v>67</v>
      </c>
    </row>
    <row r="305" spans="1:20" hidden="1" x14ac:dyDescent="0.6">
      <c r="A305">
        <v>290</v>
      </c>
      <c r="B305" t="str">
        <f>"3558"</f>
        <v>3558</v>
      </c>
      <c r="C305" t="s">
        <v>372</v>
      </c>
      <c r="D305" s="1">
        <v>42923</v>
      </c>
      <c r="E305">
        <v>140</v>
      </c>
      <c r="F305">
        <v>0</v>
      </c>
      <c r="G305" s="2">
        <v>0</v>
      </c>
      <c r="H305">
        <v>2013</v>
      </c>
      <c r="I305">
        <v>7.16</v>
      </c>
      <c r="J305">
        <v>3.98</v>
      </c>
      <c r="K305">
        <v>0</v>
      </c>
      <c r="L305">
        <v>3.98</v>
      </c>
      <c r="M305" s="3">
        <v>2.8400000000000002E-2</v>
      </c>
      <c r="N305" s="2">
        <v>0</v>
      </c>
      <c r="O305" s="3">
        <v>2.8400000000000002E-2</v>
      </c>
      <c r="P305" s="3">
        <v>0.55600000000000005</v>
      </c>
      <c r="Q305" s="2">
        <v>0</v>
      </c>
      <c r="R305" s="3">
        <v>0.55600000000000005</v>
      </c>
      <c r="S305" t="s">
        <v>69</v>
      </c>
    </row>
    <row r="306" spans="1:20" hidden="1" x14ac:dyDescent="0.6">
      <c r="A306">
        <v>300</v>
      </c>
      <c r="B306" t="str">
        <f>"1537"</f>
        <v>1537</v>
      </c>
      <c r="C306" t="s">
        <v>382</v>
      </c>
      <c r="D306" s="1">
        <v>42923</v>
      </c>
      <c r="E306">
        <v>158.5</v>
      </c>
      <c r="F306">
        <v>-2</v>
      </c>
      <c r="G306" s="3">
        <v>-1.2500000000000001E-2</v>
      </c>
      <c r="H306">
        <v>2013</v>
      </c>
      <c r="I306">
        <v>7.58</v>
      </c>
      <c r="J306">
        <v>4.5</v>
      </c>
      <c r="K306">
        <v>0</v>
      </c>
      <c r="L306">
        <v>4.5</v>
      </c>
      <c r="M306" s="3">
        <v>2.8400000000000002E-2</v>
      </c>
      <c r="N306" s="2">
        <v>0</v>
      </c>
      <c r="O306" s="3">
        <v>2.8400000000000002E-2</v>
      </c>
      <c r="P306" s="3">
        <v>0.59399999999999997</v>
      </c>
      <c r="Q306" s="2">
        <v>0</v>
      </c>
      <c r="R306" s="3">
        <v>0.59399999999999997</v>
      </c>
      <c r="S306" t="s">
        <v>26</v>
      </c>
    </row>
    <row r="307" spans="1:20" hidden="1" x14ac:dyDescent="0.6">
      <c r="A307">
        <v>324</v>
      </c>
      <c r="B307" t="str">
        <f>"2461"</f>
        <v>2461</v>
      </c>
      <c r="C307" t="s">
        <v>406</v>
      </c>
      <c r="D307" s="1">
        <v>42923</v>
      </c>
      <c r="E307">
        <v>14.7</v>
      </c>
      <c r="F307">
        <v>-0.15</v>
      </c>
      <c r="G307" s="3">
        <v>-1.01E-2</v>
      </c>
      <c r="H307">
        <v>2013</v>
      </c>
      <c r="I307">
        <v>0.93</v>
      </c>
      <c r="J307">
        <v>0.41</v>
      </c>
      <c r="K307">
        <v>0</v>
      </c>
      <c r="L307">
        <v>0.41</v>
      </c>
      <c r="M307" s="3">
        <v>2.8199999999999999E-2</v>
      </c>
      <c r="N307" s="2">
        <v>0</v>
      </c>
      <c r="O307" s="3">
        <v>2.8199999999999999E-2</v>
      </c>
      <c r="P307" s="3">
        <v>0.441</v>
      </c>
      <c r="Q307" s="2">
        <v>0</v>
      </c>
      <c r="R307" s="3">
        <v>0.441</v>
      </c>
      <c r="S307" t="s">
        <v>24</v>
      </c>
    </row>
    <row r="308" spans="1:20" hidden="1" x14ac:dyDescent="0.6">
      <c r="A308">
        <v>381</v>
      </c>
      <c r="B308" t="str">
        <f>"3023"</f>
        <v>3023</v>
      </c>
      <c r="C308" t="s">
        <v>465</v>
      </c>
      <c r="D308" s="1">
        <v>42923</v>
      </c>
      <c r="E308">
        <v>71.099999999999994</v>
      </c>
      <c r="F308">
        <v>-1</v>
      </c>
      <c r="G308" s="3">
        <v>-1.3899999999999999E-2</v>
      </c>
      <c r="H308">
        <v>2013</v>
      </c>
      <c r="I308">
        <v>2.92</v>
      </c>
      <c r="J308">
        <v>2</v>
      </c>
      <c r="K308">
        <v>0</v>
      </c>
      <c r="L308">
        <v>2</v>
      </c>
      <c r="M308" s="3">
        <v>2.81E-2</v>
      </c>
      <c r="N308" s="2">
        <v>0</v>
      </c>
      <c r="O308" s="3">
        <v>2.81E-2</v>
      </c>
      <c r="P308" s="3">
        <v>0.68500000000000005</v>
      </c>
      <c r="Q308" s="2">
        <v>0</v>
      </c>
      <c r="R308" s="3">
        <v>0.68500000000000005</v>
      </c>
      <c r="S308" t="s">
        <v>240</v>
      </c>
    </row>
    <row r="309" spans="1:20" hidden="1" x14ac:dyDescent="0.6">
      <c r="A309">
        <v>37</v>
      </c>
      <c r="B309" t="str">
        <f>"2397"</f>
        <v>2397</v>
      </c>
      <c r="C309" t="s">
        <v>77</v>
      </c>
      <c r="D309" s="1">
        <v>42923</v>
      </c>
      <c r="E309">
        <v>53.5</v>
      </c>
      <c r="F309">
        <v>0</v>
      </c>
      <c r="G309" s="2">
        <v>0</v>
      </c>
      <c r="H309">
        <v>2013</v>
      </c>
      <c r="I309">
        <v>1.88</v>
      </c>
      <c r="J309">
        <v>1.5</v>
      </c>
      <c r="K309">
        <v>0</v>
      </c>
      <c r="L309">
        <v>1.5</v>
      </c>
      <c r="M309" s="3">
        <v>2.8000000000000001E-2</v>
      </c>
      <c r="N309" s="2">
        <v>0</v>
      </c>
      <c r="O309" s="3">
        <v>2.8000000000000001E-2</v>
      </c>
      <c r="P309" s="3">
        <v>0.79800000000000004</v>
      </c>
      <c r="Q309" s="2">
        <v>0</v>
      </c>
      <c r="R309" s="3">
        <v>0.79800000000000004</v>
      </c>
      <c r="S309" t="s">
        <v>78</v>
      </c>
    </row>
    <row r="310" spans="1:20" hidden="1" x14ac:dyDescent="0.6">
      <c r="A310">
        <v>41</v>
      </c>
      <c r="B310" t="str">
        <f>"3550"</f>
        <v>3550</v>
      </c>
      <c r="C310" t="s">
        <v>84</v>
      </c>
      <c r="D310" s="1">
        <v>42923</v>
      </c>
      <c r="E310">
        <v>18</v>
      </c>
      <c r="F310">
        <v>0</v>
      </c>
      <c r="G310" s="2">
        <v>0</v>
      </c>
      <c r="H310">
        <v>2013</v>
      </c>
      <c r="I310">
        <v>0.3</v>
      </c>
      <c r="J310">
        <v>0.5</v>
      </c>
      <c r="K310">
        <v>0</v>
      </c>
      <c r="L310">
        <v>0.5</v>
      </c>
      <c r="M310" s="3">
        <v>2.7799999999999998E-2</v>
      </c>
      <c r="N310" s="2">
        <v>0</v>
      </c>
      <c r="O310" s="3">
        <v>2.7799999999999998E-2</v>
      </c>
      <c r="P310" s="2">
        <v>1.67</v>
      </c>
      <c r="Q310" s="2">
        <v>0</v>
      </c>
      <c r="R310" s="2">
        <v>1.67</v>
      </c>
      <c r="S310" t="s">
        <v>85</v>
      </c>
    </row>
    <row r="311" spans="1:20" hidden="1" x14ac:dyDescent="0.6">
      <c r="A311">
        <v>50</v>
      </c>
      <c r="B311" t="str">
        <f>"5609"</f>
        <v>5609</v>
      </c>
      <c r="C311" t="s">
        <v>98</v>
      </c>
      <c r="D311" s="1">
        <v>42923</v>
      </c>
      <c r="E311">
        <v>24.45</v>
      </c>
      <c r="F311">
        <v>-0.05</v>
      </c>
      <c r="G311" s="3">
        <v>-2E-3</v>
      </c>
      <c r="H311">
        <v>2013</v>
      </c>
      <c r="I311">
        <v>1.08</v>
      </c>
      <c r="J311">
        <v>0.68</v>
      </c>
      <c r="K311">
        <v>0</v>
      </c>
      <c r="L311">
        <v>0.68</v>
      </c>
      <c r="M311" s="3">
        <v>2.7799999999999998E-2</v>
      </c>
      <c r="N311" s="2">
        <v>0</v>
      </c>
      <c r="O311" s="3">
        <v>2.7799999999999998E-2</v>
      </c>
      <c r="P311" s="2">
        <v>0.63</v>
      </c>
      <c r="Q311" s="2">
        <v>0</v>
      </c>
      <c r="R311" s="2">
        <v>0.63</v>
      </c>
      <c r="S311" t="s">
        <v>99</v>
      </c>
    </row>
    <row r="312" spans="1:20" hidden="1" x14ac:dyDescent="0.6">
      <c r="A312">
        <v>17</v>
      </c>
      <c r="B312" t="str">
        <f>"4952"</f>
        <v>4952</v>
      </c>
      <c r="C312" t="s">
        <v>48</v>
      </c>
      <c r="D312" s="1">
        <v>42923</v>
      </c>
      <c r="E312">
        <v>36.5</v>
      </c>
      <c r="F312">
        <v>-0.15</v>
      </c>
      <c r="G312" s="3">
        <v>-4.1000000000000003E-3</v>
      </c>
      <c r="H312">
        <v>2013</v>
      </c>
      <c r="I312">
        <v>0.56000000000000005</v>
      </c>
      <c r="J312">
        <v>1</v>
      </c>
      <c r="K312">
        <v>0</v>
      </c>
      <c r="L312">
        <v>1</v>
      </c>
      <c r="M312" s="3">
        <v>2.7400000000000001E-2</v>
      </c>
      <c r="N312" s="2">
        <v>0</v>
      </c>
      <c r="O312" s="3">
        <v>2.7400000000000001E-2</v>
      </c>
      <c r="P312" s="2">
        <v>1.79</v>
      </c>
      <c r="Q312" s="2">
        <v>0</v>
      </c>
      <c r="R312" s="2">
        <v>1.79</v>
      </c>
      <c r="S312" t="s">
        <v>24</v>
      </c>
    </row>
    <row r="313" spans="1:20" hidden="1" x14ac:dyDescent="0.6">
      <c r="A313">
        <v>275</v>
      </c>
      <c r="B313" t="str">
        <f>"8083"</f>
        <v>8083</v>
      </c>
      <c r="C313" t="s">
        <v>355</v>
      </c>
      <c r="D313" s="1">
        <v>42923</v>
      </c>
      <c r="E313">
        <v>146.5</v>
      </c>
      <c r="F313">
        <v>-3.5</v>
      </c>
      <c r="G313" s="3">
        <v>-2.3300000000000001E-2</v>
      </c>
      <c r="H313">
        <v>2013</v>
      </c>
      <c r="I313">
        <v>5.2</v>
      </c>
      <c r="J313">
        <v>4</v>
      </c>
      <c r="K313">
        <v>0</v>
      </c>
      <c r="L313">
        <v>4</v>
      </c>
      <c r="M313" s="3">
        <v>2.7300000000000001E-2</v>
      </c>
      <c r="N313" s="2">
        <v>0</v>
      </c>
      <c r="O313" s="3">
        <v>2.7300000000000001E-2</v>
      </c>
      <c r="P313" s="3">
        <v>0.76900000000000002</v>
      </c>
      <c r="Q313" s="2">
        <v>0</v>
      </c>
      <c r="R313" s="3">
        <v>0.76900000000000002</v>
      </c>
      <c r="S313" t="s">
        <v>67</v>
      </c>
    </row>
    <row r="314" spans="1:20" hidden="1" x14ac:dyDescent="0.6">
      <c r="A314">
        <v>360</v>
      </c>
      <c r="B314" t="str">
        <f>"1730"</f>
        <v>1730</v>
      </c>
      <c r="C314" t="s">
        <v>443</v>
      </c>
      <c r="D314" s="1">
        <v>42923</v>
      </c>
      <c r="E314">
        <v>41</v>
      </c>
      <c r="F314">
        <v>0.05</v>
      </c>
      <c r="G314" s="3">
        <v>1.1999999999999999E-3</v>
      </c>
      <c r="H314">
        <v>2013</v>
      </c>
      <c r="I314">
        <v>1.6</v>
      </c>
      <c r="J314">
        <v>1.1000000000000001</v>
      </c>
      <c r="K314">
        <v>0</v>
      </c>
      <c r="L314">
        <v>1.1000000000000001</v>
      </c>
      <c r="M314" s="3">
        <v>2.6800000000000001E-2</v>
      </c>
      <c r="N314" s="2">
        <v>0</v>
      </c>
      <c r="O314" s="3">
        <v>2.6800000000000001E-2</v>
      </c>
      <c r="P314" s="3">
        <v>0.68799999999999994</v>
      </c>
      <c r="Q314" s="2">
        <v>0</v>
      </c>
      <c r="R314" s="3">
        <v>0.68799999999999994</v>
      </c>
      <c r="S314" t="s">
        <v>26</v>
      </c>
    </row>
    <row r="315" spans="1:20" hidden="1" x14ac:dyDescent="0.6">
      <c r="A315">
        <v>19</v>
      </c>
      <c r="B315" t="str">
        <f>"5371"</f>
        <v>5371</v>
      </c>
      <c r="C315" t="s">
        <v>50</v>
      </c>
      <c r="D315" s="1">
        <v>42923</v>
      </c>
      <c r="E315">
        <v>37.65</v>
      </c>
      <c r="F315">
        <v>-0.8</v>
      </c>
      <c r="G315" s="3">
        <v>-2.0799999999999999E-2</v>
      </c>
      <c r="H315">
        <v>2013</v>
      </c>
      <c r="I315">
        <v>1.23</v>
      </c>
      <c r="J315">
        <v>1</v>
      </c>
      <c r="K315">
        <v>0</v>
      </c>
      <c r="L315">
        <v>1</v>
      </c>
      <c r="M315" s="3">
        <v>2.6599999999999999E-2</v>
      </c>
      <c r="N315" s="2">
        <v>0</v>
      </c>
      <c r="O315" s="3">
        <v>2.6599999999999999E-2</v>
      </c>
      <c r="P315" s="3">
        <v>0.81299999999999994</v>
      </c>
      <c r="Q315" s="2">
        <v>0</v>
      </c>
      <c r="R315" s="3">
        <v>0.81299999999999994</v>
      </c>
      <c r="S315" t="s">
        <v>22</v>
      </c>
    </row>
    <row r="316" spans="1:20" hidden="1" x14ac:dyDescent="0.6">
      <c r="A316">
        <v>32</v>
      </c>
      <c r="B316" t="str">
        <f>"2404"</f>
        <v>2404</v>
      </c>
      <c r="C316" t="s">
        <v>68</v>
      </c>
      <c r="D316" s="1">
        <v>42923</v>
      </c>
      <c r="E316">
        <v>68.3</v>
      </c>
      <c r="F316">
        <v>-1.2</v>
      </c>
      <c r="G316" s="3">
        <v>-1.7299999999999999E-2</v>
      </c>
      <c r="H316">
        <v>2013</v>
      </c>
      <c r="I316">
        <v>2.2599999999999998</v>
      </c>
      <c r="J316">
        <v>1.8</v>
      </c>
      <c r="K316">
        <v>0</v>
      </c>
      <c r="L316">
        <v>1.8</v>
      </c>
      <c r="M316" s="3">
        <v>2.64E-2</v>
      </c>
      <c r="N316" s="2">
        <v>0</v>
      </c>
      <c r="O316" s="3">
        <v>2.64E-2</v>
      </c>
      <c r="P316" s="3">
        <v>0.79600000000000004</v>
      </c>
      <c r="Q316" s="2">
        <v>0</v>
      </c>
      <c r="R316" s="3">
        <v>0.79600000000000004</v>
      </c>
      <c r="S316" t="s">
        <v>69</v>
      </c>
    </row>
    <row r="317" spans="1:20" hidden="1" x14ac:dyDescent="0.6">
      <c r="A317">
        <v>177</v>
      </c>
      <c r="B317" t="str">
        <f>"5490"</f>
        <v>5490</v>
      </c>
      <c r="C317" t="s">
        <v>252</v>
      </c>
      <c r="D317" s="1">
        <v>42923</v>
      </c>
      <c r="E317">
        <v>62</v>
      </c>
      <c r="F317">
        <v>-0.2</v>
      </c>
      <c r="G317" s="3">
        <v>-3.2000000000000002E-3</v>
      </c>
      <c r="H317">
        <v>2013</v>
      </c>
      <c r="I317">
        <v>1.81</v>
      </c>
      <c r="J317">
        <v>1.63</v>
      </c>
      <c r="K317">
        <v>0</v>
      </c>
      <c r="L317">
        <v>1.63</v>
      </c>
      <c r="M317" s="3">
        <v>2.63E-2</v>
      </c>
      <c r="N317" s="2">
        <v>0</v>
      </c>
      <c r="O317" s="3">
        <v>2.63E-2</v>
      </c>
      <c r="P317" s="3">
        <v>0.90100000000000002</v>
      </c>
      <c r="Q317" s="2">
        <v>0</v>
      </c>
      <c r="R317" s="3">
        <v>0.90100000000000002</v>
      </c>
      <c r="S317" t="s">
        <v>253</v>
      </c>
    </row>
    <row r="318" spans="1:20" hidden="1" x14ac:dyDescent="0.6">
      <c r="A318">
        <v>378</v>
      </c>
      <c r="B318" t="str">
        <f>"2233"</f>
        <v>2233</v>
      </c>
      <c r="C318" t="s">
        <v>461</v>
      </c>
      <c r="D318" s="1">
        <v>42923</v>
      </c>
      <c r="E318">
        <v>95.4</v>
      </c>
      <c r="F318">
        <v>0</v>
      </c>
      <c r="G318" s="2">
        <v>0</v>
      </c>
      <c r="H318">
        <v>2013</v>
      </c>
      <c r="I318">
        <v>4.97</v>
      </c>
      <c r="J318">
        <v>2.5</v>
      </c>
      <c r="K318">
        <v>1</v>
      </c>
      <c r="L318">
        <v>3.5</v>
      </c>
      <c r="M318" s="3">
        <v>2.6200000000000001E-2</v>
      </c>
      <c r="N318" s="3">
        <v>1.0500000000000001E-2</v>
      </c>
      <c r="O318" s="3">
        <v>3.6700000000000003E-2</v>
      </c>
      <c r="P318" s="3">
        <v>0.503</v>
      </c>
      <c r="Q318" s="3">
        <v>0.20100000000000001</v>
      </c>
      <c r="R318" s="3">
        <v>0.70399999999999996</v>
      </c>
      <c r="S318" t="s">
        <v>240</v>
      </c>
      <c r="T318" t="s">
        <v>240</v>
      </c>
    </row>
    <row r="319" spans="1:20" hidden="1" x14ac:dyDescent="0.6">
      <c r="A319">
        <v>384</v>
      </c>
      <c r="B319" t="str">
        <f>"4163"</f>
        <v>4163</v>
      </c>
      <c r="C319" t="s">
        <v>468</v>
      </c>
      <c r="D319" s="1">
        <v>42923</v>
      </c>
      <c r="E319">
        <v>115.5</v>
      </c>
      <c r="F319">
        <v>-2</v>
      </c>
      <c r="G319" s="3">
        <v>-1.7000000000000001E-2</v>
      </c>
      <c r="H319">
        <v>2013</v>
      </c>
      <c r="I319">
        <v>4.6900000000000004</v>
      </c>
      <c r="J319">
        <v>3</v>
      </c>
      <c r="K319">
        <v>0</v>
      </c>
      <c r="L319">
        <v>3</v>
      </c>
      <c r="M319" s="3">
        <v>2.5999999999999999E-2</v>
      </c>
      <c r="N319" s="2">
        <v>0</v>
      </c>
      <c r="O319" s="3">
        <v>2.5999999999999999E-2</v>
      </c>
      <c r="P319" s="2">
        <v>0.64</v>
      </c>
      <c r="Q319" s="2">
        <v>0</v>
      </c>
      <c r="R319" s="2">
        <v>0.64</v>
      </c>
      <c r="S319" t="s">
        <v>45</v>
      </c>
    </row>
    <row r="320" spans="1:20" hidden="1" x14ac:dyDescent="0.6">
      <c r="A320">
        <v>366</v>
      </c>
      <c r="B320" t="str">
        <f>"6196"</f>
        <v>6196</v>
      </c>
      <c r="C320" t="s">
        <v>449</v>
      </c>
      <c r="D320" s="1">
        <v>42923</v>
      </c>
      <c r="E320">
        <v>39.1</v>
      </c>
      <c r="F320">
        <v>-0.1</v>
      </c>
      <c r="G320" s="3">
        <v>-2.5999999999999999E-3</v>
      </c>
      <c r="H320">
        <v>2013</v>
      </c>
      <c r="I320">
        <v>1.58</v>
      </c>
      <c r="J320">
        <v>1</v>
      </c>
      <c r="K320">
        <v>0</v>
      </c>
      <c r="L320">
        <v>1</v>
      </c>
      <c r="M320" s="3">
        <v>2.5600000000000001E-2</v>
      </c>
      <c r="N320" s="2">
        <v>0</v>
      </c>
      <c r="O320" s="3">
        <v>2.5600000000000001E-2</v>
      </c>
      <c r="P320" s="3">
        <v>0.63300000000000001</v>
      </c>
      <c r="Q320" s="2">
        <v>0</v>
      </c>
      <c r="R320" s="3">
        <v>0.63300000000000001</v>
      </c>
      <c r="S320" t="s">
        <v>43</v>
      </c>
    </row>
    <row r="321" spans="1:20" hidden="1" x14ac:dyDescent="0.6">
      <c r="A321">
        <v>396</v>
      </c>
      <c r="B321" t="str">
        <f>"3693"</f>
        <v>3693</v>
      </c>
      <c r="C321" t="s">
        <v>482</v>
      </c>
      <c r="D321" s="1">
        <v>42923</v>
      </c>
      <c r="E321">
        <v>58.5</v>
      </c>
      <c r="F321">
        <v>5.3</v>
      </c>
      <c r="G321" s="3">
        <v>9.9599999999999994E-2</v>
      </c>
      <c r="H321">
        <v>2013</v>
      </c>
      <c r="I321">
        <v>4.43</v>
      </c>
      <c r="J321">
        <v>1.5</v>
      </c>
      <c r="K321">
        <v>0</v>
      </c>
      <c r="L321">
        <v>1.5</v>
      </c>
      <c r="M321" s="3">
        <v>2.5600000000000001E-2</v>
      </c>
      <c r="N321" s="2">
        <v>0</v>
      </c>
      <c r="O321" s="3">
        <v>2.5600000000000001E-2</v>
      </c>
      <c r="P321" s="3">
        <v>0.33900000000000002</v>
      </c>
      <c r="Q321" s="2">
        <v>0</v>
      </c>
      <c r="R321" s="3">
        <v>0.33900000000000002</v>
      </c>
      <c r="S321" t="s">
        <v>240</v>
      </c>
    </row>
    <row r="322" spans="1:20" hidden="1" x14ac:dyDescent="0.6">
      <c r="A322">
        <v>142</v>
      </c>
      <c r="B322" t="str">
        <f>"2340"</f>
        <v>2340</v>
      </c>
      <c r="C322" t="s">
        <v>209</v>
      </c>
      <c r="D322" s="1">
        <v>42923</v>
      </c>
      <c r="E322">
        <v>17.649999999999999</v>
      </c>
      <c r="F322">
        <v>0</v>
      </c>
      <c r="G322" s="2">
        <v>0</v>
      </c>
      <c r="H322">
        <v>2013</v>
      </c>
      <c r="I322">
        <v>0.62</v>
      </c>
      <c r="J322">
        <v>0.45</v>
      </c>
      <c r="K322">
        <v>0</v>
      </c>
      <c r="L322">
        <v>0.45</v>
      </c>
      <c r="M322" s="3">
        <v>2.5499999999999998E-2</v>
      </c>
      <c r="N322" s="2">
        <v>0</v>
      </c>
      <c r="O322" s="3">
        <v>2.5499999999999998E-2</v>
      </c>
      <c r="P322" s="3">
        <v>0.72599999999999998</v>
      </c>
      <c r="Q322" s="2">
        <v>0</v>
      </c>
      <c r="R322" s="3">
        <v>0.72599999999999998</v>
      </c>
      <c r="S322" t="s">
        <v>210</v>
      </c>
    </row>
    <row r="323" spans="1:20" hidden="1" x14ac:dyDescent="0.6">
      <c r="A323">
        <v>416</v>
      </c>
      <c r="B323" t="str">
        <f>"2421"</f>
        <v>2421</v>
      </c>
      <c r="C323" t="s">
        <v>503</v>
      </c>
      <c r="D323" s="1">
        <v>42923</v>
      </c>
      <c r="E323">
        <v>39.6</v>
      </c>
      <c r="F323">
        <v>-0.1</v>
      </c>
      <c r="G323" s="3">
        <v>-2.5000000000000001E-3</v>
      </c>
      <c r="H323">
        <v>2013</v>
      </c>
      <c r="I323">
        <v>0.84</v>
      </c>
      <c r="J323">
        <v>1</v>
      </c>
      <c r="K323">
        <v>0</v>
      </c>
      <c r="L323">
        <v>1</v>
      </c>
      <c r="M323" s="3">
        <v>2.53E-2</v>
      </c>
      <c r="N323" s="2">
        <v>0</v>
      </c>
      <c r="O323" s="3">
        <v>2.53E-2</v>
      </c>
      <c r="P323" s="2">
        <v>1.19</v>
      </c>
      <c r="Q323" s="2">
        <v>0</v>
      </c>
      <c r="R323" s="2">
        <v>1.19</v>
      </c>
      <c r="S323" t="s">
        <v>34</v>
      </c>
    </row>
    <row r="324" spans="1:20" hidden="1" x14ac:dyDescent="0.6">
      <c r="A324">
        <v>346</v>
      </c>
      <c r="B324" t="str">
        <f>"6138"</f>
        <v>6138</v>
      </c>
      <c r="C324" t="s">
        <v>428</v>
      </c>
      <c r="D324" s="1">
        <v>42923</v>
      </c>
      <c r="E324">
        <v>39.200000000000003</v>
      </c>
      <c r="F324">
        <v>0.2</v>
      </c>
      <c r="G324" s="3">
        <v>5.1000000000000004E-3</v>
      </c>
      <c r="H324">
        <v>2013</v>
      </c>
      <c r="I324">
        <v>0.83</v>
      </c>
      <c r="J324">
        <v>0.98</v>
      </c>
      <c r="K324">
        <v>0</v>
      </c>
      <c r="L324">
        <v>0.98</v>
      </c>
      <c r="M324" s="3">
        <v>2.5100000000000001E-2</v>
      </c>
      <c r="N324" s="2">
        <v>0</v>
      </c>
      <c r="O324" s="3">
        <v>2.5100000000000001E-2</v>
      </c>
      <c r="P324" s="2">
        <v>1.18</v>
      </c>
      <c r="Q324" s="2">
        <v>0</v>
      </c>
      <c r="R324" s="2">
        <v>1.18</v>
      </c>
      <c r="S324" t="s">
        <v>108</v>
      </c>
    </row>
    <row r="325" spans="1:20" hidden="1" x14ac:dyDescent="0.6">
      <c r="A325">
        <v>224</v>
      </c>
      <c r="B325" t="str">
        <f>"2393"</f>
        <v>2393</v>
      </c>
      <c r="C325" t="s">
        <v>303</v>
      </c>
      <c r="D325" s="1">
        <v>42923</v>
      </c>
      <c r="E325">
        <v>48.95</v>
      </c>
      <c r="F325">
        <v>0</v>
      </c>
      <c r="G325" s="2">
        <v>0</v>
      </c>
      <c r="H325">
        <v>2013</v>
      </c>
      <c r="I325">
        <v>1.3</v>
      </c>
      <c r="J325">
        <v>1.2</v>
      </c>
      <c r="K325">
        <v>0</v>
      </c>
      <c r="L325">
        <v>1.2</v>
      </c>
      <c r="M325" s="3">
        <v>2.4500000000000001E-2</v>
      </c>
      <c r="N325" s="2">
        <v>0</v>
      </c>
      <c r="O325" s="3">
        <v>2.4500000000000001E-2</v>
      </c>
      <c r="P325" s="3">
        <v>0.92300000000000004</v>
      </c>
      <c r="Q325" s="2">
        <v>0</v>
      </c>
      <c r="R325" s="3">
        <v>0.92300000000000004</v>
      </c>
      <c r="S325" t="s">
        <v>71</v>
      </c>
    </row>
    <row r="326" spans="1:20" hidden="1" x14ac:dyDescent="0.6">
      <c r="A326">
        <v>108</v>
      </c>
      <c r="B326" t="str">
        <f>"1593"</f>
        <v>1593</v>
      </c>
      <c r="C326" t="s">
        <v>171</v>
      </c>
      <c r="D326" s="1">
        <v>42923</v>
      </c>
      <c r="E326">
        <v>41.1</v>
      </c>
      <c r="F326">
        <v>-0.2</v>
      </c>
      <c r="G326" s="3">
        <v>-4.7999999999999996E-3</v>
      </c>
      <c r="H326">
        <v>2013</v>
      </c>
      <c r="I326">
        <v>1.77</v>
      </c>
      <c r="J326">
        <v>1</v>
      </c>
      <c r="K326">
        <v>0.6</v>
      </c>
      <c r="L326">
        <v>1.6</v>
      </c>
      <c r="M326" s="3">
        <v>2.4299999999999999E-2</v>
      </c>
      <c r="N326" s="3">
        <v>1.46E-2</v>
      </c>
      <c r="O326" s="3">
        <v>3.8899999999999997E-2</v>
      </c>
      <c r="P326" s="3">
        <v>0.56499999999999995</v>
      </c>
      <c r="Q326" s="3">
        <v>0.33900000000000002</v>
      </c>
      <c r="R326" s="3">
        <v>0.90400000000000003</v>
      </c>
      <c r="S326" t="s">
        <v>67</v>
      </c>
      <c r="T326" t="s">
        <v>110</v>
      </c>
    </row>
    <row r="327" spans="1:20" hidden="1" x14ac:dyDescent="0.6">
      <c r="A327">
        <v>65</v>
      </c>
      <c r="B327" t="str">
        <f>"8163"</f>
        <v>8163</v>
      </c>
      <c r="C327" t="s">
        <v>120</v>
      </c>
      <c r="D327" s="1">
        <v>42923</v>
      </c>
      <c r="E327">
        <v>25.25</v>
      </c>
      <c r="F327">
        <v>-0.65</v>
      </c>
      <c r="G327" s="3">
        <v>-2.5100000000000001E-2</v>
      </c>
      <c r="H327">
        <v>2013</v>
      </c>
      <c r="I327">
        <v>0.7</v>
      </c>
      <c r="J327">
        <v>0.6</v>
      </c>
      <c r="K327">
        <v>0</v>
      </c>
      <c r="L327">
        <v>0.6</v>
      </c>
      <c r="M327" s="3">
        <v>2.3800000000000002E-2</v>
      </c>
      <c r="N327" s="2">
        <v>0</v>
      </c>
      <c r="O327" s="3">
        <v>2.3800000000000002E-2</v>
      </c>
      <c r="P327" s="3">
        <v>0.85699999999999998</v>
      </c>
      <c r="Q327" s="2">
        <v>0</v>
      </c>
      <c r="R327" s="3">
        <v>0.85699999999999998</v>
      </c>
      <c r="S327" t="s">
        <v>45</v>
      </c>
    </row>
    <row r="328" spans="1:20" hidden="1" x14ac:dyDescent="0.6">
      <c r="A328">
        <v>282</v>
      </c>
      <c r="B328" t="str">
        <f>"4417"</f>
        <v>4417</v>
      </c>
      <c r="C328" t="s">
        <v>363</v>
      </c>
      <c r="D328" s="1">
        <v>42923</v>
      </c>
      <c r="E328">
        <v>38.200000000000003</v>
      </c>
      <c r="F328">
        <v>-0.1</v>
      </c>
      <c r="G328" s="3">
        <v>-2.5999999999999999E-3</v>
      </c>
      <c r="H328">
        <v>2013</v>
      </c>
      <c r="I328">
        <v>4.71</v>
      </c>
      <c r="J328">
        <v>0.9</v>
      </c>
      <c r="K328">
        <v>0.8</v>
      </c>
      <c r="L328">
        <v>1.7</v>
      </c>
      <c r="M328" s="3">
        <v>2.3599999999999999E-2</v>
      </c>
      <c r="N328" s="3">
        <v>2.0899999999999998E-2</v>
      </c>
      <c r="O328" s="3">
        <v>4.4499999999999998E-2</v>
      </c>
      <c r="P328" s="3">
        <v>0.191</v>
      </c>
      <c r="Q328" s="2">
        <v>0.17</v>
      </c>
      <c r="R328" s="3">
        <v>0.36099999999999999</v>
      </c>
      <c r="S328" t="s">
        <v>55</v>
      </c>
      <c r="T328" t="s">
        <v>55</v>
      </c>
    </row>
    <row r="329" spans="1:20" hidden="1" x14ac:dyDescent="0.6">
      <c r="A329">
        <v>158</v>
      </c>
      <c r="B329" t="str">
        <f>"6164"</f>
        <v>6164</v>
      </c>
      <c r="C329" t="s">
        <v>228</v>
      </c>
      <c r="D329" s="1">
        <v>42923</v>
      </c>
      <c r="E329">
        <v>12.75</v>
      </c>
      <c r="F329">
        <v>-0.05</v>
      </c>
      <c r="G329" s="3">
        <v>-3.8999999999999998E-3</v>
      </c>
      <c r="H329">
        <v>2013</v>
      </c>
      <c r="I329">
        <v>0.26</v>
      </c>
      <c r="J329">
        <v>0.3</v>
      </c>
      <c r="K329">
        <v>0</v>
      </c>
      <c r="L329">
        <v>0.3</v>
      </c>
      <c r="M329" s="3">
        <v>2.35E-2</v>
      </c>
      <c r="N329" s="2">
        <v>0</v>
      </c>
      <c r="O329" s="3">
        <v>2.35E-2</v>
      </c>
      <c r="P329" s="2">
        <v>1.1499999999999999</v>
      </c>
      <c r="Q329" s="2">
        <v>0</v>
      </c>
      <c r="R329" s="2">
        <v>1.1499999999999999</v>
      </c>
      <c r="S329" t="s">
        <v>24</v>
      </c>
    </row>
    <row r="330" spans="1:20" hidden="1" x14ac:dyDescent="0.6">
      <c r="A330">
        <v>266</v>
      </c>
      <c r="B330" t="str">
        <f>"4935"</f>
        <v>4935</v>
      </c>
      <c r="C330" t="s">
        <v>346</v>
      </c>
      <c r="D330" s="1">
        <v>42923</v>
      </c>
      <c r="E330">
        <v>51.1</v>
      </c>
      <c r="F330">
        <v>0</v>
      </c>
      <c r="G330" s="2">
        <v>0</v>
      </c>
      <c r="H330">
        <v>2013</v>
      </c>
      <c r="I330">
        <v>2.19</v>
      </c>
      <c r="J330">
        <v>1.2</v>
      </c>
      <c r="K330">
        <v>0</v>
      </c>
      <c r="L330">
        <v>1.2</v>
      </c>
      <c r="M330" s="3">
        <v>2.35E-2</v>
      </c>
      <c r="N330" s="2">
        <v>0</v>
      </c>
      <c r="O330" s="3">
        <v>2.35E-2</v>
      </c>
      <c r="P330" s="3">
        <v>0.54800000000000004</v>
      </c>
      <c r="Q330" s="2">
        <v>0</v>
      </c>
      <c r="R330" s="3">
        <v>0.54800000000000004</v>
      </c>
      <c r="S330" t="s">
        <v>45</v>
      </c>
    </row>
    <row r="331" spans="1:20" hidden="1" x14ac:dyDescent="0.6">
      <c r="A331">
        <v>286</v>
      </c>
      <c r="B331" t="str">
        <f>"6230"</f>
        <v>6230</v>
      </c>
      <c r="C331" t="s">
        <v>368</v>
      </c>
      <c r="D331" s="1">
        <v>42923</v>
      </c>
      <c r="E331">
        <v>131</v>
      </c>
      <c r="F331">
        <v>-2</v>
      </c>
      <c r="G331" s="3">
        <v>-1.4999999999999999E-2</v>
      </c>
      <c r="H331">
        <v>2013</v>
      </c>
      <c r="I331">
        <v>4.79</v>
      </c>
      <c r="J331">
        <v>3</v>
      </c>
      <c r="K331">
        <v>0</v>
      </c>
      <c r="L331">
        <v>3</v>
      </c>
      <c r="M331" s="3">
        <v>2.29E-2</v>
      </c>
      <c r="N331" s="2">
        <v>0</v>
      </c>
      <c r="O331" s="3">
        <v>2.29E-2</v>
      </c>
      <c r="P331" s="3">
        <v>0.626</v>
      </c>
      <c r="Q331" s="2">
        <v>0</v>
      </c>
      <c r="R331" s="3">
        <v>0.626</v>
      </c>
      <c r="S331" t="s">
        <v>26</v>
      </c>
    </row>
    <row r="332" spans="1:20" hidden="1" x14ac:dyDescent="0.6">
      <c r="A332">
        <v>299</v>
      </c>
      <c r="B332" t="str">
        <f>"6024"</f>
        <v>6024</v>
      </c>
      <c r="C332" t="s">
        <v>381</v>
      </c>
      <c r="D332" s="1">
        <v>42923</v>
      </c>
      <c r="E332">
        <v>38.9</v>
      </c>
      <c r="F332">
        <v>0.55000000000000004</v>
      </c>
      <c r="G332" s="3">
        <v>1.43E-2</v>
      </c>
      <c r="H332">
        <v>2013</v>
      </c>
      <c r="I332">
        <v>2.52</v>
      </c>
      <c r="J332">
        <v>0.89</v>
      </c>
      <c r="K332">
        <v>0.85</v>
      </c>
      <c r="L332">
        <v>1.74</v>
      </c>
      <c r="M332" s="3">
        <v>2.29E-2</v>
      </c>
      <c r="N332" s="3">
        <v>2.1899999999999999E-2</v>
      </c>
      <c r="O332" s="3">
        <v>4.4699999999999997E-2</v>
      </c>
      <c r="P332" s="3">
        <v>0.35299999999999998</v>
      </c>
      <c r="Q332" s="3">
        <v>0.33700000000000002</v>
      </c>
      <c r="R332" s="2">
        <v>0.69</v>
      </c>
      <c r="S332" t="s">
        <v>275</v>
      </c>
      <c r="T332" t="s">
        <v>275</v>
      </c>
    </row>
    <row r="333" spans="1:20" hidden="1" x14ac:dyDescent="0.6">
      <c r="A333">
        <v>257</v>
      </c>
      <c r="B333" t="str">
        <f>"2892"</f>
        <v>2892</v>
      </c>
      <c r="C333" t="s">
        <v>336</v>
      </c>
      <c r="D333" s="1">
        <v>42923</v>
      </c>
      <c r="E333">
        <v>20.3</v>
      </c>
      <c r="F333">
        <v>-0.1</v>
      </c>
      <c r="G333" s="3">
        <v>-4.8999999999999998E-3</v>
      </c>
      <c r="H333">
        <v>2013</v>
      </c>
      <c r="I333">
        <v>1.25</v>
      </c>
      <c r="J333">
        <v>0.45</v>
      </c>
      <c r="K333">
        <v>0.65</v>
      </c>
      <c r="L333">
        <v>1.1000000000000001</v>
      </c>
      <c r="M333" s="3">
        <v>2.2200000000000001E-2</v>
      </c>
      <c r="N333" s="3">
        <v>3.2000000000000001E-2</v>
      </c>
      <c r="O333" s="3">
        <v>5.4199999999999998E-2</v>
      </c>
      <c r="P333" s="2">
        <v>0.36</v>
      </c>
      <c r="Q333" s="2">
        <v>0.52</v>
      </c>
      <c r="R333" s="2">
        <v>0.88</v>
      </c>
      <c r="S333" t="s">
        <v>71</v>
      </c>
      <c r="T333" t="s">
        <v>71</v>
      </c>
    </row>
    <row r="334" spans="1:20" hidden="1" x14ac:dyDescent="0.6">
      <c r="A334">
        <v>451</v>
      </c>
      <c r="B334" t="str">
        <f>"4506"</f>
        <v>4506</v>
      </c>
      <c r="C334" t="s">
        <v>541</v>
      </c>
      <c r="D334" s="1">
        <v>42923</v>
      </c>
      <c r="E334">
        <v>45</v>
      </c>
      <c r="F334">
        <v>0</v>
      </c>
      <c r="G334" s="2">
        <v>0</v>
      </c>
      <c r="H334">
        <v>2013</v>
      </c>
      <c r="I334">
        <v>1.5</v>
      </c>
      <c r="J334">
        <v>1</v>
      </c>
      <c r="K334">
        <v>0</v>
      </c>
      <c r="L334">
        <v>1</v>
      </c>
      <c r="M334" s="3">
        <v>2.2200000000000001E-2</v>
      </c>
      <c r="N334" s="2">
        <v>0</v>
      </c>
      <c r="O334" s="3">
        <v>2.2200000000000001E-2</v>
      </c>
      <c r="P334" s="3">
        <v>0.66700000000000004</v>
      </c>
      <c r="Q334" s="2">
        <v>0</v>
      </c>
      <c r="R334" s="3">
        <v>0.66700000000000004</v>
      </c>
      <c r="S334" t="s">
        <v>240</v>
      </c>
    </row>
    <row r="335" spans="1:20" hidden="1" x14ac:dyDescent="0.6">
      <c r="A335">
        <v>161</v>
      </c>
      <c r="B335" t="str">
        <f>"6245"</f>
        <v>6245</v>
      </c>
      <c r="C335" t="s">
        <v>231</v>
      </c>
      <c r="D335" s="1">
        <v>42923</v>
      </c>
      <c r="E335">
        <v>45.1</v>
      </c>
      <c r="F335">
        <v>-0.15</v>
      </c>
      <c r="G335" s="3">
        <v>-3.3E-3</v>
      </c>
      <c r="H335">
        <v>2013</v>
      </c>
      <c r="I335">
        <v>3.49</v>
      </c>
      <c r="J335">
        <v>0.99</v>
      </c>
      <c r="K335">
        <v>0.99</v>
      </c>
      <c r="L335">
        <v>1.99</v>
      </c>
      <c r="M335" s="3">
        <v>2.1999999999999999E-2</v>
      </c>
      <c r="N335" s="3">
        <v>2.1999999999999999E-2</v>
      </c>
      <c r="O335" s="3">
        <v>4.41E-2</v>
      </c>
      <c r="P335" s="3">
        <v>0.28399999999999997</v>
      </c>
      <c r="Q335" s="3">
        <v>0.28399999999999997</v>
      </c>
      <c r="R335" s="2">
        <v>0.56999999999999995</v>
      </c>
      <c r="S335" t="s">
        <v>232</v>
      </c>
      <c r="T335" t="s">
        <v>232</v>
      </c>
    </row>
    <row r="336" spans="1:20" hidden="1" x14ac:dyDescent="0.6">
      <c r="A336">
        <v>369</v>
      </c>
      <c r="B336" t="str">
        <f>"1452"</f>
        <v>1452</v>
      </c>
      <c r="C336" t="s">
        <v>452</v>
      </c>
      <c r="D336" s="1">
        <v>42923</v>
      </c>
      <c r="E336">
        <v>22.7</v>
      </c>
      <c r="F336">
        <v>-0.1</v>
      </c>
      <c r="G336" s="3">
        <v>-4.4000000000000003E-3</v>
      </c>
      <c r="H336">
        <v>2013</v>
      </c>
      <c r="I336">
        <v>0.66</v>
      </c>
      <c r="J336">
        <v>0.5</v>
      </c>
      <c r="K336">
        <v>0</v>
      </c>
      <c r="L336">
        <v>0.5</v>
      </c>
      <c r="M336" s="3">
        <v>2.1999999999999999E-2</v>
      </c>
      <c r="N336" s="2">
        <v>0</v>
      </c>
      <c r="O336" s="3">
        <v>2.1999999999999999E-2</v>
      </c>
      <c r="P336" s="3">
        <v>0.75800000000000001</v>
      </c>
      <c r="Q336" s="2">
        <v>0</v>
      </c>
      <c r="R336" s="3">
        <v>0.75800000000000001</v>
      </c>
      <c r="S336" t="s">
        <v>119</v>
      </c>
    </row>
    <row r="337" spans="1:20" hidden="1" x14ac:dyDescent="0.6">
      <c r="A337">
        <v>201</v>
      </c>
      <c r="B337" t="str">
        <f>"3526"</f>
        <v>3526</v>
      </c>
      <c r="C337" t="s">
        <v>279</v>
      </c>
      <c r="D337" s="1">
        <v>42923</v>
      </c>
      <c r="E337">
        <v>76.599999999999994</v>
      </c>
      <c r="F337">
        <v>0.6</v>
      </c>
      <c r="G337" s="3">
        <v>7.9000000000000008E-3</v>
      </c>
      <c r="H337">
        <v>2013</v>
      </c>
      <c r="I337">
        <v>2.11</v>
      </c>
      <c r="J337">
        <v>1.68</v>
      </c>
      <c r="K337">
        <v>0</v>
      </c>
      <c r="L337">
        <v>1.68</v>
      </c>
      <c r="M337" s="3">
        <v>2.1899999999999999E-2</v>
      </c>
      <c r="N337" s="2">
        <v>0</v>
      </c>
      <c r="O337" s="3">
        <v>2.1899999999999999E-2</v>
      </c>
      <c r="P337" s="3">
        <v>0.79600000000000004</v>
      </c>
      <c r="Q337" s="2">
        <v>0</v>
      </c>
      <c r="R337" s="3">
        <v>0.79600000000000004</v>
      </c>
      <c r="S337" t="s">
        <v>174</v>
      </c>
    </row>
    <row r="338" spans="1:20" hidden="1" x14ac:dyDescent="0.6">
      <c r="A338">
        <v>246</v>
      </c>
      <c r="B338" t="str">
        <f>"3691"</f>
        <v>3691</v>
      </c>
      <c r="C338" t="s">
        <v>325</v>
      </c>
      <c r="D338" s="1">
        <v>42923</v>
      </c>
      <c r="E338">
        <v>251.5</v>
      </c>
      <c r="F338">
        <v>-20</v>
      </c>
      <c r="G338" s="3">
        <v>-7.3700000000000002E-2</v>
      </c>
      <c r="H338">
        <v>2013</v>
      </c>
      <c r="I338">
        <v>13.75</v>
      </c>
      <c r="J338">
        <v>5.5</v>
      </c>
      <c r="K338">
        <v>1.5</v>
      </c>
      <c r="L338">
        <v>7</v>
      </c>
      <c r="M338" s="3">
        <v>2.1899999999999999E-2</v>
      </c>
      <c r="N338" s="3">
        <v>6.0000000000000001E-3</v>
      </c>
      <c r="O338" s="3">
        <v>2.7799999999999998E-2</v>
      </c>
      <c r="P338" s="2">
        <v>0.4</v>
      </c>
      <c r="Q338" s="3">
        <v>0.109</v>
      </c>
      <c r="R338" s="3">
        <v>0.50900000000000001</v>
      </c>
      <c r="S338" t="s">
        <v>65</v>
      </c>
      <c r="T338" t="s">
        <v>65</v>
      </c>
    </row>
    <row r="339" spans="1:20" hidden="1" x14ac:dyDescent="0.6">
      <c r="A339">
        <v>109</v>
      </c>
      <c r="B339" t="str">
        <f>"8070"</f>
        <v>8070</v>
      </c>
      <c r="C339" t="s">
        <v>172</v>
      </c>
      <c r="D339" s="1">
        <v>42923</v>
      </c>
      <c r="E339">
        <v>137.5</v>
      </c>
      <c r="F339">
        <v>5</v>
      </c>
      <c r="G339" s="3">
        <v>3.7699999999999997E-2</v>
      </c>
      <c r="H339">
        <v>2013</v>
      </c>
      <c r="I339">
        <v>9.34</v>
      </c>
      <c r="J339">
        <v>3</v>
      </c>
      <c r="K339">
        <v>0.3</v>
      </c>
      <c r="L339">
        <v>3.3</v>
      </c>
      <c r="M339" s="3">
        <v>2.18E-2</v>
      </c>
      <c r="N339" s="3">
        <v>2.2000000000000001E-3</v>
      </c>
      <c r="O339" s="3">
        <v>2.4E-2</v>
      </c>
      <c r="P339" s="3">
        <v>0.32100000000000001</v>
      </c>
      <c r="Q339" s="3">
        <v>3.2099999999999997E-2</v>
      </c>
      <c r="R339" s="3">
        <v>0.35299999999999998</v>
      </c>
      <c r="S339" t="s">
        <v>82</v>
      </c>
      <c r="T339" t="s">
        <v>82</v>
      </c>
    </row>
    <row r="340" spans="1:20" hidden="1" x14ac:dyDescent="0.6">
      <c r="A340">
        <v>173</v>
      </c>
      <c r="B340" t="str">
        <f>"8996"</f>
        <v>8996</v>
      </c>
      <c r="C340" t="s">
        <v>246</v>
      </c>
      <c r="D340" s="1">
        <v>42923</v>
      </c>
      <c r="E340">
        <v>46</v>
      </c>
      <c r="F340">
        <v>-0.7</v>
      </c>
      <c r="G340" s="3">
        <v>-1.4999999999999999E-2</v>
      </c>
      <c r="H340">
        <v>2013</v>
      </c>
      <c r="I340">
        <v>1.99</v>
      </c>
      <c r="J340">
        <v>1</v>
      </c>
      <c r="K340">
        <v>0.5</v>
      </c>
      <c r="L340">
        <v>1.5</v>
      </c>
      <c r="M340" s="3">
        <v>2.1700000000000001E-2</v>
      </c>
      <c r="N340" s="3">
        <v>1.09E-2</v>
      </c>
      <c r="O340" s="3">
        <v>3.2599999999999997E-2</v>
      </c>
      <c r="P340" s="3">
        <v>0.502</v>
      </c>
      <c r="Q340" s="3">
        <v>0.251</v>
      </c>
      <c r="R340" s="3">
        <v>0.754</v>
      </c>
      <c r="S340" t="s">
        <v>247</v>
      </c>
      <c r="T340" t="s">
        <v>247</v>
      </c>
    </row>
    <row r="341" spans="1:20" hidden="1" x14ac:dyDescent="0.6">
      <c r="A341">
        <v>317</v>
      </c>
      <c r="B341" t="str">
        <f>"2495"</f>
        <v>2495</v>
      </c>
      <c r="C341" t="s">
        <v>399</v>
      </c>
      <c r="D341" s="1">
        <v>42923</v>
      </c>
      <c r="E341">
        <v>16.100000000000001</v>
      </c>
      <c r="F341">
        <v>0</v>
      </c>
      <c r="G341" s="2">
        <v>0</v>
      </c>
      <c r="H341">
        <v>2013</v>
      </c>
      <c r="I341">
        <v>0.41</v>
      </c>
      <c r="J341">
        <v>0.35</v>
      </c>
      <c r="K341">
        <v>0</v>
      </c>
      <c r="L341">
        <v>0.35</v>
      </c>
      <c r="M341" s="3">
        <v>2.1700000000000001E-2</v>
      </c>
      <c r="N341" s="2">
        <v>0</v>
      </c>
      <c r="O341" s="3">
        <v>2.1700000000000001E-2</v>
      </c>
      <c r="P341" s="3">
        <v>0.85399999999999998</v>
      </c>
      <c r="Q341" s="2">
        <v>0</v>
      </c>
      <c r="R341" s="3">
        <v>0.85399999999999998</v>
      </c>
      <c r="S341" t="s">
        <v>43</v>
      </c>
    </row>
    <row r="342" spans="1:20" hidden="1" x14ac:dyDescent="0.6">
      <c r="A342">
        <v>452</v>
      </c>
      <c r="B342" t="str">
        <f>"2897"</f>
        <v>2897</v>
      </c>
      <c r="C342" t="s">
        <v>542</v>
      </c>
      <c r="D342" s="1">
        <v>42923</v>
      </c>
      <c r="E342">
        <v>9.2200000000000006</v>
      </c>
      <c r="F342">
        <v>-0.04</v>
      </c>
      <c r="G342" s="3">
        <v>-4.3E-3</v>
      </c>
      <c r="H342">
        <v>2013</v>
      </c>
      <c r="I342">
        <v>0.02</v>
      </c>
      <c r="J342">
        <v>0.2</v>
      </c>
      <c r="K342">
        <v>0</v>
      </c>
      <c r="L342">
        <v>0.2</v>
      </c>
      <c r="M342" s="3">
        <v>2.1700000000000001E-2</v>
      </c>
      <c r="N342" s="2">
        <v>0</v>
      </c>
      <c r="O342" s="3">
        <v>2.1700000000000001E-2</v>
      </c>
      <c r="P342" s="2">
        <v>10</v>
      </c>
      <c r="Q342" s="2">
        <v>0</v>
      </c>
      <c r="R342" s="2">
        <v>10</v>
      </c>
      <c r="S342" t="s">
        <v>65</v>
      </c>
    </row>
    <row r="343" spans="1:20" hidden="1" x14ac:dyDescent="0.6">
      <c r="A343">
        <v>241</v>
      </c>
      <c r="B343" t="str">
        <f>"2883"</f>
        <v>2883</v>
      </c>
      <c r="C343" t="s">
        <v>320</v>
      </c>
      <c r="D343" s="1">
        <v>42923</v>
      </c>
      <c r="E343">
        <v>8.33</v>
      </c>
      <c r="F343">
        <v>-0.06</v>
      </c>
      <c r="G343" s="3">
        <v>-7.1999999999999998E-3</v>
      </c>
      <c r="H343">
        <v>2013</v>
      </c>
      <c r="I343">
        <v>0.39</v>
      </c>
      <c r="J343">
        <v>0.18</v>
      </c>
      <c r="K343">
        <v>0</v>
      </c>
      <c r="L343">
        <v>0.18</v>
      </c>
      <c r="M343" s="3">
        <v>2.1600000000000001E-2</v>
      </c>
      <c r="N343" s="2">
        <v>0</v>
      </c>
      <c r="O343" s="3">
        <v>2.1600000000000001E-2</v>
      </c>
      <c r="P343" s="3">
        <v>0.46200000000000002</v>
      </c>
      <c r="Q343" s="2">
        <v>0</v>
      </c>
      <c r="R343" s="3">
        <v>0.46200000000000002</v>
      </c>
      <c r="S343" t="s">
        <v>31</v>
      </c>
    </row>
    <row r="344" spans="1:20" hidden="1" x14ac:dyDescent="0.6">
      <c r="A344">
        <v>47</v>
      </c>
      <c r="B344" t="str">
        <f>"3596"</f>
        <v>3596</v>
      </c>
      <c r="C344" t="s">
        <v>94</v>
      </c>
      <c r="D344" s="1">
        <v>42923</v>
      </c>
      <c r="E344">
        <v>47.45</v>
      </c>
      <c r="F344">
        <v>0.3</v>
      </c>
      <c r="G344" s="3">
        <v>6.4000000000000003E-3</v>
      </c>
      <c r="H344">
        <v>2013</v>
      </c>
      <c r="I344">
        <v>2.52</v>
      </c>
      <c r="J344">
        <v>1</v>
      </c>
      <c r="K344">
        <v>0</v>
      </c>
      <c r="L344">
        <v>1</v>
      </c>
      <c r="M344" s="3">
        <v>2.1100000000000001E-2</v>
      </c>
      <c r="N344" s="2">
        <v>0</v>
      </c>
      <c r="O344" s="3">
        <v>2.1100000000000001E-2</v>
      </c>
      <c r="P344" s="3">
        <v>0.39700000000000002</v>
      </c>
      <c r="Q344" s="2">
        <v>0</v>
      </c>
      <c r="R344" s="3">
        <v>0.39700000000000002</v>
      </c>
      <c r="S344" t="s">
        <v>95</v>
      </c>
    </row>
    <row r="345" spans="1:20" hidden="1" x14ac:dyDescent="0.6">
      <c r="A345">
        <v>415</v>
      </c>
      <c r="B345" t="str">
        <f>"2423"</f>
        <v>2423</v>
      </c>
      <c r="C345" t="s">
        <v>502</v>
      </c>
      <c r="D345" s="1">
        <v>42923</v>
      </c>
      <c r="E345">
        <v>23.75</v>
      </c>
      <c r="F345">
        <v>0.05</v>
      </c>
      <c r="G345" s="3">
        <v>2.0999999999999999E-3</v>
      </c>
      <c r="H345">
        <v>2013</v>
      </c>
      <c r="I345">
        <v>0.98</v>
      </c>
      <c r="J345">
        <v>0.5</v>
      </c>
      <c r="K345">
        <v>0.5</v>
      </c>
      <c r="L345">
        <v>1</v>
      </c>
      <c r="M345" s="3">
        <v>2.1100000000000001E-2</v>
      </c>
      <c r="N345" s="3">
        <v>2.1100000000000001E-2</v>
      </c>
      <c r="O345" s="3">
        <v>4.2099999999999999E-2</v>
      </c>
      <c r="P345" s="2">
        <v>0.51</v>
      </c>
      <c r="Q345" s="2">
        <v>0.51</v>
      </c>
      <c r="R345" s="2">
        <v>1.02</v>
      </c>
      <c r="S345" t="s">
        <v>24</v>
      </c>
      <c r="T345" t="s">
        <v>24</v>
      </c>
    </row>
    <row r="346" spans="1:20" hidden="1" x14ac:dyDescent="0.6">
      <c r="A346">
        <v>350</v>
      </c>
      <c r="B346" t="str">
        <f>"1323"</f>
        <v>1323</v>
      </c>
      <c r="C346" t="s">
        <v>432</v>
      </c>
      <c r="D346" s="1">
        <v>42923</v>
      </c>
      <c r="E346">
        <v>33.35</v>
      </c>
      <c r="F346">
        <v>-0.3</v>
      </c>
      <c r="G346" s="3">
        <v>-8.8999999999999999E-3</v>
      </c>
      <c r="H346">
        <v>2013</v>
      </c>
      <c r="I346">
        <v>2.2599999999999998</v>
      </c>
      <c r="J346">
        <v>0.7</v>
      </c>
      <c r="K346">
        <v>0.5</v>
      </c>
      <c r="L346">
        <v>1.2</v>
      </c>
      <c r="M346" s="3">
        <v>2.1000000000000001E-2</v>
      </c>
      <c r="N346" s="3">
        <v>1.4999999999999999E-2</v>
      </c>
      <c r="O346" s="3">
        <v>3.5999999999999997E-2</v>
      </c>
      <c r="P346" s="2">
        <v>0.31</v>
      </c>
      <c r="Q346" s="3">
        <v>0.221</v>
      </c>
      <c r="R346" s="3">
        <v>0.53100000000000003</v>
      </c>
      <c r="S346" t="s">
        <v>89</v>
      </c>
      <c r="T346" t="s">
        <v>105</v>
      </c>
    </row>
    <row r="347" spans="1:20" hidden="1" x14ac:dyDescent="0.6">
      <c r="A347">
        <v>102</v>
      </c>
      <c r="B347" t="str">
        <f>"9911"</f>
        <v>9911</v>
      </c>
      <c r="C347" t="s">
        <v>165</v>
      </c>
      <c r="D347" s="1">
        <v>42923</v>
      </c>
      <c r="E347">
        <v>33.85</v>
      </c>
      <c r="F347">
        <v>-0.25</v>
      </c>
      <c r="G347" s="3">
        <v>-7.3000000000000001E-3</v>
      </c>
      <c r="H347">
        <v>2013</v>
      </c>
      <c r="I347">
        <v>1.01</v>
      </c>
      <c r="J347">
        <v>0.7</v>
      </c>
      <c r="K347">
        <v>0</v>
      </c>
      <c r="L347">
        <v>0.7</v>
      </c>
      <c r="M347" s="3">
        <v>2.07E-2</v>
      </c>
      <c r="N347" s="2">
        <v>0</v>
      </c>
      <c r="O347" s="3">
        <v>2.07E-2</v>
      </c>
      <c r="P347" s="3">
        <v>0.69299999999999995</v>
      </c>
      <c r="Q347" s="2">
        <v>0</v>
      </c>
      <c r="R347" s="3">
        <v>0.69299999999999995</v>
      </c>
      <c r="S347" t="s">
        <v>126</v>
      </c>
    </row>
    <row r="348" spans="1:20" hidden="1" x14ac:dyDescent="0.6">
      <c r="A348">
        <v>321</v>
      </c>
      <c r="B348" t="str">
        <f>"8383"</f>
        <v>8383</v>
      </c>
      <c r="C348" t="s">
        <v>403</v>
      </c>
      <c r="D348" s="1">
        <v>42923</v>
      </c>
      <c r="E348">
        <v>48.55</v>
      </c>
      <c r="F348">
        <v>-0.15</v>
      </c>
      <c r="G348" s="3">
        <v>-3.0999999999999999E-3</v>
      </c>
      <c r="H348">
        <v>2013</v>
      </c>
      <c r="I348">
        <v>1.3</v>
      </c>
      <c r="J348">
        <v>1</v>
      </c>
      <c r="K348">
        <v>0</v>
      </c>
      <c r="L348">
        <v>1</v>
      </c>
      <c r="M348" s="3">
        <v>2.06E-2</v>
      </c>
      <c r="N348" s="2">
        <v>0</v>
      </c>
      <c r="O348" s="3">
        <v>2.06E-2</v>
      </c>
      <c r="P348" s="3">
        <v>0.76900000000000002</v>
      </c>
      <c r="Q348" s="2">
        <v>0</v>
      </c>
      <c r="R348" s="3">
        <v>0.76900000000000002</v>
      </c>
      <c r="S348" t="s">
        <v>99</v>
      </c>
    </row>
    <row r="349" spans="1:20" hidden="1" x14ac:dyDescent="0.6">
      <c r="A349">
        <v>129</v>
      </c>
      <c r="B349" t="str">
        <f>"1787"</f>
        <v>1787</v>
      </c>
      <c r="C349" t="s">
        <v>195</v>
      </c>
      <c r="D349" s="1">
        <v>42923</v>
      </c>
      <c r="E349">
        <v>24.7</v>
      </c>
      <c r="F349">
        <v>-0.35</v>
      </c>
      <c r="G349" s="3">
        <v>-1.4E-2</v>
      </c>
      <c r="H349">
        <v>2013</v>
      </c>
      <c r="I349">
        <v>0.63</v>
      </c>
      <c r="J349">
        <v>0.5</v>
      </c>
      <c r="K349">
        <v>0</v>
      </c>
      <c r="L349">
        <v>0.5</v>
      </c>
      <c r="M349" s="3">
        <v>2.0199999999999999E-2</v>
      </c>
      <c r="N349" s="2">
        <v>0</v>
      </c>
      <c r="O349" s="3">
        <v>2.0199999999999999E-2</v>
      </c>
      <c r="P349" s="3">
        <v>0.79400000000000004</v>
      </c>
      <c r="Q349" s="2">
        <v>0</v>
      </c>
      <c r="R349" s="3">
        <v>0.79400000000000004</v>
      </c>
      <c r="S349" t="s">
        <v>65</v>
      </c>
    </row>
    <row r="350" spans="1:20" hidden="1" x14ac:dyDescent="0.6">
      <c r="A350">
        <v>151</v>
      </c>
      <c r="B350" t="str">
        <f>"6174"</f>
        <v>6174</v>
      </c>
      <c r="C350" t="s">
        <v>219</v>
      </c>
      <c r="D350" s="1">
        <v>42923</v>
      </c>
      <c r="E350">
        <v>14.85</v>
      </c>
      <c r="F350">
        <v>-0.05</v>
      </c>
      <c r="G350" s="3">
        <v>-3.3999999999999998E-3</v>
      </c>
      <c r="H350">
        <v>2013</v>
      </c>
      <c r="I350">
        <v>0.34</v>
      </c>
      <c r="J350">
        <v>0.3</v>
      </c>
      <c r="K350">
        <v>0</v>
      </c>
      <c r="L350">
        <v>0.3</v>
      </c>
      <c r="M350" s="3">
        <v>2.0199999999999999E-2</v>
      </c>
      <c r="N350" s="2">
        <v>0</v>
      </c>
      <c r="O350" s="3">
        <v>2.0199999999999999E-2</v>
      </c>
      <c r="P350" s="3">
        <v>0.88200000000000001</v>
      </c>
      <c r="Q350" s="2">
        <v>0</v>
      </c>
      <c r="R350" s="3">
        <v>0.88200000000000001</v>
      </c>
      <c r="S350" t="s">
        <v>220</v>
      </c>
    </row>
    <row r="351" spans="1:20" hidden="1" x14ac:dyDescent="0.6">
      <c r="A351">
        <v>414</v>
      </c>
      <c r="B351" t="str">
        <f>"5258"</f>
        <v>5258</v>
      </c>
      <c r="C351" t="s">
        <v>501</v>
      </c>
      <c r="D351" s="1">
        <v>42923</v>
      </c>
      <c r="E351">
        <v>39.549999999999997</v>
      </c>
      <c r="F351">
        <v>-0.7</v>
      </c>
      <c r="G351" s="3">
        <v>-1.7399999999999999E-2</v>
      </c>
      <c r="H351">
        <v>2013</v>
      </c>
      <c r="I351">
        <v>1.85</v>
      </c>
      <c r="J351">
        <v>0.8</v>
      </c>
      <c r="K351">
        <v>0.5</v>
      </c>
      <c r="L351">
        <v>1.3</v>
      </c>
      <c r="M351" s="3">
        <v>2.0199999999999999E-2</v>
      </c>
      <c r="N351" s="3">
        <v>1.26E-2</v>
      </c>
      <c r="O351" s="3">
        <v>3.2899999999999999E-2</v>
      </c>
      <c r="P351" s="3">
        <v>0.432</v>
      </c>
      <c r="Q351" s="2">
        <v>0.27</v>
      </c>
      <c r="R351" s="3">
        <v>0.70299999999999996</v>
      </c>
      <c r="S351" t="s">
        <v>105</v>
      </c>
      <c r="T351" t="s">
        <v>105</v>
      </c>
    </row>
    <row r="352" spans="1:20" hidden="1" x14ac:dyDescent="0.6">
      <c r="A352">
        <v>260</v>
      </c>
      <c r="B352" t="str">
        <f>"3548"</f>
        <v>3548</v>
      </c>
      <c r="C352" t="s">
        <v>340</v>
      </c>
      <c r="D352" s="1">
        <v>42923</v>
      </c>
      <c r="E352">
        <v>59.8</v>
      </c>
      <c r="F352">
        <v>-0.2</v>
      </c>
      <c r="G352" s="3">
        <v>-3.3E-3</v>
      </c>
      <c r="H352">
        <v>2013</v>
      </c>
      <c r="I352">
        <v>2.42</v>
      </c>
      <c r="J352">
        <v>1.2</v>
      </c>
      <c r="K352">
        <v>0</v>
      </c>
      <c r="L352">
        <v>1.2</v>
      </c>
      <c r="M352" s="3">
        <v>2.01E-2</v>
      </c>
      <c r="N352" s="2">
        <v>0</v>
      </c>
      <c r="O352" s="3">
        <v>2.01E-2</v>
      </c>
      <c r="P352" s="3">
        <v>0.496</v>
      </c>
      <c r="Q352" s="2">
        <v>0</v>
      </c>
      <c r="R352" s="3">
        <v>0.496</v>
      </c>
      <c r="S352" t="s">
        <v>136</v>
      </c>
    </row>
    <row r="353" spans="1:20" hidden="1" x14ac:dyDescent="0.6">
      <c r="A353">
        <v>117</v>
      </c>
      <c r="B353" t="str">
        <f>"2031"</f>
        <v>2031</v>
      </c>
      <c r="C353" t="s">
        <v>181</v>
      </c>
      <c r="D353" s="1">
        <v>42923</v>
      </c>
      <c r="E353">
        <v>25.1</v>
      </c>
      <c r="F353">
        <v>-0.05</v>
      </c>
      <c r="G353" s="3">
        <v>-2E-3</v>
      </c>
      <c r="H353">
        <v>2013</v>
      </c>
      <c r="I353">
        <v>-0.78</v>
      </c>
      <c r="J353">
        <v>0.5</v>
      </c>
      <c r="K353">
        <v>0</v>
      </c>
      <c r="L353">
        <v>0.5</v>
      </c>
      <c r="M353" s="3">
        <v>1.9900000000000001E-2</v>
      </c>
      <c r="N353" s="2">
        <v>0</v>
      </c>
      <c r="O353" s="3">
        <v>1.9900000000000001E-2</v>
      </c>
      <c r="P353" s="3">
        <v>-0.64100000000000001</v>
      </c>
      <c r="Q353" s="2">
        <v>0</v>
      </c>
      <c r="R353" s="3">
        <v>-0.64100000000000001</v>
      </c>
      <c r="S353" t="s">
        <v>38</v>
      </c>
    </row>
    <row r="354" spans="1:20" hidden="1" x14ac:dyDescent="0.6">
      <c r="A354">
        <v>444</v>
      </c>
      <c r="B354" t="str">
        <f>"4755"</f>
        <v>4755</v>
      </c>
      <c r="C354" t="s">
        <v>534</v>
      </c>
      <c r="D354" s="1">
        <v>42923</v>
      </c>
      <c r="E354">
        <v>32.549999999999997</v>
      </c>
      <c r="F354">
        <v>-0.2</v>
      </c>
      <c r="G354" s="3">
        <v>-6.1000000000000004E-3</v>
      </c>
      <c r="H354">
        <v>2013</v>
      </c>
      <c r="I354">
        <v>2.96</v>
      </c>
      <c r="J354">
        <v>0.65</v>
      </c>
      <c r="K354">
        <v>0</v>
      </c>
      <c r="L354">
        <v>0.65</v>
      </c>
      <c r="M354" s="3">
        <v>1.9900000000000001E-2</v>
      </c>
      <c r="N354" s="2">
        <v>0</v>
      </c>
      <c r="O354" s="3">
        <v>1.9900000000000001E-2</v>
      </c>
      <c r="P354" s="2">
        <v>0.22</v>
      </c>
      <c r="Q354" s="2">
        <v>0</v>
      </c>
      <c r="R354" s="2">
        <v>0.22</v>
      </c>
      <c r="S354" t="s">
        <v>45</v>
      </c>
    </row>
    <row r="355" spans="1:20" hidden="1" x14ac:dyDescent="0.6">
      <c r="A355">
        <v>71</v>
      </c>
      <c r="B355" t="str">
        <f>"5438"</f>
        <v>5438</v>
      </c>
      <c r="C355" t="s">
        <v>130</v>
      </c>
      <c r="D355" s="1">
        <v>42923</v>
      </c>
      <c r="E355">
        <v>15.25</v>
      </c>
      <c r="F355">
        <v>0.1</v>
      </c>
      <c r="G355" s="3">
        <v>6.6E-3</v>
      </c>
      <c r="H355">
        <v>2013</v>
      </c>
      <c r="I355">
        <v>0.56000000000000005</v>
      </c>
      <c r="J355">
        <v>0.3</v>
      </c>
      <c r="K355">
        <v>0</v>
      </c>
      <c r="L355">
        <v>0.3</v>
      </c>
      <c r="M355" s="3">
        <v>1.9699999999999999E-2</v>
      </c>
      <c r="N355" s="2">
        <v>0</v>
      </c>
      <c r="O355" s="3">
        <v>1.9699999999999999E-2</v>
      </c>
      <c r="P355" s="3">
        <v>0.53600000000000003</v>
      </c>
      <c r="Q355" s="2">
        <v>0</v>
      </c>
      <c r="R355" s="3">
        <v>0.53600000000000003</v>
      </c>
      <c r="S355" t="s">
        <v>69</v>
      </c>
    </row>
    <row r="356" spans="1:20" hidden="1" x14ac:dyDescent="0.6">
      <c r="A356">
        <v>274</v>
      </c>
      <c r="B356" t="str">
        <f>"2889"</f>
        <v>2889</v>
      </c>
      <c r="C356" t="s">
        <v>354</v>
      </c>
      <c r="D356" s="1">
        <v>42923</v>
      </c>
      <c r="E356">
        <v>9.4600000000000009</v>
      </c>
      <c r="F356">
        <v>-0.04</v>
      </c>
      <c r="G356" s="3">
        <v>-4.1999999999999997E-3</v>
      </c>
      <c r="H356">
        <v>2013</v>
      </c>
      <c r="I356">
        <v>0.55000000000000004</v>
      </c>
      <c r="J356">
        <v>0.18</v>
      </c>
      <c r="K356">
        <v>0.3</v>
      </c>
      <c r="L356">
        <v>0.48</v>
      </c>
      <c r="M356" s="3">
        <v>1.9E-2</v>
      </c>
      <c r="N356" s="3">
        <v>3.1699999999999999E-2</v>
      </c>
      <c r="O356" s="3">
        <v>5.0700000000000002E-2</v>
      </c>
      <c r="P356" s="3">
        <v>0.32700000000000001</v>
      </c>
      <c r="Q356" s="3">
        <v>0.54600000000000004</v>
      </c>
      <c r="R356" s="3">
        <v>0.873</v>
      </c>
      <c r="S356" t="s">
        <v>108</v>
      </c>
      <c r="T356" t="s">
        <v>108</v>
      </c>
    </row>
    <row r="357" spans="1:20" hidden="1" x14ac:dyDescent="0.6">
      <c r="A357">
        <v>225</v>
      </c>
      <c r="B357" t="str">
        <f>"2472"</f>
        <v>2472</v>
      </c>
      <c r="C357" t="s">
        <v>304</v>
      </c>
      <c r="D357" s="1">
        <v>42923</v>
      </c>
      <c r="E357">
        <v>39.25</v>
      </c>
      <c r="F357">
        <v>0</v>
      </c>
      <c r="G357" s="2">
        <v>0</v>
      </c>
      <c r="H357">
        <v>2013</v>
      </c>
      <c r="I357">
        <v>0.83</v>
      </c>
      <c r="J357">
        <v>0.74</v>
      </c>
      <c r="K357">
        <v>0</v>
      </c>
      <c r="L357">
        <v>0.74</v>
      </c>
      <c r="M357" s="3">
        <v>1.8700000000000001E-2</v>
      </c>
      <c r="N357" s="2">
        <v>0</v>
      </c>
      <c r="O357" s="3">
        <v>1.8700000000000001E-2</v>
      </c>
      <c r="P357" s="3">
        <v>0.89200000000000002</v>
      </c>
      <c r="Q357" s="2">
        <v>0</v>
      </c>
      <c r="R357" s="3">
        <v>0.89200000000000002</v>
      </c>
      <c r="S357" t="s">
        <v>122</v>
      </c>
    </row>
    <row r="358" spans="1:20" hidden="1" x14ac:dyDescent="0.6">
      <c r="A358">
        <v>107</v>
      </c>
      <c r="B358" t="str">
        <f>"8048"</f>
        <v>8048</v>
      </c>
      <c r="C358" t="s">
        <v>170</v>
      </c>
      <c r="D358" s="1">
        <v>42923</v>
      </c>
      <c r="E358">
        <v>27.4</v>
      </c>
      <c r="F358">
        <v>-0.2</v>
      </c>
      <c r="G358" s="3">
        <v>-7.1999999999999998E-3</v>
      </c>
      <c r="H358">
        <v>2013</v>
      </c>
      <c r="I358">
        <v>0.72</v>
      </c>
      <c r="J358">
        <v>0.5</v>
      </c>
      <c r="K358">
        <v>0</v>
      </c>
      <c r="L358">
        <v>0.5</v>
      </c>
      <c r="M358" s="3">
        <v>1.8200000000000001E-2</v>
      </c>
      <c r="N358" s="2">
        <v>0</v>
      </c>
      <c r="O358" s="3">
        <v>1.8200000000000001E-2</v>
      </c>
      <c r="P358" s="3">
        <v>0.69399999999999995</v>
      </c>
      <c r="Q358" s="2">
        <v>0</v>
      </c>
      <c r="R358" s="3">
        <v>0.69399999999999995</v>
      </c>
      <c r="S358" t="s">
        <v>136</v>
      </c>
    </row>
    <row r="359" spans="1:20" hidden="1" x14ac:dyDescent="0.6">
      <c r="A359">
        <v>326</v>
      </c>
      <c r="B359" t="str">
        <f>"5347"</f>
        <v>5347</v>
      </c>
      <c r="C359" t="s">
        <v>408</v>
      </c>
      <c r="D359" s="1">
        <v>42923</v>
      </c>
      <c r="E359">
        <v>54.2</v>
      </c>
      <c r="F359">
        <v>-1.4</v>
      </c>
      <c r="G359" s="3">
        <v>-2.52E-2</v>
      </c>
      <c r="H359">
        <v>2013</v>
      </c>
      <c r="I359">
        <v>1.5</v>
      </c>
      <c r="J359">
        <v>0.97</v>
      </c>
      <c r="K359">
        <v>0</v>
      </c>
      <c r="L359">
        <v>0.97</v>
      </c>
      <c r="M359" s="3">
        <v>1.7999999999999999E-2</v>
      </c>
      <c r="N359" s="2">
        <v>0</v>
      </c>
      <c r="O359" s="3">
        <v>1.7999999999999999E-2</v>
      </c>
      <c r="P359" s="3">
        <v>0.64700000000000002</v>
      </c>
      <c r="Q359" s="2">
        <v>0</v>
      </c>
      <c r="R359" s="3">
        <v>0.64700000000000002</v>
      </c>
      <c r="S359" t="s">
        <v>119</v>
      </c>
    </row>
    <row r="360" spans="1:20" hidden="1" x14ac:dyDescent="0.6">
      <c r="A360">
        <v>124</v>
      </c>
      <c r="B360" t="str">
        <f>"1704"</f>
        <v>1704</v>
      </c>
      <c r="C360" t="s">
        <v>189</v>
      </c>
      <c r="D360" s="1">
        <v>42923</v>
      </c>
      <c r="E360">
        <v>42.4</v>
      </c>
      <c r="F360">
        <v>-0.3</v>
      </c>
      <c r="G360" s="3">
        <v>-7.0000000000000001E-3</v>
      </c>
      <c r="H360">
        <v>2013</v>
      </c>
      <c r="I360">
        <v>0.75</v>
      </c>
      <c r="J360">
        <v>0.75</v>
      </c>
      <c r="K360">
        <v>0</v>
      </c>
      <c r="L360">
        <v>0.75</v>
      </c>
      <c r="M360" s="3">
        <v>1.77E-2</v>
      </c>
      <c r="N360" s="2">
        <v>0</v>
      </c>
      <c r="O360" s="3">
        <v>1.77E-2</v>
      </c>
      <c r="P360" s="2">
        <v>1</v>
      </c>
      <c r="Q360" s="2">
        <v>0</v>
      </c>
      <c r="R360" s="2">
        <v>1</v>
      </c>
      <c r="S360" t="s">
        <v>190</v>
      </c>
    </row>
    <row r="361" spans="1:20" hidden="1" x14ac:dyDescent="0.6">
      <c r="A361">
        <v>245</v>
      </c>
      <c r="B361" t="str">
        <f>"8433"</f>
        <v>8433</v>
      </c>
      <c r="C361" t="s">
        <v>324</v>
      </c>
      <c r="D361" s="1">
        <v>42923</v>
      </c>
      <c r="E361">
        <v>101.5</v>
      </c>
      <c r="F361">
        <v>-2.5</v>
      </c>
      <c r="G361" s="3">
        <v>-2.4E-2</v>
      </c>
      <c r="H361">
        <v>2013</v>
      </c>
      <c r="I361">
        <v>1.65</v>
      </c>
      <c r="J361">
        <v>1.8</v>
      </c>
      <c r="K361">
        <v>0</v>
      </c>
      <c r="L361">
        <v>1.8</v>
      </c>
      <c r="M361" s="3">
        <v>1.77E-2</v>
      </c>
      <c r="N361" s="2">
        <v>0</v>
      </c>
      <c r="O361" s="3">
        <v>1.77E-2</v>
      </c>
      <c r="P361" s="2">
        <v>1.0900000000000001</v>
      </c>
      <c r="Q361" s="2">
        <v>0</v>
      </c>
      <c r="R361" s="2">
        <v>1.0900000000000001</v>
      </c>
      <c r="S361" t="s">
        <v>34</v>
      </c>
    </row>
    <row r="362" spans="1:20" hidden="1" x14ac:dyDescent="0.6">
      <c r="A362">
        <v>419</v>
      </c>
      <c r="B362" t="str">
        <f>"3484"</f>
        <v>3484</v>
      </c>
      <c r="C362" t="s">
        <v>506</v>
      </c>
      <c r="D362" s="1">
        <v>42923</v>
      </c>
      <c r="E362">
        <v>39.700000000000003</v>
      </c>
      <c r="F362">
        <v>-0.2</v>
      </c>
      <c r="G362" s="3">
        <v>-5.0000000000000001E-3</v>
      </c>
      <c r="H362">
        <v>2013</v>
      </c>
      <c r="I362">
        <v>0.79</v>
      </c>
      <c r="J362">
        <v>0.7</v>
      </c>
      <c r="K362">
        <v>0.3</v>
      </c>
      <c r="L362">
        <v>1</v>
      </c>
      <c r="M362" s="3">
        <v>1.7600000000000001E-2</v>
      </c>
      <c r="N362" s="3">
        <v>7.6E-3</v>
      </c>
      <c r="O362" s="3">
        <v>2.52E-2</v>
      </c>
      <c r="P362" s="3">
        <v>0.88600000000000001</v>
      </c>
      <c r="Q362" s="2">
        <v>0.38</v>
      </c>
      <c r="R362" s="2">
        <v>1.27</v>
      </c>
      <c r="S362" t="s">
        <v>71</v>
      </c>
      <c r="T362" t="s">
        <v>71</v>
      </c>
    </row>
    <row r="363" spans="1:20" hidden="1" x14ac:dyDescent="0.6">
      <c r="A363">
        <v>374</v>
      </c>
      <c r="B363" t="str">
        <f>"8234"</f>
        <v>8234</v>
      </c>
      <c r="C363" t="s">
        <v>457</v>
      </c>
      <c r="D363" s="1">
        <v>42923</v>
      </c>
      <c r="E363">
        <v>28.55</v>
      </c>
      <c r="F363">
        <v>-0.15</v>
      </c>
      <c r="G363" s="3">
        <v>-5.1999999999999998E-3</v>
      </c>
      <c r="H363">
        <v>2013</v>
      </c>
      <c r="I363">
        <v>2.0699999999999998</v>
      </c>
      <c r="J363">
        <v>0.5</v>
      </c>
      <c r="K363">
        <v>1.5</v>
      </c>
      <c r="L363">
        <v>2</v>
      </c>
      <c r="M363" s="3">
        <v>1.7500000000000002E-2</v>
      </c>
      <c r="N363" s="3">
        <v>5.2499999999999998E-2</v>
      </c>
      <c r="O363" s="2">
        <v>7.0000000000000007E-2</v>
      </c>
      <c r="P363" s="3">
        <v>0.24199999999999999</v>
      </c>
      <c r="Q363" s="3">
        <v>0.72499999999999998</v>
      </c>
      <c r="R363" s="3">
        <v>0.96599999999999997</v>
      </c>
      <c r="S363" t="s">
        <v>124</v>
      </c>
      <c r="T363" t="s">
        <v>124</v>
      </c>
    </row>
    <row r="364" spans="1:20" hidden="1" x14ac:dyDescent="0.6">
      <c r="A364">
        <v>463</v>
      </c>
      <c r="B364" t="str">
        <f>"6217"</f>
        <v>6217</v>
      </c>
      <c r="C364" t="s">
        <v>554</v>
      </c>
      <c r="D364" s="1">
        <v>42923</v>
      </c>
      <c r="E364">
        <v>35.1</v>
      </c>
      <c r="F364">
        <v>-0.35</v>
      </c>
      <c r="G364" s="3">
        <v>-9.9000000000000008E-3</v>
      </c>
      <c r="H364">
        <v>2013</v>
      </c>
      <c r="I364">
        <v>1.34</v>
      </c>
      <c r="J364">
        <v>0.6</v>
      </c>
      <c r="K364">
        <v>0.1</v>
      </c>
      <c r="L364">
        <v>0.7</v>
      </c>
      <c r="M364" s="3">
        <v>1.7000000000000001E-2</v>
      </c>
      <c r="N364" s="3">
        <v>2.8E-3</v>
      </c>
      <c r="O364" s="3">
        <v>1.9800000000000002E-2</v>
      </c>
      <c r="P364" s="3">
        <v>0.44800000000000001</v>
      </c>
      <c r="Q364" s="3">
        <v>7.46E-2</v>
      </c>
      <c r="R364" s="3">
        <v>0.52200000000000002</v>
      </c>
      <c r="S364" t="s">
        <v>174</v>
      </c>
      <c r="T364" t="s">
        <v>174</v>
      </c>
    </row>
    <row r="365" spans="1:20" hidden="1" x14ac:dyDescent="0.6">
      <c r="A365">
        <v>469</v>
      </c>
      <c r="B365" t="str">
        <f>"4977"</f>
        <v>4977</v>
      </c>
      <c r="C365" t="s">
        <v>562</v>
      </c>
      <c r="D365" s="1">
        <v>42923</v>
      </c>
      <c r="E365">
        <v>99.8</v>
      </c>
      <c r="F365">
        <v>-0.7</v>
      </c>
      <c r="G365" s="3">
        <v>-7.0000000000000001E-3</v>
      </c>
      <c r="H365">
        <v>2013</v>
      </c>
      <c r="I365">
        <v>3.34</v>
      </c>
      <c r="J365">
        <v>1.7</v>
      </c>
      <c r="K365">
        <v>0.3</v>
      </c>
      <c r="L365">
        <v>2</v>
      </c>
      <c r="M365" s="3">
        <v>1.7000000000000001E-2</v>
      </c>
      <c r="N365" s="3">
        <v>3.0000000000000001E-3</v>
      </c>
      <c r="O365" s="2">
        <v>0.02</v>
      </c>
      <c r="P365" s="3">
        <v>0.50900000000000001</v>
      </c>
      <c r="Q365" s="3">
        <v>8.9800000000000005E-2</v>
      </c>
      <c r="R365" s="3">
        <v>0.59899999999999998</v>
      </c>
      <c r="S365" t="s">
        <v>128</v>
      </c>
      <c r="T365" t="s">
        <v>128</v>
      </c>
    </row>
    <row r="366" spans="1:20" hidden="1" x14ac:dyDescent="0.6">
      <c r="A366">
        <v>104</v>
      </c>
      <c r="B366" t="str">
        <f>"2483"</f>
        <v>2483</v>
      </c>
      <c r="C366" t="s">
        <v>167</v>
      </c>
      <c r="D366" s="1">
        <v>42923</v>
      </c>
      <c r="E366">
        <v>17.7</v>
      </c>
      <c r="F366">
        <v>0.1</v>
      </c>
      <c r="G366" s="3">
        <v>5.7000000000000002E-3</v>
      </c>
      <c r="H366">
        <v>2013</v>
      </c>
      <c r="I366">
        <v>-0.14000000000000001</v>
      </c>
      <c r="J366">
        <v>0.3</v>
      </c>
      <c r="K366">
        <v>0</v>
      </c>
      <c r="L366">
        <v>0.3</v>
      </c>
      <c r="M366" s="3">
        <v>1.6899999999999998E-2</v>
      </c>
      <c r="N366" s="2">
        <v>0</v>
      </c>
      <c r="O366" s="3">
        <v>1.6899999999999998E-2</v>
      </c>
      <c r="P366" s="2">
        <v>-2.14</v>
      </c>
      <c r="Q366" s="2">
        <v>0</v>
      </c>
      <c r="R366" s="2">
        <v>-2.14</v>
      </c>
      <c r="S366" t="s">
        <v>22</v>
      </c>
    </row>
    <row r="367" spans="1:20" hidden="1" x14ac:dyDescent="0.6">
      <c r="A367">
        <v>1</v>
      </c>
      <c r="B367" t="str">
        <f>"8913"</f>
        <v>8913</v>
      </c>
      <c r="C367" t="s">
        <v>21</v>
      </c>
      <c r="D367" s="1">
        <v>42923</v>
      </c>
      <c r="E367">
        <v>31.2</v>
      </c>
      <c r="F367">
        <v>0</v>
      </c>
      <c r="G367" s="2">
        <v>0</v>
      </c>
      <c r="H367">
        <v>2013</v>
      </c>
      <c r="I367">
        <v>0.71</v>
      </c>
      <c r="J367">
        <v>0.5</v>
      </c>
      <c r="K367">
        <v>0</v>
      </c>
      <c r="L367">
        <v>0.5</v>
      </c>
      <c r="M367" s="3">
        <v>1.6E-2</v>
      </c>
      <c r="N367" s="2">
        <v>0</v>
      </c>
      <c r="O367" s="3">
        <v>1.6E-2</v>
      </c>
      <c r="P367" s="3">
        <v>0.70399999999999996</v>
      </c>
      <c r="Q367" s="2">
        <v>0</v>
      </c>
      <c r="R367" s="3">
        <v>0.70399999999999996</v>
      </c>
      <c r="S367" t="s">
        <v>22</v>
      </c>
    </row>
    <row r="368" spans="1:20" hidden="1" x14ac:dyDescent="0.6">
      <c r="A368">
        <v>197</v>
      </c>
      <c r="B368" t="str">
        <f>"2377"</f>
        <v>2377</v>
      </c>
      <c r="C368" t="s">
        <v>274</v>
      </c>
      <c r="D368" s="1">
        <v>42923</v>
      </c>
      <c r="E368">
        <v>71.7</v>
      </c>
      <c r="F368">
        <v>-0.1</v>
      </c>
      <c r="G368" s="3">
        <v>-1.4E-3</v>
      </c>
      <c r="H368">
        <v>2013</v>
      </c>
      <c r="I368">
        <v>1</v>
      </c>
      <c r="J368">
        <v>1.1000000000000001</v>
      </c>
      <c r="K368">
        <v>0</v>
      </c>
      <c r="L368">
        <v>1.1000000000000001</v>
      </c>
      <c r="M368" s="3">
        <v>1.5299999999999999E-2</v>
      </c>
      <c r="N368" s="2">
        <v>0</v>
      </c>
      <c r="O368" s="3">
        <v>1.5299999999999999E-2</v>
      </c>
      <c r="P368" s="2">
        <v>1.1000000000000001</v>
      </c>
      <c r="Q368" s="2">
        <v>0</v>
      </c>
      <c r="R368" s="2">
        <v>1.1000000000000001</v>
      </c>
      <c r="S368" t="s">
        <v>275</v>
      </c>
    </row>
    <row r="369" spans="1:20" hidden="1" x14ac:dyDescent="0.6">
      <c r="A369">
        <v>393</v>
      </c>
      <c r="B369" t="str">
        <f>"4938"</f>
        <v>4938</v>
      </c>
      <c r="C369" t="s">
        <v>477</v>
      </c>
      <c r="D369" s="1">
        <v>42923</v>
      </c>
      <c r="E369">
        <v>96.9</v>
      </c>
      <c r="F369">
        <v>-1.3</v>
      </c>
      <c r="G369" s="3">
        <v>-1.32E-2</v>
      </c>
      <c r="H369">
        <v>2013</v>
      </c>
      <c r="I369">
        <v>2.71</v>
      </c>
      <c r="J369">
        <v>1.48</v>
      </c>
      <c r="K369">
        <v>0</v>
      </c>
      <c r="L369">
        <v>1.48</v>
      </c>
      <c r="M369" s="3">
        <v>1.5299999999999999E-2</v>
      </c>
      <c r="N369" s="2">
        <v>0</v>
      </c>
      <c r="O369" s="3">
        <v>1.5299999999999999E-2</v>
      </c>
      <c r="P369" s="3">
        <v>0.54600000000000004</v>
      </c>
      <c r="Q369" s="2">
        <v>0</v>
      </c>
      <c r="R369" s="3">
        <v>0.54600000000000004</v>
      </c>
      <c r="S369" t="s">
        <v>478</v>
      </c>
    </row>
    <row r="370" spans="1:20" hidden="1" x14ac:dyDescent="0.6">
      <c r="A370">
        <v>30</v>
      </c>
      <c r="B370" t="str">
        <f>"2488"</f>
        <v>2488</v>
      </c>
      <c r="C370" t="s">
        <v>64</v>
      </c>
      <c r="D370" s="1">
        <v>42923</v>
      </c>
      <c r="E370">
        <v>39.65</v>
      </c>
      <c r="F370">
        <v>0.4</v>
      </c>
      <c r="G370" s="3">
        <v>1.0200000000000001E-2</v>
      </c>
      <c r="H370">
        <v>2013</v>
      </c>
      <c r="I370">
        <v>0.78</v>
      </c>
      <c r="J370">
        <v>0.6</v>
      </c>
      <c r="K370">
        <v>0</v>
      </c>
      <c r="L370">
        <v>0.6</v>
      </c>
      <c r="M370" s="3">
        <v>1.5100000000000001E-2</v>
      </c>
      <c r="N370" s="2">
        <v>0</v>
      </c>
      <c r="O370" s="3">
        <v>1.5100000000000001E-2</v>
      </c>
      <c r="P370" s="3">
        <v>0.76900000000000002</v>
      </c>
      <c r="Q370" s="2">
        <v>0</v>
      </c>
      <c r="R370" s="3">
        <v>0.76900000000000002</v>
      </c>
      <c r="S370" t="s">
        <v>65</v>
      </c>
    </row>
    <row r="371" spans="1:20" hidden="1" x14ac:dyDescent="0.6">
      <c r="A371">
        <v>54</v>
      </c>
      <c r="B371" t="str">
        <f>"1709"</f>
        <v>1709</v>
      </c>
      <c r="C371" t="s">
        <v>104</v>
      </c>
      <c r="D371" s="1">
        <v>42923</v>
      </c>
      <c r="E371">
        <v>19.899999999999999</v>
      </c>
      <c r="F371">
        <v>-0.1</v>
      </c>
      <c r="G371" s="3">
        <v>-5.0000000000000001E-3</v>
      </c>
      <c r="H371">
        <v>2013</v>
      </c>
      <c r="I371">
        <v>0.95</v>
      </c>
      <c r="J371">
        <v>0.3</v>
      </c>
      <c r="K371">
        <v>0</v>
      </c>
      <c r="L371">
        <v>0.3</v>
      </c>
      <c r="M371" s="3">
        <v>1.5100000000000001E-2</v>
      </c>
      <c r="N371" s="2">
        <v>0</v>
      </c>
      <c r="O371" s="3">
        <v>1.5100000000000001E-2</v>
      </c>
      <c r="P371" s="3">
        <v>0.316</v>
      </c>
      <c r="Q371" s="2">
        <v>0</v>
      </c>
      <c r="R371" s="3">
        <v>0.316</v>
      </c>
      <c r="S371" t="s">
        <v>105</v>
      </c>
    </row>
    <row r="372" spans="1:20" hidden="1" x14ac:dyDescent="0.6">
      <c r="A372">
        <v>426</v>
      </c>
      <c r="B372" t="str">
        <f>"2066"</f>
        <v>2066</v>
      </c>
      <c r="C372" t="s">
        <v>514</v>
      </c>
      <c r="D372" s="1">
        <v>42923</v>
      </c>
      <c r="E372">
        <v>100</v>
      </c>
      <c r="F372">
        <v>-3</v>
      </c>
      <c r="G372" s="3">
        <v>-2.9100000000000001E-2</v>
      </c>
      <c r="H372">
        <v>2013</v>
      </c>
      <c r="I372">
        <v>3.37</v>
      </c>
      <c r="J372">
        <v>1.5</v>
      </c>
      <c r="K372">
        <v>0</v>
      </c>
      <c r="L372">
        <v>1.5</v>
      </c>
      <c r="M372" s="3">
        <v>1.4999999999999999E-2</v>
      </c>
      <c r="N372" s="2">
        <v>0</v>
      </c>
      <c r="O372" s="3">
        <v>1.4999999999999999E-2</v>
      </c>
      <c r="P372" s="3">
        <v>0.44500000000000001</v>
      </c>
      <c r="Q372" s="2">
        <v>0</v>
      </c>
      <c r="R372" s="3">
        <v>0.44500000000000001</v>
      </c>
      <c r="S372" t="s">
        <v>36</v>
      </c>
    </row>
    <row r="373" spans="1:20" hidden="1" x14ac:dyDescent="0.6">
      <c r="A373">
        <v>273</v>
      </c>
      <c r="B373" t="str">
        <f>"2020"</f>
        <v>2020</v>
      </c>
      <c r="C373" t="s">
        <v>353</v>
      </c>
      <c r="D373" s="1">
        <v>42923</v>
      </c>
      <c r="E373">
        <v>13.75</v>
      </c>
      <c r="F373">
        <v>-0.05</v>
      </c>
      <c r="G373" s="3">
        <v>-3.5999999999999999E-3</v>
      </c>
      <c r="H373">
        <v>2013</v>
      </c>
      <c r="I373">
        <v>0.41</v>
      </c>
      <c r="J373">
        <v>0.2</v>
      </c>
      <c r="K373">
        <v>0</v>
      </c>
      <c r="L373">
        <v>0.2</v>
      </c>
      <c r="M373" s="3">
        <v>1.4500000000000001E-2</v>
      </c>
      <c r="N373" s="2">
        <v>0</v>
      </c>
      <c r="O373" s="3">
        <v>1.4500000000000001E-2</v>
      </c>
      <c r="P373" s="3">
        <v>0.48799999999999999</v>
      </c>
      <c r="Q373" s="2">
        <v>0</v>
      </c>
      <c r="R373" s="3">
        <v>0.48799999999999999</v>
      </c>
      <c r="S373" t="s">
        <v>47</v>
      </c>
    </row>
    <row r="374" spans="1:20" hidden="1" x14ac:dyDescent="0.6">
      <c r="A374">
        <v>488</v>
      </c>
      <c r="B374" t="str">
        <f>"3450"</f>
        <v>3450</v>
      </c>
      <c r="C374" t="s">
        <v>581</v>
      </c>
      <c r="D374" s="1">
        <v>42923</v>
      </c>
      <c r="E374">
        <v>137.5</v>
      </c>
      <c r="F374">
        <v>0</v>
      </c>
      <c r="G374" s="2">
        <v>0</v>
      </c>
      <c r="H374">
        <v>2013</v>
      </c>
      <c r="I374">
        <v>3.02</v>
      </c>
      <c r="J374">
        <v>2</v>
      </c>
      <c r="K374">
        <v>0</v>
      </c>
      <c r="L374">
        <v>2</v>
      </c>
      <c r="M374" s="3">
        <v>1.4500000000000001E-2</v>
      </c>
      <c r="N374" s="2">
        <v>0</v>
      </c>
      <c r="O374" s="3">
        <v>1.4500000000000001E-2</v>
      </c>
      <c r="P374" s="3">
        <v>0.66200000000000003</v>
      </c>
      <c r="Q374" s="2">
        <v>0</v>
      </c>
      <c r="R374" s="3">
        <v>0.66200000000000003</v>
      </c>
      <c r="S374" t="s">
        <v>45</v>
      </c>
    </row>
    <row r="375" spans="1:20" hidden="1" x14ac:dyDescent="0.6">
      <c r="A375">
        <v>284</v>
      </c>
      <c r="B375" t="str">
        <f>"8147"</f>
        <v>8147</v>
      </c>
      <c r="C375" t="s">
        <v>365</v>
      </c>
      <c r="D375" s="1">
        <v>42923</v>
      </c>
      <c r="E375">
        <v>34.799999999999997</v>
      </c>
      <c r="F375">
        <v>0.05</v>
      </c>
      <c r="G375" s="3">
        <v>1.4E-3</v>
      </c>
      <c r="H375">
        <v>2013</v>
      </c>
      <c r="I375">
        <v>2.0099999999999998</v>
      </c>
      <c r="J375">
        <v>0.5</v>
      </c>
      <c r="K375">
        <v>0.5</v>
      </c>
      <c r="L375">
        <v>1</v>
      </c>
      <c r="M375" s="3">
        <v>1.44E-2</v>
      </c>
      <c r="N375" s="3">
        <v>1.44E-2</v>
      </c>
      <c r="O375" s="3">
        <v>2.87E-2</v>
      </c>
      <c r="P375" s="3">
        <v>0.249</v>
      </c>
      <c r="Q375" s="3">
        <v>0.249</v>
      </c>
      <c r="R375" s="3">
        <v>0.498</v>
      </c>
      <c r="S375" t="s">
        <v>232</v>
      </c>
      <c r="T375" t="s">
        <v>232</v>
      </c>
    </row>
    <row r="376" spans="1:20" hidden="1" x14ac:dyDescent="0.6">
      <c r="A376">
        <v>255</v>
      </c>
      <c r="B376" t="str">
        <f>"1305"</f>
        <v>1305</v>
      </c>
      <c r="C376" t="s">
        <v>334</v>
      </c>
      <c r="D376" s="1">
        <v>42923</v>
      </c>
      <c r="E376">
        <v>28.75</v>
      </c>
      <c r="F376">
        <v>-0.25</v>
      </c>
      <c r="G376" s="3">
        <v>-8.6E-3</v>
      </c>
      <c r="H376">
        <v>2013</v>
      </c>
      <c r="I376">
        <v>1.88</v>
      </c>
      <c r="J376">
        <v>0.4</v>
      </c>
      <c r="K376">
        <v>0.6</v>
      </c>
      <c r="L376">
        <v>1</v>
      </c>
      <c r="M376" s="3">
        <v>1.3899999999999999E-2</v>
      </c>
      <c r="N376" s="3">
        <v>2.0899999999999998E-2</v>
      </c>
      <c r="O376" s="3">
        <v>3.4799999999999998E-2</v>
      </c>
      <c r="P376" s="3">
        <v>0.21299999999999999</v>
      </c>
      <c r="Q376" s="3">
        <v>0.31900000000000001</v>
      </c>
      <c r="R376" s="3">
        <v>0.53200000000000003</v>
      </c>
      <c r="S376" t="s">
        <v>110</v>
      </c>
      <c r="T376" t="s">
        <v>110</v>
      </c>
    </row>
    <row r="377" spans="1:20" hidden="1" x14ac:dyDescent="0.6">
      <c r="A377">
        <v>296</v>
      </c>
      <c r="B377" t="str">
        <f>"5474"</f>
        <v>5474</v>
      </c>
      <c r="C377" t="s">
        <v>378</v>
      </c>
      <c r="D377" s="1">
        <v>42923</v>
      </c>
      <c r="E377">
        <v>58</v>
      </c>
      <c r="F377">
        <v>0.4</v>
      </c>
      <c r="G377" s="3">
        <v>6.8999999999999999E-3</v>
      </c>
      <c r="H377">
        <v>2013</v>
      </c>
      <c r="I377">
        <v>1.05</v>
      </c>
      <c r="J377">
        <v>0.8</v>
      </c>
      <c r="K377">
        <v>0</v>
      </c>
      <c r="L377">
        <v>0.8</v>
      </c>
      <c r="M377" s="3">
        <v>1.38E-2</v>
      </c>
      <c r="N377" s="2">
        <v>0</v>
      </c>
      <c r="O377" s="3">
        <v>1.38E-2</v>
      </c>
      <c r="P377" s="3">
        <v>0.76200000000000001</v>
      </c>
      <c r="Q377" s="2">
        <v>0</v>
      </c>
      <c r="R377" s="3">
        <v>0.76200000000000001</v>
      </c>
      <c r="S377" t="s">
        <v>119</v>
      </c>
    </row>
    <row r="378" spans="1:20" hidden="1" x14ac:dyDescent="0.6">
      <c r="A378">
        <v>403</v>
      </c>
      <c r="B378" t="str">
        <f>"3221"</f>
        <v>3221</v>
      </c>
      <c r="C378" t="s">
        <v>489</v>
      </c>
      <c r="D378" s="1">
        <v>42923</v>
      </c>
      <c r="E378">
        <v>19.600000000000001</v>
      </c>
      <c r="F378">
        <v>-0.35</v>
      </c>
      <c r="G378" s="3">
        <v>-1.7500000000000002E-2</v>
      </c>
      <c r="H378">
        <v>2013</v>
      </c>
      <c r="I378">
        <v>-7.0000000000000007E-2</v>
      </c>
      <c r="J378">
        <v>0.25</v>
      </c>
      <c r="K378">
        <v>0</v>
      </c>
      <c r="L378">
        <v>0.25</v>
      </c>
      <c r="M378" s="3">
        <v>1.2800000000000001E-2</v>
      </c>
      <c r="N378" s="2">
        <v>0</v>
      </c>
      <c r="O378" s="3">
        <v>1.2800000000000001E-2</v>
      </c>
      <c r="P378" s="2">
        <v>-3.57</v>
      </c>
      <c r="Q378" s="2">
        <v>0</v>
      </c>
      <c r="R378" s="2">
        <v>-3.57</v>
      </c>
      <c r="S378" t="s">
        <v>40</v>
      </c>
    </row>
    <row r="379" spans="1:20" hidden="1" x14ac:dyDescent="0.6">
      <c r="A379">
        <v>443</v>
      </c>
      <c r="B379" t="str">
        <f>"1301"</f>
        <v>1301</v>
      </c>
      <c r="C379" t="s">
        <v>533</v>
      </c>
      <c r="D379" s="1">
        <v>42923</v>
      </c>
      <c r="E379">
        <v>93.4</v>
      </c>
      <c r="F379">
        <v>-0.5</v>
      </c>
      <c r="G379" s="3">
        <v>-5.3E-3</v>
      </c>
      <c r="H379">
        <v>2013</v>
      </c>
      <c r="I379">
        <v>2.4</v>
      </c>
      <c r="J379">
        <v>1.2</v>
      </c>
      <c r="K379">
        <v>0.4</v>
      </c>
      <c r="L379">
        <v>1.6</v>
      </c>
      <c r="M379" s="3">
        <v>1.2800000000000001E-2</v>
      </c>
      <c r="N379" s="3">
        <v>4.3E-3</v>
      </c>
      <c r="O379" s="3">
        <v>1.7100000000000001E-2</v>
      </c>
      <c r="P379" s="2">
        <v>0.5</v>
      </c>
      <c r="Q379" s="3">
        <v>0.16700000000000001</v>
      </c>
      <c r="R379" s="3">
        <v>0.66700000000000004</v>
      </c>
      <c r="S379" t="s">
        <v>24</v>
      </c>
      <c r="T379" t="s">
        <v>24</v>
      </c>
    </row>
    <row r="380" spans="1:20" hidden="1" x14ac:dyDescent="0.6">
      <c r="A380">
        <v>206</v>
      </c>
      <c r="B380" t="str">
        <f>"6506"</f>
        <v>6506</v>
      </c>
      <c r="C380" t="s">
        <v>285</v>
      </c>
      <c r="D380" s="1">
        <v>42923</v>
      </c>
      <c r="E380">
        <v>24</v>
      </c>
      <c r="F380">
        <v>-0.25</v>
      </c>
      <c r="G380" s="3">
        <v>-1.03E-2</v>
      </c>
      <c r="H380">
        <v>2013</v>
      </c>
      <c r="I380">
        <v>0.33</v>
      </c>
      <c r="J380">
        <v>0.3</v>
      </c>
      <c r="K380">
        <v>0</v>
      </c>
      <c r="L380">
        <v>0.3</v>
      </c>
      <c r="M380" s="3">
        <v>1.2500000000000001E-2</v>
      </c>
      <c r="N380" s="2">
        <v>0</v>
      </c>
      <c r="O380" s="3">
        <v>1.2500000000000001E-2</v>
      </c>
      <c r="P380" s="3">
        <v>0.90900000000000003</v>
      </c>
      <c r="Q380" s="2">
        <v>0</v>
      </c>
      <c r="R380" s="3">
        <v>0.90900000000000003</v>
      </c>
      <c r="S380" t="s">
        <v>183</v>
      </c>
    </row>
    <row r="381" spans="1:20" hidden="1" x14ac:dyDescent="0.6">
      <c r="A381">
        <v>95</v>
      </c>
      <c r="B381" t="str">
        <f>"8424"</f>
        <v>8424</v>
      </c>
      <c r="C381" t="s">
        <v>158</v>
      </c>
      <c r="D381" s="1">
        <v>42923</v>
      </c>
      <c r="E381">
        <v>40.299999999999997</v>
      </c>
      <c r="F381">
        <v>-0.5</v>
      </c>
      <c r="G381" s="3">
        <v>-1.23E-2</v>
      </c>
      <c r="H381">
        <v>2013</v>
      </c>
      <c r="I381">
        <v>3.88</v>
      </c>
      <c r="J381">
        <v>0.5</v>
      </c>
      <c r="K381">
        <v>1</v>
      </c>
      <c r="L381">
        <v>1.5</v>
      </c>
      <c r="M381" s="3">
        <v>1.24E-2</v>
      </c>
      <c r="N381" s="3">
        <v>2.4799999999999999E-2</v>
      </c>
      <c r="O381" s="3">
        <v>3.7199999999999997E-2</v>
      </c>
      <c r="P381" s="3">
        <v>0.129</v>
      </c>
      <c r="Q381" s="3">
        <v>0.25800000000000001</v>
      </c>
      <c r="R381" s="3">
        <v>0.38700000000000001</v>
      </c>
      <c r="S381" t="s">
        <v>136</v>
      </c>
      <c r="T381" t="s">
        <v>136</v>
      </c>
    </row>
    <row r="382" spans="1:20" hidden="1" x14ac:dyDescent="0.6">
      <c r="A382">
        <v>97</v>
      </c>
      <c r="B382" t="str">
        <f>"3005"</f>
        <v>3005</v>
      </c>
      <c r="C382" t="s">
        <v>160</v>
      </c>
      <c r="D382" s="1">
        <v>42923</v>
      </c>
      <c r="E382">
        <v>40.4</v>
      </c>
      <c r="F382">
        <v>-0.3</v>
      </c>
      <c r="G382" s="3">
        <v>-7.4000000000000003E-3</v>
      </c>
      <c r="H382">
        <v>2013</v>
      </c>
      <c r="I382">
        <v>0.63</v>
      </c>
      <c r="J382">
        <v>0.5</v>
      </c>
      <c r="K382">
        <v>0</v>
      </c>
      <c r="L382">
        <v>0.5</v>
      </c>
      <c r="M382" s="3">
        <v>1.24E-2</v>
      </c>
      <c r="N382" s="2">
        <v>0</v>
      </c>
      <c r="O382" s="3">
        <v>1.24E-2</v>
      </c>
      <c r="P382" s="3">
        <v>0.79400000000000004</v>
      </c>
      <c r="Q382" s="2">
        <v>0</v>
      </c>
      <c r="R382" s="3">
        <v>0.79400000000000004</v>
      </c>
      <c r="S382" t="s">
        <v>82</v>
      </c>
    </row>
    <row r="383" spans="1:20" hidden="1" x14ac:dyDescent="0.6">
      <c r="A383">
        <v>86</v>
      </c>
      <c r="B383" t="str">
        <f>"8112"</f>
        <v>8112</v>
      </c>
      <c r="C383" t="s">
        <v>149</v>
      </c>
      <c r="D383" s="1">
        <v>42923</v>
      </c>
      <c r="E383">
        <v>32.700000000000003</v>
      </c>
      <c r="F383">
        <v>-0.6</v>
      </c>
      <c r="G383" s="3">
        <v>-1.7999999999999999E-2</v>
      </c>
      <c r="H383">
        <v>2013</v>
      </c>
      <c r="I383">
        <v>0.64</v>
      </c>
      <c r="J383">
        <v>0.4</v>
      </c>
      <c r="K383">
        <v>0</v>
      </c>
      <c r="L383">
        <v>0.4</v>
      </c>
      <c r="M383" s="3">
        <v>1.23E-2</v>
      </c>
      <c r="N383" s="2">
        <v>0</v>
      </c>
      <c r="O383" s="3">
        <v>1.23E-2</v>
      </c>
      <c r="P383" s="3">
        <v>0.625</v>
      </c>
      <c r="Q383" s="2">
        <v>0</v>
      </c>
      <c r="R383" s="3">
        <v>0.625</v>
      </c>
      <c r="S383" t="s">
        <v>43</v>
      </c>
    </row>
    <row r="384" spans="1:20" hidden="1" x14ac:dyDescent="0.6">
      <c r="A384">
        <v>373</v>
      </c>
      <c r="B384" t="str">
        <f>"6207"</f>
        <v>6207</v>
      </c>
      <c r="C384" t="s">
        <v>456</v>
      </c>
      <c r="D384" s="1">
        <v>42923</v>
      </c>
      <c r="E384">
        <v>28.55</v>
      </c>
      <c r="F384">
        <v>0.25</v>
      </c>
      <c r="G384" s="3">
        <v>8.8000000000000005E-3</v>
      </c>
      <c r="H384">
        <v>2013</v>
      </c>
      <c r="I384">
        <v>1.1299999999999999</v>
      </c>
      <c r="J384">
        <v>0.35</v>
      </c>
      <c r="K384">
        <v>0.3</v>
      </c>
      <c r="L384">
        <v>0.65</v>
      </c>
      <c r="M384" s="3">
        <v>1.23E-2</v>
      </c>
      <c r="N384" s="3">
        <v>1.0500000000000001E-2</v>
      </c>
      <c r="O384" s="3">
        <v>2.2800000000000001E-2</v>
      </c>
      <c r="P384" s="2">
        <v>0.31</v>
      </c>
      <c r="Q384" s="3">
        <v>0.26600000000000001</v>
      </c>
      <c r="R384" s="3">
        <v>0.57499999999999996</v>
      </c>
      <c r="S384" t="s">
        <v>275</v>
      </c>
      <c r="T384" t="s">
        <v>275</v>
      </c>
    </row>
    <row r="385" spans="1:20" hidden="1" x14ac:dyDescent="0.6">
      <c r="A385">
        <v>493</v>
      </c>
      <c r="B385" t="str">
        <f>"3047"</f>
        <v>3047</v>
      </c>
      <c r="C385" t="s">
        <v>587</v>
      </c>
      <c r="D385" s="1">
        <v>42923</v>
      </c>
      <c r="E385">
        <v>10.65</v>
      </c>
      <c r="F385">
        <v>-0.15</v>
      </c>
      <c r="G385" s="3">
        <v>-1.3899999999999999E-2</v>
      </c>
      <c r="H385">
        <v>2013</v>
      </c>
      <c r="I385">
        <v>1.1200000000000001</v>
      </c>
      <c r="J385">
        <v>0.13</v>
      </c>
      <c r="K385">
        <v>0.9</v>
      </c>
      <c r="L385">
        <v>1.03</v>
      </c>
      <c r="M385" s="3">
        <v>1.2200000000000001E-2</v>
      </c>
      <c r="N385" s="3">
        <v>8.4400000000000003E-2</v>
      </c>
      <c r="O385" s="3">
        <v>9.6600000000000005E-2</v>
      </c>
      <c r="P385" s="3">
        <v>0.11600000000000001</v>
      </c>
      <c r="Q385" s="3">
        <v>0.80400000000000005</v>
      </c>
      <c r="R385" s="2">
        <v>0.92</v>
      </c>
      <c r="S385" t="s">
        <v>108</v>
      </c>
      <c r="T385" t="s">
        <v>108</v>
      </c>
    </row>
    <row r="386" spans="1:20" hidden="1" x14ac:dyDescent="0.6">
      <c r="A386">
        <v>309</v>
      </c>
      <c r="B386" t="str">
        <f>"1598"</f>
        <v>1598</v>
      </c>
      <c r="C386" t="s">
        <v>391</v>
      </c>
      <c r="D386" s="1">
        <v>42923</v>
      </c>
      <c r="E386">
        <v>37.299999999999997</v>
      </c>
      <c r="F386">
        <v>-0.2</v>
      </c>
      <c r="G386" s="3">
        <v>-5.3E-3</v>
      </c>
      <c r="H386">
        <v>2013</v>
      </c>
      <c r="I386">
        <v>0.36</v>
      </c>
      <c r="J386">
        <v>0.45</v>
      </c>
      <c r="K386">
        <v>0</v>
      </c>
      <c r="L386">
        <v>0.45</v>
      </c>
      <c r="M386" s="3">
        <v>1.21E-2</v>
      </c>
      <c r="N386" s="2">
        <v>0</v>
      </c>
      <c r="O386" s="3">
        <v>1.21E-2</v>
      </c>
      <c r="P386" s="2">
        <v>1.25</v>
      </c>
      <c r="Q386" s="2">
        <v>0</v>
      </c>
      <c r="R386" s="2">
        <v>1.25</v>
      </c>
      <c r="S386" t="s">
        <v>22</v>
      </c>
    </row>
    <row r="387" spans="1:20" hidden="1" x14ac:dyDescent="0.6">
      <c r="A387">
        <v>244</v>
      </c>
      <c r="B387" t="str">
        <f>"5425"</f>
        <v>5425</v>
      </c>
      <c r="C387" t="s">
        <v>323</v>
      </c>
      <c r="D387" s="1">
        <v>42923</v>
      </c>
      <c r="E387">
        <v>41.85</v>
      </c>
      <c r="F387">
        <v>0.05</v>
      </c>
      <c r="G387" s="3">
        <v>1.1999999999999999E-3</v>
      </c>
      <c r="H387">
        <v>2013</v>
      </c>
      <c r="I387">
        <v>0.68</v>
      </c>
      <c r="J387">
        <v>0.5</v>
      </c>
      <c r="K387">
        <v>0</v>
      </c>
      <c r="L387">
        <v>0.5</v>
      </c>
      <c r="M387" s="3">
        <v>1.1900000000000001E-2</v>
      </c>
      <c r="N387" s="2">
        <v>0</v>
      </c>
      <c r="O387" s="3">
        <v>1.1900000000000001E-2</v>
      </c>
      <c r="P387" s="3">
        <v>0.73499999999999999</v>
      </c>
      <c r="Q387" s="2">
        <v>0</v>
      </c>
      <c r="R387" s="3">
        <v>0.73499999999999999</v>
      </c>
      <c r="S387" t="s">
        <v>103</v>
      </c>
    </row>
    <row r="388" spans="1:20" hidden="1" x14ac:dyDescent="0.6">
      <c r="A388">
        <v>66</v>
      </c>
      <c r="B388" t="str">
        <f>"3078"</f>
        <v>3078</v>
      </c>
      <c r="C388" t="s">
        <v>121</v>
      </c>
      <c r="D388" s="1">
        <v>42923</v>
      </c>
      <c r="E388">
        <v>29.7</v>
      </c>
      <c r="F388">
        <v>-0.15</v>
      </c>
      <c r="G388" s="3">
        <v>-5.0000000000000001E-3</v>
      </c>
      <c r="H388">
        <v>2013</v>
      </c>
      <c r="I388">
        <v>0.46</v>
      </c>
      <c r="J388">
        <v>0.35</v>
      </c>
      <c r="K388">
        <v>0</v>
      </c>
      <c r="L388">
        <v>0.35</v>
      </c>
      <c r="M388" s="3">
        <v>1.18E-2</v>
      </c>
      <c r="N388" s="2">
        <v>0</v>
      </c>
      <c r="O388" s="3">
        <v>1.18E-2</v>
      </c>
      <c r="P388" s="3">
        <v>0.76100000000000001</v>
      </c>
      <c r="Q388" s="2">
        <v>0</v>
      </c>
      <c r="R388" s="3">
        <v>0.76100000000000001</v>
      </c>
      <c r="S388" t="s">
        <v>122</v>
      </c>
    </row>
    <row r="389" spans="1:20" hidden="1" x14ac:dyDescent="0.6">
      <c r="A389">
        <v>295</v>
      </c>
      <c r="B389" t="str">
        <f>"6266"</f>
        <v>6266</v>
      </c>
      <c r="C389" t="s">
        <v>377</v>
      </c>
      <c r="D389" s="1">
        <v>42923</v>
      </c>
      <c r="E389">
        <v>11.95</v>
      </c>
      <c r="F389">
        <v>0</v>
      </c>
      <c r="G389" s="2">
        <v>0</v>
      </c>
      <c r="H389">
        <v>2013</v>
      </c>
      <c r="I389">
        <v>0.31</v>
      </c>
      <c r="J389">
        <v>0.14000000000000001</v>
      </c>
      <c r="K389">
        <v>0.14000000000000001</v>
      </c>
      <c r="L389">
        <v>0.28000000000000003</v>
      </c>
      <c r="M389" s="3">
        <v>1.17E-2</v>
      </c>
      <c r="N389" s="3">
        <v>1.17E-2</v>
      </c>
      <c r="O389" s="3">
        <v>2.3400000000000001E-2</v>
      </c>
      <c r="P389" s="3">
        <v>0.45200000000000001</v>
      </c>
      <c r="Q389" s="3">
        <v>0.45200000000000001</v>
      </c>
      <c r="R389" s="3">
        <v>0.90300000000000002</v>
      </c>
      <c r="S389" t="s">
        <v>40</v>
      </c>
      <c r="T389" t="s">
        <v>40</v>
      </c>
    </row>
    <row r="390" spans="1:20" hidden="1" x14ac:dyDescent="0.6">
      <c r="A390">
        <v>302</v>
      </c>
      <c r="B390" t="str">
        <f>"2732"</f>
        <v>2732</v>
      </c>
      <c r="C390" t="s">
        <v>384</v>
      </c>
      <c r="D390" s="1">
        <v>42923</v>
      </c>
      <c r="E390">
        <v>87</v>
      </c>
      <c r="F390">
        <v>0</v>
      </c>
      <c r="G390" s="2">
        <v>0</v>
      </c>
      <c r="H390">
        <v>2013</v>
      </c>
      <c r="I390">
        <v>10.029999999999999</v>
      </c>
      <c r="J390">
        <v>1</v>
      </c>
      <c r="K390">
        <v>5</v>
      </c>
      <c r="L390">
        <v>6</v>
      </c>
      <c r="M390" s="3">
        <v>1.15E-2</v>
      </c>
      <c r="N390" s="3">
        <v>5.7500000000000002E-2</v>
      </c>
      <c r="O390" s="3">
        <v>6.9000000000000006E-2</v>
      </c>
      <c r="P390" s="3">
        <v>9.9699999999999997E-2</v>
      </c>
      <c r="Q390" s="3">
        <v>0.498</v>
      </c>
      <c r="R390" s="3">
        <v>0.59799999999999998</v>
      </c>
      <c r="S390" t="s">
        <v>31</v>
      </c>
      <c r="T390" t="s">
        <v>31</v>
      </c>
    </row>
    <row r="391" spans="1:20" hidden="1" x14ac:dyDescent="0.6">
      <c r="A391">
        <v>468</v>
      </c>
      <c r="B391" t="str">
        <f>"2221"</f>
        <v>2221</v>
      </c>
      <c r="C391" t="s">
        <v>560</v>
      </c>
      <c r="D391" s="1">
        <v>42923</v>
      </c>
      <c r="E391">
        <v>27</v>
      </c>
      <c r="F391">
        <v>-0.7</v>
      </c>
      <c r="G391" s="3">
        <v>-2.53E-2</v>
      </c>
      <c r="H391">
        <v>2013</v>
      </c>
      <c r="I391">
        <v>0.7</v>
      </c>
      <c r="J391">
        <v>0.31</v>
      </c>
      <c r="K391">
        <v>0</v>
      </c>
      <c r="L391">
        <v>0.31</v>
      </c>
      <c r="M391" s="3">
        <v>1.15E-2</v>
      </c>
      <c r="N391" s="2">
        <v>0</v>
      </c>
      <c r="O391" s="3">
        <v>1.15E-2</v>
      </c>
      <c r="P391" s="3">
        <v>0.443</v>
      </c>
      <c r="Q391" s="2">
        <v>0</v>
      </c>
      <c r="R391" s="3">
        <v>0.443</v>
      </c>
      <c r="S391" t="s">
        <v>561</v>
      </c>
    </row>
    <row r="392" spans="1:20" hidden="1" x14ac:dyDescent="0.6">
      <c r="A392">
        <v>262</v>
      </c>
      <c r="B392" t="str">
        <f>"4737"</f>
        <v>4737</v>
      </c>
      <c r="C392" t="s">
        <v>342</v>
      </c>
      <c r="D392" s="1">
        <v>42923</v>
      </c>
      <c r="E392">
        <v>70.400000000000006</v>
      </c>
      <c r="F392">
        <v>-0.5</v>
      </c>
      <c r="G392" s="3">
        <v>-7.1000000000000004E-3</v>
      </c>
      <c r="H392">
        <v>2013</v>
      </c>
      <c r="I392">
        <v>0.78</v>
      </c>
      <c r="J392">
        <v>0.8</v>
      </c>
      <c r="K392">
        <v>0</v>
      </c>
      <c r="L392">
        <v>0.8</v>
      </c>
      <c r="M392" s="3">
        <v>1.14E-2</v>
      </c>
      <c r="N392" s="2">
        <v>0</v>
      </c>
      <c r="O392" s="3">
        <v>1.14E-2</v>
      </c>
      <c r="P392" s="2">
        <v>1.03</v>
      </c>
      <c r="Q392" s="2">
        <v>0</v>
      </c>
      <c r="R392" s="2">
        <v>1.03</v>
      </c>
      <c r="S392" t="s">
        <v>232</v>
      </c>
    </row>
    <row r="393" spans="1:20" hidden="1" x14ac:dyDescent="0.6">
      <c r="A393">
        <v>280</v>
      </c>
      <c r="B393" t="str">
        <f>"4754"</f>
        <v>4754</v>
      </c>
      <c r="C393" t="s">
        <v>360</v>
      </c>
      <c r="D393" s="1">
        <v>42923</v>
      </c>
      <c r="E393">
        <v>45</v>
      </c>
      <c r="F393">
        <v>0</v>
      </c>
      <c r="G393" s="2">
        <v>0</v>
      </c>
      <c r="H393">
        <v>2013</v>
      </c>
      <c r="I393">
        <v>0.52</v>
      </c>
      <c r="J393">
        <v>0.49</v>
      </c>
      <c r="K393">
        <v>0</v>
      </c>
      <c r="L393">
        <v>0.49</v>
      </c>
      <c r="M393" s="3">
        <v>1.09E-2</v>
      </c>
      <c r="N393" s="2">
        <v>0</v>
      </c>
      <c r="O393" s="3">
        <v>1.09E-2</v>
      </c>
      <c r="P393" s="3">
        <v>0.94199999999999995</v>
      </c>
      <c r="Q393" s="2">
        <v>0</v>
      </c>
      <c r="R393" s="3">
        <v>0.94199999999999995</v>
      </c>
      <c r="S393" t="s">
        <v>361</v>
      </c>
    </row>
    <row r="394" spans="1:20" hidden="1" x14ac:dyDescent="0.6">
      <c r="A394">
        <v>283</v>
      </c>
      <c r="B394" t="str">
        <f>"2530"</f>
        <v>2530</v>
      </c>
      <c r="C394" t="s">
        <v>364</v>
      </c>
      <c r="D394" s="1">
        <v>42923</v>
      </c>
      <c r="E394">
        <v>13.9</v>
      </c>
      <c r="F394">
        <v>-0.05</v>
      </c>
      <c r="G394" s="3">
        <v>-3.5999999999999999E-3</v>
      </c>
      <c r="H394">
        <v>2013</v>
      </c>
      <c r="I394">
        <v>0.2</v>
      </c>
      <c r="J394">
        <v>0.15</v>
      </c>
      <c r="K394">
        <v>0</v>
      </c>
      <c r="L394">
        <v>0.15</v>
      </c>
      <c r="M394" s="3">
        <v>1.0800000000000001E-2</v>
      </c>
      <c r="N394" s="2">
        <v>0</v>
      </c>
      <c r="O394" s="3">
        <v>1.0800000000000001E-2</v>
      </c>
      <c r="P394" s="2">
        <v>0.75</v>
      </c>
      <c r="Q394" s="2">
        <v>0</v>
      </c>
      <c r="R394" s="2">
        <v>0.75</v>
      </c>
      <c r="S394" t="s">
        <v>89</v>
      </c>
    </row>
    <row r="395" spans="1:20" hidden="1" x14ac:dyDescent="0.6">
      <c r="A395">
        <v>485</v>
      </c>
      <c r="B395" t="str">
        <f>"2439"</f>
        <v>2439</v>
      </c>
      <c r="C395" t="s">
        <v>578</v>
      </c>
      <c r="D395" s="1">
        <v>42923</v>
      </c>
      <c r="E395">
        <v>186.5</v>
      </c>
      <c r="F395">
        <v>-1</v>
      </c>
      <c r="G395" s="3">
        <v>-5.3E-3</v>
      </c>
      <c r="H395">
        <v>2013</v>
      </c>
      <c r="I395">
        <v>2.9</v>
      </c>
      <c r="J395">
        <v>2</v>
      </c>
      <c r="K395">
        <v>0.6</v>
      </c>
      <c r="L395">
        <v>2.6</v>
      </c>
      <c r="M395" s="3">
        <v>1.0699999999999999E-2</v>
      </c>
      <c r="N395" s="3">
        <v>3.2000000000000002E-3</v>
      </c>
      <c r="O395" s="3">
        <v>1.3899999999999999E-2</v>
      </c>
      <c r="P395" s="2">
        <v>0.69</v>
      </c>
      <c r="Q395" s="3">
        <v>0.20699999999999999</v>
      </c>
      <c r="R395" s="3">
        <v>0.89700000000000002</v>
      </c>
      <c r="S395" t="s">
        <v>89</v>
      </c>
      <c r="T395" t="s">
        <v>89</v>
      </c>
    </row>
    <row r="396" spans="1:20" hidden="1" x14ac:dyDescent="0.6">
      <c r="A396">
        <v>120</v>
      </c>
      <c r="B396" t="str">
        <f>"3090"</f>
        <v>3090</v>
      </c>
      <c r="C396" t="s">
        <v>185</v>
      </c>
      <c r="D396" s="1">
        <v>42923</v>
      </c>
      <c r="E396">
        <v>28.2</v>
      </c>
      <c r="F396">
        <v>-0.25</v>
      </c>
      <c r="G396" s="3">
        <v>-8.8000000000000005E-3</v>
      </c>
      <c r="H396">
        <v>2013</v>
      </c>
      <c r="I396">
        <v>1.62</v>
      </c>
      <c r="J396">
        <v>0.3</v>
      </c>
      <c r="K396">
        <v>1.2</v>
      </c>
      <c r="L396">
        <v>1.5</v>
      </c>
      <c r="M396" s="3">
        <v>1.06E-2</v>
      </c>
      <c r="N396" s="3">
        <v>4.2599999999999999E-2</v>
      </c>
      <c r="O396" s="3">
        <v>5.3199999999999997E-2</v>
      </c>
      <c r="P396" s="3">
        <v>0.185</v>
      </c>
      <c r="Q396" s="3">
        <v>0.74099999999999999</v>
      </c>
      <c r="R396" s="3">
        <v>0.92600000000000005</v>
      </c>
      <c r="S396" t="s">
        <v>47</v>
      </c>
      <c r="T396" t="s">
        <v>47</v>
      </c>
    </row>
    <row r="397" spans="1:20" hidden="1" x14ac:dyDescent="0.6">
      <c r="A397">
        <v>259</v>
      </c>
      <c r="B397" t="str">
        <f>"3360"</f>
        <v>3360</v>
      </c>
      <c r="C397" t="s">
        <v>338</v>
      </c>
      <c r="D397" s="1">
        <v>42923</v>
      </c>
      <c r="E397">
        <v>20.350000000000001</v>
      </c>
      <c r="F397">
        <v>-0.15</v>
      </c>
      <c r="G397" s="3">
        <v>-7.3000000000000001E-3</v>
      </c>
      <c r="H397">
        <v>2013</v>
      </c>
      <c r="I397">
        <v>0.2</v>
      </c>
      <c r="J397">
        <v>0.2</v>
      </c>
      <c r="K397">
        <v>0</v>
      </c>
      <c r="L397">
        <v>0.2</v>
      </c>
      <c r="M397" s="3">
        <v>9.7999999999999997E-3</v>
      </c>
      <c r="N397" s="2">
        <v>0</v>
      </c>
      <c r="O397" s="3">
        <v>9.7999999999999997E-3</v>
      </c>
      <c r="P397" s="2">
        <v>1</v>
      </c>
      <c r="Q397" s="2">
        <v>0</v>
      </c>
      <c r="R397" s="2">
        <v>1</v>
      </c>
      <c r="S397" t="s">
        <v>339</v>
      </c>
    </row>
    <row r="398" spans="1:20" hidden="1" x14ac:dyDescent="0.6">
      <c r="A398">
        <v>351</v>
      </c>
      <c r="B398" t="str">
        <f>"2812"</f>
        <v>2812</v>
      </c>
      <c r="C398" t="s">
        <v>433</v>
      </c>
      <c r="D398" s="1">
        <v>42923</v>
      </c>
      <c r="E398">
        <v>10.199999999999999</v>
      </c>
      <c r="F398">
        <v>-0.05</v>
      </c>
      <c r="G398" s="3">
        <v>-4.8999999999999998E-3</v>
      </c>
      <c r="H398">
        <v>2013</v>
      </c>
      <c r="I398">
        <v>1.2</v>
      </c>
      <c r="J398">
        <v>0.1</v>
      </c>
      <c r="K398">
        <v>0.72</v>
      </c>
      <c r="L398">
        <v>0.82</v>
      </c>
      <c r="M398" s="3">
        <v>9.7999999999999997E-3</v>
      </c>
      <c r="N398" s="3">
        <v>7.1099999999999997E-2</v>
      </c>
      <c r="O398" s="3">
        <v>8.09E-2</v>
      </c>
      <c r="P398" s="3">
        <v>8.3299999999999999E-2</v>
      </c>
      <c r="Q398" s="2">
        <v>0.6</v>
      </c>
      <c r="R398" s="3">
        <v>0.68300000000000005</v>
      </c>
      <c r="S398" t="s">
        <v>434</v>
      </c>
      <c r="T398" t="s">
        <v>434</v>
      </c>
    </row>
    <row r="399" spans="1:20" hidden="1" x14ac:dyDescent="0.6">
      <c r="A399">
        <v>149</v>
      </c>
      <c r="B399" t="str">
        <f>"2029"</f>
        <v>2029</v>
      </c>
      <c r="C399" t="s">
        <v>217</v>
      </c>
      <c r="D399" s="1">
        <v>42923</v>
      </c>
      <c r="E399">
        <v>36.35</v>
      </c>
      <c r="F399">
        <v>-0.75</v>
      </c>
      <c r="G399" s="3">
        <v>-2.0199999999999999E-2</v>
      </c>
      <c r="H399">
        <v>2013</v>
      </c>
      <c r="I399">
        <v>0.48</v>
      </c>
      <c r="J399">
        <v>0.35</v>
      </c>
      <c r="K399">
        <v>0</v>
      </c>
      <c r="L399">
        <v>0.35</v>
      </c>
      <c r="M399" s="3">
        <v>9.5999999999999992E-3</v>
      </c>
      <c r="N399" s="2">
        <v>0</v>
      </c>
      <c r="O399" s="3">
        <v>9.5999999999999992E-3</v>
      </c>
      <c r="P399" s="3">
        <v>0.72899999999999998</v>
      </c>
      <c r="Q399" s="2">
        <v>0</v>
      </c>
      <c r="R399" s="3">
        <v>0.72899999999999998</v>
      </c>
      <c r="S399" t="s">
        <v>65</v>
      </c>
    </row>
    <row r="400" spans="1:20" hidden="1" x14ac:dyDescent="0.6">
      <c r="A400">
        <v>442</v>
      </c>
      <c r="B400" t="str">
        <f>"6229"</f>
        <v>6229</v>
      </c>
      <c r="C400" t="s">
        <v>532</v>
      </c>
      <c r="D400" s="1">
        <v>42923</v>
      </c>
      <c r="E400">
        <v>13.6</v>
      </c>
      <c r="F400">
        <v>-0.1</v>
      </c>
      <c r="G400" s="3">
        <v>-7.3000000000000001E-3</v>
      </c>
      <c r="H400">
        <v>2013</v>
      </c>
      <c r="I400">
        <v>0.27</v>
      </c>
      <c r="J400">
        <v>0.12</v>
      </c>
      <c r="K400">
        <v>0</v>
      </c>
      <c r="L400">
        <v>0.12</v>
      </c>
      <c r="M400" s="3">
        <v>9.1999999999999998E-3</v>
      </c>
      <c r="N400" s="2">
        <v>0</v>
      </c>
      <c r="O400" s="3">
        <v>9.1999999999999998E-3</v>
      </c>
      <c r="P400" s="3">
        <v>0.44400000000000001</v>
      </c>
      <c r="Q400" s="2">
        <v>0</v>
      </c>
      <c r="R400" s="3">
        <v>0.44400000000000001</v>
      </c>
      <c r="S400" t="s">
        <v>22</v>
      </c>
    </row>
    <row r="401" spans="1:20" hidden="1" x14ac:dyDescent="0.6">
      <c r="A401">
        <v>435</v>
      </c>
      <c r="B401" t="str">
        <f>"1737"</f>
        <v>1737</v>
      </c>
      <c r="C401" t="s">
        <v>524</v>
      </c>
      <c r="D401" s="1">
        <v>42923</v>
      </c>
      <c r="E401">
        <v>30.2</v>
      </c>
      <c r="F401">
        <v>-0.1</v>
      </c>
      <c r="G401" s="3">
        <v>-3.3E-3</v>
      </c>
      <c r="H401">
        <v>2013</v>
      </c>
      <c r="I401">
        <v>0.28000000000000003</v>
      </c>
      <c r="J401">
        <v>0.26</v>
      </c>
      <c r="K401">
        <v>0</v>
      </c>
      <c r="L401">
        <v>0.26</v>
      </c>
      <c r="M401" s="3">
        <v>8.6E-3</v>
      </c>
      <c r="N401" s="2">
        <v>0</v>
      </c>
      <c r="O401" s="3">
        <v>8.6E-3</v>
      </c>
      <c r="P401" s="3">
        <v>0.92900000000000005</v>
      </c>
      <c r="Q401" s="2">
        <v>0</v>
      </c>
      <c r="R401" s="3">
        <v>0.92900000000000005</v>
      </c>
      <c r="S401" t="s">
        <v>525</v>
      </c>
    </row>
    <row r="402" spans="1:20" hidden="1" x14ac:dyDescent="0.6">
      <c r="A402">
        <v>428</v>
      </c>
      <c r="B402" t="str">
        <f>"1474"</f>
        <v>1474</v>
      </c>
      <c r="C402" t="s">
        <v>516</v>
      </c>
      <c r="D402" s="1">
        <v>42923</v>
      </c>
      <c r="E402">
        <v>12</v>
      </c>
      <c r="F402">
        <v>-0.05</v>
      </c>
      <c r="G402" s="3">
        <v>-4.1000000000000003E-3</v>
      </c>
      <c r="H402">
        <v>2013</v>
      </c>
      <c r="I402">
        <v>-0.59</v>
      </c>
      <c r="J402">
        <v>0.1</v>
      </c>
      <c r="K402">
        <v>0</v>
      </c>
      <c r="L402">
        <v>0.1</v>
      </c>
      <c r="M402" s="3">
        <v>8.5000000000000006E-3</v>
      </c>
      <c r="N402" s="2">
        <v>0</v>
      </c>
      <c r="O402" s="3">
        <v>8.5000000000000006E-3</v>
      </c>
      <c r="P402" s="2">
        <v>-0.17</v>
      </c>
      <c r="Q402" s="2">
        <v>0</v>
      </c>
      <c r="R402" s="2">
        <v>-0.17</v>
      </c>
      <c r="S402" t="s">
        <v>226</v>
      </c>
    </row>
    <row r="403" spans="1:20" hidden="1" x14ac:dyDescent="0.6">
      <c r="A403">
        <v>424</v>
      </c>
      <c r="B403" t="str">
        <f>"8930"</f>
        <v>8930</v>
      </c>
      <c r="C403" t="s">
        <v>511</v>
      </c>
      <c r="D403" s="1">
        <v>42923</v>
      </c>
      <c r="E403">
        <v>13.95</v>
      </c>
      <c r="F403">
        <v>0</v>
      </c>
      <c r="G403" s="2">
        <v>0</v>
      </c>
      <c r="H403">
        <v>2013</v>
      </c>
      <c r="I403">
        <v>0.3</v>
      </c>
      <c r="J403">
        <v>0.11</v>
      </c>
      <c r="K403">
        <v>0.11</v>
      </c>
      <c r="L403">
        <v>0.23</v>
      </c>
      <c r="M403" s="3">
        <v>8.2000000000000007E-3</v>
      </c>
      <c r="N403" s="3">
        <v>8.2000000000000007E-3</v>
      </c>
      <c r="O403" s="3">
        <v>1.6400000000000001E-2</v>
      </c>
      <c r="P403" s="3">
        <v>0.36699999999999999</v>
      </c>
      <c r="Q403" s="3">
        <v>0.36699999999999999</v>
      </c>
      <c r="R403" s="3">
        <v>0.76700000000000002</v>
      </c>
      <c r="S403" t="s">
        <v>204</v>
      </c>
      <c r="T403" t="s">
        <v>204</v>
      </c>
    </row>
    <row r="404" spans="1:20" hidden="1" x14ac:dyDescent="0.6">
      <c r="A404">
        <v>13</v>
      </c>
      <c r="B404" t="str">
        <f>"5015"</f>
        <v>5015</v>
      </c>
      <c r="C404" t="s">
        <v>41</v>
      </c>
      <c r="D404" s="1">
        <v>42923</v>
      </c>
      <c r="E404">
        <v>25</v>
      </c>
      <c r="F404">
        <v>-0.25</v>
      </c>
      <c r="G404" s="3">
        <v>-9.9000000000000008E-3</v>
      </c>
      <c r="H404">
        <v>2013</v>
      </c>
      <c r="I404">
        <v>-0.18</v>
      </c>
      <c r="J404">
        <v>0.2</v>
      </c>
      <c r="K404">
        <v>0</v>
      </c>
      <c r="L404">
        <v>0.2</v>
      </c>
      <c r="M404" s="3">
        <v>8.0000000000000002E-3</v>
      </c>
      <c r="N404" s="2">
        <v>0</v>
      </c>
      <c r="O404" s="3">
        <v>8.0000000000000002E-3</v>
      </c>
      <c r="P404" s="2">
        <v>-1.1100000000000001</v>
      </c>
      <c r="Q404" s="2">
        <v>0</v>
      </c>
      <c r="R404" s="2">
        <v>-1.1100000000000001</v>
      </c>
      <c r="S404" t="s">
        <v>36</v>
      </c>
    </row>
    <row r="405" spans="1:20" hidden="1" x14ac:dyDescent="0.6">
      <c r="A405">
        <v>211</v>
      </c>
      <c r="B405" t="str">
        <f>"1326"</f>
        <v>1326</v>
      </c>
      <c r="C405" t="s">
        <v>290</v>
      </c>
      <c r="D405" s="1">
        <v>42923</v>
      </c>
      <c r="E405">
        <v>90</v>
      </c>
      <c r="F405">
        <v>-0.8</v>
      </c>
      <c r="G405" s="3">
        <v>-8.8000000000000005E-3</v>
      </c>
      <c r="H405">
        <v>2013</v>
      </c>
      <c r="I405">
        <v>1.25</v>
      </c>
      <c r="J405">
        <v>0.65</v>
      </c>
      <c r="K405">
        <v>0.3</v>
      </c>
      <c r="L405">
        <v>0.95</v>
      </c>
      <c r="M405" s="3">
        <v>7.1999999999999998E-3</v>
      </c>
      <c r="N405" s="3">
        <v>3.3E-3</v>
      </c>
      <c r="O405" s="3">
        <v>1.06E-2</v>
      </c>
      <c r="P405" s="2">
        <v>0.52</v>
      </c>
      <c r="Q405" s="2">
        <v>0.24</v>
      </c>
      <c r="R405" s="2">
        <v>0.76</v>
      </c>
      <c r="S405" t="s">
        <v>89</v>
      </c>
      <c r="T405" t="s">
        <v>89</v>
      </c>
    </row>
    <row r="406" spans="1:20" hidden="1" x14ac:dyDescent="0.6">
      <c r="A406">
        <v>303</v>
      </c>
      <c r="B406" t="str">
        <f>"4545"</f>
        <v>4545</v>
      </c>
      <c r="C406" t="s">
        <v>385</v>
      </c>
      <c r="D406" s="1">
        <v>42923</v>
      </c>
      <c r="E406">
        <v>39.85</v>
      </c>
      <c r="F406">
        <v>-0.3</v>
      </c>
      <c r="G406" s="3">
        <v>-7.4999999999999997E-3</v>
      </c>
      <c r="H406">
        <v>2013</v>
      </c>
      <c r="I406">
        <v>3.86</v>
      </c>
      <c r="J406">
        <v>0.27</v>
      </c>
      <c r="K406">
        <v>2.7</v>
      </c>
      <c r="L406">
        <v>2.97</v>
      </c>
      <c r="M406" s="3">
        <v>6.7999999999999996E-3</v>
      </c>
      <c r="N406" s="3">
        <v>6.7799999999999999E-2</v>
      </c>
      <c r="O406" s="3">
        <v>7.4499999999999997E-2</v>
      </c>
      <c r="P406" s="3">
        <v>6.9900000000000004E-2</v>
      </c>
      <c r="Q406" s="2">
        <v>0.7</v>
      </c>
      <c r="R406" s="3">
        <v>0.76900000000000002</v>
      </c>
      <c r="S406" t="s">
        <v>126</v>
      </c>
      <c r="T406" t="s">
        <v>126</v>
      </c>
    </row>
    <row r="407" spans="1:20" hidden="1" x14ac:dyDescent="0.6">
      <c r="A407">
        <v>448</v>
      </c>
      <c r="B407" t="str">
        <f>"8349"</f>
        <v>8349</v>
      </c>
      <c r="C407" t="s">
        <v>538</v>
      </c>
      <c r="D407" s="1">
        <v>42923</v>
      </c>
      <c r="E407">
        <v>104</v>
      </c>
      <c r="F407">
        <v>-2.5</v>
      </c>
      <c r="G407" s="3">
        <v>-2.35E-2</v>
      </c>
      <c r="H407">
        <v>2013</v>
      </c>
      <c r="I407">
        <v>2.0299999999999998</v>
      </c>
      <c r="J407">
        <v>0.71</v>
      </c>
      <c r="K407">
        <v>0</v>
      </c>
      <c r="L407">
        <v>0.71</v>
      </c>
      <c r="M407" s="3">
        <v>6.7999999999999996E-3</v>
      </c>
      <c r="N407" s="2">
        <v>0</v>
      </c>
      <c r="O407" s="3">
        <v>6.7999999999999996E-3</v>
      </c>
      <c r="P407" s="2">
        <v>0.35</v>
      </c>
      <c r="Q407" s="2">
        <v>0</v>
      </c>
      <c r="R407" s="2">
        <v>0.35</v>
      </c>
      <c r="S407" t="s">
        <v>234</v>
      </c>
    </row>
    <row r="408" spans="1:20" hidden="1" x14ac:dyDescent="0.6">
      <c r="A408">
        <v>156</v>
      </c>
      <c r="B408" t="str">
        <f>"1464"</f>
        <v>1464</v>
      </c>
      <c r="C408" t="s">
        <v>225</v>
      </c>
      <c r="D408" s="1">
        <v>42923</v>
      </c>
      <c r="E408">
        <v>29.9</v>
      </c>
      <c r="F408">
        <v>-0.55000000000000004</v>
      </c>
      <c r="G408" s="3">
        <v>-1.8100000000000002E-2</v>
      </c>
      <c r="H408">
        <v>2013</v>
      </c>
      <c r="I408">
        <v>0.28999999999999998</v>
      </c>
      <c r="J408">
        <v>0.2</v>
      </c>
      <c r="K408">
        <v>0</v>
      </c>
      <c r="L408">
        <v>0.2</v>
      </c>
      <c r="M408" s="3">
        <v>6.7000000000000002E-3</v>
      </c>
      <c r="N408" s="2">
        <v>0</v>
      </c>
      <c r="O408" s="3">
        <v>6.7000000000000002E-3</v>
      </c>
      <c r="P408" s="2">
        <v>0.69</v>
      </c>
      <c r="Q408" s="2">
        <v>0</v>
      </c>
      <c r="R408" s="2">
        <v>0.69</v>
      </c>
      <c r="S408" t="s">
        <v>226</v>
      </c>
    </row>
    <row r="409" spans="1:20" hidden="1" x14ac:dyDescent="0.6">
      <c r="A409">
        <v>474</v>
      </c>
      <c r="B409" t="str">
        <f>"3032"</f>
        <v>3032</v>
      </c>
      <c r="C409" t="s">
        <v>567</v>
      </c>
      <c r="D409" s="1">
        <v>42923</v>
      </c>
      <c r="E409">
        <v>45.8</v>
      </c>
      <c r="F409">
        <v>-0.9</v>
      </c>
      <c r="G409" s="3">
        <v>-1.9300000000000001E-2</v>
      </c>
      <c r="H409">
        <v>2013</v>
      </c>
      <c r="I409">
        <v>0.06</v>
      </c>
      <c r="J409">
        <v>0.3</v>
      </c>
      <c r="K409">
        <v>0</v>
      </c>
      <c r="L409">
        <v>0.3</v>
      </c>
      <c r="M409" s="3">
        <v>6.6E-3</v>
      </c>
      <c r="N409" s="2">
        <v>0</v>
      </c>
      <c r="O409" s="3">
        <v>6.6E-3</v>
      </c>
      <c r="P409" s="2">
        <v>5</v>
      </c>
      <c r="Q409" s="2">
        <v>0</v>
      </c>
      <c r="R409" s="2">
        <v>5</v>
      </c>
      <c r="S409" t="s">
        <v>226</v>
      </c>
    </row>
    <row r="410" spans="1:20" hidden="1" x14ac:dyDescent="0.6">
      <c r="A410">
        <v>489</v>
      </c>
      <c r="B410" t="str">
        <f>"1527"</f>
        <v>1527</v>
      </c>
      <c r="C410" t="s">
        <v>582</v>
      </c>
      <c r="D410" s="1">
        <v>42923</v>
      </c>
      <c r="E410">
        <v>86.8</v>
      </c>
      <c r="F410">
        <v>-0.8</v>
      </c>
      <c r="G410" s="3">
        <v>-9.1000000000000004E-3</v>
      </c>
      <c r="H410">
        <v>2013</v>
      </c>
      <c r="I410">
        <v>0.37</v>
      </c>
      <c r="J410">
        <v>0.5</v>
      </c>
      <c r="K410">
        <v>0</v>
      </c>
      <c r="L410">
        <v>0.5</v>
      </c>
      <c r="M410" s="3">
        <v>5.7999999999999996E-3</v>
      </c>
      <c r="N410" s="2">
        <v>0</v>
      </c>
      <c r="O410" s="3">
        <v>5.7999999999999996E-3</v>
      </c>
      <c r="P410" s="2">
        <v>1.35</v>
      </c>
      <c r="Q410" s="2">
        <v>0</v>
      </c>
      <c r="R410" s="2">
        <v>1.35</v>
      </c>
      <c r="S410" t="s">
        <v>525</v>
      </c>
    </row>
    <row r="411" spans="1:20" hidden="1" x14ac:dyDescent="0.6">
      <c r="A411">
        <v>36</v>
      </c>
      <c r="B411" t="str">
        <f>"2064"</f>
        <v>2064</v>
      </c>
      <c r="C411" t="s">
        <v>76</v>
      </c>
      <c r="D411" s="1">
        <v>42923</v>
      </c>
      <c r="E411">
        <v>17.75</v>
      </c>
      <c r="F411">
        <v>0</v>
      </c>
      <c r="G411" s="2">
        <v>0</v>
      </c>
      <c r="H411">
        <v>2013</v>
      </c>
      <c r="I411">
        <v>-1.6</v>
      </c>
      <c r="J411">
        <v>0.1</v>
      </c>
      <c r="K411">
        <v>0</v>
      </c>
      <c r="L411">
        <v>0.1</v>
      </c>
      <c r="M411" s="3">
        <v>5.5999999999999999E-3</v>
      </c>
      <c r="N411" s="2">
        <v>0</v>
      </c>
      <c r="O411" s="3">
        <v>5.5999999999999999E-3</v>
      </c>
      <c r="P411" s="3">
        <v>-6.25E-2</v>
      </c>
      <c r="Q411" s="2">
        <v>0</v>
      </c>
      <c r="R411" s="3">
        <v>-6.25E-2</v>
      </c>
      <c r="S411" t="s">
        <v>45</v>
      </c>
    </row>
    <row r="412" spans="1:20" hidden="1" x14ac:dyDescent="0.6">
      <c r="A412">
        <v>112</v>
      </c>
      <c r="B412" t="str">
        <f>"3567"</f>
        <v>3567</v>
      </c>
      <c r="C412" t="s">
        <v>176</v>
      </c>
      <c r="D412" s="1">
        <v>42923</v>
      </c>
      <c r="E412">
        <v>27.7</v>
      </c>
      <c r="F412">
        <v>-0.3</v>
      </c>
      <c r="G412" s="3">
        <v>-1.0699999999999999E-2</v>
      </c>
      <c r="H412">
        <v>2013</v>
      </c>
      <c r="I412">
        <v>-0.45</v>
      </c>
      <c r="J412">
        <v>0.14000000000000001</v>
      </c>
      <c r="K412">
        <v>0</v>
      </c>
      <c r="L412">
        <v>0.14000000000000001</v>
      </c>
      <c r="M412" s="3">
        <v>5.1999999999999998E-3</v>
      </c>
      <c r="N412" s="2">
        <v>0</v>
      </c>
      <c r="O412" s="3">
        <v>5.1999999999999998E-3</v>
      </c>
      <c r="P412" s="3">
        <v>-0.311</v>
      </c>
      <c r="Q412" s="2">
        <v>0</v>
      </c>
      <c r="R412" s="3">
        <v>-0.311</v>
      </c>
      <c r="S412" t="s">
        <v>103</v>
      </c>
    </row>
    <row r="413" spans="1:20" hidden="1" x14ac:dyDescent="0.6">
      <c r="A413">
        <v>333</v>
      </c>
      <c r="B413" t="str">
        <f>"2539"</f>
        <v>2539</v>
      </c>
      <c r="C413" t="s">
        <v>415</v>
      </c>
      <c r="D413" s="1">
        <v>42923</v>
      </c>
      <c r="E413">
        <v>29.15</v>
      </c>
      <c r="F413">
        <v>-0.05</v>
      </c>
      <c r="G413" s="3">
        <v>-1.6999999999999999E-3</v>
      </c>
      <c r="H413">
        <v>2013</v>
      </c>
      <c r="I413">
        <v>0.78</v>
      </c>
      <c r="J413">
        <v>0.15</v>
      </c>
      <c r="K413">
        <v>1.35</v>
      </c>
      <c r="L413">
        <v>1.5</v>
      </c>
      <c r="M413" s="3">
        <v>5.1000000000000004E-3</v>
      </c>
      <c r="N413" s="3">
        <v>4.6300000000000001E-2</v>
      </c>
      <c r="O413" s="3">
        <v>5.1499999999999997E-2</v>
      </c>
      <c r="P413" s="3">
        <v>0.192</v>
      </c>
      <c r="Q413" s="2">
        <v>1.73</v>
      </c>
      <c r="R413" s="2">
        <v>1.92</v>
      </c>
      <c r="S413" t="s">
        <v>40</v>
      </c>
      <c r="T413" t="s">
        <v>40</v>
      </c>
    </row>
    <row r="414" spans="1:20" hidden="1" x14ac:dyDescent="0.6">
      <c r="A414">
        <v>4</v>
      </c>
      <c r="B414" t="str">
        <f>"3040"</f>
        <v>3040</v>
      </c>
      <c r="C414" t="s">
        <v>27</v>
      </c>
      <c r="D414" s="1">
        <v>42923</v>
      </c>
      <c r="E414">
        <v>40.6</v>
      </c>
      <c r="F414">
        <v>-0.5</v>
      </c>
      <c r="G414" s="3">
        <v>-1.2200000000000001E-2</v>
      </c>
      <c r="H414">
        <v>2013</v>
      </c>
      <c r="I414">
        <v>0.52</v>
      </c>
      <c r="J414">
        <v>0.2</v>
      </c>
      <c r="K414">
        <v>0</v>
      </c>
      <c r="L414">
        <v>0.2</v>
      </c>
      <c r="M414" s="3">
        <v>4.8999999999999998E-3</v>
      </c>
      <c r="N414" s="2">
        <v>0</v>
      </c>
      <c r="O414" s="3">
        <v>4.8999999999999998E-3</v>
      </c>
      <c r="P414" s="3">
        <v>0.38500000000000001</v>
      </c>
      <c r="Q414" s="2">
        <v>0</v>
      </c>
      <c r="R414" s="3">
        <v>0.38500000000000001</v>
      </c>
      <c r="S414" t="s">
        <v>24</v>
      </c>
    </row>
    <row r="415" spans="1:20" hidden="1" x14ac:dyDescent="0.6">
      <c r="A415">
        <v>243</v>
      </c>
      <c r="B415" t="str">
        <f>"1303"</f>
        <v>1303</v>
      </c>
      <c r="C415" t="s">
        <v>322</v>
      </c>
      <c r="D415" s="1">
        <v>42923</v>
      </c>
      <c r="E415">
        <v>75.099999999999994</v>
      </c>
      <c r="F415">
        <v>-0.5</v>
      </c>
      <c r="G415" s="3">
        <v>-6.6E-3</v>
      </c>
      <c r="H415">
        <v>2013</v>
      </c>
      <c r="I415">
        <v>0.54</v>
      </c>
      <c r="J415">
        <v>0.3</v>
      </c>
      <c r="K415">
        <v>0.1</v>
      </c>
      <c r="L415">
        <v>0.4</v>
      </c>
      <c r="M415" s="3">
        <v>4.0000000000000001E-3</v>
      </c>
      <c r="N415" s="3">
        <v>1.2999999999999999E-3</v>
      </c>
      <c r="O415" s="3">
        <v>5.3E-3</v>
      </c>
      <c r="P415" s="3">
        <v>0.55600000000000005</v>
      </c>
      <c r="Q415" s="3">
        <v>0.185</v>
      </c>
      <c r="R415" s="3">
        <v>0.74099999999999999</v>
      </c>
      <c r="S415" t="s">
        <v>78</v>
      </c>
      <c r="T415" t="s">
        <v>78</v>
      </c>
    </row>
    <row r="416" spans="1:20" hidden="1" x14ac:dyDescent="0.6">
      <c r="A416">
        <v>281</v>
      </c>
      <c r="B416" t="str">
        <f>"6505"</f>
        <v>6505</v>
      </c>
      <c r="C416" t="s">
        <v>362</v>
      </c>
      <c r="D416" s="1">
        <v>42923</v>
      </c>
      <c r="E416">
        <v>104</v>
      </c>
      <c r="F416">
        <v>-0.5</v>
      </c>
      <c r="G416" s="3">
        <v>-4.7999999999999996E-3</v>
      </c>
      <c r="H416">
        <v>2013</v>
      </c>
      <c r="I416">
        <v>0.28999999999999998</v>
      </c>
      <c r="J416">
        <v>0.26</v>
      </c>
      <c r="K416">
        <v>0</v>
      </c>
      <c r="L416">
        <v>0.26</v>
      </c>
      <c r="M416" s="3">
        <v>2.5000000000000001E-3</v>
      </c>
      <c r="N416" s="2">
        <v>0</v>
      </c>
      <c r="O416" s="3">
        <v>2.5000000000000001E-3</v>
      </c>
      <c r="P416" s="3">
        <v>0.89700000000000002</v>
      </c>
      <c r="Q416" s="2">
        <v>0</v>
      </c>
      <c r="R416" s="3">
        <v>0.89700000000000002</v>
      </c>
      <c r="S416" t="s">
        <v>38</v>
      </c>
    </row>
    <row r="417" spans="1:20" hidden="1" x14ac:dyDescent="0.6">
      <c r="A417">
        <v>431</v>
      </c>
      <c r="B417" t="str">
        <f>"2456"</f>
        <v>2456</v>
      </c>
      <c r="C417" t="s">
        <v>519</v>
      </c>
      <c r="D417" s="1">
        <v>42923</v>
      </c>
      <c r="E417">
        <v>80.2</v>
      </c>
      <c r="F417">
        <v>1.6</v>
      </c>
      <c r="G417" s="3">
        <v>2.0400000000000001E-2</v>
      </c>
      <c r="H417">
        <v>2013</v>
      </c>
      <c r="I417">
        <v>1.73</v>
      </c>
      <c r="J417">
        <v>0.2</v>
      </c>
      <c r="K417">
        <v>0</v>
      </c>
      <c r="L417">
        <v>0.2</v>
      </c>
      <c r="M417" s="3">
        <v>2.5000000000000001E-3</v>
      </c>
      <c r="N417" s="2">
        <v>0</v>
      </c>
      <c r="O417" s="3">
        <v>2.5000000000000001E-3</v>
      </c>
      <c r="P417" s="3">
        <v>0.11600000000000001</v>
      </c>
      <c r="Q417" s="2">
        <v>0</v>
      </c>
      <c r="R417" s="3">
        <v>0.11600000000000001</v>
      </c>
      <c r="S417" t="s">
        <v>190</v>
      </c>
    </row>
    <row r="418" spans="1:20" hidden="1" x14ac:dyDescent="0.6">
      <c r="A418">
        <v>239</v>
      </c>
      <c r="B418" t="str">
        <f>"2836"</f>
        <v>2836</v>
      </c>
      <c r="C418" t="s">
        <v>318</v>
      </c>
      <c r="D418" s="1">
        <v>42923</v>
      </c>
      <c r="E418">
        <v>9.9700000000000006</v>
      </c>
      <c r="F418">
        <v>-0.02</v>
      </c>
      <c r="G418" s="3">
        <v>-2E-3</v>
      </c>
      <c r="H418">
        <v>2013</v>
      </c>
      <c r="I418">
        <v>0.55000000000000004</v>
      </c>
      <c r="J418">
        <v>0.02</v>
      </c>
      <c r="K418">
        <v>0.18</v>
      </c>
      <c r="L418">
        <v>0.2</v>
      </c>
      <c r="M418" s="3">
        <v>2E-3</v>
      </c>
      <c r="N418" s="3">
        <v>1.8100000000000002E-2</v>
      </c>
      <c r="O418" s="3">
        <v>2.01E-2</v>
      </c>
      <c r="P418" s="3">
        <v>3.6400000000000002E-2</v>
      </c>
      <c r="Q418" s="3">
        <v>0.32700000000000001</v>
      </c>
      <c r="R418" s="3">
        <v>0.36399999999999999</v>
      </c>
      <c r="S418" t="s">
        <v>78</v>
      </c>
      <c r="T418" t="s">
        <v>78</v>
      </c>
    </row>
    <row r="419" spans="1:20" hidden="1" x14ac:dyDescent="0.6">
      <c r="A419">
        <v>5</v>
      </c>
      <c r="B419" t="str">
        <f>"5315"</f>
        <v>5315</v>
      </c>
      <c r="C419" t="s">
        <v>28</v>
      </c>
      <c r="D419" s="1">
        <v>42923</v>
      </c>
      <c r="E419">
        <v>21</v>
      </c>
      <c r="F419">
        <v>-0.35</v>
      </c>
      <c r="G419" s="3">
        <v>-1.6400000000000001E-2</v>
      </c>
      <c r="H419">
        <v>2013</v>
      </c>
      <c r="I419">
        <v>-1.21</v>
      </c>
      <c r="J419">
        <v>0</v>
      </c>
      <c r="K419">
        <v>0</v>
      </c>
      <c r="L419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</row>
    <row r="420" spans="1:20" hidden="1" x14ac:dyDescent="0.6">
      <c r="A420">
        <v>6</v>
      </c>
      <c r="B420" t="str">
        <f>"1463"</f>
        <v>1463</v>
      </c>
      <c r="C420" t="s">
        <v>29</v>
      </c>
      <c r="D420" s="1">
        <v>42923</v>
      </c>
      <c r="E420">
        <v>29.4</v>
      </c>
      <c r="F420">
        <v>-0.05</v>
      </c>
      <c r="G420" s="3">
        <v>-1.6999999999999999E-3</v>
      </c>
      <c r="H420">
        <v>2013</v>
      </c>
      <c r="I420">
        <v>-0.23</v>
      </c>
      <c r="J420">
        <v>0</v>
      </c>
      <c r="K420">
        <v>0</v>
      </c>
      <c r="L420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</row>
    <row r="421" spans="1:20" hidden="1" x14ac:dyDescent="0.6">
      <c r="A421">
        <v>8</v>
      </c>
      <c r="B421" t="str">
        <f>"1310"</f>
        <v>1310</v>
      </c>
      <c r="C421" t="s">
        <v>32</v>
      </c>
      <c r="D421" s="1">
        <v>42923</v>
      </c>
      <c r="E421">
        <v>20.7</v>
      </c>
      <c r="F421">
        <v>-0.05</v>
      </c>
      <c r="G421" s="3">
        <v>-2.3999999999999998E-3</v>
      </c>
      <c r="H421">
        <v>2013</v>
      </c>
      <c r="I421">
        <v>-0.88</v>
      </c>
      <c r="J421">
        <v>0</v>
      </c>
      <c r="K421">
        <v>0</v>
      </c>
      <c r="L421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</row>
    <row r="422" spans="1:20" hidden="1" x14ac:dyDescent="0.6">
      <c r="A422">
        <v>18</v>
      </c>
      <c r="B422" t="str">
        <f>"6235"</f>
        <v>6235</v>
      </c>
      <c r="C422" t="s">
        <v>49</v>
      </c>
      <c r="D422" s="1">
        <v>42923</v>
      </c>
      <c r="E422">
        <v>20.95</v>
      </c>
      <c r="F422">
        <v>0.05</v>
      </c>
      <c r="G422" s="3">
        <v>2.3999999999999998E-3</v>
      </c>
      <c r="H422">
        <v>2013</v>
      </c>
      <c r="I422">
        <v>-1.3</v>
      </c>
      <c r="J422">
        <v>0</v>
      </c>
      <c r="K422">
        <v>0</v>
      </c>
      <c r="L42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</row>
    <row r="423" spans="1:20" hidden="1" x14ac:dyDescent="0.6">
      <c r="A423">
        <v>59</v>
      </c>
      <c r="B423" t="str">
        <f>"3623"</f>
        <v>3623</v>
      </c>
      <c r="C423" t="s">
        <v>112</v>
      </c>
      <c r="D423" s="1">
        <v>42923</v>
      </c>
      <c r="E423">
        <v>50.1</v>
      </c>
      <c r="F423">
        <v>-0.2</v>
      </c>
      <c r="G423" s="3">
        <v>-4.0000000000000001E-3</v>
      </c>
      <c r="H423">
        <v>2013</v>
      </c>
      <c r="I423">
        <v>0.23</v>
      </c>
      <c r="J423">
        <v>0</v>
      </c>
      <c r="K423">
        <v>0</v>
      </c>
      <c r="L423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</row>
    <row r="424" spans="1:20" hidden="1" x14ac:dyDescent="0.6">
      <c r="A424">
        <v>70</v>
      </c>
      <c r="B424" t="str">
        <f>"6109"</f>
        <v>6109</v>
      </c>
      <c r="C424" t="s">
        <v>129</v>
      </c>
      <c r="D424" s="1">
        <v>42923</v>
      </c>
      <c r="E424">
        <v>12.7</v>
      </c>
      <c r="F424">
        <v>-0.05</v>
      </c>
      <c r="G424" s="3">
        <v>-3.8999999999999998E-3</v>
      </c>
      <c r="H424">
        <v>2013</v>
      </c>
      <c r="I424">
        <v>0.52</v>
      </c>
      <c r="J424">
        <v>0</v>
      </c>
      <c r="K424">
        <v>0</v>
      </c>
      <c r="L424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</row>
    <row r="425" spans="1:20" hidden="1" x14ac:dyDescent="0.6">
      <c r="A425">
        <v>80</v>
      </c>
      <c r="B425" t="str">
        <f>"8049"</f>
        <v>8049</v>
      </c>
      <c r="C425" t="s">
        <v>141</v>
      </c>
      <c r="D425" s="1">
        <v>42923</v>
      </c>
      <c r="E425">
        <v>16.850000000000001</v>
      </c>
      <c r="F425">
        <v>-0.15</v>
      </c>
      <c r="G425" s="3">
        <v>-8.8000000000000005E-3</v>
      </c>
      <c r="H425">
        <v>2013</v>
      </c>
      <c r="I425">
        <v>-0.81</v>
      </c>
      <c r="J425">
        <v>0</v>
      </c>
      <c r="K425">
        <v>0</v>
      </c>
      <c r="L425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</row>
    <row r="426" spans="1:20" hidden="1" x14ac:dyDescent="0.6">
      <c r="A426">
        <v>88</v>
      </c>
      <c r="B426" t="str">
        <f>"6104"</f>
        <v>6104</v>
      </c>
      <c r="C426" t="s">
        <v>151</v>
      </c>
      <c r="D426" s="1">
        <v>42923</v>
      </c>
      <c r="E426">
        <v>39.65</v>
      </c>
      <c r="F426">
        <v>0</v>
      </c>
      <c r="G426" s="2">
        <v>0</v>
      </c>
      <c r="H426">
        <v>2013</v>
      </c>
      <c r="I426">
        <v>-0.94</v>
      </c>
      <c r="J426">
        <v>0</v>
      </c>
      <c r="K426">
        <v>0</v>
      </c>
      <c r="L426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</row>
    <row r="427" spans="1:20" hidden="1" x14ac:dyDescent="0.6">
      <c r="A427">
        <v>99</v>
      </c>
      <c r="B427" t="str">
        <f>"6177"</f>
        <v>6177</v>
      </c>
      <c r="C427" t="s">
        <v>162</v>
      </c>
      <c r="D427" s="1">
        <v>42923</v>
      </c>
      <c r="E427">
        <v>26.85</v>
      </c>
      <c r="F427">
        <v>0.25</v>
      </c>
      <c r="G427" s="3">
        <v>9.4000000000000004E-3</v>
      </c>
      <c r="H427">
        <v>2013</v>
      </c>
      <c r="I427">
        <v>6.04</v>
      </c>
      <c r="J427">
        <v>0</v>
      </c>
      <c r="K427">
        <v>2.08</v>
      </c>
      <c r="L427">
        <v>2.08</v>
      </c>
      <c r="M427" s="2">
        <v>0</v>
      </c>
      <c r="N427" s="3">
        <v>7.7600000000000002E-2</v>
      </c>
      <c r="O427" s="3">
        <v>7.7600000000000002E-2</v>
      </c>
      <c r="P427" s="2">
        <v>0</v>
      </c>
      <c r="Q427" s="3">
        <v>0.34399999999999997</v>
      </c>
      <c r="R427" s="3">
        <v>0.34399999999999997</v>
      </c>
      <c r="T427" t="s">
        <v>47</v>
      </c>
    </row>
    <row r="428" spans="1:20" hidden="1" x14ac:dyDescent="0.6">
      <c r="A428">
        <v>106</v>
      </c>
      <c r="B428" t="str">
        <f>"5443"</f>
        <v>5443</v>
      </c>
      <c r="C428" t="s">
        <v>169</v>
      </c>
      <c r="D428" s="1">
        <v>42923</v>
      </c>
      <c r="E428">
        <v>24.65</v>
      </c>
      <c r="F428">
        <v>-0.3</v>
      </c>
      <c r="G428" s="3">
        <v>-1.2E-2</v>
      </c>
      <c r="H428">
        <v>2013</v>
      </c>
      <c r="I428">
        <v>-1.53</v>
      </c>
      <c r="J428">
        <v>0</v>
      </c>
      <c r="K428">
        <v>0</v>
      </c>
      <c r="L428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</row>
    <row r="429" spans="1:20" hidden="1" x14ac:dyDescent="0.6">
      <c r="A429">
        <v>115</v>
      </c>
      <c r="B429" t="str">
        <f>"6457"</f>
        <v>6457</v>
      </c>
      <c r="C429" t="s">
        <v>179</v>
      </c>
      <c r="D429" s="1">
        <v>42923</v>
      </c>
      <c r="E429">
        <v>28.55</v>
      </c>
      <c r="F429">
        <v>-0.25</v>
      </c>
      <c r="G429" s="3">
        <v>-8.6999999999999994E-3</v>
      </c>
      <c r="H429">
        <v>2013</v>
      </c>
      <c r="J429">
        <v>0</v>
      </c>
      <c r="K429">
        <v>1.1299999999999999</v>
      </c>
      <c r="L429">
        <v>1.1299999999999999</v>
      </c>
      <c r="M429" s="2">
        <v>0</v>
      </c>
      <c r="N429" s="3">
        <v>3.9600000000000003E-2</v>
      </c>
      <c r="O429" s="3">
        <v>3.9600000000000003E-2</v>
      </c>
    </row>
    <row r="430" spans="1:20" hidden="1" x14ac:dyDescent="0.6">
      <c r="A430">
        <v>125</v>
      </c>
      <c r="B430" t="str">
        <f>"2024"</f>
        <v>2024</v>
      </c>
      <c r="C430" t="s">
        <v>191</v>
      </c>
      <c r="D430" s="1">
        <v>42923</v>
      </c>
      <c r="E430">
        <v>8.5</v>
      </c>
      <c r="F430">
        <v>-0.06</v>
      </c>
      <c r="G430" s="3">
        <v>-7.0000000000000001E-3</v>
      </c>
      <c r="H430">
        <v>2013</v>
      </c>
      <c r="I430">
        <v>-0.91</v>
      </c>
      <c r="J430">
        <v>0</v>
      </c>
      <c r="K430">
        <v>0</v>
      </c>
      <c r="L430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</row>
    <row r="431" spans="1:20" hidden="1" x14ac:dyDescent="0.6">
      <c r="A431">
        <v>159</v>
      </c>
      <c r="B431" t="str">
        <f>"6294"</f>
        <v>6294</v>
      </c>
      <c r="C431" t="s">
        <v>229</v>
      </c>
      <c r="D431" s="1">
        <v>42923</v>
      </c>
      <c r="E431">
        <v>120</v>
      </c>
      <c r="F431">
        <v>0</v>
      </c>
      <c r="G431" s="2">
        <v>0</v>
      </c>
      <c r="H431">
        <v>2013</v>
      </c>
      <c r="I431">
        <v>4.37</v>
      </c>
      <c r="J431">
        <v>0</v>
      </c>
      <c r="K431">
        <v>0</v>
      </c>
      <c r="L431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</row>
    <row r="432" spans="1:20" hidden="1" x14ac:dyDescent="0.6">
      <c r="A432">
        <v>172</v>
      </c>
      <c r="B432" t="str">
        <f>"3675"</f>
        <v>3675</v>
      </c>
      <c r="C432" t="s">
        <v>245</v>
      </c>
      <c r="D432" s="1">
        <v>42923</v>
      </c>
      <c r="E432">
        <v>53</v>
      </c>
      <c r="F432">
        <v>-2.8</v>
      </c>
      <c r="G432" s="3">
        <v>-5.0200000000000002E-2</v>
      </c>
      <c r="H432">
        <v>2013</v>
      </c>
      <c r="I432">
        <v>-0.97</v>
      </c>
      <c r="J432">
        <v>0</v>
      </c>
      <c r="K432">
        <v>0</v>
      </c>
      <c r="L43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</row>
    <row r="433" spans="1:18" hidden="1" x14ac:dyDescent="0.6">
      <c r="A433">
        <v>174</v>
      </c>
      <c r="B433" t="str">
        <f>"1541"</f>
        <v>1541</v>
      </c>
      <c r="C433" t="s">
        <v>248</v>
      </c>
      <c r="D433" s="1">
        <v>42923</v>
      </c>
      <c r="E433">
        <v>50.8</v>
      </c>
      <c r="F433">
        <v>0.2</v>
      </c>
      <c r="G433" s="3">
        <v>4.0000000000000001E-3</v>
      </c>
      <c r="H433">
        <v>2013</v>
      </c>
      <c r="I433">
        <v>-1.03</v>
      </c>
      <c r="J433">
        <v>0</v>
      </c>
      <c r="K433">
        <v>0</v>
      </c>
      <c r="L433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</row>
    <row r="434" spans="1:18" hidden="1" x14ac:dyDescent="0.6">
      <c r="A434">
        <v>186</v>
      </c>
      <c r="B434" t="str">
        <f>"3455"</f>
        <v>3455</v>
      </c>
      <c r="C434" t="s">
        <v>262</v>
      </c>
      <c r="D434" s="1">
        <v>42923</v>
      </c>
      <c r="E434">
        <v>54.9</v>
      </c>
      <c r="F434">
        <v>0.5</v>
      </c>
      <c r="G434" s="3">
        <v>9.1999999999999998E-3</v>
      </c>
      <c r="H434">
        <v>2013</v>
      </c>
      <c r="I434">
        <v>-3.49</v>
      </c>
      <c r="J434">
        <v>0</v>
      </c>
      <c r="K434">
        <v>0</v>
      </c>
      <c r="L434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</row>
    <row r="435" spans="1:18" hidden="1" x14ac:dyDescent="0.6">
      <c r="A435">
        <v>190</v>
      </c>
      <c r="B435" t="str">
        <f>"1108"</f>
        <v>1108</v>
      </c>
      <c r="C435" t="s">
        <v>267</v>
      </c>
      <c r="D435" s="1">
        <v>42923</v>
      </c>
      <c r="E435">
        <v>9.4499999999999993</v>
      </c>
      <c r="F435">
        <v>0</v>
      </c>
      <c r="G435" s="2">
        <v>0</v>
      </c>
      <c r="H435">
        <v>2013</v>
      </c>
      <c r="I435">
        <v>0.43</v>
      </c>
      <c r="J435">
        <v>0</v>
      </c>
      <c r="K435">
        <v>0</v>
      </c>
      <c r="L435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</row>
    <row r="436" spans="1:18" hidden="1" x14ac:dyDescent="0.6">
      <c r="A436">
        <v>192</v>
      </c>
      <c r="B436" t="str">
        <f>"8928"</f>
        <v>8928</v>
      </c>
      <c r="C436" t="s">
        <v>269</v>
      </c>
      <c r="D436" s="1">
        <v>42923</v>
      </c>
      <c r="E436">
        <v>23.75</v>
      </c>
      <c r="F436">
        <v>2.15</v>
      </c>
      <c r="G436" s="3">
        <v>9.9500000000000005E-2</v>
      </c>
      <c r="H436">
        <v>2013</v>
      </c>
      <c r="I436">
        <v>-1.92</v>
      </c>
      <c r="J436">
        <v>0</v>
      </c>
      <c r="K436">
        <v>0</v>
      </c>
      <c r="L436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</row>
    <row r="437" spans="1:18" hidden="1" x14ac:dyDescent="0.6">
      <c r="A437">
        <v>207</v>
      </c>
      <c r="B437" t="str">
        <f>"8420"</f>
        <v>8420</v>
      </c>
      <c r="C437" t="s">
        <v>286</v>
      </c>
      <c r="D437" s="1">
        <v>42923</v>
      </c>
      <c r="E437">
        <v>19.2</v>
      </c>
      <c r="F437">
        <v>0</v>
      </c>
      <c r="G437" s="2">
        <v>0</v>
      </c>
      <c r="H437">
        <v>2013</v>
      </c>
      <c r="I437">
        <v>0.34</v>
      </c>
      <c r="J437">
        <v>0</v>
      </c>
      <c r="K437">
        <v>0</v>
      </c>
      <c r="L437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</row>
    <row r="438" spans="1:18" hidden="1" x14ac:dyDescent="0.6">
      <c r="A438">
        <v>210</v>
      </c>
      <c r="B438" t="str">
        <f>"2426"</f>
        <v>2426</v>
      </c>
      <c r="C438" t="s">
        <v>289</v>
      </c>
      <c r="D438" s="1">
        <v>42923</v>
      </c>
      <c r="E438">
        <v>14.3</v>
      </c>
      <c r="F438">
        <v>-0.1</v>
      </c>
      <c r="G438" s="3">
        <v>-6.8999999999999999E-3</v>
      </c>
      <c r="H438">
        <v>2013</v>
      </c>
      <c r="I438">
        <v>-1.98</v>
      </c>
      <c r="J438">
        <v>0</v>
      </c>
      <c r="K438">
        <v>0</v>
      </c>
      <c r="L438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</row>
    <row r="439" spans="1:18" hidden="1" x14ac:dyDescent="0.6">
      <c r="A439">
        <v>220</v>
      </c>
      <c r="B439" t="str">
        <f>"2484"</f>
        <v>2484</v>
      </c>
      <c r="C439" t="s">
        <v>299</v>
      </c>
      <c r="D439" s="1">
        <v>42923</v>
      </c>
      <c r="E439">
        <v>19.5</v>
      </c>
      <c r="F439">
        <v>-0.2</v>
      </c>
      <c r="G439" s="3">
        <v>-1.0200000000000001E-2</v>
      </c>
      <c r="H439">
        <v>2013</v>
      </c>
      <c r="I439">
        <v>-0.96</v>
      </c>
      <c r="J439">
        <v>0</v>
      </c>
      <c r="K439">
        <v>0</v>
      </c>
      <c r="L439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</row>
    <row r="440" spans="1:18" hidden="1" x14ac:dyDescent="0.6">
      <c r="A440">
        <v>222</v>
      </c>
      <c r="B440" t="str">
        <f>"1522"</f>
        <v>1522</v>
      </c>
      <c r="C440" t="s">
        <v>301</v>
      </c>
      <c r="D440" s="1">
        <v>42923</v>
      </c>
      <c r="E440">
        <v>32.6</v>
      </c>
      <c r="F440">
        <v>0</v>
      </c>
      <c r="G440" s="2">
        <v>0</v>
      </c>
      <c r="H440">
        <v>2013</v>
      </c>
      <c r="I440">
        <v>-0.56999999999999995</v>
      </c>
      <c r="J440">
        <v>0</v>
      </c>
      <c r="K440">
        <v>0</v>
      </c>
      <c r="L440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</row>
    <row r="441" spans="1:18" hidden="1" x14ac:dyDescent="0.6">
      <c r="A441">
        <v>252</v>
      </c>
      <c r="B441" t="str">
        <f>"2352"</f>
        <v>2352</v>
      </c>
      <c r="C441" t="s">
        <v>331</v>
      </c>
      <c r="D441" s="1">
        <v>42923</v>
      </c>
      <c r="E441">
        <v>22.25</v>
      </c>
      <c r="F441">
        <v>-0.15</v>
      </c>
      <c r="G441" s="3">
        <v>-6.7000000000000002E-3</v>
      </c>
      <c r="H441">
        <v>2013</v>
      </c>
      <c r="I441">
        <v>-1.32</v>
      </c>
      <c r="J441">
        <v>0</v>
      </c>
      <c r="K441">
        <v>0</v>
      </c>
      <c r="L441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</row>
    <row r="442" spans="1:18" hidden="1" x14ac:dyDescent="0.6">
      <c r="A442">
        <v>264</v>
      </c>
      <c r="B442" t="str">
        <f>"6179"</f>
        <v>6179</v>
      </c>
      <c r="C442" t="s">
        <v>344</v>
      </c>
      <c r="D442" s="1">
        <v>42923</v>
      </c>
      <c r="E442">
        <v>49</v>
      </c>
      <c r="F442">
        <v>0.55000000000000004</v>
      </c>
      <c r="G442" s="3">
        <v>1.14E-2</v>
      </c>
      <c r="H442">
        <v>2013</v>
      </c>
      <c r="I442">
        <v>-1.92</v>
      </c>
      <c r="J442">
        <v>0</v>
      </c>
      <c r="K442">
        <v>0</v>
      </c>
      <c r="L44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</row>
    <row r="443" spans="1:18" hidden="1" x14ac:dyDescent="0.6">
      <c r="A443">
        <v>271</v>
      </c>
      <c r="B443" t="str">
        <f>"6161"</f>
        <v>6161</v>
      </c>
      <c r="C443" t="s">
        <v>351</v>
      </c>
      <c r="D443" s="1">
        <v>42923</v>
      </c>
      <c r="E443">
        <v>15.45</v>
      </c>
      <c r="F443">
        <v>-0.15</v>
      </c>
      <c r="G443" s="3">
        <v>-9.5999999999999992E-3</v>
      </c>
      <c r="H443">
        <v>2013</v>
      </c>
      <c r="I443">
        <v>-2.91</v>
      </c>
      <c r="J443">
        <v>0</v>
      </c>
      <c r="K443">
        <v>0</v>
      </c>
      <c r="L443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</row>
    <row r="444" spans="1:18" hidden="1" x14ac:dyDescent="0.6">
      <c r="A444">
        <v>314</v>
      </c>
      <c r="B444" t="str">
        <f>"2481"</f>
        <v>2481</v>
      </c>
      <c r="C444" t="s">
        <v>396</v>
      </c>
      <c r="D444" s="1">
        <v>42923</v>
      </c>
      <c r="E444">
        <v>17.8</v>
      </c>
      <c r="F444">
        <v>-0.1</v>
      </c>
      <c r="G444" s="3">
        <v>-5.5999999999999999E-3</v>
      </c>
      <c r="H444">
        <v>2013</v>
      </c>
      <c r="I444">
        <v>-1.75</v>
      </c>
      <c r="J444">
        <v>0</v>
      </c>
      <c r="K444">
        <v>0</v>
      </c>
      <c r="L444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</row>
    <row r="445" spans="1:18" hidden="1" x14ac:dyDescent="0.6">
      <c r="A445">
        <v>316</v>
      </c>
      <c r="B445" t="str">
        <f>"1725"</f>
        <v>1725</v>
      </c>
      <c r="C445" t="s">
        <v>398</v>
      </c>
      <c r="D445" s="1">
        <v>42923</v>
      </c>
      <c r="E445">
        <v>14.3</v>
      </c>
      <c r="F445">
        <v>0</v>
      </c>
      <c r="G445" s="2">
        <v>0</v>
      </c>
      <c r="H445">
        <v>2013</v>
      </c>
      <c r="I445">
        <v>-0.92</v>
      </c>
      <c r="J445">
        <v>0</v>
      </c>
      <c r="K445">
        <v>0</v>
      </c>
      <c r="L445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</row>
    <row r="446" spans="1:18" hidden="1" x14ac:dyDescent="0.6">
      <c r="A446">
        <v>322</v>
      </c>
      <c r="B446" t="str">
        <f>"1906"</f>
        <v>1906</v>
      </c>
      <c r="C446" t="s">
        <v>404</v>
      </c>
      <c r="D446" s="1">
        <v>42923</v>
      </c>
      <c r="E446">
        <v>27</v>
      </c>
      <c r="F446">
        <v>1.1000000000000001</v>
      </c>
      <c r="G446" s="3">
        <v>4.2500000000000003E-2</v>
      </c>
      <c r="H446">
        <v>2013</v>
      </c>
      <c r="I446">
        <v>-0.41</v>
      </c>
      <c r="J446">
        <v>0</v>
      </c>
      <c r="K446">
        <v>0</v>
      </c>
      <c r="L446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</row>
    <row r="447" spans="1:18" hidden="1" x14ac:dyDescent="0.6">
      <c r="A447">
        <v>328</v>
      </c>
      <c r="B447" t="str">
        <f>"8415"</f>
        <v>8415</v>
      </c>
      <c r="C447" t="s">
        <v>410</v>
      </c>
      <c r="D447" s="1">
        <v>42923</v>
      </c>
      <c r="E447">
        <v>18.100000000000001</v>
      </c>
      <c r="F447">
        <v>0.05</v>
      </c>
      <c r="G447" s="3">
        <v>2.8E-3</v>
      </c>
      <c r="H447">
        <v>2013</v>
      </c>
      <c r="I447">
        <v>0.3</v>
      </c>
      <c r="J447">
        <v>0</v>
      </c>
      <c r="K447">
        <v>0</v>
      </c>
      <c r="L447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</row>
    <row r="448" spans="1:18" hidden="1" x14ac:dyDescent="0.6">
      <c r="A448">
        <v>331</v>
      </c>
      <c r="B448" t="str">
        <f>"6116"</f>
        <v>6116</v>
      </c>
      <c r="C448" t="s">
        <v>413</v>
      </c>
      <c r="D448" s="1">
        <v>42923</v>
      </c>
      <c r="E448">
        <v>9.08</v>
      </c>
      <c r="F448">
        <v>-0.04</v>
      </c>
      <c r="G448" s="3">
        <v>-4.4000000000000003E-3</v>
      </c>
      <c r="H448">
        <v>2013</v>
      </c>
      <c r="I448">
        <v>-0.56000000000000005</v>
      </c>
      <c r="J448">
        <v>0</v>
      </c>
      <c r="K448">
        <v>0</v>
      </c>
      <c r="L448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</row>
    <row r="449" spans="1:18" hidden="1" x14ac:dyDescent="0.6">
      <c r="A449">
        <v>339</v>
      </c>
      <c r="B449" t="str">
        <f>"6212"</f>
        <v>6212</v>
      </c>
      <c r="C449" t="s">
        <v>421</v>
      </c>
      <c r="D449" s="1">
        <v>42923</v>
      </c>
      <c r="E449">
        <v>27.5</v>
      </c>
      <c r="F449">
        <v>-0.05</v>
      </c>
      <c r="G449" s="3">
        <v>-1.8E-3</v>
      </c>
      <c r="H449">
        <v>2013</v>
      </c>
      <c r="I449">
        <v>2.36</v>
      </c>
      <c r="J449">
        <v>0</v>
      </c>
      <c r="K449">
        <v>0</v>
      </c>
      <c r="L449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</row>
    <row r="450" spans="1:18" hidden="1" x14ac:dyDescent="0.6">
      <c r="A450">
        <v>340</v>
      </c>
      <c r="B450" t="str">
        <f>"2359"</f>
        <v>2359</v>
      </c>
      <c r="C450" t="s">
        <v>422</v>
      </c>
      <c r="D450" s="1">
        <v>42923</v>
      </c>
      <c r="E450">
        <v>18.399999999999999</v>
      </c>
      <c r="F450">
        <v>0.2</v>
      </c>
      <c r="G450" s="3">
        <v>1.0999999999999999E-2</v>
      </c>
      <c r="H450">
        <v>2013</v>
      </c>
      <c r="I450">
        <v>0.09</v>
      </c>
      <c r="J450">
        <v>0</v>
      </c>
      <c r="K450">
        <v>0</v>
      </c>
      <c r="L450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</row>
    <row r="451" spans="1:18" hidden="1" x14ac:dyDescent="0.6">
      <c r="A451">
        <v>342</v>
      </c>
      <c r="B451" t="str">
        <f>"1605"</f>
        <v>1605</v>
      </c>
      <c r="C451" t="s">
        <v>424</v>
      </c>
      <c r="D451" s="1">
        <v>42923</v>
      </c>
      <c r="E451">
        <v>12.9</v>
      </c>
      <c r="F451">
        <v>-0.35</v>
      </c>
      <c r="G451" s="3">
        <v>-2.64E-2</v>
      </c>
      <c r="H451">
        <v>2013</v>
      </c>
      <c r="I451">
        <v>-0.94</v>
      </c>
      <c r="J451">
        <v>0</v>
      </c>
      <c r="K451">
        <v>0</v>
      </c>
      <c r="L451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</row>
    <row r="452" spans="1:18" hidden="1" x14ac:dyDescent="0.6">
      <c r="A452">
        <v>353</v>
      </c>
      <c r="B452" t="str">
        <f>"5603"</f>
        <v>5603</v>
      </c>
      <c r="C452" t="s">
        <v>436</v>
      </c>
      <c r="D452" s="1">
        <v>42923</v>
      </c>
      <c r="E452">
        <v>13</v>
      </c>
      <c r="F452">
        <v>-0.05</v>
      </c>
      <c r="G452" s="3">
        <v>-3.8E-3</v>
      </c>
      <c r="H452">
        <v>2013</v>
      </c>
      <c r="I452">
        <v>-0.42</v>
      </c>
      <c r="J452">
        <v>0</v>
      </c>
      <c r="K452">
        <v>0</v>
      </c>
      <c r="L45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1:18" hidden="1" x14ac:dyDescent="0.6">
      <c r="A453">
        <v>359</v>
      </c>
      <c r="B453" t="str">
        <f>"1539"</f>
        <v>1539</v>
      </c>
      <c r="C453" t="s">
        <v>442</v>
      </c>
      <c r="D453" s="1">
        <v>42923</v>
      </c>
      <c r="E453">
        <v>22.35</v>
      </c>
      <c r="F453">
        <v>-0.05</v>
      </c>
      <c r="G453" s="3">
        <v>-2.2000000000000001E-3</v>
      </c>
      <c r="H453">
        <v>2013</v>
      </c>
      <c r="I453">
        <v>-0.25</v>
      </c>
      <c r="J453">
        <v>0</v>
      </c>
      <c r="K453">
        <v>0</v>
      </c>
      <c r="L453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</row>
    <row r="454" spans="1:18" hidden="1" x14ac:dyDescent="0.6">
      <c r="A454">
        <v>368</v>
      </c>
      <c r="B454" t="str">
        <f>"8069"</f>
        <v>8069</v>
      </c>
      <c r="C454" t="s">
        <v>451</v>
      </c>
      <c r="D454" s="1">
        <v>42923</v>
      </c>
      <c r="E454">
        <v>28.35</v>
      </c>
      <c r="F454">
        <v>-0.05</v>
      </c>
      <c r="G454" s="3">
        <v>-1.8E-3</v>
      </c>
      <c r="H454">
        <v>2013</v>
      </c>
      <c r="I454">
        <v>-0.69</v>
      </c>
      <c r="J454">
        <v>0</v>
      </c>
      <c r="K454">
        <v>0</v>
      </c>
      <c r="L454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1:18" hidden="1" x14ac:dyDescent="0.6">
      <c r="A455">
        <v>377</v>
      </c>
      <c r="B455" t="str">
        <f>"2012"</f>
        <v>2012</v>
      </c>
      <c r="C455" t="s">
        <v>460</v>
      </c>
      <c r="D455" s="1">
        <v>42923</v>
      </c>
      <c r="E455">
        <v>14.3</v>
      </c>
      <c r="F455">
        <v>0.15</v>
      </c>
      <c r="G455" s="3">
        <v>1.06E-2</v>
      </c>
      <c r="H455">
        <v>2013</v>
      </c>
      <c r="I455">
        <v>-0.68</v>
      </c>
      <c r="J455">
        <v>0</v>
      </c>
      <c r="K455">
        <v>0</v>
      </c>
      <c r="L455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</row>
    <row r="456" spans="1:18" hidden="1" x14ac:dyDescent="0.6">
      <c r="A456">
        <v>382</v>
      </c>
      <c r="B456" t="str">
        <f>"2431"</f>
        <v>2431</v>
      </c>
      <c r="C456" t="s">
        <v>466</v>
      </c>
      <c r="D456" s="1">
        <v>42923</v>
      </c>
      <c r="E456">
        <v>14.8</v>
      </c>
      <c r="F456">
        <v>-0.25</v>
      </c>
      <c r="G456" s="3">
        <v>-1.66E-2</v>
      </c>
      <c r="H456">
        <v>2013</v>
      </c>
      <c r="I456">
        <v>-1.1200000000000001</v>
      </c>
      <c r="J456">
        <v>0</v>
      </c>
      <c r="K456">
        <v>0</v>
      </c>
      <c r="L456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</row>
    <row r="457" spans="1:18" hidden="1" x14ac:dyDescent="0.6">
      <c r="A457">
        <v>386</v>
      </c>
      <c r="B457" t="str">
        <f>"8066"</f>
        <v>8066</v>
      </c>
      <c r="C457" t="s">
        <v>470</v>
      </c>
      <c r="D457" s="1">
        <v>42923</v>
      </c>
      <c r="E457">
        <v>115.5</v>
      </c>
      <c r="F457">
        <v>-0.5</v>
      </c>
      <c r="G457" s="3">
        <v>-4.3E-3</v>
      </c>
      <c r="H457">
        <v>2013</v>
      </c>
      <c r="I457">
        <v>0.21</v>
      </c>
      <c r="J457">
        <v>0</v>
      </c>
      <c r="K457">
        <v>0</v>
      </c>
      <c r="L457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</row>
    <row r="458" spans="1:18" hidden="1" x14ac:dyDescent="0.6">
      <c r="A458">
        <v>387</v>
      </c>
      <c r="B458" t="str">
        <f>"6125"</f>
        <v>6125</v>
      </c>
      <c r="C458" t="s">
        <v>471</v>
      </c>
      <c r="D458" s="1">
        <v>42923</v>
      </c>
      <c r="E458">
        <v>9.6300000000000008</v>
      </c>
      <c r="F458">
        <v>0</v>
      </c>
      <c r="G458" s="2">
        <v>0</v>
      </c>
      <c r="H458">
        <v>2013</v>
      </c>
      <c r="I458">
        <v>-3.36</v>
      </c>
      <c r="J458">
        <v>0</v>
      </c>
      <c r="K458">
        <v>0</v>
      </c>
      <c r="L458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</row>
    <row r="459" spans="1:18" hidden="1" x14ac:dyDescent="0.6">
      <c r="A459">
        <v>388</v>
      </c>
      <c r="B459" t="str">
        <f>"4950"</f>
        <v>4950</v>
      </c>
      <c r="C459" t="s">
        <v>472</v>
      </c>
      <c r="D459" s="1">
        <v>42923</v>
      </c>
      <c r="E459">
        <v>19.3</v>
      </c>
      <c r="F459">
        <v>0.05</v>
      </c>
      <c r="G459" s="3">
        <v>2.5999999999999999E-3</v>
      </c>
      <c r="H459">
        <v>2013</v>
      </c>
      <c r="I459">
        <v>-0.79</v>
      </c>
      <c r="J459">
        <v>0</v>
      </c>
      <c r="K459">
        <v>0</v>
      </c>
      <c r="L459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</row>
    <row r="460" spans="1:18" hidden="1" x14ac:dyDescent="0.6">
      <c r="A460">
        <v>404</v>
      </c>
      <c r="B460" t="str">
        <f>"3489"</f>
        <v>3489</v>
      </c>
      <c r="C460" t="s">
        <v>490</v>
      </c>
      <c r="D460" s="1">
        <v>42923</v>
      </c>
      <c r="E460">
        <v>9.8000000000000007</v>
      </c>
      <c r="F460">
        <v>-0.02</v>
      </c>
      <c r="G460" s="3">
        <v>-2E-3</v>
      </c>
      <c r="H460">
        <v>2013</v>
      </c>
      <c r="I460">
        <v>-1.89</v>
      </c>
      <c r="J460">
        <v>0</v>
      </c>
      <c r="K460">
        <v>0</v>
      </c>
      <c r="L460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</row>
    <row r="461" spans="1:18" hidden="1" x14ac:dyDescent="0.6">
      <c r="A461">
        <v>410</v>
      </c>
      <c r="B461" t="str">
        <f>"3021"</f>
        <v>3021</v>
      </c>
      <c r="C461" t="s">
        <v>497</v>
      </c>
      <c r="D461" s="1">
        <v>42923</v>
      </c>
      <c r="E461">
        <v>13.8</v>
      </c>
      <c r="F461">
        <v>0</v>
      </c>
      <c r="G461" s="2">
        <v>0</v>
      </c>
      <c r="H461">
        <v>2013</v>
      </c>
      <c r="I461">
        <v>0.63</v>
      </c>
      <c r="J461">
        <v>0</v>
      </c>
      <c r="K461">
        <v>0</v>
      </c>
      <c r="L461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</row>
    <row r="462" spans="1:18" hidden="1" x14ac:dyDescent="0.6">
      <c r="A462">
        <v>411</v>
      </c>
      <c r="B462" t="str">
        <f>"5206"</f>
        <v>5206</v>
      </c>
      <c r="C462" t="s">
        <v>498</v>
      </c>
      <c r="D462" s="1">
        <v>42923</v>
      </c>
      <c r="E462">
        <v>9.8699999999999992</v>
      </c>
      <c r="F462">
        <v>-0.03</v>
      </c>
      <c r="G462" s="3">
        <v>-3.0000000000000001E-3</v>
      </c>
      <c r="H462">
        <v>2013</v>
      </c>
      <c r="I462">
        <v>1.17</v>
      </c>
      <c r="J462">
        <v>0</v>
      </c>
      <c r="K462">
        <v>0</v>
      </c>
      <c r="L46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</row>
    <row r="463" spans="1:18" hidden="1" x14ac:dyDescent="0.6">
      <c r="A463">
        <v>432</v>
      </c>
      <c r="B463" t="str">
        <f>"9934"</f>
        <v>9934</v>
      </c>
      <c r="C463" t="s">
        <v>520</v>
      </c>
      <c r="D463" s="1">
        <v>42923</v>
      </c>
      <c r="E463">
        <v>19.649999999999999</v>
      </c>
      <c r="F463">
        <v>-0.05</v>
      </c>
      <c r="G463" s="3">
        <v>-2.5000000000000001E-3</v>
      </c>
      <c r="H463">
        <v>2013</v>
      </c>
      <c r="I463">
        <v>-0.78</v>
      </c>
      <c r="J463">
        <v>0</v>
      </c>
      <c r="K463">
        <v>0</v>
      </c>
      <c r="L463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</row>
    <row r="464" spans="1:18" hidden="1" x14ac:dyDescent="0.6">
      <c r="A464">
        <v>447</v>
      </c>
      <c r="B464" t="str">
        <f>"3031"</f>
        <v>3031</v>
      </c>
      <c r="C464" t="s">
        <v>537</v>
      </c>
      <c r="D464" s="1">
        <v>42923</v>
      </c>
      <c r="E464">
        <v>16.3</v>
      </c>
      <c r="F464">
        <v>-0.2</v>
      </c>
      <c r="G464" s="3">
        <v>-1.21E-2</v>
      </c>
      <c r="H464">
        <v>2013</v>
      </c>
      <c r="I464">
        <v>-1.81</v>
      </c>
      <c r="J464">
        <v>0</v>
      </c>
      <c r="K464">
        <v>0</v>
      </c>
      <c r="L464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</row>
    <row r="465" spans="1:20" hidden="1" x14ac:dyDescent="0.6">
      <c r="A465">
        <v>453</v>
      </c>
      <c r="B465" t="str">
        <f>"1721"</f>
        <v>1721</v>
      </c>
      <c r="C465" t="s">
        <v>543</v>
      </c>
      <c r="D465" s="1">
        <v>42923</v>
      </c>
      <c r="E465">
        <v>14.35</v>
      </c>
      <c r="F465">
        <v>-0.1</v>
      </c>
      <c r="G465" s="3">
        <v>-6.8999999999999999E-3</v>
      </c>
      <c r="H465">
        <v>2013</v>
      </c>
      <c r="I465">
        <v>0</v>
      </c>
      <c r="J465">
        <v>0</v>
      </c>
      <c r="K465">
        <v>0</v>
      </c>
      <c r="L465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</row>
    <row r="466" spans="1:20" hidden="1" x14ac:dyDescent="0.6">
      <c r="A466">
        <v>459</v>
      </c>
      <c r="B466" t="str">
        <f>"2838"</f>
        <v>2838</v>
      </c>
      <c r="C466" t="s">
        <v>550</v>
      </c>
      <c r="D466" s="1">
        <v>42923</v>
      </c>
      <c r="E466">
        <v>9.27</v>
      </c>
      <c r="F466">
        <v>-0.01</v>
      </c>
      <c r="G466" s="3">
        <v>-1.1000000000000001E-3</v>
      </c>
      <c r="H466">
        <v>2013</v>
      </c>
      <c r="I466">
        <v>1.41</v>
      </c>
      <c r="J466">
        <v>0</v>
      </c>
      <c r="K466">
        <v>0.92</v>
      </c>
      <c r="L466">
        <v>0.92</v>
      </c>
      <c r="M466" s="2">
        <v>0</v>
      </c>
      <c r="N466" s="3">
        <v>9.8900000000000002E-2</v>
      </c>
      <c r="O466" s="3">
        <v>9.8900000000000002E-2</v>
      </c>
      <c r="P466" s="2">
        <v>0</v>
      </c>
      <c r="Q466" s="3">
        <v>0.65200000000000002</v>
      </c>
      <c r="R466" s="3">
        <v>0.65200000000000002</v>
      </c>
      <c r="T466" t="s">
        <v>99</v>
      </c>
    </row>
    <row r="467" spans="1:20" hidden="1" x14ac:dyDescent="0.6">
      <c r="A467">
        <v>472</v>
      </c>
      <c r="B467" t="str">
        <f>"8289"</f>
        <v>8289</v>
      </c>
      <c r="C467" t="s">
        <v>565</v>
      </c>
      <c r="D467" s="1">
        <v>42923</v>
      </c>
      <c r="E467">
        <v>10.4</v>
      </c>
      <c r="F467">
        <v>-0.05</v>
      </c>
      <c r="G467" s="3">
        <v>-4.7999999999999996E-3</v>
      </c>
      <c r="H467">
        <v>2013</v>
      </c>
      <c r="I467">
        <v>-0.14000000000000001</v>
      </c>
      <c r="J467">
        <v>0</v>
      </c>
      <c r="K467">
        <v>0</v>
      </c>
      <c r="L467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</row>
    <row r="468" spans="1:20" hidden="1" x14ac:dyDescent="0.6">
      <c r="A468">
        <v>483</v>
      </c>
      <c r="B468" t="str">
        <f>"6187"</f>
        <v>6187</v>
      </c>
      <c r="C468" t="s">
        <v>576</v>
      </c>
      <c r="D468" s="1">
        <v>42923</v>
      </c>
      <c r="E468">
        <v>62.7</v>
      </c>
      <c r="F468">
        <v>0.9</v>
      </c>
      <c r="G468" s="3">
        <v>1.46E-2</v>
      </c>
      <c r="H468">
        <v>2013</v>
      </c>
      <c r="I468">
        <v>-1.69</v>
      </c>
      <c r="J468">
        <v>0</v>
      </c>
      <c r="K468">
        <v>0</v>
      </c>
      <c r="L468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</row>
    <row r="469" spans="1:20" hidden="1" x14ac:dyDescent="0.6">
      <c r="A469">
        <v>495</v>
      </c>
      <c r="B469" t="str">
        <f>"4953"</f>
        <v>4953</v>
      </c>
      <c r="C469" t="s">
        <v>589</v>
      </c>
      <c r="D469" s="1">
        <v>42923</v>
      </c>
      <c r="E469">
        <v>23.5</v>
      </c>
      <c r="F469">
        <v>-0.15</v>
      </c>
      <c r="G469" s="3">
        <v>-6.3E-3</v>
      </c>
      <c r="H469">
        <v>2013</v>
      </c>
      <c r="I469">
        <v>1.48</v>
      </c>
      <c r="J469">
        <v>0</v>
      </c>
      <c r="K469">
        <v>0.4</v>
      </c>
      <c r="L469">
        <v>0.4</v>
      </c>
      <c r="M469" s="2">
        <v>0</v>
      </c>
      <c r="N469" s="3">
        <v>1.7000000000000001E-2</v>
      </c>
      <c r="O469" s="3">
        <v>1.7000000000000001E-2</v>
      </c>
      <c r="P469" s="2">
        <v>0</v>
      </c>
      <c r="Q469" s="2">
        <v>0.27</v>
      </c>
      <c r="R469" s="2">
        <v>0.27</v>
      </c>
      <c r="T469" t="s">
        <v>122</v>
      </c>
    </row>
    <row r="470" spans="1:20" hidden="1" x14ac:dyDescent="0.6">
      <c r="A470">
        <v>20</v>
      </c>
      <c r="B470" t="str">
        <f>"2936"</f>
        <v>2936</v>
      </c>
      <c r="C470" t="s">
        <v>51</v>
      </c>
      <c r="D470" s="1">
        <v>42923</v>
      </c>
      <c r="E470">
        <v>43.5</v>
      </c>
      <c r="F470">
        <v>-0.4</v>
      </c>
      <c r="G470" s="3">
        <v>-9.1000000000000004E-3</v>
      </c>
      <c r="H470" t="s">
        <v>52</v>
      </c>
    </row>
    <row r="471" spans="1:20" hidden="1" x14ac:dyDescent="0.6">
      <c r="A471">
        <v>45</v>
      </c>
      <c r="B471" t="str">
        <f>"6538"</f>
        <v>6538</v>
      </c>
      <c r="C471" t="s">
        <v>91</v>
      </c>
      <c r="D471" s="1">
        <v>42923</v>
      </c>
      <c r="E471">
        <v>52.2</v>
      </c>
      <c r="F471">
        <v>-0.2</v>
      </c>
      <c r="G471" s="3">
        <v>-3.8E-3</v>
      </c>
      <c r="H471" t="s">
        <v>52</v>
      </c>
    </row>
    <row r="472" spans="1:20" hidden="1" x14ac:dyDescent="0.6">
      <c r="A472">
        <v>52</v>
      </c>
      <c r="B472" t="str">
        <f>"6512"</f>
        <v>6512</v>
      </c>
      <c r="C472" t="s">
        <v>101</v>
      </c>
      <c r="D472" s="1">
        <v>42923</v>
      </c>
      <c r="E472">
        <v>28</v>
      </c>
      <c r="F472">
        <v>0</v>
      </c>
      <c r="G472" s="2">
        <v>0</v>
      </c>
      <c r="H472" t="s">
        <v>52</v>
      </c>
    </row>
    <row r="473" spans="1:20" hidden="1" x14ac:dyDescent="0.6">
      <c r="A473">
        <v>73</v>
      </c>
      <c r="B473" t="str">
        <f>"5276"</f>
        <v>5276</v>
      </c>
      <c r="C473" t="s">
        <v>132</v>
      </c>
      <c r="D473" s="1">
        <v>42923</v>
      </c>
      <c r="E473">
        <v>25.5</v>
      </c>
      <c r="F473">
        <v>0</v>
      </c>
      <c r="G473" s="2">
        <v>0</v>
      </c>
      <c r="H473" t="s">
        <v>52</v>
      </c>
    </row>
    <row r="474" spans="1:20" hidden="1" x14ac:dyDescent="0.6">
      <c r="A474">
        <v>84</v>
      </c>
      <c r="B474" t="str">
        <f>"6470"</f>
        <v>6470</v>
      </c>
      <c r="C474" t="s">
        <v>146</v>
      </c>
      <c r="D474" s="1">
        <v>42923</v>
      </c>
      <c r="E474">
        <v>52.4</v>
      </c>
      <c r="F474">
        <v>-0.6</v>
      </c>
      <c r="G474" s="3">
        <v>-1.1299999999999999E-2</v>
      </c>
      <c r="H474" t="s">
        <v>52</v>
      </c>
    </row>
    <row r="475" spans="1:20" hidden="1" x14ac:dyDescent="0.6">
      <c r="A475">
        <v>93</v>
      </c>
      <c r="B475" t="str">
        <f>"6486"</f>
        <v>6486</v>
      </c>
      <c r="C475" t="s">
        <v>156</v>
      </c>
      <c r="D475" s="1">
        <v>42923</v>
      </c>
      <c r="E475">
        <v>46.8</v>
      </c>
      <c r="F475">
        <v>-1.95</v>
      </c>
      <c r="G475" s="2">
        <v>-0.04</v>
      </c>
      <c r="H475" t="s">
        <v>52</v>
      </c>
    </row>
    <row r="476" spans="1:20" hidden="1" x14ac:dyDescent="0.6">
      <c r="A476">
        <v>119</v>
      </c>
      <c r="B476" t="str">
        <f>"4552"</f>
        <v>4552</v>
      </c>
      <c r="C476" t="s">
        <v>184</v>
      </c>
      <c r="D476" s="1">
        <v>42923</v>
      </c>
      <c r="E476">
        <v>112.5</v>
      </c>
      <c r="F476">
        <v>-0.5</v>
      </c>
      <c r="G476" s="3">
        <v>-4.4000000000000003E-3</v>
      </c>
      <c r="H476" t="s">
        <v>52</v>
      </c>
    </row>
    <row r="477" spans="1:20" hidden="1" x14ac:dyDescent="0.6">
      <c r="A477">
        <v>128</v>
      </c>
      <c r="B477" t="str">
        <f>"3706"</f>
        <v>3706</v>
      </c>
      <c r="C477" t="s">
        <v>194</v>
      </c>
      <c r="D477" s="1">
        <v>42923</v>
      </c>
      <c r="E477">
        <v>35.6</v>
      </c>
      <c r="F477">
        <v>-0.3</v>
      </c>
      <c r="G477" s="3">
        <v>-8.3999999999999995E-3</v>
      </c>
      <c r="H477" t="s">
        <v>52</v>
      </c>
    </row>
    <row r="478" spans="1:20" hidden="1" x14ac:dyDescent="0.6">
      <c r="A478">
        <v>145</v>
      </c>
      <c r="B478" t="str">
        <f>"8472"</f>
        <v>8472</v>
      </c>
      <c r="C478" t="s">
        <v>213</v>
      </c>
      <c r="D478" s="1">
        <v>42923</v>
      </c>
      <c r="E478">
        <v>40.9</v>
      </c>
      <c r="F478">
        <v>0.05</v>
      </c>
      <c r="G478" s="3">
        <v>1.1999999999999999E-3</v>
      </c>
      <c r="H478" t="s">
        <v>52</v>
      </c>
    </row>
    <row r="479" spans="1:20" hidden="1" x14ac:dyDescent="0.6">
      <c r="A479">
        <v>146</v>
      </c>
      <c r="B479" t="str">
        <f>"6442"</f>
        <v>6442</v>
      </c>
      <c r="C479" t="s">
        <v>214</v>
      </c>
      <c r="D479" s="1">
        <v>42923</v>
      </c>
      <c r="E479">
        <v>48.8</v>
      </c>
      <c r="F479">
        <v>-0.75</v>
      </c>
      <c r="G479" s="3">
        <v>-1.5100000000000001E-2</v>
      </c>
      <c r="H479" t="s">
        <v>52</v>
      </c>
    </row>
    <row r="480" spans="1:20" hidden="1" x14ac:dyDescent="0.6">
      <c r="A480">
        <v>164</v>
      </c>
      <c r="B480" t="str">
        <f>"4557"</f>
        <v>4557</v>
      </c>
      <c r="C480" t="s">
        <v>236</v>
      </c>
      <c r="D480" s="1">
        <v>42923</v>
      </c>
      <c r="E480">
        <v>75.7</v>
      </c>
      <c r="F480">
        <v>-0.9</v>
      </c>
      <c r="G480" s="3">
        <v>-1.17E-2</v>
      </c>
      <c r="H480" t="s">
        <v>52</v>
      </c>
    </row>
    <row r="481" spans="1:8" hidden="1" x14ac:dyDescent="0.6">
      <c r="A481">
        <v>170</v>
      </c>
      <c r="B481" t="str">
        <f>"6525"</f>
        <v>6525</v>
      </c>
      <c r="C481" t="s">
        <v>243</v>
      </c>
      <c r="D481" s="1">
        <v>42923</v>
      </c>
      <c r="E481">
        <v>58</v>
      </c>
      <c r="F481">
        <v>-0.2</v>
      </c>
      <c r="G481" s="3">
        <v>-3.3999999999999998E-3</v>
      </c>
      <c r="H481" t="s">
        <v>52</v>
      </c>
    </row>
    <row r="482" spans="1:8" hidden="1" x14ac:dyDescent="0.6">
      <c r="A482">
        <v>171</v>
      </c>
      <c r="B482" t="str">
        <f>"6577"</f>
        <v>6577</v>
      </c>
      <c r="C482" t="s">
        <v>244</v>
      </c>
      <c r="D482" s="1">
        <v>42923</v>
      </c>
      <c r="E482">
        <v>62</v>
      </c>
      <c r="F482">
        <v>-0.7</v>
      </c>
      <c r="G482" s="3">
        <v>-1.12E-2</v>
      </c>
      <c r="H482" t="s">
        <v>52</v>
      </c>
    </row>
    <row r="483" spans="1:8" hidden="1" x14ac:dyDescent="0.6">
      <c r="A483">
        <v>214</v>
      </c>
      <c r="B483" t="str">
        <f>"2739"</f>
        <v>2739</v>
      </c>
      <c r="C483" t="s">
        <v>293</v>
      </c>
      <c r="D483" s="1">
        <v>42923</v>
      </c>
      <c r="E483">
        <v>35.5</v>
      </c>
      <c r="F483">
        <v>-0.5</v>
      </c>
      <c r="G483" s="3">
        <v>-1.3899999999999999E-2</v>
      </c>
      <c r="H483" t="s">
        <v>52</v>
      </c>
    </row>
    <row r="484" spans="1:8" hidden="1" x14ac:dyDescent="0.6">
      <c r="A484">
        <v>217</v>
      </c>
      <c r="B484" t="str">
        <f>"6422"</f>
        <v>6422</v>
      </c>
      <c r="C484" t="s">
        <v>296</v>
      </c>
      <c r="D484" s="1">
        <v>42923</v>
      </c>
      <c r="E484">
        <v>70.599999999999994</v>
      </c>
      <c r="F484">
        <v>0.6</v>
      </c>
      <c r="G484" s="3">
        <v>8.6E-3</v>
      </c>
      <c r="H484" t="s">
        <v>52</v>
      </c>
    </row>
    <row r="485" spans="1:8" hidden="1" x14ac:dyDescent="0.6">
      <c r="A485">
        <v>226</v>
      </c>
      <c r="B485" t="str">
        <f>"2069"</f>
        <v>2069</v>
      </c>
      <c r="C485" t="s">
        <v>305</v>
      </c>
      <c r="D485" s="1">
        <v>42923</v>
      </c>
      <c r="E485">
        <v>27.05</v>
      </c>
      <c r="F485">
        <v>-0.45</v>
      </c>
      <c r="G485" s="3">
        <v>-1.6400000000000001E-2</v>
      </c>
      <c r="H485" t="s">
        <v>52</v>
      </c>
    </row>
    <row r="486" spans="1:8" hidden="1" x14ac:dyDescent="0.6">
      <c r="A486">
        <v>234</v>
      </c>
      <c r="B486" t="str">
        <f>"8463"</f>
        <v>8463</v>
      </c>
      <c r="C486" t="s">
        <v>313</v>
      </c>
      <c r="D486" s="1">
        <v>42923</v>
      </c>
      <c r="E486">
        <v>18.2</v>
      </c>
      <c r="F486">
        <v>-0.1</v>
      </c>
      <c r="G486" s="3">
        <v>-5.4999999999999997E-3</v>
      </c>
      <c r="H486" t="s">
        <v>52</v>
      </c>
    </row>
    <row r="487" spans="1:8" hidden="1" x14ac:dyDescent="0.6">
      <c r="A487">
        <v>261</v>
      </c>
      <c r="B487" t="str">
        <f>"2643"</f>
        <v>2643</v>
      </c>
      <c r="C487" t="s">
        <v>341</v>
      </c>
      <c r="D487" s="1">
        <v>42923</v>
      </c>
      <c r="E487">
        <v>38.85</v>
      </c>
      <c r="F487">
        <v>-0.25</v>
      </c>
      <c r="G487" s="3">
        <v>-6.4000000000000003E-3</v>
      </c>
      <c r="H487" t="s">
        <v>52</v>
      </c>
    </row>
    <row r="488" spans="1:8" hidden="1" x14ac:dyDescent="0.6">
      <c r="A488">
        <v>272</v>
      </c>
      <c r="B488" t="str">
        <f>"6494"</f>
        <v>6494</v>
      </c>
      <c r="C488" t="s">
        <v>352</v>
      </c>
      <c r="D488" s="1">
        <v>42923</v>
      </c>
      <c r="E488">
        <v>51.5</v>
      </c>
      <c r="F488">
        <v>0.2</v>
      </c>
      <c r="G488" s="3">
        <v>3.8999999999999998E-3</v>
      </c>
      <c r="H488" t="s">
        <v>52</v>
      </c>
    </row>
    <row r="489" spans="1:8" hidden="1" x14ac:dyDescent="0.6">
      <c r="A489">
        <v>277</v>
      </c>
      <c r="B489" t="str">
        <f>"6582"</f>
        <v>6582</v>
      </c>
      <c r="C489" t="s">
        <v>357</v>
      </c>
      <c r="D489" s="1">
        <v>42923</v>
      </c>
      <c r="E489">
        <v>69.099999999999994</v>
      </c>
      <c r="F489">
        <v>0.2</v>
      </c>
      <c r="G489" s="3">
        <v>2.8999999999999998E-3</v>
      </c>
      <c r="H489" t="s">
        <v>52</v>
      </c>
    </row>
    <row r="490" spans="1:8" hidden="1" x14ac:dyDescent="0.6">
      <c r="A490">
        <v>312</v>
      </c>
      <c r="B490" t="str">
        <f>"8466"</f>
        <v>8466</v>
      </c>
      <c r="C490" t="s">
        <v>394</v>
      </c>
      <c r="D490" s="1">
        <v>42923</v>
      </c>
      <c r="E490">
        <v>124.5</v>
      </c>
      <c r="F490">
        <v>-1.5</v>
      </c>
      <c r="G490" s="3">
        <v>-1.1900000000000001E-2</v>
      </c>
      <c r="H490" t="s">
        <v>52</v>
      </c>
    </row>
    <row r="491" spans="1:8" hidden="1" x14ac:dyDescent="0.6">
      <c r="A491">
        <v>338</v>
      </c>
      <c r="B491" t="str">
        <f>"8481"</f>
        <v>8481</v>
      </c>
      <c r="C491" t="s">
        <v>420</v>
      </c>
      <c r="D491" s="1">
        <v>42923</v>
      </c>
      <c r="E491">
        <v>40.299999999999997</v>
      </c>
      <c r="F491">
        <v>-0.2</v>
      </c>
      <c r="G491" s="3">
        <v>-4.8999999999999998E-3</v>
      </c>
      <c r="H491" t="s">
        <v>52</v>
      </c>
    </row>
    <row r="492" spans="1:8" hidden="1" x14ac:dyDescent="0.6">
      <c r="A492">
        <v>341</v>
      </c>
      <c r="B492" t="str">
        <f>"4804"</f>
        <v>4804</v>
      </c>
      <c r="C492" t="s">
        <v>423</v>
      </c>
      <c r="D492" s="1">
        <v>42923</v>
      </c>
      <c r="E492">
        <v>55.2</v>
      </c>
      <c r="F492">
        <v>-0.2</v>
      </c>
      <c r="G492" s="3">
        <v>-3.5999999999999999E-3</v>
      </c>
      <c r="H492" t="s">
        <v>52</v>
      </c>
    </row>
    <row r="493" spans="1:8" hidden="1" x14ac:dyDescent="0.6">
      <c r="A493">
        <v>349</v>
      </c>
      <c r="B493" t="str">
        <f>"6451"</f>
        <v>6451</v>
      </c>
      <c r="C493" t="s">
        <v>431</v>
      </c>
      <c r="D493" s="1">
        <v>42923</v>
      </c>
      <c r="E493">
        <v>99.9</v>
      </c>
      <c r="F493">
        <v>-3.1</v>
      </c>
      <c r="G493" s="3">
        <v>-3.0099999999999998E-2</v>
      </c>
      <c r="H493" t="s">
        <v>52</v>
      </c>
    </row>
    <row r="494" spans="1:8" hidden="1" x14ac:dyDescent="0.6">
      <c r="A494">
        <v>357</v>
      </c>
      <c r="B494" t="str">
        <f>"6496"</f>
        <v>6496</v>
      </c>
      <c r="C494" t="s">
        <v>440</v>
      </c>
      <c r="D494" s="1">
        <v>42923</v>
      </c>
      <c r="E494">
        <v>74.400000000000006</v>
      </c>
      <c r="F494">
        <v>-0.8</v>
      </c>
      <c r="G494" s="3">
        <v>-1.06E-2</v>
      </c>
      <c r="H494" t="s">
        <v>52</v>
      </c>
    </row>
    <row r="495" spans="1:8" hidden="1" x14ac:dyDescent="0.6">
      <c r="A495">
        <v>389</v>
      </c>
      <c r="B495" t="str">
        <f>"8473"</f>
        <v>8473</v>
      </c>
      <c r="C495" t="s">
        <v>473</v>
      </c>
      <c r="D495" s="1">
        <v>42923</v>
      </c>
      <c r="E495">
        <v>61.8</v>
      </c>
      <c r="F495">
        <v>0.1</v>
      </c>
      <c r="G495" s="3">
        <v>1.6000000000000001E-3</v>
      </c>
      <c r="H495" t="s">
        <v>52</v>
      </c>
    </row>
    <row r="496" spans="1:8" hidden="1" x14ac:dyDescent="0.6">
      <c r="A496">
        <v>397</v>
      </c>
      <c r="B496" t="str">
        <f>"6432"</f>
        <v>6432</v>
      </c>
      <c r="C496" t="s">
        <v>483</v>
      </c>
      <c r="D496" s="1">
        <v>42923</v>
      </c>
      <c r="E496">
        <v>19.5</v>
      </c>
      <c r="F496">
        <v>0.05</v>
      </c>
      <c r="G496" s="3">
        <v>2.5999999999999999E-3</v>
      </c>
      <c r="H496" t="s">
        <v>52</v>
      </c>
    </row>
    <row r="497" spans="1:8" hidden="1" x14ac:dyDescent="0.6">
      <c r="A497">
        <v>405</v>
      </c>
      <c r="B497" t="str">
        <f>"6449"</f>
        <v>6449</v>
      </c>
      <c r="C497" t="s">
        <v>491</v>
      </c>
      <c r="D497" s="1">
        <v>42923</v>
      </c>
      <c r="E497">
        <v>35.299999999999997</v>
      </c>
      <c r="F497">
        <v>-0.25</v>
      </c>
      <c r="G497" s="3">
        <v>-7.0000000000000001E-3</v>
      </c>
      <c r="H497" t="s">
        <v>52</v>
      </c>
    </row>
    <row r="498" spans="1:8" hidden="1" x14ac:dyDescent="0.6">
      <c r="A498">
        <v>406</v>
      </c>
      <c r="B498" t="str">
        <f>"8488"</f>
        <v>8488</v>
      </c>
      <c r="C498" t="s">
        <v>492</v>
      </c>
      <c r="D498" s="1">
        <v>42923</v>
      </c>
      <c r="E498">
        <v>39.25</v>
      </c>
      <c r="F498">
        <v>0.05</v>
      </c>
      <c r="G498" s="3">
        <v>1.2999999999999999E-3</v>
      </c>
      <c r="H498" t="s">
        <v>52</v>
      </c>
    </row>
    <row r="499" spans="1:8" hidden="1" x14ac:dyDescent="0.6">
      <c r="A499">
        <v>438</v>
      </c>
      <c r="B499" t="str">
        <f>"1592"</f>
        <v>1592</v>
      </c>
      <c r="C499" t="s">
        <v>528</v>
      </c>
      <c r="D499" s="1">
        <v>42923</v>
      </c>
      <c r="E499">
        <v>44.5</v>
      </c>
      <c r="F499">
        <v>0</v>
      </c>
      <c r="G499" s="2">
        <v>0</v>
      </c>
      <c r="H499" t="s">
        <v>52</v>
      </c>
    </row>
    <row r="500" spans="1:8" hidden="1" x14ac:dyDescent="0.6">
      <c r="A500">
        <v>460</v>
      </c>
      <c r="B500" t="str">
        <f>"4190"</f>
        <v>4190</v>
      </c>
      <c r="C500" t="s">
        <v>551</v>
      </c>
      <c r="D500" s="1">
        <v>42923</v>
      </c>
      <c r="E500">
        <v>72.099999999999994</v>
      </c>
      <c r="F500">
        <v>-0.9</v>
      </c>
      <c r="G500" s="3">
        <v>-1.23E-2</v>
      </c>
      <c r="H500" t="s">
        <v>52</v>
      </c>
    </row>
    <row r="501" spans="1:8" hidden="1" x14ac:dyDescent="0.6">
      <c r="A501">
        <v>500</v>
      </c>
      <c r="B501" t="str">
        <f>"8467"</f>
        <v>8467</v>
      </c>
      <c r="C501" t="s">
        <v>594</v>
      </c>
      <c r="D501" s="1">
        <v>42923</v>
      </c>
      <c r="E501">
        <v>33.1</v>
      </c>
      <c r="F501">
        <v>-0.05</v>
      </c>
      <c r="G501" s="3">
        <v>-1.5E-3</v>
      </c>
      <c r="H501" t="s">
        <v>52</v>
      </c>
    </row>
  </sheetData>
  <autoFilter ref="A1:U501">
    <filterColumn colId="12">
      <customFilters>
        <customFilter operator="greaterThanOrEqual" val="0.05"/>
      </customFilters>
    </filterColumn>
  </autoFilter>
  <sortState ref="A2:U501">
    <sortCondition descending="1" ref="M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0" sqref="F10"/>
    </sheetView>
  </sheetViews>
  <sheetFormatPr defaultRowHeight="16.5" x14ac:dyDescent="0.6"/>
  <sheetData>
    <row r="1" spans="1:5" x14ac:dyDescent="0.6">
      <c r="A1" t="str">
        <f>"8913"</f>
        <v>8913</v>
      </c>
      <c r="B1" t="str">
        <f>"2536"</f>
        <v>2536</v>
      </c>
      <c r="C1" t="str">
        <f>"5508"</f>
        <v>5508</v>
      </c>
      <c r="D1" t="str">
        <f>"5508"</f>
        <v>5508</v>
      </c>
      <c r="E1" t="str">
        <f>"5508"</f>
        <v>5508</v>
      </c>
    </row>
    <row r="2" spans="1:5" x14ac:dyDescent="0.6">
      <c r="A2" t="str">
        <f>"3056"</f>
        <v>3056</v>
      </c>
      <c r="B2" t="str">
        <f>"6177"</f>
        <v>6177</v>
      </c>
      <c r="C2" t="str">
        <f>"2597"</f>
        <v>2597</v>
      </c>
      <c r="D2" t="str">
        <f>"2597"</f>
        <v>2597</v>
      </c>
      <c r="E2" t="str">
        <f>"2545"</f>
        <v>2545</v>
      </c>
    </row>
    <row r="3" spans="1:5" x14ac:dyDescent="0.6">
      <c r="A3" t="str">
        <f>"2596"</f>
        <v>2596</v>
      </c>
      <c r="B3" t="str">
        <f>"3030"</f>
        <v>3030</v>
      </c>
      <c r="C3" t="str">
        <f>"6023"</f>
        <v>6023</v>
      </c>
      <c r="D3" t="str">
        <f>"4973"</f>
        <v>4973</v>
      </c>
      <c r="E3" t="str">
        <f>"3058"</f>
        <v>3058</v>
      </c>
    </row>
    <row r="4" spans="1:5" x14ac:dyDescent="0.6">
      <c r="A4" t="str">
        <f>"3040"</f>
        <v>3040</v>
      </c>
      <c r="B4" t="str">
        <f>"3623"</f>
        <v>3623</v>
      </c>
      <c r="C4" t="str">
        <f>"4545"</f>
        <v>4545</v>
      </c>
      <c r="D4" t="str">
        <f>"2538"</f>
        <v>2538</v>
      </c>
      <c r="E4" t="str">
        <f>"3211"</f>
        <v>3211</v>
      </c>
    </row>
    <row r="5" spans="1:5" x14ac:dyDescent="0.6">
      <c r="A5" t="str">
        <f>"5315"</f>
        <v>5315</v>
      </c>
      <c r="B5" t="str">
        <f>"5604"</f>
        <v>5604</v>
      </c>
      <c r="C5" t="str">
        <f>"6177"</f>
        <v>6177</v>
      </c>
      <c r="D5" t="str">
        <f>"6186"</f>
        <v>6186</v>
      </c>
      <c r="E5" t="str">
        <f>"4973"</f>
        <v>4973</v>
      </c>
    </row>
    <row r="6" spans="1:5" x14ac:dyDescent="0.6">
      <c r="A6" t="str">
        <f>"1463"</f>
        <v>1463</v>
      </c>
      <c r="B6" t="str">
        <f>"8928"</f>
        <v>8928</v>
      </c>
      <c r="C6" t="str">
        <f>"3607"</f>
        <v>3607</v>
      </c>
      <c r="D6" t="str">
        <f>"3211"</f>
        <v>3211</v>
      </c>
      <c r="E6" t="str">
        <f>"5534"</f>
        <v>5534</v>
      </c>
    </row>
    <row r="7" spans="1:5" x14ac:dyDescent="0.6">
      <c r="A7" t="str">
        <f>"1416"</f>
        <v>1416</v>
      </c>
      <c r="B7" t="str">
        <f>"1808"</f>
        <v>1808</v>
      </c>
      <c r="C7" t="str">
        <f>"3211"</f>
        <v>3211</v>
      </c>
      <c r="D7" t="str">
        <f>"3556"</f>
        <v>3556</v>
      </c>
      <c r="E7" t="str">
        <f>"3060"</f>
        <v>3060</v>
      </c>
    </row>
    <row r="8" spans="1:5" x14ac:dyDescent="0.6">
      <c r="A8" t="str">
        <f>"1310"</f>
        <v>1310</v>
      </c>
      <c r="B8" t="str">
        <f>"6512"</f>
        <v>6512</v>
      </c>
      <c r="C8" t="str">
        <f>"5356"</f>
        <v>5356</v>
      </c>
      <c r="D8" t="str">
        <f>"2535"</f>
        <v>2535</v>
      </c>
      <c r="E8" t="str">
        <f>"2538"</f>
        <v>2538</v>
      </c>
    </row>
    <row r="9" spans="1:5" x14ac:dyDescent="0.6">
      <c r="A9" t="str">
        <f>"2545"</f>
        <v>2545</v>
      </c>
      <c r="B9" t="str">
        <f>"5489"</f>
        <v>5489</v>
      </c>
      <c r="C9" t="str">
        <f>"5015"</f>
        <v>5015</v>
      </c>
      <c r="D9" t="str">
        <f>"2904"</f>
        <v>2904</v>
      </c>
      <c r="E9" t="str">
        <f>"2489"</f>
        <v>2489</v>
      </c>
    </row>
    <row r="10" spans="1:5" x14ac:dyDescent="0.6">
      <c r="A10" t="str">
        <f>"1808"</f>
        <v>1808</v>
      </c>
      <c r="B10" t="str">
        <f>"6210"</f>
        <v>6210</v>
      </c>
      <c r="C10" t="str">
        <f>"8463"</f>
        <v>8463</v>
      </c>
      <c r="D10" t="str">
        <f>"6143"</f>
        <v>6143</v>
      </c>
      <c r="E10" t="str">
        <f>"6176"</f>
        <v>6176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2017</vt:lpstr>
      <vt:lpstr>2016</vt:lpstr>
      <vt:lpstr>2015</vt:lpstr>
      <vt:lpstr>2014</vt:lpstr>
      <vt:lpstr>2013</vt:lpstr>
      <vt:lpstr>工作表5</vt:lpstr>
      <vt:lpstr>'2013'!StockList_2013</vt:lpstr>
      <vt:lpstr>'2014'!StockList_2014</vt:lpstr>
      <vt:lpstr>'2015'!StockList_2015</vt:lpstr>
      <vt:lpstr>'2016'!StockList_2016</vt:lpstr>
      <vt:lpstr>'2017'!StockList_2017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2017-07-10T01:28:52Z</dcterms:modified>
</cp:coreProperties>
</file>