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len\GitClone\Finance\"/>
    </mc:Choice>
  </mc:AlternateContent>
  <xr:revisionPtr revIDLastSave="0" documentId="13_ncr:1_{31FEF959-3AA5-4461-A3D7-90E8568C0A08}" xr6:coauthVersionLast="47" xr6:coauthVersionMax="47" xr10:uidLastSave="{00000000-0000-0000-0000-000000000000}"/>
  <bookViews>
    <workbookView xWindow="-110" yWindow="-110" windowWidth="19420" windowHeight="11500" xr2:uid="{21C4172C-2201-453A-8B20-60CDF02FFF2B}"/>
  </bookViews>
  <sheets>
    <sheet name="NF_output" sheetId="4" r:id="rId1"/>
    <sheet name="NF" sheetId="5" r:id="rId2"/>
    <sheet name="WSK_output" sheetId="7" r:id="rId3"/>
    <sheet name="WSK" sheetId="6" r:id="rId4"/>
    <sheet name="NM_output" sheetId="9" r:id="rId5"/>
    <sheet name="NM" sheetId="8" r:id="rId6"/>
    <sheet name="FX" sheetId="10" r:id="rId7"/>
  </sheets>
  <definedNames>
    <definedName name="mn">NF_output!$A$1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4" l="1"/>
  <c r="P12" i="4"/>
  <c r="O12" i="4"/>
  <c r="N12" i="4"/>
  <c r="N11" i="4"/>
  <c r="Q11" i="4" s="1"/>
  <c r="N10" i="4"/>
  <c r="Q10" i="4" s="1"/>
  <c r="N9" i="4"/>
  <c r="Q9" i="4" s="1"/>
  <c r="Q8" i="4"/>
  <c r="N8" i="4"/>
  <c r="P8" i="4" s="1"/>
  <c r="N7" i="4"/>
  <c r="Q7" i="4" s="1"/>
  <c r="N6" i="4"/>
  <c r="Q6" i="4" s="1"/>
  <c r="Q5" i="4"/>
  <c r="P5" i="4"/>
  <c r="O5" i="4"/>
  <c r="N5" i="4"/>
  <c r="Q4" i="4"/>
  <c r="P4" i="4"/>
  <c r="O4" i="4"/>
  <c r="N4" i="4"/>
  <c r="Q2" i="4"/>
  <c r="P2" i="4"/>
  <c r="O2" i="4"/>
  <c r="B12" i="4"/>
  <c r="B11" i="4"/>
  <c r="B10" i="4"/>
  <c r="B9" i="4"/>
  <c r="B8" i="4"/>
  <c r="B7" i="4"/>
  <c r="B6" i="4"/>
  <c r="B5" i="4"/>
  <c r="B4" i="4"/>
  <c r="N9" i="9"/>
  <c r="O9" i="9" s="1"/>
  <c r="L9" i="9"/>
  <c r="K9" i="9"/>
  <c r="J9" i="9"/>
  <c r="I9" i="9"/>
  <c r="H9" i="9"/>
  <c r="G9" i="9"/>
  <c r="F9" i="9"/>
  <c r="E9" i="9"/>
  <c r="D9" i="9"/>
  <c r="C9" i="9"/>
  <c r="B9" i="9"/>
  <c r="A9" i="9"/>
  <c r="N6" i="9"/>
  <c r="N5" i="9"/>
  <c r="N4" i="9"/>
  <c r="N8" i="9"/>
  <c r="N7" i="9"/>
  <c r="B8" i="9"/>
  <c r="B7" i="9"/>
  <c r="B6" i="9"/>
  <c r="B5" i="9"/>
  <c r="B4" i="9"/>
  <c r="A8" i="9"/>
  <c r="A7" i="9"/>
  <c r="A6" i="9"/>
  <c r="A5" i="9"/>
  <c r="A4" i="9"/>
  <c r="L8" i="9"/>
  <c r="K8" i="9"/>
  <c r="J8" i="9"/>
  <c r="I8" i="9"/>
  <c r="H8" i="9"/>
  <c r="G8" i="9"/>
  <c r="F8" i="9"/>
  <c r="E8" i="9"/>
  <c r="D8" i="9"/>
  <c r="C8" i="9"/>
  <c r="L7" i="9"/>
  <c r="K7" i="9"/>
  <c r="J7" i="9"/>
  <c r="I7" i="9"/>
  <c r="H7" i="9"/>
  <c r="G7" i="9"/>
  <c r="F7" i="9"/>
  <c r="E7" i="9"/>
  <c r="D7" i="9"/>
  <c r="C7" i="9"/>
  <c r="L6" i="9"/>
  <c r="K6" i="9"/>
  <c r="J6" i="9"/>
  <c r="I6" i="9"/>
  <c r="H6" i="9"/>
  <c r="Q6" i="9" s="1"/>
  <c r="G6" i="9"/>
  <c r="F6" i="9"/>
  <c r="E6" i="9"/>
  <c r="D6" i="9"/>
  <c r="P6" i="9" s="1"/>
  <c r="C6" i="9"/>
  <c r="L5" i="9"/>
  <c r="K5" i="9"/>
  <c r="J5" i="9"/>
  <c r="I5" i="9"/>
  <c r="H5" i="9"/>
  <c r="G5" i="9"/>
  <c r="F5" i="9"/>
  <c r="E5" i="9"/>
  <c r="D5" i="9"/>
  <c r="C5" i="9"/>
  <c r="L4" i="9"/>
  <c r="K4" i="9"/>
  <c r="J4" i="9"/>
  <c r="I4" i="9"/>
  <c r="H4" i="9"/>
  <c r="G4" i="9"/>
  <c r="F4" i="9"/>
  <c r="E4" i="9"/>
  <c r="D4" i="9"/>
  <c r="C4" i="9"/>
  <c r="Q2" i="9"/>
  <c r="P2" i="9"/>
  <c r="O2" i="9"/>
  <c r="B7" i="8"/>
  <c r="B6" i="8"/>
  <c r="B5" i="8"/>
  <c r="B4" i="8"/>
  <c r="B3" i="8"/>
  <c r="B2" i="8"/>
  <c r="K14" i="7"/>
  <c r="K13" i="7"/>
  <c r="P7" i="7"/>
  <c r="P5" i="7"/>
  <c r="P4" i="7"/>
  <c r="P2" i="7"/>
  <c r="O2" i="7"/>
  <c r="N2" i="7"/>
  <c r="K8" i="7"/>
  <c r="K7" i="7"/>
  <c r="K6" i="7"/>
  <c r="K5" i="7"/>
  <c r="K4" i="7"/>
  <c r="O6" i="7"/>
  <c r="N6" i="7"/>
  <c r="N5" i="7"/>
  <c r="N4" i="7"/>
  <c r="A8" i="7"/>
  <c r="A7" i="7"/>
  <c r="A6" i="7"/>
  <c r="A5" i="7"/>
  <c r="A4" i="7"/>
  <c r="J8" i="7"/>
  <c r="I8" i="7"/>
  <c r="H8" i="7"/>
  <c r="G8" i="7"/>
  <c r="P8" i="7" s="1"/>
  <c r="F8" i="7"/>
  <c r="E8" i="7"/>
  <c r="D8" i="7"/>
  <c r="C8" i="7"/>
  <c r="O8" i="7" s="1"/>
  <c r="B8" i="7"/>
  <c r="N8" i="7" s="1"/>
  <c r="J7" i="7"/>
  <c r="I7" i="7"/>
  <c r="H7" i="7"/>
  <c r="G7" i="7"/>
  <c r="F7" i="7"/>
  <c r="E7" i="7"/>
  <c r="D7" i="7"/>
  <c r="C7" i="7"/>
  <c r="O7" i="7" s="1"/>
  <c r="B7" i="7"/>
  <c r="N7" i="7" s="1"/>
  <c r="J6" i="7"/>
  <c r="I6" i="7"/>
  <c r="H6" i="7"/>
  <c r="G6" i="7"/>
  <c r="P6" i="7" s="1"/>
  <c r="F6" i="7"/>
  <c r="E6" i="7"/>
  <c r="D6" i="7"/>
  <c r="C6" i="7"/>
  <c r="B6" i="7"/>
  <c r="J5" i="7"/>
  <c r="I5" i="7"/>
  <c r="H5" i="7"/>
  <c r="G5" i="7"/>
  <c r="F5" i="7"/>
  <c r="E5" i="7"/>
  <c r="D5" i="7"/>
  <c r="C5" i="7"/>
  <c r="O5" i="7" s="1"/>
  <c r="B5" i="7"/>
  <c r="J4" i="7"/>
  <c r="J14" i="7" s="1"/>
  <c r="I4" i="7"/>
  <c r="I14" i="7" s="1"/>
  <c r="H4" i="7"/>
  <c r="H14" i="7" s="1"/>
  <c r="G4" i="7"/>
  <c r="F4" i="7"/>
  <c r="E4" i="7"/>
  <c r="D4" i="7"/>
  <c r="C4" i="7"/>
  <c r="O4" i="7" s="1"/>
  <c r="B4" i="7"/>
  <c r="A12" i="4"/>
  <c r="A11" i="4"/>
  <c r="A10" i="4"/>
  <c r="A9" i="4"/>
  <c r="A8" i="4"/>
  <c r="A7" i="4"/>
  <c r="A6" i="4"/>
  <c r="A5" i="4"/>
  <c r="A4" i="4"/>
  <c r="K12" i="4"/>
  <c r="K11" i="4"/>
  <c r="K10" i="4"/>
  <c r="K9" i="4"/>
  <c r="K8" i="4"/>
  <c r="K7" i="4"/>
  <c r="K6" i="4"/>
  <c r="K5" i="4"/>
  <c r="K4" i="4"/>
  <c r="J12" i="4"/>
  <c r="J11" i="4"/>
  <c r="J10" i="4"/>
  <c r="J9" i="4"/>
  <c r="J8" i="4"/>
  <c r="J7" i="4"/>
  <c r="J6" i="4"/>
  <c r="J5" i="4"/>
  <c r="J4" i="4"/>
  <c r="I12" i="4"/>
  <c r="I11" i="4"/>
  <c r="I10" i="4"/>
  <c r="I9" i="4"/>
  <c r="I8" i="4"/>
  <c r="I7" i="4"/>
  <c r="I6" i="4"/>
  <c r="I5" i="4"/>
  <c r="I4" i="4"/>
  <c r="H12" i="4"/>
  <c r="H11" i="4"/>
  <c r="H10" i="4"/>
  <c r="H9" i="4"/>
  <c r="H8" i="4"/>
  <c r="H7" i="4"/>
  <c r="H6" i="4"/>
  <c r="H5" i="4"/>
  <c r="H4" i="4"/>
  <c r="D12" i="4"/>
  <c r="D11" i="4"/>
  <c r="D10" i="4"/>
  <c r="D9" i="4"/>
  <c r="D8" i="4"/>
  <c r="D7" i="4"/>
  <c r="D6" i="4"/>
  <c r="D5" i="4"/>
  <c r="D4" i="4"/>
  <c r="C12" i="4"/>
  <c r="C11" i="4"/>
  <c r="C10" i="4"/>
  <c r="C9" i="4"/>
  <c r="C8" i="4"/>
  <c r="C7" i="4"/>
  <c r="C6" i="4"/>
  <c r="C5" i="4"/>
  <c r="C4" i="4"/>
  <c r="G12" i="4"/>
  <c r="G11" i="4"/>
  <c r="G10" i="4"/>
  <c r="G9" i="4"/>
  <c r="G8" i="4"/>
  <c r="G7" i="4"/>
  <c r="G6" i="4"/>
  <c r="G5" i="4"/>
  <c r="G4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O9" i="4" l="1"/>
  <c r="P9" i="4"/>
  <c r="O6" i="4"/>
  <c r="P6" i="4"/>
  <c r="O10" i="4"/>
  <c r="P10" i="4"/>
  <c r="O7" i="4"/>
  <c r="P7" i="4"/>
  <c r="O11" i="4"/>
  <c r="P11" i="4"/>
  <c r="O8" i="4"/>
  <c r="J14" i="9"/>
  <c r="Q5" i="9"/>
  <c r="Q9" i="9"/>
  <c r="P9" i="9"/>
  <c r="H14" i="9"/>
  <c r="O6" i="9"/>
  <c r="P8" i="9"/>
  <c r="P5" i="9"/>
  <c r="O8" i="9"/>
  <c r="Q8" i="9"/>
  <c r="O7" i="9"/>
  <c r="P7" i="9"/>
  <c r="Q7" i="9"/>
  <c r="O5" i="9"/>
  <c r="P4" i="9"/>
  <c r="O4" i="9"/>
  <c r="Q4" i="9"/>
  <c r="E14" i="9"/>
  <c r="F14" i="9"/>
  <c r="I14" i="9"/>
  <c r="K14" i="9"/>
  <c r="E13" i="9"/>
  <c r="F13" i="9"/>
  <c r="H13" i="9"/>
  <c r="I13" i="9"/>
  <c r="J13" i="9"/>
  <c r="K13" i="9"/>
  <c r="H13" i="7"/>
  <c r="E14" i="7"/>
  <c r="F14" i="7"/>
  <c r="E13" i="7"/>
  <c r="F13" i="7"/>
  <c r="I13" i="7"/>
  <c r="J13" i="7"/>
  <c r="F14" i="4"/>
  <c r="F13" i="4"/>
  <c r="G14" i="4"/>
  <c r="G13" i="4"/>
  <c r="I14" i="4"/>
  <c r="I13" i="4"/>
  <c r="J14" i="4"/>
  <c r="J13" i="4"/>
  <c r="K14" i="4"/>
  <c r="K13" i="4"/>
</calcChain>
</file>

<file path=xl/sharedStrings.xml><?xml version="1.0" encoding="utf-8"?>
<sst xmlns="http://schemas.openxmlformats.org/spreadsheetml/2006/main" count="192" uniqueCount="88">
  <si>
    <t>Company</t>
  </si>
  <si>
    <t>Ticker</t>
  </si>
  <si>
    <t>Market Cap</t>
  </si>
  <si>
    <t>Enterprise Value</t>
  </si>
  <si>
    <t>Revenue</t>
  </si>
  <si>
    <t>Jinxin Fertility</t>
  </si>
  <si>
    <t>Topchoice Medical</t>
  </si>
  <si>
    <t>600763.SS</t>
  </si>
  <si>
    <t>000516.SZ</t>
  </si>
  <si>
    <t>Market 
Cap</t>
  </si>
  <si>
    <t>Enterprise 
Value</t>
  </si>
  <si>
    <t>Price % 
Yr. High</t>
  </si>
  <si>
    <t>EBITDA 
%</t>
  </si>
  <si>
    <t>Net profit 
%</t>
  </si>
  <si>
    <t>EV/EBITDA</t>
  </si>
  <si>
    <t>EV/Sales</t>
  </si>
  <si>
    <t>P/E</t>
  </si>
  <si>
    <t>CNY M as of 31/12/2024</t>
  </si>
  <si>
    <t>CNY M LTM</t>
  </si>
  <si>
    <t>Mean</t>
  </si>
  <si>
    <t>Median</t>
  </si>
  <si>
    <t>COPY AND PASTE - HARDCODED</t>
  </si>
  <si>
    <t>Last Price</t>
  </si>
  <si>
    <t>52 Week High</t>
  </si>
  <si>
    <t>Current Price %</t>
  </si>
  <si>
    <t>EBITDA</t>
  </si>
  <si>
    <t>Net Profit</t>
  </si>
  <si>
    <t>Aier Eye Hostpial</t>
  </si>
  <si>
    <t>300015.SZ</t>
  </si>
  <si>
    <t>Huaxia Eye Hospital</t>
  </si>
  <si>
    <t>301267.SZ</t>
  </si>
  <si>
    <t>Hygeia Health</t>
  </si>
  <si>
    <t>6078.HK</t>
  </si>
  <si>
    <t>1951.HK</t>
  </si>
  <si>
    <t>Xi'an International Medical</t>
  </si>
  <si>
    <t>Sanbo Hospital</t>
  </si>
  <si>
    <t>301293.SZ</t>
  </si>
  <si>
    <t>INKON Life Technology</t>
  </si>
  <si>
    <t>300143.SZ</t>
  </si>
  <si>
    <t>Gushengtang Holdings</t>
  </si>
  <si>
    <t>2273.HK</t>
  </si>
  <si>
    <t>Company name (CN)</t>
  </si>
  <si>
    <t>Company name (EN)</t>
  </si>
  <si>
    <t>爱尔眼科医院</t>
  </si>
  <si>
    <t>通策医疗</t>
  </si>
  <si>
    <t>华夏眼科医院</t>
  </si>
  <si>
    <t>海吉亚医疗</t>
  </si>
  <si>
    <t>锦欣生殖医疗</t>
  </si>
  <si>
    <t>西安国际医学</t>
  </si>
  <si>
    <t>三博脑科医院</t>
  </si>
  <si>
    <t>盈康生命科技</t>
  </si>
  <si>
    <t>固生堂控股</t>
  </si>
  <si>
    <t>智飞生物</t>
  </si>
  <si>
    <t>康希诺生物</t>
  </si>
  <si>
    <t>康泰生物</t>
  </si>
  <si>
    <t>沃森生物</t>
  </si>
  <si>
    <t>诺瓦瓦克斯医药</t>
  </si>
  <si>
    <t>300122.SZ</t>
  </si>
  <si>
    <t>6185.HK</t>
  </si>
  <si>
    <t>300601.SZ</t>
  </si>
  <si>
    <t>300142.SZ</t>
  </si>
  <si>
    <t>Zhifei Biological</t>
  </si>
  <si>
    <t>CanSino Biologics</t>
  </si>
  <si>
    <t>Kangtai Biological</t>
  </si>
  <si>
    <t>Walvax Biotech</t>
  </si>
  <si>
    <t>NVAX</t>
  </si>
  <si>
    <t>Novavax</t>
  </si>
  <si>
    <t>P/S</t>
  </si>
  <si>
    <t>FX rate</t>
  </si>
  <si>
    <t>LCC M LTM</t>
  </si>
  <si>
    <t>LCC M as of 31/12/2024</t>
  </si>
  <si>
    <t>HKD</t>
  </si>
  <si>
    <t>2500.HK</t>
  </si>
  <si>
    <t>2160.HK</t>
  </si>
  <si>
    <t>9996.HK</t>
  </si>
  <si>
    <t>300003.SZ</t>
  </si>
  <si>
    <t>9877.HK</t>
  </si>
  <si>
    <t>启明医疗</t>
  </si>
  <si>
    <t>心通医疗</t>
  </si>
  <si>
    <t>乐普医疗</t>
  </si>
  <si>
    <t>佰仁医疗</t>
  </si>
  <si>
    <t>健世科技</t>
  </si>
  <si>
    <t>688198.SS</t>
  </si>
  <si>
    <t>N/A</t>
  </si>
  <si>
    <t>CNY</t>
  </si>
  <si>
    <t>USD</t>
  </si>
  <si>
    <t>沛嘉医疗</t>
  </si>
  <si>
    <t>(in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</si>
</sst>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\x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TKaiti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5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165" fontId="0" fillId="0" borderId="1" xfId="0" applyNumberFormat="1" applyBorder="1"/>
    <xf numFmtId="0" fontId="3" fillId="0" borderId="1" xfId="0" applyFont="1" applyBorder="1"/>
    <xf numFmtId="164" fontId="0" fillId="0" borderId="1" xfId="1" applyNumberFormat="1" applyFont="1" applyBorder="1"/>
    <xf numFmtId="9" fontId="0" fillId="0" borderId="1" xfId="2" applyFont="1" applyBorder="1"/>
    <xf numFmtId="165" fontId="0" fillId="0" borderId="1" xfId="0" applyNumberFormat="1" applyBorder="1" applyAlignment="1">
      <alignment horizontal="right"/>
    </xf>
    <xf numFmtId="0" fontId="0" fillId="2" borderId="1" xfId="0" applyFill="1" applyBorder="1"/>
    <xf numFmtId="9" fontId="0" fillId="2" borderId="1" xfId="0" applyNumberFormat="1" applyFill="1" applyBorder="1"/>
    <xf numFmtId="165" fontId="0" fillId="2" borderId="1" xfId="0" applyNumberFormat="1" applyFill="1" applyBorder="1"/>
    <xf numFmtId="0" fontId="0" fillId="2" borderId="0" xfId="0" applyFill="1"/>
    <xf numFmtId="9" fontId="0" fillId="2" borderId="0" xfId="0" applyNumberFormat="1" applyFill="1"/>
    <xf numFmtId="165" fontId="0" fillId="2" borderId="0" xfId="0" applyNumberFormat="1" applyFill="1"/>
    <xf numFmtId="0" fontId="3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right"/>
    </xf>
    <xf numFmtId="0" fontId="2" fillId="0" borderId="2" xfId="0" applyFont="1" applyBorder="1"/>
    <xf numFmtId="15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wrapText="1"/>
    </xf>
    <xf numFmtId="2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94D7-4530-413C-8AC3-CB0CF34D837F}">
  <dimension ref="A1:Q27"/>
  <sheetViews>
    <sheetView tabSelected="1" zoomScale="90" zoomScaleNormal="90" workbookViewId="0"/>
  </sheetViews>
  <sheetFormatPr defaultRowHeight="14.5" outlineLevelCol="1" x14ac:dyDescent="0.35"/>
  <cols>
    <col min="1" max="1" width="15.54296875" customWidth="1"/>
    <col min="2" max="2" width="10.453125" customWidth="1" outlineLevel="1"/>
    <col min="3" max="3" width="10.54296875" customWidth="1" outlineLevel="1"/>
    <col min="4" max="4" width="9.81640625" customWidth="1"/>
    <col min="7" max="7" width="12" bestFit="1" customWidth="1"/>
    <col min="8" max="8" width="9.81640625" customWidth="1"/>
    <col min="16" max="16" width="10.36328125" customWidth="1"/>
  </cols>
  <sheetData>
    <row r="1" spans="1:17" x14ac:dyDescent="0.35">
      <c r="A1">
        <v>1000000</v>
      </c>
    </row>
    <row r="2" spans="1:17" ht="29" x14ac:dyDescent="0.35">
      <c r="A2" s="7" t="s">
        <v>0</v>
      </c>
      <c r="B2" s="8" t="s">
        <v>1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7" t="s">
        <v>4</v>
      </c>
      <c r="I2" s="7" t="s">
        <v>14</v>
      </c>
      <c r="J2" s="7" t="s">
        <v>15</v>
      </c>
      <c r="K2" s="7" t="s">
        <v>16</v>
      </c>
      <c r="N2" s="7" t="s">
        <v>68</v>
      </c>
      <c r="O2" s="30" t="str">
        <f>C2</f>
        <v>Market 
Cap</v>
      </c>
      <c r="P2" s="30" t="str">
        <f>D2</f>
        <v>Enterprise 
Value</v>
      </c>
      <c r="Q2" s="7" t="str">
        <f>H2</f>
        <v>Revenue</v>
      </c>
    </row>
    <row r="3" spans="1:17" x14ac:dyDescent="0.35">
      <c r="A3" s="1"/>
      <c r="B3" s="6"/>
      <c r="C3" s="6" t="s">
        <v>17</v>
      </c>
      <c r="D3" s="1"/>
      <c r="E3" s="1"/>
      <c r="F3" s="1"/>
      <c r="G3" s="1"/>
      <c r="H3" t="s">
        <v>18</v>
      </c>
      <c r="I3" s="1"/>
      <c r="J3" s="1"/>
      <c r="K3" s="1"/>
      <c r="N3" t="s">
        <v>71</v>
      </c>
    </row>
    <row r="4" spans="1:17" ht="15.5" x14ac:dyDescent="0.4">
      <c r="A4" s="11" t="str">
        <f>NF!A2</f>
        <v>爱尔眼科医院</v>
      </c>
      <c r="B4" s="12" t="str">
        <f>B19</f>
        <v>300015.SZ</v>
      </c>
      <c r="C4" s="12">
        <f>C19/mn</f>
        <v>114815.492096</v>
      </c>
      <c r="D4" s="12">
        <f>D19/mn</f>
        <v>115941.711872</v>
      </c>
      <c r="E4" s="13">
        <f>E19/F19</f>
        <v>0.71503402354241663</v>
      </c>
      <c r="F4" s="13">
        <f>H19/J19</f>
        <v>0.26983857220775992</v>
      </c>
      <c r="G4" s="13">
        <f>I19/J19</f>
        <v>0.17600018283688962</v>
      </c>
      <c r="H4" s="12">
        <f>J19/mn</f>
        <v>20621.484032</v>
      </c>
      <c r="I4" s="10">
        <f>D19/H19</f>
        <v>20.836067801675526</v>
      </c>
      <c r="J4" s="10">
        <f>D19/J19</f>
        <v>5.6223747860282032</v>
      </c>
      <c r="K4" s="14">
        <f>IF(C19/I19&lt;=0,"n/m",C19/I19)</f>
        <v>31.634972140293435</v>
      </c>
      <c r="N4" s="31">
        <f>IF(RIGHT(B4,2)="HK",FX!$A$2,IF(OR(RIGHT(B4,2)="SZ",RIGHT(B4,2)="SS"),FX!$B$2,FX!$C$2))</f>
        <v>1.06</v>
      </c>
      <c r="O4" s="29">
        <f>C4*$N4</f>
        <v>121704.42162176</v>
      </c>
      <c r="P4" s="29">
        <f>D4*$N4</f>
        <v>122898.21458432001</v>
      </c>
      <c r="Q4" s="29">
        <f>H4*$N4</f>
        <v>21858.773073920001</v>
      </c>
    </row>
    <row r="5" spans="1:17" ht="15.5" x14ac:dyDescent="0.4">
      <c r="A5" s="9" t="str">
        <f>NF!A3</f>
        <v>通策医疗</v>
      </c>
      <c r="B5" s="2" t="str">
        <f t="shared" ref="B5:B12" si="0">B20</f>
        <v>600763.SS</v>
      </c>
      <c r="C5" s="2">
        <f>C20/mn</f>
        <v>18991.890432</v>
      </c>
      <c r="D5" s="2">
        <f>D20/mn</f>
        <v>20426.516479999998</v>
      </c>
      <c r="E5" s="3">
        <f>E20/F20</f>
        <v>0.73887098989179034</v>
      </c>
      <c r="F5" s="3">
        <f>H20/J20</f>
        <v>0.266481639190009</v>
      </c>
      <c r="G5" s="3">
        <f>I20/J20</f>
        <v>0.16823756519847397</v>
      </c>
      <c r="H5" s="2">
        <f>J20/mn</f>
        <v>2894.7916799999998</v>
      </c>
      <c r="I5" s="4">
        <f>D20/H20</f>
        <v>26.47949522050585</v>
      </c>
      <c r="J5" s="4">
        <f>D20/J20</f>
        <v>7.0562992912844074</v>
      </c>
      <c r="K5" s="5">
        <f>IF(C20/I20&lt;=0,"n/m",C20/I20)</f>
        <v>38.996704348804833</v>
      </c>
      <c r="N5" s="31">
        <f>IF(RIGHT(B5,2)="HK",FX!$A$2,IF(OR(RIGHT(B5,2)="SZ",RIGHT(B5,2)="SS"),FX!$B$2,FX!$C$2))</f>
        <v>1.06</v>
      </c>
      <c r="O5" s="29">
        <f t="shared" ref="O5:O12" si="1">C5*$N5</f>
        <v>20131.403857920002</v>
      </c>
      <c r="P5" s="29">
        <f t="shared" ref="P5:P12" si="2">D5*$N5</f>
        <v>21652.107468800001</v>
      </c>
      <c r="Q5" s="29">
        <f t="shared" ref="Q5:Q12" si="3">H5*$N5</f>
        <v>3068.4791808</v>
      </c>
    </row>
    <row r="6" spans="1:17" ht="15.5" x14ac:dyDescent="0.4">
      <c r="A6" s="9" t="str">
        <f>NF!A4</f>
        <v>华夏眼科医院</v>
      </c>
      <c r="B6" s="2" t="str">
        <f t="shared" si="0"/>
        <v>301267.SZ</v>
      </c>
      <c r="C6" s="2">
        <f>C21/mn</f>
        <v>15103.199232000001</v>
      </c>
      <c r="D6" s="2">
        <f>D21/mn</f>
        <v>12533.8624</v>
      </c>
      <c r="E6" s="3">
        <f>E21/F21</f>
        <v>0.63305843566110154</v>
      </c>
      <c r="F6" s="3">
        <f>H21/J21</f>
        <v>0.20060210600411296</v>
      </c>
      <c r="G6" s="3">
        <f>I21/J21</f>
        <v>0.12937024505195757</v>
      </c>
      <c r="H6" s="2">
        <f>J21/mn</f>
        <v>4092.1751039999999</v>
      </c>
      <c r="I6" s="4">
        <f>D21/H21</f>
        <v>15.268459646112056</v>
      </c>
      <c r="J6" s="4">
        <f>D21/J21</f>
        <v>3.0628851604488916</v>
      </c>
      <c r="K6" s="5">
        <f>IF(C21/I21&lt;=0,"n/m",C21/I21)</f>
        <v>28.528592242422718</v>
      </c>
      <c r="N6" s="31">
        <f>IF(RIGHT(B6,2)="HK",FX!$A$2,IF(OR(RIGHT(B6,2)="SZ",RIGHT(B6,2)="SS"),FX!$B$2,FX!$C$2))</f>
        <v>1.06</v>
      </c>
      <c r="O6" s="29">
        <f t="shared" si="1"/>
        <v>16009.391185920002</v>
      </c>
      <c r="P6" s="29">
        <f t="shared" si="2"/>
        <v>13285.894144</v>
      </c>
      <c r="Q6" s="29">
        <f t="shared" si="3"/>
        <v>4337.7056102400002</v>
      </c>
    </row>
    <row r="7" spans="1:17" ht="15.5" x14ac:dyDescent="0.4">
      <c r="A7" s="9" t="str">
        <f>NF!A5</f>
        <v>海吉亚医疗</v>
      </c>
      <c r="B7" s="2" t="str">
        <f t="shared" si="0"/>
        <v>6078.HK</v>
      </c>
      <c r="C7" s="2">
        <f>C22/mn</f>
        <v>8830.1527040000001</v>
      </c>
      <c r="D7" s="2">
        <f>D22/mn</f>
        <v>10955.165696</v>
      </c>
      <c r="E7" s="3">
        <f>E22/F22</f>
        <v>0.36261203902850575</v>
      </c>
      <c r="F7" s="3">
        <f>H22/J22</f>
        <v>0.25625474033815437</v>
      </c>
      <c r="G7" s="3">
        <f>I22/J22</f>
        <v>0.15606542916941921</v>
      </c>
      <c r="H7" s="2">
        <f>J22/mn</f>
        <v>4699.0740480000004</v>
      </c>
      <c r="I7" s="4">
        <f>D22/H22</f>
        <v>9.0977658251395166</v>
      </c>
      <c r="J7" s="4">
        <f>D22/J22</f>
        <v>2.3313456191784616</v>
      </c>
      <c r="K7" s="5">
        <f>IF(C22/I22&lt;=0,"n/m",C22/I22)</f>
        <v>12.040630094066593</v>
      </c>
      <c r="N7" s="31">
        <f>IF(RIGHT(B7,2)="HK",FX!$A$2,IF(OR(RIGHT(B7,2)="SZ",RIGHT(B7,2)="SS"),FX!$B$2,FX!$C$2))</f>
        <v>1</v>
      </c>
      <c r="O7" s="29">
        <f t="shared" si="1"/>
        <v>8830.1527040000001</v>
      </c>
      <c r="P7" s="29">
        <f t="shared" si="2"/>
        <v>10955.165696</v>
      </c>
      <c r="Q7" s="29">
        <f t="shared" si="3"/>
        <v>4699.0740480000004</v>
      </c>
    </row>
    <row r="8" spans="1:17" ht="15.5" x14ac:dyDescent="0.4">
      <c r="A8" s="9" t="str">
        <f>NF!A6</f>
        <v>锦欣生殖医疗</v>
      </c>
      <c r="B8" s="2" t="str">
        <f t="shared" si="0"/>
        <v>1951.HK</v>
      </c>
      <c r="C8" s="2">
        <f>C23/mn</f>
        <v>7191.1398399999998</v>
      </c>
      <c r="D8" s="2">
        <f>D23/mn</f>
        <v>9100.9976320000005</v>
      </c>
      <c r="E8" s="3">
        <f>E23/F23</f>
        <v>0.62217193496200263</v>
      </c>
      <c r="F8" s="3">
        <f>H23/J23</f>
        <v>0.23530476723133517</v>
      </c>
      <c r="G8" s="3">
        <f>I23/J23</f>
        <v>0.10723274464353574</v>
      </c>
      <c r="H8" s="2">
        <f>J23/mn</f>
        <v>2898.7599359999999</v>
      </c>
      <c r="I8" s="4">
        <f>D23/H23</f>
        <v>13.342770777301794</v>
      </c>
      <c r="J8" s="4">
        <f>D23/J23</f>
        <v>3.1396175719740596</v>
      </c>
      <c r="K8" s="5">
        <f>IF(C23/I23&lt;=0,"n/m",C23/I23)</f>
        <v>23.134390494689416</v>
      </c>
      <c r="N8" s="31">
        <f>IF(RIGHT(B8,2)="HK",FX!$A$2,IF(OR(RIGHT(B8,2)="SZ",RIGHT(B8,2)="SS"),FX!$B$2,FX!$C$2))</f>
        <v>1</v>
      </c>
      <c r="O8" s="29">
        <f t="shared" si="1"/>
        <v>7191.1398399999998</v>
      </c>
      <c r="P8" s="29">
        <f t="shared" si="2"/>
        <v>9100.9976320000005</v>
      </c>
      <c r="Q8" s="29">
        <f t="shared" si="3"/>
        <v>2898.7599359999999</v>
      </c>
    </row>
    <row r="9" spans="1:17" ht="15.5" x14ac:dyDescent="0.4">
      <c r="A9" s="9" t="str">
        <f>NF!A7</f>
        <v>西安国际医学</v>
      </c>
      <c r="B9" s="2" t="str">
        <f t="shared" si="0"/>
        <v>000516.SZ</v>
      </c>
      <c r="C9" s="2">
        <f>C24/mn</f>
        <v>11188.880384</v>
      </c>
      <c r="D9" s="2">
        <f>D24/mn</f>
        <v>14490.863616000001</v>
      </c>
      <c r="E9" s="3">
        <f>E24/F24</f>
        <v>0.66501854301200658</v>
      </c>
      <c r="F9" s="3">
        <f>H24/J24</f>
        <v>0.1243729651133819</v>
      </c>
      <c r="G9" s="3">
        <f>I24/J24</f>
        <v>-7.3383545343581436E-2</v>
      </c>
      <c r="H9" s="2">
        <f>J24/mn</f>
        <v>4880.4684800000005</v>
      </c>
      <c r="I9" s="4">
        <f>D24/H24</f>
        <v>23.872987381632626</v>
      </c>
      <c r="J9" s="4">
        <f>D24/J24</f>
        <v>2.9691542267680009</v>
      </c>
      <c r="K9" s="5" t="str">
        <f>IF(C24/I24&lt;=0,"n/m",C24/I24)</f>
        <v>n/m</v>
      </c>
      <c r="N9" s="31">
        <f>IF(RIGHT(B9,2)="HK",FX!$A$2,IF(OR(RIGHT(B9,2)="SZ",RIGHT(B9,2)="SS"),FX!$B$2,FX!$C$2))</f>
        <v>1.06</v>
      </c>
      <c r="O9" s="29">
        <f t="shared" si="1"/>
        <v>11860.21320704</v>
      </c>
      <c r="P9" s="29">
        <f t="shared" si="2"/>
        <v>15360.315432960002</v>
      </c>
      <c r="Q9" s="29">
        <f t="shared" si="3"/>
        <v>5173.2965888000008</v>
      </c>
    </row>
    <row r="10" spans="1:17" ht="15.5" x14ac:dyDescent="0.4">
      <c r="A10" s="9" t="str">
        <f>NF!A8</f>
        <v>三博脑科医院</v>
      </c>
      <c r="B10" s="2" t="str">
        <f t="shared" si="0"/>
        <v>301293.SZ</v>
      </c>
      <c r="C10" s="2">
        <f>C25/mn</f>
        <v>8527.8622720000003</v>
      </c>
      <c r="D10" s="2">
        <f>D25/mn</f>
        <v>7559.1434239999999</v>
      </c>
      <c r="E10" s="3">
        <f>E25/F25</f>
        <v>0.79649125483998073</v>
      </c>
      <c r="F10" s="3">
        <f>H25/J25</f>
        <v>0.13134648435206095</v>
      </c>
      <c r="G10" s="3">
        <f>I25/J25</f>
        <v>7.7864579971779771E-2</v>
      </c>
      <c r="H10" s="2">
        <f>J25/mn</f>
        <v>1408.0791039999999</v>
      </c>
      <c r="I10" s="4">
        <f>D25/H25</f>
        <v>40.872111939123499</v>
      </c>
      <c r="J10" s="4">
        <f>D25/J25</f>
        <v>5.3684082112477682</v>
      </c>
      <c r="K10" s="5">
        <f>IF(C25/I25&lt;=0,"n/m",C25/I25)</f>
        <v>77.780938488147626</v>
      </c>
      <c r="N10" s="31">
        <f>IF(RIGHT(B10,2)="HK",FX!$A$2,IF(OR(RIGHT(B10,2)="SZ",RIGHT(B10,2)="SS"),FX!$B$2,FX!$C$2))</f>
        <v>1.06</v>
      </c>
      <c r="O10" s="29">
        <f t="shared" si="1"/>
        <v>9039.5340083200008</v>
      </c>
      <c r="P10" s="29">
        <f t="shared" si="2"/>
        <v>8012.6920294400006</v>
      </c>
      <c r="Q10" s="29">
        <f t="shared" si="3"/>
        <v>1492.56385024</v>
      </c>
    </row>
    <row r="11" spans="1:17" ht="15.5" x14ac:dyDescent="0.4">
      <c r="A11" s="9" t="str">
        <f>NF!A9</f>
        <v>盈康生命科技</v>
      </c>
      <c r="B11" s="2" t="str">
        <f t="shared" si="0"/>
        <v>300143.SZ</v>
      </c>
      <c r="C11" s="2">
        <f>C26/mn</f>
        <v>6482.7596800000001</v>
      </c>
      <c r="D11" s="2">
        <f>D26/mn</f>
        <v>5636.5552639999996</v>
      </c>
      <c r="E11" s="3">
        <f>E26/F26</f>
        <v>0.85714288193616295</v>
      </c>
      <c r="F11" s="3">
        <f>H26/J26</f>
        <v>0.11259470345169822</v>
      </c>
      <c r="G11" s="3">
        <f>I26/J26</f>
        <v>5.5749742229427968E-2</v>
      </c>
      <c r="H11" s="2">
        <f>J26/mn</f>
        <v>1595.092864</v>
      </c>
      <c r="I11" s="4">
        <f>D26/H26</f>
        <v>31.384111342084918</v>
      </c>
      <c r="J11" s="4">
        <f>D26/J26</f>
        <v>3.53368470965713</v>
      </c>
      <c r="K11" s="5">
        <f>IF(C26/I26&lt;=0,"n/m",C26/I26)</f>
        <v>72.900597278528707</v>
      </c>
      <c r="N11" s="31">
        <f>IF(RIGHT(B11,2)="HK",FX!$A$2,IF(OR(RIGHT(B11,2)="SZ",RIGHT(B11,2)="SS"),FX!$B$2,FX!$C$2))</f>
        <v>1.06</v>
      </c>
      <c r="O11" s="29">
        <f t="shared" si="1"/>
        <v>6871.7252608000008</v>
      </c>
      <c r="P11" s="29">
        <f t="shared" si="2"/>
        <v>5974.7485798400003</v>
      </c>
      <c r="Q11" s="29">
        <f t="shared" si="3"/>
        <v>1690.7984358400001</v>
      </c>
    </row>
    <row r="12" spans="1:17" ht="15.5" x14ac:dyDescent="0.4">
      <c r="A12" s="9" t="str">
        <f>NF!A10</f>
        <v>固生堂控股</v>
      </c>
      <c r="B12" s="2" t="str">
        <f t="shared" si="0"/>
        <v>2273.HK</v>
      </c>
      <c r="C12" s="2">
        <f>C27/mn</f>
        <v>6919.0231039999999</v>
      </c>
      <c r="D12" s="2">
        <f>D27/mn</f>
        <v>6392.0824320000002</v>
      </c>
      <c r="E12" s="3">
        <f>E27/F27</f>
        <v>0.66868429597915702</v>
      </c>
      <c r="F12" s="3">
        <f>H27/J27</f>
        <v>0.11696230603921147</v>
      </c>
      <c r="G12" s="3">
        <f>I27/J27</f>
        <v>9.8556222054810558E-2</v>
      </c>
      <c r="H12" s="2">
        <f>J27/mn</f>
        <v>2702.203904</v>
      </c>
      <c r="I12" s="4">
        <f>D27/H27</f>
        <v>20.224524869010555</v>
      </c>
      <c r="J12" s="4">
        <f>D27/J27</f>
        <v>2.3655070672268557</v>
      </c>
      <c r="K12" s="5">
        <f>IF(C27/I27&lt;=0,"n/m",C27/I27)</f>
        <v>25.980207556195161</v>
      </c>
      <c r="N12" s="31">
        <f>IF(RIGHT(B12,2)="HK",FX!$A$2,IF(OR(RIGHT(B12,2)="SZ",RIGHT(B12,2)="SS"),FX!$B$2,FX!$C$2))</f>
        <v>1</v>
      </c>
      <c r="O12" s="29">
        <f t="shared" si="1"/>
        <v>6919.0231039999999</v>
      </c>
      <c r="P12" s="29">
        <f t="shared" si="2"/>
        <v>6392.0824320000002</v>
      </c>
      <c r="Q12" s="29">
        <f t="shared" si="3"/>
        <v>2702.203904</v>
      </c>
    </row>
    <row r="13" spans="1:17" x14ac:dyDescent="0.35">
      <c r="A13" s="15" t="s">
        <v>19</v>
      </c>
      <c r="B13" s="15"/>
      <c r="C13" s="15"/>
      <c r="D13" s="15"/>
      <c r="E13" s="15"/>
      <c r="F13" s="16">
        <f>AVERAGE(F4:F12)</f>
        <v>0.19041758710308043</v>
      </c>
      <c r="G13" s="16">
        <f>AVERAGE(G4:G12)</f>
        <v>9.9521462868079225E-2</v>
      </c>
      <c r="H13" s="15"/>
      <c r="I13" s="17">
        <f>AVERAGE(I4:I12)</f>
        <v>22.375366089176261</v>
      </c>
      <c r="J13" s="17">
        <f>AVERAGE(J4:J12)</f>
        <v>3.9388085159793089</v>
      </c>
      <c r="K13" s="17">
        <f>AVERAGE(K4:K12)</f>
        <v>38.874629080393568</v>
      </c>
    </row>
    <row r="14" spans="1:17" x14ac:dyDescent="0.35">
      <c r="A14" s="18" t="s">
        <v>20</v>
      </c>
      <c r="B14" s="18"/>
      <c r="C14" s="18"/>
      <c r="D14" s="18"/>
      <c r="E14" s="18"/>
      <c r="F14" s="19">
        <f>MEDIAN(F4:F12)</f>
        <v>0.20060210600411296</v>
      </c>
      <c r="G14" s="19">
        <f>MEDIAN(G4:G12)</f>
        <v>0.10723274464353574</v>
      </c>
      <c r="H14" s="18"/>
      <c r="I14" s="20">
        <f>MEDIAN(I4:I12)</f>
        <v>20.836067801675526</v>
      </c>
      <c r="J14" s="20">
        <f t="shared" ref="J14:K14" si="4">MEDIAN(J4:J12)</f>
        <v>3.1396175719740596</v>
      </c>
      <c r="K14" s="20">
        <f t="shared" si="4"/>
        <v>30.081782191358077</v>
      </c>
    </row>
    <row r="17" spans="1:10" x14ac:dyDescent="0.35">
      <c r="A17" s="1" t="s">
        <v>21</v>
      </c>
    </row>
    <row r="18" spans="1:10" x14ac:dyDescent="0.35">
      <c r="A18" t="s">
        <v>0</v>
      </c>
      <c r="B18" t="s">
        <v>1</v>
      </c>
      <c r="C18" t="s">
        <v>2</v>
      </c>
      <c r="D18" t="s">
        <v>3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4</v>
      </c>
    </row>
    <row r="19" spans="1:10" x14ac:dyDescent="0.35">
      <c r="A19" t="s">
        <v>27</v>
      </c>
      <c r="B19" t="s">
        <v>28</v>
      </c>
      <c r="C19">
        <v>114815492096</v>
      </c>
      <c r="D19">
        <v>115941711872</v>
      </c>
      <c r="E19">
        <v>13.649999618530201</v>
      </c>
      <c r="F19">
        <v>19.090000152587798</v>
      </c>
      <c r="G19">
        <v>71.5034023542417</v>
      </c>
      <c r="H19">
        <v>5564471808</v>
      </c>
      <c r="I19">
        <v>3629384960</v>
      </c>
      <c r="J19">
        <v>20621484032</v>
      </c>
    </row>
    <row r="20" spans="1:10" x14ac:dyDescent="0.35">
      <c r="A20" t="s">
        <v>6</v>
      </c>
      <c r="B20" t="s">
        <v>7</v>
      </c>
      <c r="C20">
        <v>18991890432</v>
      </c>
      <c r="D20">
        <v>20426516480</v>
      </c>
      <c r="E20">
        <v>45.810001373291001</v>
      </c>
      <c r="F20">
        <v>62</v>
      </c>
      <c r="G20">
        <v>73.887098989178995</v>
      </c>
      <c r="H20">
        <v>771408832</v>
      </c>
      <c r="I20">
        <v>487012704</v>
      </c>
      <c r="J20">
        <v>2894791680</v>
      </c>
    </row>
    <row r="21" spans="1:10" x14ac:dyDescent="0.35">
      <c r="A21" t="s">
        <v>29</v>
      </c>
      <c r="B21" t="s">
        <v>30</v>
      </c>
      <c r="C21">
        <v>15103199232</v>
      </c>
      <c r="D21">
        <v>12533862400</v>
      </c>
      <c r="E21">
        <v>19.790000915527301</v>
      </c>
      <c r="F21">
        <v>31.260938644409102</v>
      </c>
      <c r="G21">
        <v>63.305843566110099</v>
      </c>
      <c r="H21">
        <v>820898944</v>
      </c>
      <c r="I21">
        <v>529405696</v>
      </c>
      <c r="J21">
        <v>4092175104</v>
      </c>
    </row>
    <row r="22" spans="1:10" x14ac:dyDescent="0.35">
      <c r="A22" t="s">
        <v>31</v>
      </c>
      <c r="B22" t="s">
        <v>32</v>
      </c>
      <c r="C22">
        <v>8830152704</v>
      </c>
      <c r="D22">
        <v>10955165696</v>
      </c>
      <c r="E22">
        <v>14.1599998474121</v>
      </c>
      <c r="F22">
        <v>39.049999237060497</v>
      </c>
      <c r="G22">
        <v>36.261203902850497</v>
      </c>
      <c r="H22">
        <v>1204160000</v>
      </c>
      <c r="I22">
        <v>733363008</v>
      </c>
      <c r="J22">
        <v>4699074048</v>
      </c>
    </row>
    <row r="23" spans="1:10" x14ac:dyDescent="0.35">
      <c r="A23" t="s">
        <v>5</v>
      </c>
      <c r="B23" t="s">
        <v>33</v>
      </c>
      <c r="C23">
        <v>7191139840</v>
      </c>
      <c r="D23">
        <v>9100997632</v>
      </c>
      <c r="E23">
        <v>2.75</v>
      </c>
      <c r="F23">
        <v>4.42000007629394</v>
      </c>
      <c r="G23">
        <v>62.217193496200103</v>
      </c>
      <c r="H23">
        <v>682092032</v>
      </c>
      <c r="I23">
        <v>310841984</v>
      </c>
      <c r="J23">
        <v>2898759936</v>
      </c>
    </row>
    <row r="24" spans="1:10" x14ac:dyDescent="0.35">
      <c r="A24" t="s">
        <v>34</v>
      </c>
      <c r="B24" t="s">
        <v>8</v>
      </c>
      <c r="C24">
        <v>11188880384</v>
      </c>
      <c r="D24">
        <v>14490863616</v>
      </c>
      <c r="E24">
        <v>5.38000011444091</v>
      </c>
      <c r="F24">
        <v>8.0900001525878906</v>
      </c>
      <c r="G24">
        <v>66.501854301200694</v>
      </c>
      <c r="H24">
        <v>606998336</v>
      </c>
      <c r="I24">
        <v>-358146080</v>
      </c>
      <c r="J24">
        <v>4880468480</v>
      </c>
    </row>
    <row r="25" spans="1:10" x14ac:dyDescent="0.35">
      <c r="A25" t="s">
        <v>35</v>
      </c>
      <c r="B25" t="s">
        <v>36</v>
      </c>
      <c r="C25">
        <v>8527862272</v>
      </c>
      <c r="D25">
        <v>7559143424</v>
      </c>
      <c r="E25">
        <v>45.400001525878899</v>
      </c>
      <c r="F25">
        <v>57</v>
      </c>
      <c r="G25">
        <v>79.649125483998006</v>
      </c>
      <c r="H25">
        <v>184946240</v>
      </c>
      <c r="I25">
        <v>109639488</v>
      </c>
      <c r="J25">
        <v>1408079104</v>
      </c>
    </row>
    <row r="26" spans="1:10" x14ac:dyDescent="0.35">
      <c r="A26" t="s">
        <v>37</v>
      </c>
      <c r="B26" t="s">
        <v>38</v>
      </c>
      <c r="C26">
        <v>6482759680</v>
      </c>
      <c r="D26">
        <v>5636555264</v>
      </c>
      <c r="E26">
        <v>9.42000007629394</v>
      </c>
      <c r="F26">
        <v>10.9899997711181</v>
      </c>
      <c r="G26">
        <v>85.714288193615801</v>
      </c>
      <c r="H26">
        <v>179599008</v>
      </c>
      <c r="I26">
        <v>88926016</v>
      </c>
      <c r="J26">
        <v>1595092864</v>
      </c>
    </row>
    <row r="27" spans="1:10" x14ac:dyDescent="0.35">
      <c r="A27" t="s">
        <v>39</v>
      </c>
      <c r="B27" t="s">
        <v>40</v>
      </c>
      <c r="C27">
        <v>6919023104</v>
      </c>
      <c r="D27">
        <v>6392082432</v>
      </c>
      <c r="E27">
        <v>33.150001525878899</v>
      </c>
      <c r="F27">
        <v>49.574966430663999</v>
      </c>
      <c r="G27">
        <v>66.868429597915593</v>
      </c>
      <c r="H27">
        <v>316056000</v>
      </c>
      <c r="I27">
        <v>266319008</v>
      </c>
      <c r="J27">
        <v>2702203904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B28B-F858-4010-BEE5-550B13F99ECB}">
  <dimension ref="A1:C10"/>
  <sheetViews>
    <sheetView workbookViewId="0">
      <selection sqref="A1:C10"/>
    </sheetView>
  </sheetViews>
  <sheetFormatPr defaultRowHeight="14.5" x14ac:dyDescent="0.35"/>
  <cols>
    <col min="1" max="1" width="18.26953125" bestFit="1" customWidth="1"/>
    <col min="2" max="2" width="22.26953125" bestFit="1" customWidth="1"/>
    <col min="3" max="3" width="9.453125" bestFit="1" customWidth="1"/>
  </cols>
  <sheetData>
    <row r="1" spans="1:3" x14ac:dyDescent="0.35">
      <c r="A1" s="1" t="s">
        <v>41</v>
      </c>
      <c r="B1" s="1" t="s">
        <v>42</v>
      </c>
      <c r="C1" s="1" t="s">
        <v>1</v>
      </c>
    </row>
    <row r="2" spans="1:3" x14ac:dyDescent="0.35">
      <c r="A2" t="s">
        <v>43</v>
      </c>
      <c r="B2" t="s">
        <v>27</v>
      </c>
      <c r="C2" t="s">
        <v>28</v>
      </c>
    </row>
    <row r="3" spans="1:3" x14ac:dyDescent="0.35">
      <c r="A3" t="s">
        <v>44</v>
      </c>
      <c r="B3" t="s">
        <v>6</v>
      </c>
      <c r="C3" t="s">
        <v>7</v>
      </c>
    </row>
    <row r="4" spans="1:3" x14ac:dyDescent="0.35">
      <c r="A4" t="s">
        <v>45</v>
      </c>
      <c r="B4" t="s">
        <v>29</v>
      </c>
      <c r="C4" t="s">
        <v>30</v>
      </c>
    </row>
    <row r="5" spans="1:3" x14ac:dyDescent="0.35">
      <c r="A5" t="s">
        <v>46</v>
      </c>
      <c r="B5" t="s">
        <v>31</v>
      </c>
      <c r="C5" t="s">
        <v>32</v>
      </c>
    </row>
    <row r="6" spans="1:3" x14ac:dyDescent="0.35">
      <c r="A6" t="s">
        <v>47</v>
      </c>
      <c r="B6" t="s">
        <v>5</v>
      </c>
      <c r="C6" t="s">
        <v>33</v>
      </c>
    </row>
    <row r="7" spans="1:3" x14ac:dyDescent="0.35">
      <c r="A7" t="s">
        <v>48</v>
      </c>
      <c r="B7" t="s">
        <v>34</v>
      </c>
      <c r="C7" t="s">
        <v>8</v>
      </c>
    </row>
    <row r="8" spans="1:3" x14ac:dyDescent="0.35">
      <c r="A8" t="s">
        <v>49</v>
      </c>
      <c r="B8" t="s">
        <v>35</v>
      </c>
      <c r="C8" t="s">
        <v>36</v>
      </c>
    </row>
    <row r="9" spans="1:3" x14ac:dyDescent="0.35">
      <c r="A9" t="s">
        <v>50</v>
      </c>
      <c r="B9" t="s">
        <v>37</v>
      </c>
      <c r="C9" t="s">
        <v>38</v>
      </c>
    </row>
    <row r="10" spans="1:3" x14ac:dyDescent="0.35">
      <c r="A10" t="s">
        <v>51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8AF4-6952-4E0D-A509-C142353ECF76}">
  <dimension ref="A1:P23"/>
  <sheetViews>
    <sheetView zoomScale="90" zoomScaleNormal="90" workbookViewId="0">
      <selection sqref="A1:XFD1048576"/>
    </sheetView>
  </sheetViews>
  <sheetFormatPr defaultRowHeight="14.5" outlineLevelCol="1" x14ac:dyDescent="0.35"/>
  <cols>
    <col min="1" max="1" width="15.54296875" customWidth="1"/>
    <col min="2" max="2" width="10.453125" customWidth="1" outlineLevel="1"/>
    <col min="3" max="3" width="10.54296875" customWidth="1" outlineLevel="1"/>
    <col min="4" max="4" width="7.81640625" customWidth="1"/>
    <col min="7" max="7" width="12" bestFit="1" customWidth="1"/>
    <col min="8" max="8" width="9.81640625" customWidth="1"/>
    <col min="13" max="13" width="10.1796875" bestFit="1" customWidth="1"/>
    <col min="14" max="15" width="9.6328125" customWidth="1"/>
  </cols>
  <sheetData>
    <row r="1" spans="1:16" x14ac:dyDescent="0.35">
      <c r="A1">
        <v>1000000</v>
      </c>
    </row>
    <row r="2" spans="1:16" ht="29" x14ac:dyDescent="0.35">
      <c r="A2" s="7" t="s">
        <v>0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7" t="s">
        <v>4</v>
      </c>
      <c r="H2" s="7" t="s">
        <v>14</v>
      </c>
      <c r="I2" s="7" t="s">
        <v>15</v>
      </c>
      <c r="J2" s="7" t="s">
        <v>16</v>
      </c>
      <c r="K2" s="7" t="s">
        <v>67</v>
      </c>
      <c r="M2" s="7" t="s">
        <v>68</v>
      </c>
      <c r="N2" s="30" t="str">
        <f>B2</f>
        <v>Market 
Cap</v>
      </c>
      <c r="O2" s="30" t="str">
        <f>C2</f>
        <v>Enterprise 
Value</v>
      </c>
      <c r="P2" s="7" t="str">
        <f>G2</f>
        <v>Revenue</v>
      </c>
    </row>
    <row r="3" spans="1:16" x14ac:dyDescent="0.35">
      <c r="A3" s="26"/>
      <c r="B3" s="27" t="s">
        <v>70</v>
      </c>
      <c r="C3" s="26"/>
      <c r="D3" s="26"/>
      <c r="E3" s="26"/>
      <c r="F3" s="26"/>
      <c r="G3" s="28" t="s">
        <v>69</v>
      </c>
      <c r="H3" s="26"/>
      <c r="I3" s="26"/>
      <c r="J3" s="26"/>
      <c r="K3" s="26"/>
      <c r="M3" t="s">
        <v>71</v>
      </c>
    </row>
    <row r="4" spans="1:16" ht="15.5" x14ac:dyDescent="0.4">
      <c r="A4" s="21" t="str">
        <f>WSK!A2</f>
        <v>智飞生物</v>
      </c>
      <c r="B4" s="22">
        <f t="shared" ref="B4:C12" si="0">C19/mn</f>
        <v>60586.823680000001</v>
      </c>
      <c r="C4" s="22">
        <f t="shared" si="0"/>
        <v>64440.561664000001</v>
      </c>
      <c r="D4" s="23">
        <f>E19/F19</f>
        <v>0.47818525711899484</v>
      </c>
      <c r="E4" s="23">
        <f>H19/J19</f>
        <v>0.11869746682769289</v>
      </c>
      <c r="F4" s="23">
        <f>I19/J19</f>
        <v>0.10128820315835936</v>
      </c>
      <c r="G4" s="22">
        <f t="shared" ref="G4:G12" si="1">J19/mn</f>
        <v>36432.355327999998</v>
      </c>
      <c r="H4" s="24">
        <f>D19/H19</f>
        <v>14.901521628377619</v>
      </c>
      <c r="I4" s="24">
        <f>D19/J19</f>
        <v>1.7687728691665006</v>
      </c>
      <c r="J4" s="25">
        <f>IF(C19/I19&lt;=0,"n/m",C19/I19)</f>
        <v>16.418446756988239</v>
      </c>
      <c r="K4" s="25">
        <f>IF(C19/J19&lt;=0,"n/m",C19/J19)</f>
        <v>1.6629949706665312</v>
      </c>
      <c r="M4" s="31">
        <v>1.06</v>
      </c>
      <c r="N4" s="29">
        <f>B4*$M4</f>
        <v>64222.033100800007</v>
      </c>
      <c r="O4" s="29">
        <f>C4*$M4</f>
        <v>68306.995363840004</v>
      </c>
      <c r="P4" s="29">
        <f>G4*$M4</f>
        <v>38618.296647679999</v>
      </c>
    </row>
    <row r="5" spans="1:16" ht="15.5" x14ac:dyDescent="0.4">
      <c r="A5" s="21" t="str">
        <f>WSK!A3</f>
        <v>康希诺生物</v>
      </c>
      <c r="B5" s="2">
        <f t="shared" si="0"/>
        <v>10595.782655999999</v>
      </c>
      <c r="C5" s="2">
        <f t="shared" si="0"/>
        <v>5376.0435200000002</v>
      </c>
      <c r="D5" s="3">
        <f t="shared" ref="D5:D12" si="2">E20/F20</f>
        <v>0.89340810695892281</v>
      </c>
      <c r="E5" s="3">
        <f t="shared" ref="E5:E12" si="3">H20/J20</f>
        <v>-1.1084848346492362</v>
      </c>
      <c r="F5" s="3">
        <f t="shared" ref="F5:F12" si="4">I20/J20</f>
        <v>-0.96203568588412236</v>
      </c>
      <c r="G5" s="2">
        <f t="shared" si="1"/>
        <v>748.52947200000006</v>
      </c>
      <c r="H5" s="4">
        <f t="shared" ref="H5:H12" si="5">D20/H20</f>
        <v>-6.4792407193534203</v>
      </c>
      <c r="I5" s="4">
        <f t="shared" ref="I5:I12" si="6">D20/J20</f>
        <v>7.1821400774450739</v>
      </c>
      <c r="J5" s="5" t="str">
        <f t="shared" ref="J5:J12" si="7">IF(C20/I20&lt;=0,"n/m",C20/I20)</f>
        <v>n/m</v>
      </c>
      <c r="K5" s="25">
        <f t="shared" ref="K5:K8" si="8">IF(C20/J20&lt;=0,"n/m",C20/J20)</f>
        <v>14.155464884621136</v>
      </c>
      <c r="M5" s="31">
        <v>1</v>
      </c>
      <c r="N5" s="29">
        <f>B5*$M5</f>
        <v>10595.782655999999</v>
      </c>
      <c r="O5" s="29">
        <f>C5*$M5</f>
        <v>5376.0435200000002</v>
      </c>
      <c r="P5" s="29">
        <f t="shared" ref="P5:P8" si="9">G5*$M5</f>
        <v>748.52947200000006</v>
      </c>
    </row>
    <row r="6" spans="1:16" ht="15.5" x14ac:dyDescent="0.4">
      <c r="A6" s="21" t="str">
        <f>WSK!A4</f>
        <v>康泰生物</v>
      </c>
      <c r="B6" s="2">
        <f t="shared" si="0"/>
        <v>17156.0448</v>
      </c>
      <c r="C6" s="2">
        <f t="shared" si="0"/>
        <v>18481.494016000001</v>
      </c>
      <c r="D6" s="3">
        <f t="shared" si="2"/>
        <v>0.67357749034323033</v>
      </c>
      <c r="E6" s="3">
        <f t="shared" si="3"/>
        <v>0.18514897559484247</v>
      </c>
      <c r="F6" s="3">
        <f t="shared" si="4"/>
        <v>0.17001609091822747</v>
      </c>
      <c r="G6" s="2">
        <f t="shared" si="1"/>
        <v>3031.1756799999998</v>
      </c>
      <c r="H6" s="4">
        <f t="shared" si="5"/>
        <v>32.930979964985937</v>
      </c>
      <c r="I6" s="4">
        <f t="shared" si="6"/>
        <v>6.0971372058514275</v>
      </c>
      <c r="J6" s="5">
        <f t="shared" si="7"/>
        <v>33.29017187277335</v>
      </c>
      <c r="K6" s="25">
        <f t="shared" si="8"/>
        <v>5.6598648878048534</v>
      </c>
      <c r="M6" s="31">
        <v>1.06</v>
      </c>
      <c r="N6" s="29">
        <f>B6*$M6</f>
        <v>18185.407488000001</v>
      </c>
      <c r="O6" s="29">
        <f>C6*$M6</f>
        <v>19590.383656960003</v>
      </c>
      <c r="P6" s="29">
        <f t="shared" si="9"/>
        <v>3213.0462207999999</v>
      </c>
    </row>
    <row r="7" spans="1:16" ht="15.5" x14ac:dyDescent="0.4">
      <c r="A7" s="21" t="str">
        <f>WSK!A5</f>
        <v>沃森生物</v>
      </c>
      <c r="B7" s="2">
        <f t="shared" si="0"/>
        <v>18600.441856000001</v>
      </c>
      <c r="C7" s="2">
        <f t="shared" si="0"/>
        <v>17075.392511999999</v>
      </c>
      <c r="D7" s="3">
        <f t="shared" si="2"/>
        <v>0.54263223947298445</v>
      </c>
      <c r="E7" s="3">
        <f t="shared" si="3"/>
        <v>0.2161774197041382</v>
      </c>
      <c r="F7" s="3">
        <f t="shared" si="4"/>
        <v>3.9512254807551626E-2</v>
      </c>
      <c r="G7" s="2">
        <f t="shared" si="1"/>
        <v>3097.0741760000001</v>
      </c>
      <c r="H7" s="4">
        <f t="shared" si="5"/>
        <v>25.504027019433984</v>
      </c>
      <c r="I7" s="4">
        <f t="shared" si="6"/>
        <v>5.5133947531258611</v>
      </c>
      <c r="J7" s="5">
        <f t="shared" si="7"/>
        <v>151.99868833151115</v>
      </c>
      <c r="K7" s="25">
        <f t="shared" si="8"/>
        <v>6.0058109037682925</v>
      </c>
      <c r="M7" s="31">
        <v>1.06</v>
      </c>
      <c r="N7" s="29">
        <f>B7*$M7</f>
        <v>19716.468367360001</v>
      </c>
      <c r="O7" s="29">
        <f>C7*$M7</f>
        <v>18099.91606272</v>
      </c>
      <c r="P7" s="29">
        <f t="shared" si="9"/>
        <v>3282.8986265600001</v>
      </c>
    </row>
    <row r="8" spans="1:16" ht="15.5" x14ac:dyDescent="0.4">
      <c r="A8" s="21" t="str">
        <f>WSK!A6</f>
        <v>诺瓦瓦克斯医药</v>
      </c>
      <c r="B8" s="2">
        <f t="shared" si="0"/>
        <v>1378.3918080000001</v>
      </c>
      <c r="C8" s="2">
        <f t="shared" si="0"/>
        <v>731.08588799999995</v>
      </c>
      <c r="D8" s="3">
        <f t="shared" si="2"/>
        <v>0.37815927939579891</v>
      </c>
      <c r="E8" s="3">
        <f t="shared" si="3"/>
        <v>-0.27479430294290252</v>
      </c>
      <c r="F8" s="3">
        <f t="shared" si="4"/>
        <v>-0.32180324096182666</v>
      </c>
      <c r="G8" s="2">
        <f t="shared" si="1"/>
        <v>885.19302400000004</v>
      </c>
      <c r="H8" s="4">
        <f t="shared" si="5"/>
        <v>-3.0055412545324485</v>
      </c>
      <c r="I8" s="4">
        <f t="shared" si="6"/>
        <v>0.82590561400538109</v>
      </c>
      <c r="J8" s="5" t="str">
        <f t="shared" si="7"/>
        <v>n/m</v>
      </c>
      <c r="K8" s="25">
        <f t="shared" si="8"/>
        <v>1.5571652403803851</v>
      </c>
      <c r="M8" s="31">
        <v>7.8</v>
      </c>
      <c r="N8" s="29">
        <f>B8*$M8</f>
        <v>10751.4561024</v>
      </c>
      <c r="O8" s="29">
        <f>C8*$M8</f>
        <v>5702.4699263999992</v>
      </c>
      <c r="P8" s="29">
        <f t="shared" si="9"/>
        <v>6904.5055872000003</v>
      </c>
    </row>
    <row r="9" spans="1:16" ht="15.5" x14ac:dyDescent="0.4">
      <c r="A9" s="9"/>
      <c r="B9" s="2"/>
      <c r="C9" s="2"/>
      <c r="D9" s="3"/>
      <c r="E9" s="3"/>
      <c r="F9" s="3"/>
      <c r="G9" s="2"/>
      <c r="H9" s="4"/>
      <c r="I9" s="4"/>
      <c r="J9" s="5"/>
    </row>
    <row r="10" spans="1:16" ht="15.5" x14ac:dyDescent="0.4">
      <c r="A10" s="9"/>
      <c r="B10" s="2"/>
      <c r="C10" s="2"/>
      <c r="D10" s="3"/>
      <c r="E10" s="3"/>
      <c r="F10" s="3"/>
      <c r="G10" s="2"/>
      <c r="H10" s="4"/>
      <c r="I10" s="4"/>
      <c r="J10" s="5"/>
    </row>
    <row r="11" spans="1:16" ht="15.5" x14ac:dyDescent="0.4">
      <c r="A11" s="9"/>
      <c r="B11" s="2"/>
      <c r="C11" s="2"/>
      <c r="D11" s="3"/>
      <c r="E11" s="3"/>
      <c r="F11" s="3"/>
      <c r="G11" s="2"/>
      <c r="H11" s="4"/>
      <c r="I11" s="4"/>
      <c r="J11" s="5"/>
    </row>
    <row r="12" spans="1:16" ht="15.5" x14ac:dyDescent="0.4">
      <c r="A12" s="9"/>
      <c r="B12" s="2"/>
      <c r="C12" s="2"/>
      <c r="D12" s="3"/>
      <c r="E12" s="3"/>
      <c r="F12" s="3"/>
      <c r="G12" s="2"/>
      <c r="H12" s="4"/>
      <c r="I12" s="4"/>
      <c r="J12" s="5"/>
    </row>
    <row r="13" spans="1:16" x14ac:dyDescent="0.35">
      <c r="A13" s="15" t="s">
        <v>19</v>
      </c>
      <c r="B13" s="15"/>
      <c r="C13" s="15"/>
      <c r="D13" s="15"/>
      <c r="E13" s="16">
        <f>AVERAGE(E4:E12)</f>
        <v>-0.17265105509309303</v>
      </c>
      <c r="F13" s="16">
        <f>AVERAGE(F4:F12)</f>
        <v>-0.1946044755923621</v>
      </c>
      <c r="G13" s="15"/>
      <c r="H13" s="17">
        <f>AVERAGE(H4:H12)</f>
        <v>12.770349327782336</v>
      </c>
      <c r="I13" s="17">
        <f>AVERAGE(I4:I12)</f>
        <v>4.2774701039188496</v>
      </c>
      <c r="J13" s="17">
        <f>AVERAGE(J4:J12)</f>
        <v>67.235768987090907</v>
      </c>
      <c r="K13" s="17">
        <f t="shared" ref="K13" si="10">AVERAGE(K4:K12)</f>
        <v>5.8082601774482399</v>
      </c>
    </row>
    <row r="14" spans="1:16" x14ac:dyDescent="0.35">
      <c r="A14" s="18" t="s">
        <v>20</v>
      </c>
      <c r="B14" s="18"/>
      <c r="C14" s="18"/>
      <c r="D14" s="18"/>
      <c r="E14" s="19">
        <f>MEDIAN(E4:E12)</f>
        <v>0.11869746682769289</v>
      </c>
      <c r="F14" s="19">
        <f>MEDIAN(F4:F12)</f>
        <v>3.9512254807551626E-2</v>
      </c>
      <c r="G14" s="18"/>
      <c r="H14" s="20">
        <f>MEDIAN(H4:H12)</f>
        <v>14.901521628377619</v>
      </c>
      <c r="I14" s="20">
        <f t="shared" ref="I14:J14" si="11">MEDIAN(I4:I12)</f>
        <v>5.5133947531258611</v>
      </c>
      <c r="J14" s="20">
        <f t="shared" si="11"/>
        <v>33.29017187277335</v>
      </c>
      <c r="K14" s="20">
        <f t="shared" ref="K14" si="12">MEDIAN(K4:K12)</f>
        <v>5.6598648878048534</v>
      </c>
    </row>
    <row r="17" spans="1:10" x14ac:dyDescent="0.35">
      <c r="A17" s="1" t="s">
        <v>21</v>
      </c>
    </row>
    <row r="18" spans="1:10" x14ac:dyDescent="0.35">
      <c r="A18" t="s">
        <v>0</v>
      </c>
      <c r="B18" t="s">
        <v>1</v>
      </c>
      <c r="C18" t="s">
        <v>2</v>
      </c>
      <c r="D18" t="s">
        <v>3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4</v>
      </c>
    </row>
    <row r="19" spans="1:10" x14ac:dyDescent="0.35">
      <c r="A19" t="s">
        <v>61</v>
      </c>
      <c r="B19" t="s">
        <v>57</v>
      </c>
      <c r="C19">
        <v>60586823680</v>
      </c>
      <c r="D19">
        <v>64440561664</v>
      </c>
      <c r="E19">
        <v>27.530000690000001</v>
      </c>
      <c r="F19">
        <v>57.571830749999997</v>
      </c>
      <c r="G19">
        <v>47.818525710000003</v>
      </c>
      <c r="H19">
        <v>4324428288</v>
      </c>
      <c r="I19">
        <v>3690167808</v>
      </c>
      <c r="J19">
        <v>36432355328</v>
      </c>
    </row>
    <row r="20" spans="1:10" x14ac:dyDescent="0.35">
      <c r="A20" t="s">
        <v>62</v>
      </c>
      <c r="B20" t="s">
        <v>58</v>
      </c>
      <c r="C20">
        <v>10595782656</v>
      </c>
      <c r="D20">
        <v>5376043520</v>
      </c>
      <c r="E20">
        <v>31.850000380000001</v>
      </c>
      <c r="F20">
        <v>35.650001529999997</v>
      </c>
      <c r="G20">
        <v>89.34081071</v>
      </c>
      <c r="H20">
        <v>-829733568</v>
      </c>
      <c r="I20">
        <v>-720112064</v>
      </c>
      <c r="J20">
        <v>748529472</v>
      </c>
    </row>
    <row r="21" spans="1:10" x14ac:dyDescent="0.35">
      <c r="A21" t="s">
        <v>63</v>
      </c>
      <c r="B21" t="s">
        <v>59</v>
      </c>
      <c r="C21">
        <v>17156044800</v>
      </c>
      <c r="D21">
        <v>18481494016</v>
      </c>
      <c r="E21">
        <v>17.729999540000001</v>
      </c>
      <c r="F21">
        <v>26.322137829999999</v>
      </c>
      <c r="G21">
        <v>67.357749040000002</v>
      </c>
      <c r="H21">
        <v>561219072</v>
      </c>
      <c r="I21">
        <v>515348640</v>
      </c>
      <c r="J21">
        <v>3031175680</v>
      </c>
    </row>
    <row r="22" spans="1:10" x14ac:dyDescent="0.35">
      <c r="A22" t="s">
        <v>64</v>
      </c>
      <c r="B22" t="s">
        <v>60</v>
      </c>
      <c r="C22">
        <v>18600441856</v>
      </c>
      <c r="D22">
        <v>17075392512</v>
      </c>
      <c r="E22">
        <v>12.52000046</v>
      </c>
      <c r="F22">
        <v>23.072717669999999</v>
      </c>
      <c r="G22">
        <v>54.263223949999997</v>
      </c>
      <c r="H22">
        <v>669517504</v>
      </c>
      <c r="I22">
        <v>122372384</v>
      </c>
      <c r="J22">
        <v>3097074176</v>
      </c>
    </row>
    <row r="23" spans="1:10" x14ac:dyDescent="0.35">
      <c r="A23" t="s">
        <v>66</v>
      </c>
      <c r="B23" t="s">
        <v>65</v>
      </c>
      <c r="C23">
        <v>1378391808</v>
      </c>
      <c r="D23">
        <v>731085888</v>
      </c>
      <c r="E23">
        <v>7.9299998279999997</v>
      </c>
      <c r="F23">
        <v>20.969999309999999</v>
      </c>
      <c r="G23">
        <v>37.815927940000002</v>
      </c>
      <c r="H23">
        <v>-243246000</v>
      </c>
      <c r="I23">
        <v>-284857984</v>
      </c>
      <c r="J23">
        <v>885193024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B5F7-981B-4440-943E-14895BBCE690}">
  <dimension ref="A1:C6"/>
  <sheetViews>
    <sheetView workbookViewId="0">
      <selection sqref="A1:C6"/>
    </sheetView>
  </sheetViews>
  <sheetFormatPr defaultRowHeight="14.5" x14ac:dyDescent="0.35"/>
  <cols>
    <col min="1" max="1" width="18.26953125" bestFit="1" customWidth="1"/>
    <col min="2" max="2" width="22.26953125" bestFit="1" customWidth="1"/>
    <col min="3" max="3" width="9.36328125" bestFit="1" customWidth="1"/>
  </cols>
  <sheetData>
    <row r="1" spans="1:3" x14ac:dyDescent="0.35">
      <c r="A1" s="1" t="s">
        <v>41</v>
      </c>
      <c r="B1" s="1" t="s">
        <v>42</v>
      </c>
      <c r="C1" s="1" t="s">
        <v>1</v>
      </c>
    </row>
    <row r="2" spans="1:3" x14ac:dyDescent="0.35">
      <c r="A2" t="s">
        <v>52</v>
      </c>
      <c r="B2" t="s">
        <v>61</v>
      </c>
      <c r="C2" t="s">
        <v>57</v>
      </c>
    </row>
    <row r="3" spans="1:3" x14ac:dyDescent="0.35">
      <c r="A3" t="s">
        <v>53</v>
      </c>
      <c r="B3" t="s">
        <v>62</v>
      </c>
      <c r="C3" t="s">
        <v>58</v>
      </c>
    </row>
    <row r="4" spans="1:3" x14ac:dyDescent="0.35">
      <c r="A4" t="s">
        <v>54</v>
      </c>
      <c r="B4" t="s">
        <v>63</v>
      </c>
      <c r="C4" t="s">
        <v>59</v>
      </c>
    </row>
    <row r="5" spans="1:3" x14ac:dyDescent="0.35">
      <c r="A5" t="s">
        <v>55</v>
      </c>
      <c r="B5" t="s">
        <v>64</v>
      </c>
      <c r="C5" t="s">
        <v>60</v>
      </c>
    </row>
    <row r="6" spans="1:3" x14ac:dyDescent="0.35">
      <c r="A6" t="s">
        <v>56</v>
      </c>
      <c r="B6" t="s">
        <v>66</v>
      </c>
      <c r="C6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0648-CBFB-4637-8DCF-A870AF543138}">
  <dimension ref="A1:Q24"/>
  <sheetViews>
    <sheetView zoomScale="90" zoomScaleNormal="90" workbookViewId="0">
      <selection activeCell="N2" sqref="N2:Q4"/>
    </sheetView>
  </sheetViews>
  <sheetFormatPr defaultRowHeight="14.5" outlineLevelCol="1" x14ac:dyDescent="0.35"/>
  <cols>
    <col min="1" max="1" width="15.54296875" customWidth="1"/>
    <col min="2" max="2" width="10.453125" customWidth="1" outlineLevel="1"/>
    <col min="3" max="3" width="10.54296875" customWidth="1" outlineLevel="1"/>
    <col min="4" max="4" width="7.81640625" customWidth="1"/>
    <col min="7" max="7" width="12" bestFit="1" customWidth="1"/>
    <col min="8" max="8" width="9.81640625" customWidth="1"/>
    <col min="13" max="13" width="10.1796875" bestFit="1" customWidth="1"/>
    <col min="14" max="15" width="9.6328125" customWidth="1"/>
  </cols>
  <sheetData>
    <row r="1" spans="1:17" x14ac:dyDescent="0.35">
      <c r="A1">
        <v>1000000</v>
      </c>
      <c r="B1" t="s">
        <v>87</v>
      </c>
    </row>
    <row r="2" spans="1:17" ht="43.5" x14ac:dyDescent="0.35">
      <c r="A2" s="7" t="s">
        <v>0</v>
      </c>
      <c r="B2" s="8" t="s">
        <v>1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7" t="s">
        <v>4</v>
      </c>
      <c r="I2" s="7" t="s">
        <v>14</v>
      </c>
      <c r="J2" s="7" t="s">
        <v>15</v>
      </c>
      <c r="K2" s="7" t="s">
        <v>16</v>
      </c>
      <c r="L2" s="7" t="s">
        <v>67</v>
      </c>
      <c r="N2" s="7" t="s">
        <v>68</v>
      </c>
      <c r="O2" s="30" t="str">
        <f>C2</f>
        <v>Market 
Cap</v>
      </c>
      <c r="P2" s="30" t="str">
        <f>D2</f>
        <v>Enterprise 
Value</v>
      </c>
      <c r="Q2" s="7" t="str">
        <f>H2</f>
        <v>Revenue</v>
      </c>
    </row>
    <row r="3" spans="1:17" x14ac:dyDescent="0.35">
      <c r="A3" s="26"/>
      <c r="B3" s="27"/>
      <c r="C3" s="27" t="s">
        <v>70</v>
      </c>
      <c r="D3" s="26"/>
      <c r="E3" s="26"/>
      <c r="F3" s="26"/>
      <c r="G3" s="26"/>
      <c r="H3" s="28" t="s">
        <v>69</v>
      </c>
      <c r="I3" s="26"/>
      <c r="J3" s="26"/>
      <c r="K3" s="26"/>
      <c r="L3" s="26"/>
      <c r="N3" t="s">
        <v>71</v>
      </c>
    </row>
    <row r="4" spans="1:17" ht="15.5" x14ac:dyDescent="0.4">
      <c r="A4" s="21" t="str">
        <f>NM!A2</f>
        <v>启明医疗</v>
      </c>
      <c r="B4" s="22" t="str">
        <f>B19</f>
        <v>2500.HK</v>
      </c>
      <c r="C4" s="22" t="e">
        <f>C19/mn</f>
        <v>#VALUE!</v>
      </c>
      <c r="D4" s="22" t="e">
        <f>D19/mn</f>
        <v>#VALUE!</v>
      </c>
      <c r="E4" s="23">
        <f>E19/F19</f>
        <v>1</v>
      </c>
      <c r="F4" s="23" t="e">
        <f>H19/J19</f>
        <v>#VALUE!</v>
      </c>
      <c r="G4" s="23" t="e">
        <f>I19/J19</f>
        <v>#VALUE!</v>
      </c>
      <c r="H4" s="22" t="e">
        <f>J19/mn</f>
        <v>#VALUE!</v>
      </c>
      <c r="I4" s="24" t="e">
        <f>D19/H19</f>
        <v>#VALUE!</v>
      </c>
      <c r="J4" s="24" t="e">
        <f>D19/J19</f>
        <v>#VALUE!</v>
      </c>
      <c r="K4" s="25" t="e">
        <f>IF(C19/I19&lt;=0,"n/m",C19/I19)</f>
        <v>#VALUE!</v>
      </c>
      <c r="L4" s="25" t="e">
        <f>IF(C19/J19&lt;=0,"n/m",C19/J19)</f>
        <v>#VALUE!</v>
      </c>
      <c r="N4" s="31">
        <f>IF(RIGHT(B4,2)="HK",FX!$A$2,IF(OR(RIGHT(B4,2)="SZ",RIGHT(B4,2)="SS"),FX!$B$2,FX!$C$2))</f>
        <v>1</v>
      </c>
      <c r="O4" s="29" t="e">
        <f>C4*$N4</f>
        <v>#VALUE!</v>
      </c>
      <c r="P4" s="29" t="e">
        <f>D4*$N4</f>
        <v>#VALUE!</v>
      </c>
      <c r="Q4" s="29" t="e">
        <f>H4*$N4</f>
        <v>#VALUE!</v>
      </c>
    </row>
    <row r="5" spans="1:17" ht="15.5" x14ac:dyDescent="0.4">
      <c r="A5" s="21" t="str">
        <f>NM!A3</f>
        <v>心通医疗</v>
      </c>
      <c r="B5" s="22" t="str">
        <f t="shared" ref="B5:B9" si="0">B20</f>
        <v>2160.HK</v>
      </c>
      <c r="C5" s="2">
        <f>C20/mn</f>
        <v>1712.5776639999999</v>
      </c>
      <c r="D5" s="2">
        <f>D20/mn</f>
        <v>301.21283199999999</v>
      </c>
      <c r="E5" s="3">
        <f>E20/F20</f>
        <v>0.43209875680164461</v>
      </c>
      <c r="F5" s="3">
        <f>H20/J20</f>
        <v>-0.67395294104472436</v>
      </c>
      <c r="G5" s="3">
        <f>I20/J20</f>
        <v>-0.91037600047267375</v>
      </c>
      <c r="H5" s="2">
        <f>J20/mn</f>
        <v>382.91100799999998</v>
      </c>
      <c r="I5" s="4">
        <f>D20/H20</f>
        <v>-1.1672020584041167</v>
      </c>
      <c r="J5" s="4">
        <f>D20/J20</f>
        <v>0.78663926005491069</v>
      </c>
      <c r="K5" s="5" t="str">
        <f>IF(C20/I20&lt;=0,"n/m",C20/I20)</f>
        <v>n/m</v>
      </c>
      <c r="L5" s="25">
        <f>IF(C20/J20&lt;=0,"n/m",C20/J20)</f>
        <v>4.4725213645464068</v>
      </c>
      <c r="N5" s="31">
        <f>IF(RIGHT(B5,2)="HK",FX!$A$2,IF(OR(RIGHT(B5,2)="SZ",RIGHT(B5,2)="SS"),FX!$B$2,FX!$C$2))</f>
        <v>1</v>
      </c>
      <c r="O5" s="29">
        <f>C5*$N5</f>
        <v>1712.5776639999999</v>
      </c>
      <c r="P5" s="29">
        <f>D5*$N5</f>
        <v>301.21283199999999</v>
      </c>
      <c r="Q5" s="29">
        <f>H5*$N5</f>
        <v>382.91100799999998</v>
      </c>
    </row>
    <row r="6" spans="1:17" ht="15.5" x14ac:dyDescent="0.4">
      <c r="A6" s="21" t="str">
        <f>NM!A4</f>
        <v>沛嘉医疗</v>
      </c>
      <c r="B6" s="22" t="str">
        <f t="shared" si="0"/>
        <v>9996.HK</v>
      </c>
      <c r="C6" s="2">
        <f>C21/mn</f>
        <v>2440.3555839999999</v>
      </c>
      <c r="D6" s="2">
        <f>D21/mn</f>
        <v>1776.6176</v>
      </c>
      <c r="E6" s="3">
        <f>E21/F21</f>
        <v>0.57022472022985693</v>
      </c>
      <c r="F6" s="3">
        <f>H21/J21</f>
        <v>-0.44340604859620836</v>
      </c>
      <c r="G6" s="3">
        <f>I21/J21</f>
        <v>-0.48648779182813806</v>
      </c>
      <c r="H6" s="2">
        <f>J21/mn</f>
        <v>517.45798400000001</v>
      </c>
      <c r="I6" s="4">
        <f>D21/H21</f>
        <v>-7.7431425533027669</v>
      </c>
      <c r="J6" s="4">
        <f>D21/J21</f>
        <v>3.4333562432771352</v>
      </c>
      <c r="K6" s="5" t="str">
        <f>IF(C21/I21&lt;=0,"n/m",C21/I21)</f>
        <v>n/m</v>
      </c>
      <c r="L6" s="25">
        <f>IF(C21/J21&lt;=0,"n/m",C21/J21)</f>
        <v>4.7160458616095102</v>
      </c>
      <c r="N6" s="31">
        <f>IF(RIGHT(B6,2)="HK",FX!$A$2,IF(OR(RIGHT(B6,2)="SZ",RIGHT(B6,2)="SS"),FX!$B$2,FX!$C$2))</f>
        <v>1</v>
      </c>
      <c r="O6" s="29">
        <f>C6*$N6</f>
        <v>2440.3555839999999</v>
      </c>
      <c r="P6" s="29">
        <f>D6*$N6</f>
        <v>1776.6176</v>
      </c>
      <c r="Q6" s="29">
        <f>H6*$N6</f>
        <v>517.45798400000001</v>
      </c>
    </row>
    <row r="7" spans="1:17" ht="15.5" x14ac:dyDescent="0.4">
      <c r="A7" s="21" t="str">
        <f>NM!A5</f>
        <v>乐普医疗</v>
      </c>
      <c r="B7" s="22" t="str">
        <f t="shared" si="0"/>
        <v>300003.SZ</v>
      </c>
      <c r="C7" s="2">
        <f>C22/mn</f>
        <v>20272.975871999999</v>
      </c>
      <c r="D7" s="2">
        <f>D22/mn</f>
        <v>23392.532480000002</v>
      </c>
      <c r="E7" s="3">
        <f>E22/F22</f>
        <v>0.73545439040890426</v>
      </c>
      <c r="F7" s="3">
        <f>H22/J22</f>
        <v>0.21881543231294173</v>
      </c>
      <c r="G7" s="3">
        <f>I22/J22</f>
        <v>0.10870578755804435</v>
      </c>
      <c r="H7" s="2">
        <f>J22/mn</f>
        <v>6506.1432320000004</v>
      </c>
      <c r="I7" s="4">
        <f>D22/H22</f>
        <v>16.431441807991082</v>
      </c>
      <c r="J7" s="4">
        <f>D22/J22</f>
        <v>3.5954530427405138</v>
      </c>
      <c r="K7" s="5">
        <f>IF(C22/I22&lt;=0,"n/m",C22/I22)</f>
        <v>28.664291830160639</v>
      </c>
      <c r="L7" s="25">
        <f>IF(C22/J22&lt;=0,"n/m",C22/J22)</f>
        <v>3.1159744181912288</v>
      </c>
      <c r="N7" s="31">
        <f>IF(RIGHT(B7,2)="HK",FX!$A$2,IF(OR(RIGHT(B7,2)="SZ",RIGHT(B7,2)="SS"),FX!$B$2,FX!$C$2))</f>
        <v>1.06</v>
      </c>
      <c r="O7" s="29">
        <f>C7*$N7</f>
        <v>21489.354424320001</v>
      </c>
      <c r="P7" s="29">
        <f>D7*$N7</f>
        <v>24796.084428800004</v>
      </c>
      <c r="Q7" s="29">
        <f>H7*$N7</f>
        <v>6896.5118259200008</v>
      </c>
    </row>
    <row r="8" spans="1:17" ht="15.5" x14ac:dyDescent="0.4">
      <c r="A8" s="21" t="str">
        <f>NM!A6</f>
        <v>佰仁医疗</v>
      </c>
      <c r="B8" s="22" t="str">
        <f t="shared" si="0"/>
        <v>688198.SS</v>
      </c>
      <c r="C8" s="2">
        <f>C23/mn</f>
        <v>15173.905408000001</v>
      </c>
      <c r="D8" s="2">
        <f>D23/mn</f>
        <v>14724.919296</v>
      </c>
      <c r="E8" s="3">
        <f>E23/F23</f>
        <v>0.70722044923434502</v>
      </c>
      <c r="F8" s="3">
        <f>H23/J23</f>
        <v>0.24267697682431649</v>
      </c>
      <c r="G8" s="3">
        <f>I23/J23</f>
        <v>0.25532808909632498</v>
      </c>
      <c r="H8" s="2">
        <f>J23/mn</f>
        <v>405.57129600000002</v>
      </c>
      <c r="I8" s="4">
        <f>D23/H23</f>
        <v>149.6087990004269</v>
      </c>
      <c r="J8" s="4">
        <f>D23/J23</f>
        <v>36.306611047740418</v>
      </c>
      <c r="K8" s="5">
        <f>IF(C23/I23&lt;=0,"n/m",C23/I23)</f>
        <v>146.53169283768244</v>
      </c>
      <c r="L8" s="25">
        <f>IF(C23/J23&lt;=0,"n/m",C23/J23)</f>
        <v>37.413657124295106</v>
      </c>
      <c r="N8" s="31">
        <f>IF(RIGHT(B8,2)="HK",FX!$A$2,IF(OR(RIGHT(B8,2)="SZ",RIGHT(B8,2)="SS"),FX!$B$2,FX!$C$2))</f>
        <v>1.06</v>
      </c>
      <c r="O8" s="29">
        <f>C8*$N8</f>
        <v>16084.339732480001</v>
      </c>
      <c r="P8" s="29">
        <f>D8*$N8</f>
        <v>15608.41445376</v>
      </c>
      <c r="Q8" s="29">
        <f>H8*$N8</f>
        <v>429.90557376000004</v>
      </c>
    </row>
    <row r="9" spans="1:17" ht="15.5" x14ac:dyDescent="0.4">
      <c r="A9" s="21" t="str">
        <f>NM!A7</f>
        <v>健世科技</v>
      </c>
      <c r="B9" s="22" t="str">
        <f t="shared" si="0"/>
        <v>9877.HK</v>
      </c>
      <c r="C9" s="2">
        <f>C24/mn</f>
        <v>1668.668032</v>
      </c>
      <c r="D9" s="2">
        <f>D24/mn</f>
        <v>923.27987199999995</v>
      </c>
      <c r="E9" s="3">
        <f t="shared" ref="E9" si="1">E24/F24</f>
        <v>0.18331440778830344</v>
      </c>
      <c r="F9" s="3" t="e">
        <f t="shared" ref="F9" si="2">H24/J24</f>
        <v>#VALUE!</v>
      </c>
      <c r="G9" s="3" t="e">
        <f t="shared" ref="G9" si="3">I24/J24</f>
        <v>#VALUE!</v>
      </c>
      <c r="H9" s="2" t="e">
        <f>J24/mn</f>
        <v>#VALUE!</v>
      </c>
      <c r="I9" s="4">
        <f t="shared" ref="I9" si="4">D24/H24</f>
        <v>-2.8223981794220854</v>
      </c>
      <c r="J9" s="4" t="e">
        <f t="shared" ref="J9" si="5">D24/J24</f>
        <v>#VALUE!</v>
      </c>
      <c r="K9" s="5" t="str">
        <f t="shared" ref="K9" si="6">IF(C24/I24&lt;=0,"n/m",C24/I24)</f>
        <v>n/m</v>
      </c>
      <c r="L9" s="25" t="e">
        <f t="shared" ref="L9" si="7">IF(C24/J24&lt;=0,"n/m",C24/J24)</f>
        <v>#VALUE!</v>
      </c>
      <c r="N9" s="31">
        <f>IF(RIGHT(B9,2)="HK",FX!$A$2,IF(OR(RIGHT(B9,2)="SZ",RIGHT(B9,2)="SS"),FX!$B$2,FX!$C$2))</f>
        <v>1</v>
      </c>
      <c r="O9" s="29">
        <f t="shared" ref="O9:P9" si="8">C9*$N9</f>
        <v>1668.668032</v>
      </c>
      <c r="P9" s="29">
        <f t="shared" si="8"/>
        <v>923.27987199999995</v>
      </c>
      <c r="Q9" s="29" t="e">
        <f t="shared" ref="Q9" si="9">H9*$N9</f>
        <v>#VALUE!</v>
      </c>
    </row>
    <row r="10" spans="1:17" ht="15.5" x14ac:dyDescent="0.4">
      <c r="A10" s="9"/>
      <c r="B10" s="2"/>
      <c r="C10" s="2"/>
      <c r="D10" s="3"/>
      <c r="E10" s="3"/>
      <c r="F10" s="3"/>
      <c r="G10" s="2"/>
      <c r="H10" s="4"/>
      <c r="I10" s="4"/>
      <c r="J10" s="5"/>
    </row>
    <row r="11" spans="1:17" ht="15.5" x14ac:dyDescent="0.4">
      <c r="A11" s="9"/>
      <c r="B11" s="2"/>
      <c r="C11" s="2"/>
      <c r="D11" s="3"/>
      <c r="E11" s="3"/>
      <c r="F11" s="3"/>
      <c r="G11" s="2"/>
      <c r="H11" s="4"/>
      <c r="I11" s="4"/>
      <c r="J11" s="5"/>
    </row>
    <row r="12" spans="1:17" ht="15.5" x14ac:dyDescent="0.4">
      <c r="A12" s="9"/>
      <c r="B12" s="2"/>
      <c r="C12" s="2"/>
      <c r="D12" s="3"/>
      <c r="E12" s="3"/>
      <c r="F12" s="3"/>
      <c r="G12" s="2"/>
      <c r="H12" s="4"/>
      <c r="I12" s="4"/>
      <c r="J12" s="5"/>
    </row>
    <row r="13" spans="1:17" x14ac:dyDescent="0.35">
      <c r="A13" s="15" t="s">
        <v>19</v>
      </c>
      <c r="B13" s="15"/>
      <c r="C13" s="15"/>
      <c r="D13" s="15"/>
      <c r="E13" s="16">
        <f>AVERAGE(E4:E12)</f>
        <v>0.604718787410509</v>
      </c>
      <c r="F13" s="16" t="e">
        <f>AVERAGE(F4:F12)</f>
        <v>#VALUE!</v>
      </c>
      <c r="G13" s="15"/>
      <c r="H13" s="17" t="e">
        <f>AVERAGE(H4:H12)</f>
        <v>#VALUE!</v>
      </c>
      <c r="I13" s="17" t="e">
        <f>AVERAGE(I4:I12)</f>
        <v>#VALUE!</v>
      </c>
      <c r="J13" s="17" t="e">
        <f>AVERAGE(J4:J12)</f>
        <v>#VALUE!</v>
      </c>
      <c r="K13" s="17" t="e">
        <f t="shared" ref="K13" si="10">AVERAGE(K4:K12)</f>
        <v>#VALUE!</v>
      </c>
    </row>
    <row r="14" spans="1:17" x14ac:dyDescent="0.35">
      <c r="A14" s="18" t="s">
        <v>20</v>
      </c>
      <c r="B14" s="18"/>
      <c r="C14" s="18"/>
      <c r="D14" s="18"/>
      <c r="E14" s="19">
        <f>MEDIAN(E4:E12)</f>
        <v>0.63872258473210097</v>
      </c>
      <c r="F14" s="19" t="e">
        <f>MEDIAN(F4:F12)</f>
        <v>#VALUE!</v>
      </c>
      <c r="G14" s="18"/>
      <c r="H14" s="20" t="e">
        <f>MEDIAN(H4:H12)</f>
        <v>#VALUE!</v>
      </c>
      <c r="I14" s="20" t="e">
        <f t="shared" ref="I14:K14" si="11">MEDIAN(I4:I12)</f>
        <v>#VALUE!</v>
      </c>
      <c r="J14" s="20" t="e">
        <f t="shared" si="11"/>
        <v>#VALUE!</v>
      </c>
      <c r="K14" s="20" t="e">
        <f t="shared" si="11"/>
        <v>#VALUE!</v>
      </c>
    </row>
    <row r="17" spans="1:10" x14ac:dyDescent="0.35">
      <c r="A17" s="1" t="s">
        <v>21</v>
      </c>
    </row>
    <row r="18" spans="1:10" x14ac:dyDescent="0.35">
      <c r="A18" t="s">
        <v>0</v>
      </c>
      <c r="B18" t="s">
        <v>1</v>
      </c>
      <c r="C18" t="s">
        <v>2</v>
      </c>
      <c r="D18" t="s">
        <v>3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4</v>
      </c>
    </row>
    <row r="19" spans="1:10" x14ac:dyDescent="0.35">
      <c r="B19" t="s">
        <v>72</v>
      </c>
      <c r="C19" t="s">
        <v>83</v>
      </c>
      <c r="D19" t="s">
        <v>83</v>
      </c>
      <c r="E19">
        <v>5.6199998855590803</v>
      </c>
      <c r="F19">
        <v>5.6199998855590803</v>
      </c>
      <c r="G19">
        <v>100</v>
      </c>
      <c r="H19" t="s">
        <v>83</v>
      </c>
      <c r="I19" t="s">
        <v>83</v>
      </c>
      <c r="J19" t="s">
        <v>83</v>
      </c>
    </row>
    <row r="20" spans="1:10" x14ac:dyDescent="0.35">
      <c r="B20" t="s">
        <v>73</v>
      </c>
      <c r="C20">
        <v>1712577664</v>
      </c>
      <c r="D20">
        <v>301212832</v>
      </c>
      <c r="E20">
        <v>0.69999998807907104</v>
      </c>
      <c r="F20">
        <v>1.62000000476837</v>
      </c>
      <c r="G20">
        <v>43.209875680164402</v>
      </c>
      <c r="H20">
        <v>-258064000</v>
      </c>
      <c r="I20">
        <v>-348592992</v>
      </c>
      <c r="J20">
        <v>382911008</v>
      </c>
    </row>
    <row r="21" spans="1:10" x14ac:dyDescent="0.35">
      <c r="B21" t="s">
        <v>74</v>
      </c>
      <c r="C21">
        <v>2440355584</v>
      </c>
      <c r="D21">
        <v>1776617600</v>
      </c>
      <c r="E21">
        <v>4.0599999427795401</v>
      </c>
      <c r="F21">
        <v>7.1199998855590803</v>
      </c>
      <c r="G21">
        <v>57.022472022985603</v>
      </c>
      <c r="H21">
        <v>-229444000</v>
      </c>
      <c r="I21">
        <v>-251736992</v>
      </c>
      <c r="J21">
        <v>517457984</v>
      </c>
    </row>
    <row r="22" spans="1:10" x14ac:dyDescent="0.35">
      <c r="B22" t="s">
        <v>75</v>
      </c>
      <c r="C22">
        <v>20272975872</v>
      </c>
      <c r="D22">
        <v>23392532480</v>
      </c>
      <c r="E22">
        <v>11.699999809265099</v>
      </c>
      <c r="F22">
        <v>15.9085321426391</v>
      </c>
      <c r="G22">
        <v>73.545439040890301</v>
      </c>
      <c r="H22">
        <v>1423644544</v>
      </c>
      <c r="I22">
        <v>707255424</v>
      </c>
      <c r="J22">
        <v>6506143232</v>
      </c>
    </row>
    <row r="23" spans="1:10" x14ac:dyDescent="0.35">
      <c r="B23" t="s">
        <v>82</v>
      </c>
      <c r="C23">
        <v>15173905408</v>
      </c>
      <c r="D23">
        <v>14724919296</v>
      </c>
      <c r="E23">
        <v>110.680000305175</v>
      </c>
      <c r="F23">
        <v>156.5</v>
      </c>
      <c r="G23">
        <v>70.722044923435007</v>
      </c>
      <c r="H23">
        <v>98422816</v>
      </c>
      <c r="I23">
        <v>103553744</v>
      </c>
      <c r="J23">
        <v>405571296</v>
      </c>
    </row>
    <row r="24" spans="1:10" x14ac:dyDescent="0.35">
      <c r="B24" t="s">
        <v>76</v>
      </c>
      <c r="C24">
        <v>1668668032</v>
      </c>
      <c r="D24">
        <v>923279872</v>
      </c>
      <c r="E24">
        <v>3.2300000190734801</v>
      </c>
      <c r="F24">
        <v>17.620000839233398</v>
      </c>
      <c r="G24">
        <v>18.331440778830299</v>
      </c>
      <c r="H24">
        <v>-327126016</v>
      </c>
      <c r="I24">
        <v>-298243008</v>
      </c>
      <c r="J24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E794-6D0A-44EC-BD8B-091F24CEF9BE}">
  <dimension ref="A1:C7"/>
  <sheetViews>
    <sheetView workbookViewId="0">
      <selection activeCell="A5" sqref="A5"/>
    </sheetView>
  </sheetViews>
  <sheetFormatPr defaultRowHeight="14.5" x14ac:dyDescent="0.35"/>
  <cols>
    <col min="1" max="1" width="18.26953125" bestFit="1" customWidth="1"/>
    <col min="2" max="2" width="18" bestFit="1" customWidth="1"/>
    <col min="3" max="3" width="9.26953125" bestFit="1" customWidth="1"/>
  </cols>
  <sheetData>
    <row r="1" spans="1:3" x14ac:dyDescent="0.35">
      <c r="A1" s="1" t="s">
        <v>41</v>
      </c>
      <c r="B1" s="1" t="s">
        <v>42</v>
      </c>
      <c r="C1" s="1" t="s">
        <v>1</v>
      </c>
    </row>
    <row r="2" spans="1:3" x14ac:dyDescent="0.35">
      <c r="A2" t="s">
        <v>77</v>
      </c>
      <c r="B2" t="str">
        <f>A2</f>
        <v>启明医疗</v>
      </c>
      <c r="C2" t="s">
        <v>72</v>
      </c>
    </row>
    <row r="3" spans="1:3" x14ac:dyDescent="0.35">
      <c r="A3" t="s">
        <v>78</v>
      </c>
      <c r="B3" t="str">
        <f t="shared" ref="B3:B7" si="0">A3</f>
        <v>心通医疗</v>
      </c>
      <c r="C3" t="s">
        <v>73</v>
      </c>
    </row>
    <row r="4" spans="1:3" x14ac:dyDescent="0.35">
      <c r="A4" t="s">
        <v>86</v>
      </c>
      <c r="B4" t="str">
        <f t="shared" si="0"/>
        <v>沛嘉医疗</v>
      </c>
      <c r="C4" t="s">
        <v>74</v>
      </c>
    </row>
    <row r="5" spans="1:3" x14ac:dyDescent="0.35">
      <c r="A5" t="s">
        <v>79</v>
      </c>
      <c r="B5" t="str">
        <f t="shared" si="0"/>
        <v>乐普医疗</v>
      </c>
      <c r="C5" t="s">
        <v>75</v>
      </c>
    </row>
    <row r="6" spans="1:3" x14ac:dyDescent="0.35">
      <c r="A6" t="s">
        <v>80</v>
      </c>
      <c r="B6" t="str">
        <f t="shared" si="0"/>
        <v>佰仁医疗</v>
      </c>
      <c r="C6" t="s">
        <v>82</v>
      </c>
    </row>
    <row r="7" spans="1:3" x14ac:dyDescent="0.35">
      <c r="A7" t="s">
        <v>81</v>
      </c>
      <c r="B7" t="str">
        <f t="shared" si="0"/>
        <v>健世科技</v>
      </c>
      <c r="C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EB0E-EE23-4182-A612-F032926EE9D8}">
  <dimension ref="A1:C2"/>
  <sheetViews>
    <sheetView workbookViewId="0"/>
  </sheetViews>
  <sheetFormatPr defaultRowHeight="14.5" x14ac:dyDescent="0.35"/>
  <sheetData>
    <row r="1" spans="1:3" x14ac:dyDescent="0.35">
      <c r="A1" t="s">
        <v>71</v>
      </c>
      <c r="B1" t="s">
        <v>84</v>
      </c>
      <c r="C1" t="s">
        <v>85</v>
      </c>
    </row>
    <row r="2" spans="1:3" x14ac:dyDescent="0.35">
      <c r="A2">
        <v>1</v>
      </c>
      <c r="B2">
        <v>1.06</v>
      </c>
      <c r="C2">
        <v>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NF_output</vt:lpstr>
      <vt:lpstr>NF</vt:lpstr>
      <vt:lpstr>WSK_output</vt:lpstr>
      <vt:lpstr>WSK</vt:lpstr>
      <vt:lpstr>NM_output</vt:lpstr>
      <vt:lpstr>NM</vt:lpstr>
      <vt:lpstr>FX</vt:lpstr>
      <vt:lpstr>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 ZHAO</dc:creator>
  <cp:keywords/>
  <dc:description/>
  <cp:lastModifiedBy>Allen ZHAO</cp:lastModifiedBy>
  <cp:revision/>
  <dcterms:created xsi:type="dcterms:W3CDTF">2025-01-03T08:22:30Z</dcterms:created>
  <dcterms:modified xsi:type="dcterms:W3CDTF">2025-01-20T06:54:09Z</dcterms:modified>
  <cp:category/>
  <cp:contentStatus/>
</cp:coreProperties>
</file>