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120" windowHeight="11040" firstSheet="1" activeTab="1"/>
  </bookViews>
  <sheets>
    <sheet name="BSC DL TRAN YEN " sheetId="34" r:id="rId1"/>
    <sheet name=" KPI GIAM DOC" sheetId="27" r:id="rId2"/>
  </sheets>
  <definedNames>
    <definedName name="_Fill" hidden="1">#REF!</definedName>
    <definedName name="Company2013" hidden="1">#REF!</definedName>
    <definedName name="sdfs" hidden="1">#REF!</definedName>
    <definedName name="SFF" hidden="1">#REF!</definedName>
  </definedNames>
  <calcPr calcId="144525"/>
</workbook>
</file>

<file path=xl/calcChain.xml><?xml version="1.0" encoding="utf-8"?>
<calcChain xmlns="http://schemas.openxmlformats.org/spreadsheetml/2006/main">
  <c r="Y173" i="27" l="1"/>
  <c r="Y174" i="27"/>
  <c r="Y175" i="27"/>
  <c r="Y176"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Y56" i="27"/>
  <c r="Y57" i="27"/>
  <c r="Y58" i="27"/>
  <c r="Y59" i="27"/>
  <c r="Y60" i="27"/>
  <c r="Y61" i="27"/>
  <c r="Y62" i="27"/>
  <c r="Y63" i="27"/>
  <c r="Y64" i="27"/>
  <c r="Y65" i="27"/>
  <c r="Y66" i="27"/>
  <c r="Y67" i="27"/>
  <c r="Y68" i="27"/>
  <c r="Y69" i="27"/>
  <c r="Y70" i="27"/>
  <c r="Y71" i="27"/>
  <c r="Y72" i="27"/>
  <c r="Y73" i="27"/>
  <c r="Y74" i="27"/>
  <c r="Y75" i="27"/>
  <c r="Y76" i="27"/>
  <c r="Y77" i="27"/>
  <c r="Y78" i="27"/>
  <c r="Y79" i="27"/>
  <c r="Y80" i="27"/>
  <c r="Y81" i="27"/>
  <c r="Y82" i="27"/>
  <c r="Y83" i="27"/>
  <c r="Y84" i="27"/>
  <c r="Y85" i="27"/>
  <c r="Y86" i="27"/>
  <c r="Y87" i="27"/>
  <c r="Y88" i="27"/>
  <c r="Y89" i="27"/>
  <c r="Y90" i="27"/>
  <c r="Y91" i="27"/>
  <c r="Y92" i="27"/>
  <c r="Y93" i="27"/>
  <c r="Y94" i="27"/>
  <c r="Y95" i="27"/>
  <c r="Y96" i="27"/>
  <c r="Y97" i="27"/>
  <c r="Y98" i="27"/>
  <c r="Y99" i="27"/>
  <c r="Y100" i="27"/>
  <c r="Y101" i="27"/>
  <c r="Y102" i="27"/>
  <c r="Y103" i="27"/>
  <c r="Y104" i="27"/>
  <c r="Y105" i="27"/>
  <c r="Y106" i="27"/>
  <c r="Y107" i="27"/>
  <c r="Y108" i="27"/>
  <c r="Y109" i="27"/>
  <c r="Y110" i="27"/>
  <c r="Y111" i="27"/>
  <c r="Y112" i="27"/>
  <c r="Y113" i="27"/>
  <c r="Y114" i="27"/>
  <c r="Y115" i="27"/>
  <c r="Y116" i="27"/>
  <c r="Y117" i="27"/>
  <c r="Y118" i="27"/>
  <c r="Y119" i="27"/>
  <c r="Y120" i="27"/>
  <c r="Y121" i="27"/>
  <c r="Y122" i="27"/>
  <c r="Y123" i="27"/>
  <c r="Y124" i="27"/>
  <c r="Y125" i="27"/>
  <c r="Y126" i="27"/>
  <c r="Y127" i="27"/>
  <c r="Y128" i="27"/>
  <c r="Y129" i="27"/>
  <c r="Y130" i="27"/>
  <c r="Y131" i="27"/>
  <c r="Y132" i="27"/>
  <c r="Y133" i="27"/>
  <c r="Y134" i="27"/>
  <c r="Y135" i="27"/>
  <c r="Y136" i="27"/>
  <c r="Y137" i="27"/>
  <c r="Y138" i="27"/>
  <c r="Y139" i="27"/>
  <c r="Y140" i="27"/>
  <c r="Y141" i="27"/>
  <c r="Y142" i="27"/>
  <c r="Y143" i="27"/>
  <c r="Y144" i="27"/>
  <c r="Y145" i="27"/>
  <c r="Y146" i="27"/>
  <c r="Y147" i="27"/>
  <c r="Y148" i="27"/>
  <c r="Y149" i="27"/>
  <c r="Y150" i="27"/>
  <c r="Y151" i="27"/>
  <c r="Y152" i="27"/>
  <c r="Y153" i="27"/>
  <c r="Y154" i="27"/>
  <c r="Y155" i="27"/>
  <c r="Y156" i="27"/>
  <c r="Y157" i="27"/>
  <c r="Y158" i="27"/>
  <c r="Y159" i="27"/>
  <c r="Y160" i="27"/>
  <c r="Y161" i="27"/>
  <c r="Y162" i="27"/>
  <c r="Y163" i="27"/>
  <c r="Y164" i="27"/>
  <c r="Y165" i="27"/>
  <c r="Y166" i="27"/>
  <c r="Y167" i="27"/>
  <c r="Y168" i="27"/>
  <c r="Y169" i="27"/>
  <c r="Y170" i="27"/>
  <c r="Y171" i="27"/>
  <c r="Y172" i="27"/>
  <c r="Y12" i="27"/>
  <c r="R68" i="27"/>
  <c r="Q149" i="27" l="1"/>
  <c r="R149" i="27" s="1"/>
  <c r="V68" i="27" l="1"/>
  <c r="U167" i="27" l="1"/>
  <c r="V167" i="27" s="1"/>
  <c r="U166" i="27"/>
  <c r="V166" i="27" s="1"/>
  <c r="V165" i="27"/>
  <c r="U164" i="27"/>
  <c r="V164" i="27" s="1"/>
  <c r="V163" i="27"/>
  <c r="V162" i="27"/>
  <c r="V161" i="27"/>
  <c r="V160" i="27"/>
  <c r="V154" i="27"/>
  <c r="V153" i="27"/>
  <c r="V151" i="27"/>
  <c r="V150" i="27"/>
  <c r="U149" i="27"/>
  <c r="V149" i="27" s="1"/>
  <c r="V145" i="27"/>
  <c r="V140" i="27"/>
  <c r="V139" i="27"/>
  <c r="V138" i="27"/>
  <c r="V132" i="27"/>
  <c r="V131" i="27"/>
  <c r="V130" i="27"/>
  <c r="V128" i="27"/>
  <c r="V126" i="27"/>
  <c r="V125" i="27"/>
  <c r="V124" i="27"/>
  <c r="V122" i="27"/>
  <c r="V121" i="27"/>
  <c r="V118" i="27"/>
  <c r="V117" i="27"/>
  <c r="V116" i="27"/>
  <c r="V115" i="27"/>
  <c r="V114" i="27"/>
  <c r="V113" i="27"/>
  <c r="V112" i="27"/>
  <c r="V111" i="27"/>
  <c r="V110" i="27"/>
  <c r="V109" i="27"/>
  <c r="V108" i="27"/>
  <c r="V107" i="27"/>
  <c r="V106" i="27"/>
  <c r="V105" i="27"/>
  <c r="V104" i="27"/>
  <c r="U95" i="27"/>
  <c r="V95" i="27" s="1"/>
  <c r="V93" i="27"/>
  <c r="V92" i="27"/>
  <c r="V91" i="27"/>
  <c r="V90" i="27"/>
  <c r="V89" i="27"/>
  <c r="V88" i="27"/>
  <c r="V87" i="27"/>
  <c r="V85" i="27"/>
  <c r="V84" i="27"/>
  <c r="V83" i="27"/>
  <c r="V82" i="27"/>
  <c r="V81" i="27"/>
  <c r="V80" i="27"/>
  <c r="V79" i="27"/>
  <c r="V74" i="27"/>
  <c r="V73" i="27"/>
  <c r="V72" i="27"/>
  <c r="V71" i="27"/>
  <c r="V70" i="27"/>
  <c r="V69" i="27"/>
  <c r="V67" i="27"/>
  <c r="V66" i="27"/>
  <c r="V65" i="27"/>
  <c r="V64" i="27"/>
  <c r="V63" i="27"/>
  <c r="V62" i="27"/>
  <c r="V61" i="27"/>
  <c r="V60" i="27"/>
  <c r="V58" i="27"/>
  <c r="V57" i="27"/>
  <c r="V56" i="27"/>
  <c r="V53" i="27"/>
  <c r="V52" i="27"/>
  <c r="V51" i="27"/>
  <c r="V50" i="27"/>
  <c r="V49" i="27"/>
  <c r="V48" i="27"/>
  <c r="V47" i="27"/>
  <c r="V46" i="27"/>
  <c r="W46" i="27" s="1"/>
  <c r="V45" i="27"/>
  <c r="W45" i="27" s="1"/>
  <c r="V44" i="27"/>
  <c r="W44" i="27" s="1"/>
  <c r="V43" i="27"/>
  <c r="W43" i="27" s="1"/>
  <c r="V42" i="27"/>
  <c r="W42" i="27" s="1"/>
  <c r="V41" i="27"/>
  <c r="V40" i="27"/>
  <c r="U35" i="27"/>
  <c r="V35" i="27" s="1"/>
  <c r="V32" i="27"/>
  <c r="U26" i="27"/>
  <c r="V26" i="27" s="1"/>
  <c r="V25" i="27"/>
  <c r="U25" i="27"/>
  <c r="U24" i="27"/>
  <c r="V24" i="27" s="1"/>
  <c r="U23" i="27"/>
  <c r="V23" i="27" s="1"/>
  <c r="U22" i="27"/>
  <c r="V22" i="27" s="1"/>
  <c r="U19" i="27"/>
  <c r="V19" i="27" s="1"/>
  <c r="U15" i="27"/>
  <c r="V15" i="27" s="1"/>
  <c r="U14" i="27"/>
  <c r="V14" i="27" s="1"/>
  <c r="U13" i="27"/>
  <c r="V13" i="27" s="1"/>
  <c r="U12" i="27"/>
  <c r="V12" i="27" s="1"/>
  <c r="R35" i="27" l="1"/>
  <c r="R14" i="27"/>
  <c r="R64" i="27"/>
  <c r="R23" i="27"/>
  <c r="R26" i="27" l="1"/>
  <c r="R25" i="27"/>
  <c r="R22" i="27"/>
  <c r="R19" i="27"/>
  <c r="R15" i="27"/>
  <c r="R12" i="27"/>
  <c r="R13" i="27"/>
  <c r="O168" i="27"/>
  <c r="W168" i="27" s="1"/>
  <c r="O167" i="27"/>
  <c r="W167" i="27" s="1"/>
  <c r="O166" i="27"/>
  <c r="W166" i="27" s="1"/>
  <c r="O165" i="27"/>
  <c r="W165" i="27" s="1"/>
  <c r="O164" i="27"/>
  <c r="W164" i="27" s="1"/>
  <c r="O163" i="27"/>
  <c r="W163" i="27" s="1"/>
  <c r="O162" i="27"/>
  <c r="W162" i="27" s="1"/>
  <c r="O161" i="27"/>
  <c r="W161" i="27" s="1"/>
  <c r="O160" i="27"/>
  <c r="W160" i="27" s="1"/>
  <c r="S167" i="27"/>
  <c r="O131" i="27"/>
  <c r="W131" i="27" s="1"/>
  <c r="O25" i="27"/>
  <c r="W25" i="27" s="1"/>
  <c r="B27" i="34"/>
  <c r="E26" i="34"/>
  <c r="K25" i="34"/>
  <c r="E24" i="34"/>
  <c r="K23" i="34"/>
  <c r="K22" i="34"/>
  <c r="K21" i="34"/>
  <c r="K20" i="34"/>
  <c r="K19" i="34"/>
  <c r="K18" i="34"/>
  <c r="K17" i="34"/>
  <c r="K16" i="34"/>
  <c r="K15" i="34"/>
  <c r="K14" i="34"/>
  <c r="K13" i="34"/>
  <c r="E12" i="34"/>
  <c r="K11" i="34"/>
  <c r="E10" i="34"/>
  <c r="K9" i="34"/>
  <c r="K8" i="34"/>
  <c r="K7" i="34"/>
  <c r="K6" i="34"/>
  <c r="O172" i="27"/>
  <c r="W172" i="27" s="1"/>
  <c r="O171" i="27"/>
  <c r="W171" i="27" s="1"/>
  <c r="O157" i="27"/>
  <c r="O154" i="27"/>
  <c r="O153" i="27"/>
  <c r="W153" i="27" s="1"/>
  <c r="O151" i="27"/>
  <c r="W151" i="27" s="1"/>
  <c r="O150" i="27"/>
  <c r="W150" i="27" s="1"/>
  <c r="O149" i="27"/>
  <c r="W149" i="27" s="1"/>
  <c r="O155" i="27"/>
  <c r="O147" i="27"/>
  <c r="O146" i="27"/>
  <c r="O145" i="27"/>
  <c r="O140" i="27"/>
  <c r="W140" i="27" s="1"/>
  <c r="O139" i="27"/>
  <c r="W139" i="27" s="1"/>
  <c r="O138" i="27"/>
  <c r="W138" i="27" s="1"/>
  <c r="O136" i="27"/>
  <c r="O137" i="27"/>
  <c r="O132" i="27"/>
  <c r="W132" i="27" s="1"/>
  <c r="O130" i="27"/>
  <c r="W130" i="27" s="1"/>
  <c r="O128" i="27"/>
  <c r="W128" i="27" s="1"/>
  <c r="O126" i="27"/>
  <c r="W126" i="27" s="1"/>
  <c r="O124" i="27"/>
  <c r="W124" i="27" s="1"/>
  <c r="O125" i="27"/>
  <c r="W125" i="27" s="1"/>
  <c r="O122" i="27"/>
  <c r="W122" i="27" s="1"/>
  <c r="O121" i="27"/>
  <c r="W121" i="27" s="1"/>
  <c r="O118" i="27"/>
  <c r="W118" i="27" s="1"/>
  <c r="O114" i="27"/>
  <c r="W114" i="27" s="1"/>
  <c r="O110" i="27"/>
  <c r="W110" i="27" s="1"/>
  <c r="O109" i="27"/>
  <c r="W109" i="27" s="1"/>
  <c r="O104" i="27"/>
  <c r="W104" i="27" s="1"/>
  <c r="O117" i="27"/>
  <c r="W117" i="27" s="1"/>
  <c r="O116" i="27"/>
  <c r="W116" i="27" s="1"/>
  <c r="O115" i="27"/>
  <c r="W115" i="27" s="1"/>
  <c r="O113" i="27"/>
  <c r="W113" i="27" s="1"/>
  <c r="O112" i="27"/>
  <c r="W112" i="27" s="1"/>
  <c r="O111" i="27"/>
  <c r="W111" i="27" s="1"/>
  <c r="O108" i="27"/>
  <c r="W108" i="27" s="1"/>
  <c r="O107" i="27"/>
  <c r="W107" i="27" s="1"/>
  <c r="O106" i="27"/>
  <c r="W106" i="27" s="1"/>
  <c r="O105" i="27"/>
  <c r="W105" i="27" s="1"/>
  <c r="O95" i="27"/>
  <c r="W95" i="27" s="1"/>
  <c r="O93" i="27"/>
  <c r="W93" i="27" s="1"/>
  <c r="O87" i="27"/>
  <c r="W87" i="27" s="1"/>
  <c r="O94" i="27"/>
  <c r="O92" i="27"/>
  <c r="W92" i="27" s="1"/>
  <c r="O91" i="27"/>
  <c r="W91" i="27" s="1"/>
  <c r="O90" i="27"/>
  <c r="W90" i="27" s="1"/>
  <c r="O89" i="27"/>
  <c r="W89" i="27" s="1"/>
  <c r="O88" i="27"/>
  <c r="W88" i="27" s="1"/>
  <c r="O85" i="27"/>
  <c r="W85" i="27" s="1"/>
  <c r="O84" i="27"/>
  <c r="W84" i="27" s="1"/>
  <c r="O83" i="27"/>
  <c r="W83" i="27" s="1"/>
  <c r="O79" i="27"/>
  <c r="W79" i="27" s="1"/>
  <c r="O82" i="27"/>
  <c r="W82" i="27" s="1"/>
  <c r="O81" i="27"/>
  <c r="W81" i="27" s="1"/>
  <c r="O80" i="27"/>
  <c r="W80" i="27" s="1"/>
  <c r="O74" i="27"/>
  <c r="W74" i="27" s="1"/>
  <c r="O71" i="27"/>
  <c r="W71" i="27" s="1"/>
  <c r="O68" i="27"/>
  <c r="W68" i="27" s="1"/>
  <c r="O64" i="27"/>
  <c r="W64" i="27" s="1"/>
  <c r="O60" i="27"/>
  <c r="W60" i="27" s="1"/>
  <c r="O73" i="27"/>
  <c r="W73" i="27" s="1"/>
  <c r="O72" i="27"/>
  <c r="W72" i="27" s="1"/>
  <c r="O70" i="27"/>
  <c r="W70" i="27" s="1"/>
  <c r="O69" i="27"/>
  <c r="W69" i="27" s="1"/>
  <c r="O67" i="27"/>
  <c r="W67" i="27" s="1"/>
  <c r="O66" i="27"/>
  <c r="W66" i="27" s="1"/>
  <c r="O65" i="27"/>
  <c r="W65" i="27" s="1"/>
  <c r="O63" i="27"/>
  <c r="W63" i="27" s="1"/>
  <c r="O62" i="27"/>
  <c r="W62" i="27" s="1"/>
  <c r="O61" i="27"/>
  <c r="W61" i="27" s="1"/>
  <c r="O58" i="27"/>
  <c r="W58" i="27" s="1"/>
  <c r="O57" i="27"/>
  <c r="W57" i="27" s="1"/>
  <c r="O56" i="27"/>
  <c r="W56" i="27" s="1"/>
  <c r="O53" i="27"/>
  <c r="W53" i="27" s="1"/>
  <c r="O50" i="27"/>
  <c r="W50" i="27" s="1"/>
  <c r="O47" i="27"/>
  <c r="W47" i="27" s="1"/>
  <c r="O41" i="27"/>
  <c r="O52" i="27"/>
  <c r="W52" i="27" s="1"/>
  <c r="O51" i="27"/>
  <c r="W51" i="27" s="1"/>
  <c r="O49" i="27"/>
  <c r="W49" i="27" s="1"/>
  <c r="O48" i="27"/>
  <c r="W48" i="27" s="1"/>
  <c r="O40" i="27"/>
  <c r="W40" i="27" s="1"/>
  <c r="O26" i="27"/>
  <c r="W26" i="27" s="1"/>
  <c r="O17" i="27"/>
  <c r="O35" i="27"/>
  <c r="W35" i="27" s="1"/>
  <c r="O24" i="27"/>
  <c r="O23" i="27"/>
  <c r="W23" i="27" s="1"/>
  <c r="O22" i="27"/>
  <c r="W22" i="27" s="1"/>
  <c r="O28" i="27"/>
  <c r="O29" i="27"/>
  <c r="W29" i="27" s="1"/>
  <c r="O32" i="27"/>
  <c r="W32" i="27" s="1"/>
  <c r="O34" i="27"/>
  <c r="S34" i="27" s="1"/>
  <c r="O27" i="27"/>
  <c r="O30" i="27"/>
  <c r="O31" i="27"/>
  <c r="O20" i="27"/>
  <c r="O21" i="27"/>
  <c r="O19" i="27"/>
  <c r="W19" i="27" s="1"/>
  <c r="O15" i="27"/>
  <c r="W15" i="27" s="1"/>
  <c r="O14" i="27"/>
  <c r="W14" i="27" s="1"/>
  <c r="O12" i="27"/>
  <c r="W12" i="27" s="1"/>
  <c r="O13" i="27"/>
  <c r="W13" i="27" s="1"/>
  <c r="S131" i="27"/>
  <c r="R137" i="27"/>
  <c r="R157" i="27"/>
  <c r="S149" i="27"/>
  <c r="R146" i="27"/>
  <c r="R147" i="27"/>
  <c r="S140" i="27"/>
  <c r="R136" i="27"/>
  <c r="S128" i="27"/>
  <c r="R125" i="27"/>
  <c r="S125" i="27" s="1"/>
  <c r="R121" i="27"/>
  <c r="R115" i="27"/>
  <c r="R116" i="27"/>
  <c r="S116" i="27" s="1"/>
  <c r="R117" i="27"/>
  <c r="R111" i="27"/>
  <c r="S111" i="27" s="1"/>
  <c r="R112" i="27"/>
  <c r="R113" i="27"/>
  <c r="S113" i="27" s="1"/>
  <c r="S110" i="27"/>
  <c r="R105" i="27"/>
  <c r="R106" i="27"/>
  <c r="S106" i="27" s="1"/>
  <c r="R107" i="27"/>
  <c r="R108" i="27"/>
  <c r="S109" i="27"/>
  <c r="S104" i="27"/>
  <c r="R96" i="27"/>
  <c r="S96" i="27" s="1"/>
  <c r="R97" i="27"/>
  <c r="S97" i="27" s="1"/>
  <c r="R98" i="27"/>
  <c r="S98" i="27" s="1"/>
  <c r="R94" i="27"/>
  <c r="S94" i="27" s="1"/>
  <c r="R88" i="27"/>
  <c r="R89" i="27"/>
  <c r="S89" i="27" s="1"/>
  <c r="R90" i="27"/>
  <c r="R91" i="27"/>
  <c r="R92" i="27"/>
  <c r="R80" i="27"/>
  <c r="R81" i="27"/>
  <c r="R82" i="27"/>
  <c r="S79" i="27"/>
  <c r="R72" i="27"/>
  <c r="R73" i="27"/>
  <c r="R69" i="27"/>
  <c r="S69" i="27" s="1"/>
  <c r="R70" i="27"/>
  <c r="R65" i="27"/>
  <c r="S65" i="27" s="1"/>
  <c r="R66" i="27"/>
  <c r="R67" i="27"/>
  <c r="R61" i="27"/>
  <c r="R62" i="27"/>
  <c r="R63" i="27"/>
  <c r="S60" i="27"/>
  <c r="R51" i="27"/>
  <c r="R52" i="27"/>
  <c r="R48" i="27"/>
  <c r="R49" i="27"/>
  <c r="R50" i="27"/>
  <c r="R45" i="27"/>
  <c r="S45" i="27" s="1"/>
  <c r="R46" i="27"/>
  <c r="S46" i="27" s="1"/>
  <c r="R47" i="27"/>
  <c r="R42" i="27"/>
  <c r="S42" i="27" s="1"/>
  <c r="R43" i="27"/>
  <c r="S43" i="27" s="1"/>
  <c r="R44" i="27"/>
  <c r="S44" i="27" s="1"/>
  <c r="R40" i="27"/>
  <c r="R32" i="27"/>
  <c r="S172" i="27"/>
  <c r="S171" i="27"/>
  <c r="R155" i="27"/>
  <c r="R143" i="27"/>
  <c r="S143" i="27" s="1"/>
  <c r="R142" i="27"/>
  <c r="S142" i="27" s="1"/>
  <c r="R141" i="27"/>
  <c r="S141" i="27" s="1"/>
  <c r="R134" i="27"/>
  <c r="S134" i="27" s="1"/>
  <c r="R133" i="27"/>
  <c r="S133" i="27" s="1"/>
  <c r="R119" i="27"/>
  <c r="S119" i="27" s="1"/>
  <c r="R102" i="27"/>
  <c r="S102" i="27" s="1"/>
  <c r="R101" i="27"/>
  <c r="S101" i="27" s="1"/>
  <c r="R100" i="27"/>
  <c r="S100" i="27" s="1"/>
  <c r="R99" i="27"/>
  <c r="S99" i="27" s="1"/>
  <c r="R77" i="27"/>
  <c r="S77" i="27" s="1"/>
  <c r="R76" i="27"/>
  <c r="S76" i="27" s="1"/>
  <c r="R75" i="27"/>
  <c r="S75" i="27" s="1"/>
  <c r="R54" i="27"/>
  <c r="S54" i="27" s="1"/>
  <c r="R38" i="27"/>
  <c r="S38" i="27" s="1"/>
  <c r="R31" i="27"/>
  <c r="R30" i="27"/>
  <c r="R28" i="27"/>
  <c r="R27" i="27"/>
  <c r="R21" i="27"/>
  <c r="R20" i="27"/>
  <c r="R17" i="27"/>
  <c r="S68" i="27" l="1"/>
  <c r="S87" i="27"/>
  <c r="S90" i="27"/>
  <c r="S112" i="27"/>
  <c r="S84" i="27"/>
  <c r="S27" i="27"/>
  <c r="S67" i="27"/>
  <c r="S82" i="27"/>
  <c r="S93" i="27"/>
  <c r="S130" i="27"/>
  <c r="S81" i="27"/>
  <c r="S114" i="27"/>
  <c r="S117" i="27"/>
  <c r="S124" i="27"/>
  <c r="S24" i="27"/>
  <c r="W24" i="27"/>
  <c r="S41" i="27"/>
  <c r="W41" i="27"/>
  <c r="S145" i="27"/>
  <c r="W145" i="27"/>
  <c r="S154" i="27"/>
  <c r="W154" i="27"/>
  <c r="S22" i="27"/>
  <c r="S168" i="27"/>
  <c r="S163" i="27"/>
  <c r="S153" i="27"/>
  <c r="S56" i="27"/>
  <c r="S12" i="27"/>
  <c r="S30" i="27"/>
  <c r="S26" i="27"/>
  <c r="S122" i="27"/>
  <c r="S29" i="27"/>
  <c r="S139" i="27"/>
  <c r="S23" i="27"/>
  <c r="S28" i="27"/>
  <c r="S155" i="27"/>
  <c r="S32" i="27"/>
  <c r="S48" i="27"/>
  <c r="S62" i="27"/>
  <c r="S105" i="27"/>
  <c r="S13" i="27"/>
  <c r="K26" i="34"/>
  <c r="S66" i="27"/>
  <c r="S40" i="27"/>
  <c r="S19" i="27"/>
  <c r="S136" i="27"/>
  <c r="S137" i="27"/>
  <c r="S17" i="27"/>
  <c r="S52" i="27"/>
  <c r="S53" i="27"/>
  <c r="S61" i="27"/>
  <c r="S74" i="27"/>
  <c r="S72" i="27"/>
  <c r="S57" i="27"/>
  <c r="S160" i="27"/>
  <c r="S164" i="27"/>
  <c r="S31" i="27"/>
  <c r="S83" i="27"/>
  <c r="S170" i="27"/>
  <c r="S138" i="27"/>
  <c r="S58" i="27"/>
  <c r="S47" i="27"/>
  <c r="S70" i="27"/>
  <c r="S91" i="27"/>
  <c r="S121" i="27"/>
  <c r="S147" i="27"/>
  <c r="S157" i="27"/>
  <c r="S35" i="27"/>
  <c r="S20" i="27"/>
  <c r="S15" i="27"/>
  <c r="S50" i="27"/>
  <c r="S51" i="27"/>
  <c r="S64" i="27"/>
  <c r="S71" i="27"/>
  <c r="S73" i="27"/>
  <c r="S92" i="27"/>
  <c r="S88" i="27"/>
  <c r="S108" i="27"/>
  <c r="S115" i="27"/>
  <c r="S126" i="27"/>
  <c r="S132" i="27"/>
  <c r="S151" i="27"/>
  <c r="S14" i="27"/>
  <c r="S49" i="27"/>
  <c r="S63" i="27"/>
  <c r="S80" i="27"/>
  <c r="S95" i="27"/>
  <c r="S107" i="27"/>
  <c r="S118" i="27"/>
  <c r="S150" i="27"/>
  <c r="S162" i="27"/>
  <c r="S166" i="27"/>
  <c r="S21" i="27"/>
  <c r="S146" i="27"/>
  <c r="S85" i="27"/>
  <c r="S25" i="27"/>
  <c r="S161" i="27"/>
  <c r="S165" i="27"/>
  <c r="W176" i="27" l="1"/>
  <c r="S37" i="27"/>
  <c r="S10" i="27"/>
  <c r="S159" i="27"/>
  <c r="S176" i="27" l="1"/>
  <c r="S177" i="27" s="1"/>
</calcChain>
</file>

<file path=xl/sharedStrings.xml><?xml version="1.0" encoding="utf-8"?>
<sst xmlns="http://schemas.openxmlformats.org/spreadsheetml/2006/main" count="1051" uniqueCount="498">
  <si>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</si>
  <si>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</si>
  <si>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</si>
  <si>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</si>
  <si>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</si>
  <si>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</si>
  <si>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</si>
  <si>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</si>
  <si>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</si>
  <si>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</si>
  <si>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</si>
  <si>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</si>
  <si>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</si>
  <si>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</si>
  <si>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</si>
  <si>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F4</t>
  </si>
  <si>
    <t>C1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</si>
  <si>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</si>
  <si>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</si>
  <si>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</si>
  <si>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</si>
  <si>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</si>
  <si>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</si>
  <si>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</si>
  <si>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</si>
  <si>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</si>
  <si>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</si>
  <si>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</si>
  <si>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</si>
  <si>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</si>
  <si>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</si>
  <si>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</si>
  <si>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</si>
  <si>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</si>
  <si>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</si>
  <si>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</si>
  <si>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</si>
  <si>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</si>
  <si>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</si>
  <si>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</si>
  <si>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</si>
  <si>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</si>
  <si>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</si>
  <si>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</si>
  <si>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</si>
  <si>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</si>
  <si>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</si>
  <si>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</si>
  <si>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</si>
  <si>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</si>
  <si>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</si>
  <si>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</si>
  <si>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</si>
  <si>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</si>
  <si>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</si>
  <si>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</si>
  <si>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</si>
  <si>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</si>
  <si>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CL1</t>
  </si>
  <si>
    <t xml:space="preserve">Lập kế hoạch SXKD dài hạn của Công ty </t>
  </si>
  <si>
    <t>C</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</si>
  <si>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</si>
  <si>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</si>
  <si>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</si>
  <si>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</si>
  <si>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</si>
  <si>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</si>
  <si>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</si>
  <si>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</si>
  <si>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</si>
  <si>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AT2</t>
  </si>
  <si>
    <t>Thực hiện công tác điều tra tai nạn lao động, các vụ cháy nổ lớn, sự cố lưới điện</t>
  </si>
  <si>
    <t>LD.Tổ chức, lao động, tiền lương</t>
  </si>
  <si>
    <t>LD2</t>
  </si>
  <si>
    <t>Công tác cán bộ</t>
  </si>
  <si>
    <t>LD4</t>
  </si>
  <si>
    <t>Công tác lao động, tiền lương</t>
  </si>
  <si>
    <t>HC1</t>
  </si>
  <si>
    <t>Công tác Văn thư</t>
  </si>
  <si>
    <t>CN.Công nghệ thông tin</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</si>
  <si>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</si>
  <si>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</si>
  <si>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</si>
  <si>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</si>
  <si>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</si>
  <si>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</si>
  <si>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</si>
  <si>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</si>
  <si>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PGĐ KD</t>
  </si>
  <si>
    <t>PGĐ KT</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</si>
  <si>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</si>
  <si>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</si>
  <si>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</si>
  <si>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</si>
  <si>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</si>
  <si>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</si>
  <si>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</si>
  <si>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</si>
  <si>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</si>
  <si>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</si>
  <si>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</si>
  <si>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</si>
  <si>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</si>
  <si>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</si>
  <si>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</si>
  <si>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</si>
  <si>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</si>
  <si>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</si>
  <si>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</si>
  <si>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</si>
  <si>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</si>
  <si>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</si>
  <si>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</si>
  <si>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</si>
  <si>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</si>
  <si>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</si>
  <si>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</si>
  <si>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</si>
  <si>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</si>
  <si>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</si>
  <si>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</si>
  <si>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</si>
  <si>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</si>
  <si>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</si>
  <si>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</si>
  <si>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</si>
  <si>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</si>
  <si>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</si>
  <si>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</si>
  <si>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</si>
  <si>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</si>
  <si>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</si>
  <si>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</si>
  <si>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</si>
  <si>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</si>
  <si>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</si>
  <si>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</si>
  <si>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</si>
  <si>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</si>
  <si>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</si>
  <si>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</si>
  <si>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</si>
  <si>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</si>
  <si>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</si>
  <si>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</si>
  <si>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</si>
  <si>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</si>
  <si>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</si>
  <si>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</si>
  <si>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</si>
  <si>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</si>
  <si>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</si>
  <si>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</si>
  <si>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</si>
  <si>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</si>
  <si>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</si>
  <si>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</si>
  <si>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</si>
  <si>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</si>
  <si>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</si>
  <si>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</si>
  <si>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</si>
  <si>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</si>
  <si>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</si>
  <si>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</si>
  <si>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</si>
  <si>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</si>
  <si>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</si>
  <si>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</si>
  <si>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</si>
  <si>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</si>
  <si>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</si>
  <si>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</si>
  <si>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</si>
  <si>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</si>
  <si>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</si>
  <si>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</si>
  <si>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</si>
  <si>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</si>
  <si>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</si>
  <si>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</si>
  <si>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</si>
  <si>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</si>
  <si>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</si>
  <si>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</si>
  <si>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</si>
  <si>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</si>
  <si>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</si>
  <si>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</si>
  <si>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</si>
  <si>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</si>
  <si>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</si>
  <si>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</si>
  <si>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</si>
  <si>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</si>
  <si>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</si>
  <si>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</si>
  <si>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</si>
  <si>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</si>
  <si>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</si>
  <si>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</si>
  <si>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</si>
  <si>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</si>
  <si>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</si>
  <si>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</si>
  <si>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</si>
  <si>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</si>
  <si>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</si>
  <si>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</si>
  <si>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</si>
  <si>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</si>
  <si>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</si>
  <si>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</si>
  <si>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</si>
  <si>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</si>
  <si>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</si>
  <si>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</si>
  <si>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</si>
  <si>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</si>
  <si>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</si>
  <si>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</si>
  <si>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</si>
  <si>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</si>
  <si>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HC7</t>
  </si>
  <si>
    <t>Phần 2: Phân bổ mục tiêu</t>
  </si>
  <si>
    <t>Giờ</t>
  </si>
  <si>
    <t>TH</t>
  </si>
  <si>
    <t>TK</t>
  </si>
  <si>
    <t>Lập kế hoạch kinh doanh điện năng.</t>
  </si>
  <si>
    <t>GĐ</t>
  </si>
  <si>
    <t>PHÒNG KD</t>
  </si>
  <si>
    <t>PHÒNG TH</t>
  </si>
  <si>
    <t>TỔ TVHĐL</t>
  </si>
  <si>
    <t>Ngày</t>
  </si>
  <si>
    <t>Đăng ký kế hoạch cắt điện công tác của Điện lực theo tuần, tháng, quý</t>
  </si>
  <si>
    <t>Thực hiện mua sắm vật tư theo phân cấp</t>
  </si>
  <si>
    <t>Quản lý kho bãi và nhập xuất vật tư cho các bộ phận</t>
  </si>
  <si>
    <t>AT1.1</t>
  </si>
  <si>
    <t>Tham gia phối hợp lập kế hoạch đầu tư tài sản và lưới điện hàng năm.</t>
  </si>
  <si>
    <t>Tổ chức, thực hiện các hoạt động SXK</t>
  </si>
  <si>
    <t>Khai thác hiệu quả các phần mềm chuyên môn được trang bị</t>
  </si>
  <si>
    <t>Giám sát và đánh giá việc thực hiện công tác ISO của CBCNV trong Điện lực</t>
  </si>
  <si>
    <t>Giám sát và đánh giá việc thực hiện công tác 5S của CBCNV trong Điện lực</t>
  </si>
  <si>
    <t>ĐIỆN LỰC TRẤN YÊN</t>
  </si>
  <si>
    <t>Tăng trưởng Doanh thu</t>
  </si>
  <si>
    <t>đ/kWh</t>
  </si>
  <si>
    <t>Viễn cảnh khách hàng</t>
  </si>
  <si>
    <t>Tham gia lập kế hoạch SXKD dài hạn của Công ty</t>
  </si>
  <si>
    <t>Tham gia tiếp nhận tài sản các công trình điện khách hàng bàn giao.</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</si>
  <si>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</si>
  <si>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</si>
  <si>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</si>
  <si>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</si>
  <si>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</si>
  <si>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</si>
  <si>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</si>
  <si>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</si>
  <si>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</si>
  <si>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</si>
  <si>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</si>
  <si>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</si>
  <si>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</si>
  <si>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</si>
  <si>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</si>
  <si>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</si>
  <si>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</si>
  <si>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</si>
  <si>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</si>
  <si>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</si>
  <si>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</si>
  <si>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</si>
  <si>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</si>
  <si>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</si>
  <si>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</si>
  <si>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</si>
  <si>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</si>
  <si>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</si>
  <si>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</si>
  <si>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</si>
  <si>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</si>
  <si>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</si>
  <si>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</si>
  <si>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</si>
  <si>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</si>
  <si>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Công tác bảo vệ môi trường</t>
  </si>
  <si>
    <t>Chỉ đạo Quản lý, điều phối và sử dụng xe ô tô</t>
  </si>
  <si>
    <t>Chỉ đạo Quản lý vận hành, khắc phục lỗi các phần mềm được trang bị</t>
  </si>
  <si>
    <t>Thực hiện Công tác phòng chống tham nhũng</t>
  </si>
  <si>
    <t>Thực hiện Công tác giải quyết khiếu nại, tố cáo</t>
  </si>
  <si>
    <t>Chỉ đạo phối hợp thực hiện Quản lý, vận hành, sửa chữa hạ tầng mạng viễn thông, công nghệ thông tin</t>
  </si>
  <si>
    <t xml:space="preserve">Bộ phận: Giám đốc </t>
  </si>
  <si>
    <t>Nguyễn Đình Phú</t>
  </si>
  <si>
    <t xml:space="preserve">Thực hiện CCHC của Công ty </t>
  </si>
  <si>
    <t xml:space="preserve">Tham gia Quy chế dân chủ của Công ty </t>
  </si>
  <si>
    <t>Thực hiện Công tác cán bộ theo phân cấp</t>
  </si>
  <si>
    <t>Thực hiện công tác soạn thảo, kiểm soát văn bản theo quy định</t>
  </si>
  <si>
    <t xml:space="preserve">Tham gia thực hiện Quy chế dân chủ của Công ty </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</si>
  <si>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</si>
  <si>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</si>
  <si>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</si>
  <si>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</si>
  <si>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</si>
  <si>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</si>
  <si>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</si>
  <si>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</si>
  <si>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</si>
  <si>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</si>
  <si>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</si>
  <si>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</si>
  <si>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</si>
  <si>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</si>
  <si>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</si>
  <si>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</si>
  <si>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</si>
  <si>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</si>
  <si>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</si>
  <si>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</si>
  <si>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</si>
  <si>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</si>
  <si>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</si>
  <si>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Tham gia, thực hiện công tác điều tra tai nạn lao động, các vụ cháy nổ lớn, sự cố lưới điện theo phân cấp</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</si>
  <si>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</si>
  <si>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</si>
  <si>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</si>
  <si>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</si>
  <si>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</si>
  <si>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</si>
  <si>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</si>
  <si>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</si>
  <si>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</si>
  <si>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</si>
  <si>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</si>
  <si>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</si>
  <si>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</si>
  <si>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</si>
  <si>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</si>
  <si>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</si>
  <si>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</si>
  <si>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</si>
  <si>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 xml:space="preserve">Thực hiện kế hoạch CCHC của Công ty </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</si>
  <si>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</si>
  <si>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</si>
  <si>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</si>
  <si>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</si>
  <si>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</si>
  <si>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</si>
  <si>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</si>
  <si>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</si>
  <si>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</si>
  <si>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</si>
  <si>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</si>
  <si>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</si>
  <si>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</si>
  <si>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</si>
  <si>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</si>
  <si>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</si>
  <si>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</si>
  <si>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</si>
  <si>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</si>
  <si>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</si>
  <si>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</si>
  <si>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</si>
  <si>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</si>
  <si>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</si>
  <si>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</si>
  <si>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</si>
  <si>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</si>
  <si>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</si>
  <si>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</si>
  <si>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</si>
  <si>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</si>
  <si>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</si>
  <si>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</si>
  <si>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</si>
  <si>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</si>
  <si>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</si>
  <si>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</si>
  <si>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</si>
  <si>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</si>
  <si>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</si>
  <si>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KH1.1</t>
  </si>
  <si>
    <t>KH1.1.1</t>
  </si>
  <si>
    <t>KH2.1</t>
  </si>
  <si>
    <t>KH2.1.1</t>
  </si>
  <si>
    <t>KH5.1</t>
  </si>
  <si>
    <t>KH5.1.1</t>
  </si>
  <si>
    <t>KH6.1</t>
  </si>
  <si>
    <t>KH6.1.1</t>
  </si>
  <si>
    <t>KH7.1</t>
  </si>
  <si>
    <t>KH7.1.1</t>
  </si>
  <si>
    <t>VT1.1</t>
  </si>
  <si>
    <t>VT1.1.1</t>
  </si>
  <si>
    <t>VT2.1</t>
  </si>
  <si>
    <t>VT2.1.1</t>
  </si>
  <si>
    <t>VT4.1</t>
  </si>
  <si>
    <t>VT4.1.1</t>
  </si>
  <si>
    <t>KD1.1</t>
  </si>
  <si>
    <t>KD1.1.1</t>
  </si>
  <si>
    <t>KD2.1</t>
  </si>
  <si>
    <t>KD2.1.1</t>
  </si>
  <si>
    <t>KD3.1</t>
  </si>
  <si>
    <t>KD3.1.1</t>
  </si>
  <si>
    <t>KD4.1</t>
  </si>
  <si>
    <t>KD4.1.1</t>
  </si>
  <si>
    <t>KD5.1</t>
  </si>
  <si>
    <t>KD5.1.1</t>
  </si>
  <si>
    <t>TC1.1</t>
  </si>
  <si>
    <t>TC1.1.1</t>
  </si>
  <si>
    <t>TC2.1</t>
  </si>
  <si>
    <t>TC2.1.1</t>
  </si>
  <si>
    <t>TC3.1</t>
  </si>
  <si>
    <t>TC3.1.1</t>
  </si>
  <si>
    <t>TC4.1</t>
  </si>
  <si>
    <t>TC4.1.1</t>
  </si>
  <si>
    <t>KT1.1</t>
  </si>
  <si>
    <t>KT1.1.1</t>
  </si>
  <si>
    <t>KT2.1</t>
  </si>
  <si>
    <t>KT2.1.1</t>
  </si>
  <si>
    <t>KT3.1</t>
  </si>
  <si>
    <t>KT3.1.1</t>
  </si>
  <si>
    <t>AT1.1.1</t>
  </si>
  <si>
    <t>AT2.1</t>
  </si>
  <si>
    <t>AT2.1.1</t>
  </si>
  <si>
    <t>AT3.1</t>
  </si>
  <si>
    <t>AT3.1.1</t>
  </si>
  <si>
    <t>AT4.1</t>
  </si>
  <si>
    <t>AT4.1.1</t>
  </si>
  <si>
    <t>AT5.1</t>
  </si>
  <si>
    <t>AT5.1.1</t>
  </si>
  <si>
    <t>XD1.1</t>
  </si>
  <si>
    <t>XD1.1.1</t>
  </si>
  <si>
    <t>XD2.1</t>
  </si>
  <si>
    <t>XD2.1.1</t>
  </si>
  <si>
    <t>SC1.1</t>
  </si>
  <si>
    <t>SC1.1.1</t>
  </si>
  <si>
    <t>SC2.1</t>
  </si>
  <si>
    <t>SC2.1.1</t>
  </si>
  <si>
    <t>SX1.1</t>
  </si>
  <si>
    <t>SX1.1.1</t>
  </si>
  <si>
    <t>LD2.1</t>
  </si>
  <si>
    <t>LD2.1.1</t>
  </si>
  <si>
    <t>HC1.1</t>
  </si>
  <si>
    <t>HC1.1.1</t>
  </si>
  <si>
    <t>HC1.1.2</t>
  </si>
  <si>
    <t>HC2.1</t>
  </si>
  <si>
    <t>HC2.1.1</t>
  </si>
  <si>
    <t>HC7.1</t>
  </si>
  <si>
    <t>HC7.1.1</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</si>
  <si>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</si>
  <si>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</si>
  <si>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</si>
  <si>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</si>
  <si>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</si>
  <si>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</si>
  <si>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</si>
  <si>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</si>
  <si>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</si>
  <si>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</si>
  <si>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</si>
  <si>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</si>
  <si>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</si>
  <si>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</si>
  <si>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</si>
  <si>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</si>
  <si>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</si>
  <si>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</si>
  <si>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</si>
  <si>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</si>
  <si>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</si>
  <si>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</si>
  <si>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</si>
  <si>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</si>
  <si>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</si>
  <si>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</si>
  <si>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</si>
  <si>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</si>
  <si>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</si>
  <si>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</si>
  <si>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</si>
  <si>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</si>
  <si>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</si>
  <si>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</si>
  <si>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</si>
  <si>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</si>
  <si>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Chỉ đạo kiểm tra, giám sát MBĐ</t>
  </si>
  <si>
    <t>NHÓM CÁC CHỈ TIÊU CHUNG (KPI CHUNG)</t>
  </si>
  <si>
    <t>A.3</t>
  </si>
  <si>
    <t>Triển khai thực hiện công tác văn hóa doanh nghiệp theo qui định</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</si>
  <si>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</si>
  <si>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</si>
  <si>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</si>
  <si>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</si>
  <si>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</si>
  <si>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</si>
  <si>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</si>
  <si>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</si>
  <si>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20; 40; 100</t>
  </si>
  <si>
    <t>Ngày 29 tháng 08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</si>
</sst>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65">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
      <i/>
      <sz val="12"/>
      <color rgb="FFFF0000"/>
      <name val="Times New Roman"/>
      <family val="1"/>
      <charset val="163"/>
    </font>
    <font>
      <sz val="12"/>
      <name val="Times New Roman"/>
      <family val="1"/>
      <charset val="163"/>
    </font>
    <font>
      <i/>
      <sz val="12"/>
      <name val="Times New Roman"/>
      <family val="1"/>
      <charset val="163"/>
    </font>
    <font>
      <b/>
      <sz val="11"/>
      <color rgb="FFFF0000"/>
      <name val="Times New Roman"/>
      <family val="1"/>
    </font>
    <font>
      <i/>
      <sz val="12"/>
      <color rgb="FFFF0000"/>
      <name val="Times New Roman"/>
      <family val="1"/>
    </font>
    <font>
      <sz val="12"/>
      <color theme="1"/>
      <name val="Times New Roman"/>
      <family val="1"/>
      <charset val="163"/>
    </font>
  </fonts>
  <fills count="18">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4"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6" fillId="0" borderId="0" applyNumberFormat="0" applyFill="0" applyBorder="0" applyAlignment="0" applyProtection="0"/>
    <xf numFmtId="0" fontId="4" fillId="0" borderId="0"/>
    <xf numFmtId="0" fontId="4" fillId="0" borderId="0"/>
    <xf numFmtId="0" fontId="4" fillId="0" borderId="0"/>
    <xf numFmtId="0" fontId="47" fillId="0" borderId="0"/>
    <xf numFmtId="0" fontId="48" fillId="0" borderId="0"/>
    <xf numFmtId="0" fontId="45" fillId="0" borderId="0"/>
    <xf numFmtId="0" fontId="45" fillId="0" borderId="0"/>
    <xf numFmtId="0" fontId="45" fillId="0" borderId="0"/>
    <xf numFmtId="0" fontId="7" fillId="0" borderId="0"/>
    <xf numFmtId="0" fontId="4" fillId="0" borderId="0"/>
    <xf numFmtId="0" fontId="49" fillId="0" borderId="0"/>
    <xf numFmtId="0" fontId="13" fillId="0" borderId="0">
      <alignment vertical="center"/>
    </xf>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7" fillId="0" borderId="0"/>
    <xf numFmtId="0" fontId="4" fillId="0" borderId="0"/>
    <xf numFmtId="0" fontId="4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03">
    <xf numFmtId="0" fontId="0" fillId="0" borderId="0" xfId="0"/>
    <xf numFmtId="2" fontId="15" fillId="0" borderId="3" xfId="133" applyNumberFormat="1"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vertical="center" wrapText="1"/>
    </xf>
    <xf numFmtId="0" fontId="19" fillId="0" borderId="4" xfId="112" applyFont="1" applyFill="1" applyBorder="1" applyAlignment="1">
      <alignment horizontal="justify" vertical="center" wrapText="1"/>
    </xf>
    <xf numFmtId="0" fontId="25" fillId="0" borderId="0" xfId="0" applyFont="1"/>
    <xf numFmtId="0" fontId="25" fillId="2" borderId="0" xfId="128"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0" borderId="6" xfId="129" applyFont="1" applyFill="1" applyBorder="1" applyAlignment="1">
      <alignment horizontal="center" vertical="center" wrapText="1"/>
    </xf>
    <xf numFmtId="0" fontId="19" fillId="0" borderId="0" xfId="0" applyFont="1" applyFill="1"/>
    <xf numFmtId="0" fontId="19" fillId="2" borderId="3" xfId="89" applyFont="1" applyFill="1" applyBorder="1" applyAlignment="1">
      <alignment vertical="center" wrapText="1"/>
    </xf>
    <xf numFmtId="9" fontId="19" fillId="0" borderId="3" xfId="133" applyFont="1" applyFill="1" applyBorder="1" applyAlignment="1">
      <alignment horizontal="center" vertical="center" wrapText="1"/>
    </xf>
    <xf numFmtId="9" fontId="21" fillId="0" borderId="3" xfId="140" applyFont="1" applyFill="1" applyBorder="1" applyAlignment="1" applyProtection="1">
      <alignment horizontal="center" vertical="center" wrapText="1"/>
    </xf>
    <xf numFmtId="0" fontId="19" fillId="2"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7" fillId="0" borderId="3" xfId="140" applyFont="1" applyFill="1" applyBorder="1" applyAlignment="1" applyProtection="1">
      <alignment horizontal="center" vertical="center" wrapText="1"/>
    </xf>
    <xf numFmtId="0" fontId="23" fillId="0" borderId="3" xfId="0" applyFont="1" applyFill="1" applyBorder="1" applyAlignment="1">
      <alignment horizontal="center" vertical="center" wrapText="1"/>
    </xf>
    <xf numFmtId="0" fontId="28" fillId="0" borderId="2" xfId="0" applyFont="1" applyFill="1" applyBorder="1" applyAlignment="1">
      <alignment vertical="center" wrapText="1"/>
    </xf>
    <xf numFmtId="0" fontId="18" fillId="11" borderId="3" xfId="0" applyFont="1" applyFill="1" applyBorder="1" applyAlignment="1">
      <alignment horizontal="center" vertical="center" wrapText="1"/>
    </xf>
    <xf numFmtId="174" fontId="29"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4" fillId="0" borderId="3" xfId="0" applyFont="1" applyFill="1" applyBorder="1" applyAlignment="1">
      <alignment horizontal="center" vertical="center" wrapText="1"/>
    </xf>
    <xf numFmtId="9" fontId="18" fillId="11" borderId="7" xfId="0" applyNumberFormat="1" applyFont="1" applyFill="1" applyBorder="1" applyAlignment="1">
      <alignment horizontal="center" vertical="center" wrapText="1"/>
    </xf>
    <xf numFmtId="9" fontId="30" fillId="0" borderId="3" xfId="133" applyFont="1" applyFill="1" applyBorder="1" applyAlignment="1">
      <alignment horizontal="center" vertical="center" wrapText="1"/>
    </xf>
    <xf numFmtId="9" fontId="18" fillId="10" borderId="3" xfId="0" applyNumberFormat="1" applyFont="1" applyFill="1" applyBorder="1" applyAlignment="1">
      <alignment horizontal="center" vertical="center"/>
    </xf>
    <xf numFmtId="0" fontId="24" fillId="2" borderId="3" xfId="0" applyNumberFormat="1" applyFont="1" applyFill="1" applyBorder="1" applyAlignment="1">
      <alignment vertical="center" wrapText="1"/>
    </xf>
    <xf numFmtId="0" fontId="18" fillId="0" borderId="0" xfId="0" applyFont="1" applyFill="1"/>
    <xf numFmtId="0" fontId="26" fillId="0" borderId="3" xfId="0" applyFont="1" applyFill="1" applyBorder="1" applyAlignment="1">
      <alignment horizontal="center" vertical="center" wrapText="1"/>
    </xf>
    <xf numFmtId="0" fontId="26" fillId="0" borderId="8" xfId="0" applyFont="1" applyFill="1" applyBorder="1" applyAlignment="1">
      <alignment horizontal="center" vertical="center" wrapText="1"/>
    </xf>
    <xf numFmtId="0" fontId="24" fillId="0" borderId="0" xfId="0" applyFont="1" applyFill="1" applyBorder="1" applyAlignment="1">
      <alignment vertical="center"/>
    </xf>
    <xf numFmtId="0" fontId="26" fillId="2" borderId="0" xfId="0" applyFont="1" applyFill="1" applyBorder="1" applyAlignment="1">
      <alignment horizontal="center" vertical="center" wrapText="1"/>
    </xf>
    <xf numFmtId="0" fontId="24"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5" borderId="3" xfId="83" applyFont="1" applyFill="1" applyBorder="1" applyAlignment="1">
      <alignment vertical="center"/>
    </xf>
    <xf numFmtId="0" fontId="18" fillId="5" borderId="3" xfId="83" applyFont="1" applyFill="1" applyBorder="1" applyAlignment="1">
      <alignment horizontal="left" vertical="center"/>
    </xf>
    <xf numFmtId="0" fontId="18" fillId="5" borderId="3" xfId="83" applyFont="1" applyFill="1" applyBorder="1" applyAlignment="1">
      <alignment horizontal="right" vertical="center"/>
    </xf>
    <xf numFmtId="0" fontId="18" fillId="5" borderId="3" xfId="83" applyFont="1" applyFill="1" applyBorder="1" applyAlignment="1">
      <alignment horizontal="left" vertical="center" wrapText="1"/>
    </xf>
    <xf numFmtId="168" fontId="18" fillId="5"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6" borderId="3" xfId="112" applyFont="1" applyFill="1" applyBorder="1" applyAlignment="1">
      <alignment vertical="center" wrapText="1"/>
    </xf>
    <xf numFmtId="0" fontId="21" fillId="6" borderId="3" xfId="112" applyFont="1" applyFill="1" applyBorder="1" applyAlignment="1">
      <alignment horizontal="left" vertical="center" wrapText="1"/>
    </xf>
    <xf numFmtId="9" fontId="20" fillId="6" borderId="3" xfId="112" applyNumberFormat="1" applyFont="1" applyFill="1" applyBorder="1" applyAlignment="1">
      <alignment horizontal="center" vertical="center" wrapText="1"/>
    </xf>
    <xf numFmtId="0" fontId="20" fillId="6" borderId="3" xfId="112" applyFont="1" applyFill="1" applyBorder="1" applyAlignment="1">
      <alignment horizontal="left" vertical="center" wrapText="1"/>
    </xf>
    <xf numFmtId="168" fontId="20" fillId="6"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6"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6" borderId="3" xfId="112" applyFont="1" applyFill="1" applyBorder="1" applyAlignment="1">
      <alignment horizontal="center" vertical="center" wrapText="1"/>
    </xf>
    <xf numFmtId="9" fontId="20" fillId="6"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5"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4" fillId="0" borderId="10" xfId="0" applyNumberFormat="1" applyFont="1" applyFill="1" applyBorder="1" applyAlignment="1">
      <alignment vertical="center" wrapText="1"/>
    </xf>
    <xf numFmtId="0" fontId="36" fillId="0" borderId="3" xfId="0" applyFont="1" applyFill="1" applyBorder="1" applyAlignment="1">
      <alignment horizontal="left" vertical="center" wrapText="1"/>
    </xf>
    <xf numFmtId="9" fontId="18" fillId="10" borderId="3"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9" fontId="18" fillId="12" borderId="3" xfId="0" applyNumberFormat="1" applyFont="1" applyFill="1" applyBorder="1" applyAlignment="1">
      <alignment horizontal="center" vertical="center" textRotation="90"/>
    </xf>
    <xf numFmtId="0" fontId="19" fillId="13" borderId="3" xfId="0" applyNumberFormat="1" applyFont="1" applyFill="1" applyBorder="1" applyAlignment="1">
      <alignment horizontal="center" vertical="center" wrapText="1"/>
    </xf>
    <xf numFmtId="0" fontId="19" fillId="13" borderId="3" xfId="0" applyNumberFormat="1" applyFont="1" applyFill="1" applyBorder="1" applyAlignment="1">
      <alignment vertical="center" wrapText="1"/>
    </xf>
    <xf numFmtId="9" fontId="18" fillId="14" borderId="3" xfId="0" applyNumberFormat="1" applyFont="1" applyFill="1" applyBorder="1" applyAlignment="1">
      <alignment horizontal="center" vertical="center" textRotation="90"/>
    </xf>
    <xf numFmtId="0" fontId="24" fillId="10" borderId="3" xfId="0" applyFont="1" applyFill="1" applyBorder="1" applyAlignment="1">
      <alignment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3"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9" fontId="19" fillId="0" borderId="4" xfId="112" quotePrefix="1" applyNumberFormat="1" applyFont="1" applyFill="1" applyBorder="1" applyAlignment="1">
      <alignment horizontal="center" vertical="center" wrapText="1"/>
    </xf>
    <xf numFmtId="9" fontId="19" fillId="8" borderId="11" xfId="112" applyNumberFormat="1" applyFont="1" applyFill="1" applyBorder="1" applyAlignment="1">
      <alignment horizontal="center" vertical="center" textRotation="90"/>
    </xf>
    <xf numFmtId="9" fontId="19" fillId="14" borderId="3" xfId="112" applyNumberFormat="1" applyFont="1" applyFill="1" applyBorder="1" applyAlignment="1">
      <alignment horizontal="center" vertical="center" wrapText="1"/>
    </xf>
    <xf numFmtId="0" fontId="19" fillId="14" borderId="3" xfId="112" applyFont="1" applyFill="1" applyBorder="1" applyAlignment="1">
      <alignment horizontal="justify" vertical="center" wrapText="1"/>
    </xf>
    <xf numFmtId="9" fontId="19" fillId="14" borderId="3" xfId="133" applyFont="1" applyFill="1" applyBorder="1" applyAlignment="1">
      <alignment horizontal="center" vertical="center" wrapText="1"/>
    </xf>
    <xf numFmtId="168" fontId="19" fillId="14" borderId="3" xfId="133" applyNumberFormat="1" applyFont="1" applyFill="1" applyBorder="1" applyAlignment="1">
      <alignment horizontal="center" vertical="center" wrapText="1"/>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3" fillId="2" borderId="0"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4" fillId="0" borderId="4" xfId="0" applyFont="1" applyFill="1" applyBorder="1" applyAlignment="1">
      <alignment horizontal="center" vertical="center"/>
    </xf>
    <xf numFmtId="0" fontId="25"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8" borderId="11" xfId="83" applyFont="1" applyFill="1" applyBorder="1" applyAlignment="1">
      <alignment horizontal="left" vertical="center"/>
    </xf>
    <xf numFmtId="0" fontId="18" fillId="8" borderId="11" xfId="83" applyFont="1" applyFill="1" applyBorder="1" applyAlignment="1">
      <alignment horizontal="center" vertical="center"/>
    </xf>
    <xf numFmtId="0" fontId="18" fillId="8" borderId="12" xfId="112" applyFont="1" applyFill="1" applyBorder="1" applyAlignment="1">
      <alignment horizontal="center" vertical="center" textRotation="90"/>
    </xf>
    <xf numFmtId="9" fontId="18" fillId="14" borderId="13" xfId="112" applyNumberFormat="1" applyFont="1" applyFill="1" applyBorder="1" applyAlignment="1">
      <alignment horizontal="center" vertical="center" textRotation="90" wrapText="1"/>
    </xf>
    <xf numFmtId="0" fontId="19" fillId="14" borderId="4" xfId="112" applyFont="1" applyFill="1" applyBorder="1" applyAlignment="1">
      <alignment horizontal="justify" vertical="center" wrapText="1"/>
    </xf>
    <xf numFmtId="0" fontId="19" fillId="14" borderId="3" xfId="22" applyNumberFormat="1" applyFont="1" applyFill="1" applyBorder="1" applyAlignment="1">
      <alignment horizontal="center" vertical="center" wrapText="1"/>
    </xf>
    <xf numFmtId="0" fontId="19" fillId="14" borderId="3" xfId="112" applyFont="1" applyFill="1" applyBorder="1" applyAlignment="1">
      <alignment vertical="center" wrapText="1"/>
    </xf>
    <xf numFmtId="0" fontId="20" fillId="14" borderId="3" xfId="112" applyFont="1" applyFill="1" applyBorder="1" applyAlignment="1">
      <alignment horizontal="left" vertical="center" wrapText="1"/>
    </xf>
    <xf numFmtId="0" fontId="50" fillId="0" borderId="0" xfId="0" applyFont="1"/>
    <xf numFmtId="9" fontId="22" fillId="3" borderId="0" xfId="112" applyNumberFormat="1" applyFont="1" applyFill="1" applyAlignment="1">
      <alignment vertical="center"/>
    </xf>
    <xf numFmtId="9" fontId="19" fillId="0" borderId="0" xfId="133" applyFont="1" applyFill="1" applyAlignment="1">
      <alignment vertical="center"/>
    </xf>
    <xf numFmtId="0" fontId="18" fillId="0" borderId="0" xfId="0" applyFont="1" applyFill="1" applyAlignment="1">
      <alignment horizontal="center" vertical="center"/>
    </xf>
    <xf numFmtId="0" fontId="19" fillId="13" borderId="3" xfId="0" applyNumberFormat="1" applyFont="1" applyFill="1" applyBorder="1" applyAlignment="1">
      <alignment horizontal="left" vertical="center" wrapText="1"/>
    </xf>
    <xf numFmtId="0" fontId="19" fillId="0" borderId="8" xfId="0" applyFont="1" applyBorder="1" applyAlignment="1">
      <alignment horizontal="center" vertical="center"/>
    </xf>
    <xf numFmtId="0" fontId="24" fillId="0" borderId="11" xfId="0" applyNumberFormat="1" applyFont="1" applyFill="1" applyBorder="1" applyAlignment="1">
      <alignment horizontal="center" vertical="center" wrapText="1"/>
    </xf>
    <xf numFmtId="0" fontId="19" fillId="0" borderId="0" xfId="0" applyFont="1" applyAlignment="1">
      <alignment horizontal="center"/>
    </xf>
    <xf numFmtId="0" fontId="24" fillId="0" borderId="10" xfId="0" applyNumberFormat="1" applyFont="1" applyFill="1" applyBorder="1" applyAlignment="1">
      <alignment horizontal="center" vertical="center" wrapText="1"/>
    </xf>
    <xf numFmtId="0" fontId="24" fillId="4" borderId="3" xfId="0" applyNumberFormat="1" applyFont="1" applyFill="1" applyBorder="1" applyAlignment="1">
      <alignment horizontal="center" vertical="center" wrapText="1"/>
    </xf>
    <xf numFmtId="0" fontId="18" fillId="11" borderId="3" xfId="0" applyFont="1" applyFill="1" applyBorder="1" applyAlignment="1">
      <alignment horizontal="left" vertical="center" wrapText="1"/>
    </xf>
    <xf numFmtId="0" fontId="19" fillId="6" borderId="0" xfId="0" applyFont="1" applyFill="1"/>
    <xf numFmtId="0" fontId="24" fillId="6" borderId="10" xfId="0" applyNumberFormat="1" applyFont="1" applyFill="1" applyBorder="1" applyAlignment="1">
      <alignment horizontal="center" vertical="center"/>
    </xf>
    <xf numFmtId="0" fontId="18" fillId="10" borderId="3" xfId="0" applyFont="1" applyFill="1" applyBorder="1" applyAlignment="1">
      <alignment horizontal="center" vertical="center" wrapText="1"/>
    </xf>
    <xf numFmtId="0" fontId="18" fillId="10" borderId="3" xfId="0" applyFont="1" applyFill="1" applyBorder="1" applyAlignment="1">
      <alignment horizontal="left" vertical="center" wrapText="1"/>
    </xf>
    <xf numFmtId="0" fontId="19" fillId="3" borderId="3" xfId="0" applyFont="1" applyFill="1" applyBorder="1"/>
    <xf numFmtId="0" fontId="24" fillId="3" borderId="5" xfId="0" applyFont="1" applyFill="1" applyBorder="1" applyAlignment="1">
      <alignment horizontal="center" vertical="center"/>
    </xf>
    <xf numFmtId="49" fontId="19" fillId="0" borderId="0" xfId="0" applyNumberFormat="1" applyFont="1" applyFill="1"/>
    <xf numFmtId="0" fontId="19" fillId="3" borderId="0" xfId="0" applyFont="1" applyFill="1"/>
    <xf numFmtId="0" fontId="25" fillId="0" borderId="4" xfId="0" applyFont="1" applyFill="1" applyBorder="1" applyAlignment="1">
      <alignment vertical="center" wrapText="1"/>
    </xf>
    <xf numFmtId="9" fontId="36" fillId="0" borderId="3" xfId="129" applyFont="1" applyFill="1" applyBorder="1" applyAlignment="1">
      <alignment horizontal="center" vertical="center" wrapText="1"/>
    </xf>
    <xf numFmtId="9" fontId="36" fillId="0" borderId="3" xfId="0" applyNumberFormat="1" applyFont="1" applyFill="1" applyBorder="1" applyAlignment="1">
      <alignment horizontal="center" vertical="center" wrapText="1"/>
    </xf>
    <xf numFmtId="0" fontId="36"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6" fillId="0" borderId="4" xfId="129" applyFont="1" applyFill="1" applyBorder="1" applyAlignment="1">
      <alignment horizontal="center" vertical="center" wrapText="1"/>
    </xf>
    <xf numFmtId="0" fontId="24" fillId="0" borderId="3" xfId="0" applyFont="1" applyFill="1" applyBorder="1" applyAlignment="1">
      <alignment horizontal="center" vertical="center"/>
    </xf>
    <xf numFmtId="0" fontId="19" fillId="3" borderId="4" xfId="0" applyFont="1" applyFill="1" applyBorder="1"/>
    <xf numFmtId="9" fontId="18" fillId="3" borderId="11" xfId="0" applyNumberFormat="1" applyFont="1" applyFill="1" applyBorder="1" applyAlignment="1">
      <alignment horizontal="center" vertical="center" textRotation="90"/>
    </xf>
    <xf numFmtId="0" fontId="24" fillId="2" borderId="3" xfId="0" applyNumberFormat="1" applyFont="1" applyFill="1" applyBorder="1" applyAlignment="1">
      <alignment horizontal="center" vertical="center" wrapText="1"/>
    </xf>
    <xf numFmtId="0" fontId="25" fillId="2" borderId="3" xfId="0" applyNumberFormat="1" applyFont="1" applyFill="1" applyBorder="1" applyAlignment="1">
      <alignment horizontal="center" vertical="center" wrapText="1"/>
    </xf>
    <xf numFmtId="0" fontId="25" fillId="2" borderId="3" xfId="0" applyFont="1" applyFill="1" applyBorder="1" applyAlignment="1">
      <alignment horizontal="center" vertical="center" wrapText="1"/>
    </xf>
    <xf numFmtId="9" fontId="36" fillId="0" borderId="3" xfId="133" applyFont="1" applyFill="1" applyBorder="1" applyAlignment="1">
      <alignment horizontal="center" vertical="center" wrapText="1"/>
    </xf>
    <xf numFmtId="0" fontId="37" fillId="2" borderId="0" xfId="0" applyFont="1" applyFill="1"/>
    <xf numFmtId="0" fontId="19" fillId="3" borderId="5" xfId="0" applyFont="1" applyFill="1" applyBorder="1"/>
    <xf numFmtId="0" fontId="24" fillId="3" borderId="3" xfId="0" applyFont="1" applyFill="1" applyBorder="1" applyAlignment="1">
      <alignment horizontal="center" vertical="center"/>
    </xf>
    <xf numFmtId="0" fontId="24" fillId="3" borderId="13" xfId="0" applyFont="1" applyFill="1" applyBorder="1" applyAlignment="1">
      <alignment vertical="center"/>
    </xf>
    <xf numFmtId="0" fontId="18" fillId="10" borderId="4" xfId="0" applyFont="1" applyFill="1" applyBorder="1" applyAlignment="1">
      <alignment horizontal="center" vertical="center" wrapText="1"/>
    </xf>
    <xf numFmtId="9" fontId="21" fillId="10" borderId="4" xfId="140" applyFont="1" applyFill="1" applyBorder="1" applyAlignment="1" applyProtection="1">
      <alignment horizontal="center" vertical="center" wrapText="1"/>
    </xf>
    <xf numFmtId="0" fontId="24" fillId="3" borderId="5" xfId="0" applyFont="1" applyFill="1" applyBorder="1" applyAlignment="1">
      <alignment vertical="center"/>
    </xf>
    <xf numFmtId="9" fontId="24" fillId="10" borderId="6" xfId="129" applyFont="1" applyFill="1" applyBorder="1" applyAlignment="1">
      <alignment horizontal="center" vertical="center" wrapText="1"/>
    </xf>
    <xf numFmtId="9" fontId="21" fillId="10" borderId="3" xfId="140" applyFont="1" applyFill="1" applyBorder="1" applyAlignment="1" applyProtection="1">
      <alignment horizontal="center" vertical="center" wrapText="1"/>
    </xf>
    <xf numFmtId="0" fontId="38" fillId="0" borderId="0" xfId="0" applyFont="1"/>
    <xf numFmtId="0" fontId="37" fillId="2" borderId="3" xfId="0" applyNumberFormat="1" applyFont="1" applyFill="1" applyBorder="1" applyAlignment="1">
      <alignment vertical="center" wrapText="1"/>
    </xf>
    <xf numFmtId="0" fontId="39" fillId="2" borderId="3" xfId="0" applyNumberFormat="1" applyFont="1" applyFill="1" applyBorder="1" applyAlignment="1">
      <alignment vertical="center" wrapText="1"/>
    </xf>
    <xf numFmtId="0" fontId="39" fillId="2" borderId="8" xfId="0" applyNumberFormat="1" applyFont="1" applyFill="1" applyBorder="1" applyAlignment="1">
      <alignment vertical="center" wrapText="1"/>
    </xf>
    <xf numFmtId="9" fontId="40" fillId="0" borderId="6" xfId="129" applyFont="1" applyFill="1" applyBorder="1" applyAlignment="1">
      <alignment horizontal="center" vertical="center" wrapText="1"/>
    </xf>
    <xf numFmtId="0" fontId="37" fillId="0" borderId="3" xfId="128" applyFont="1" applyFill="1" applyBorder="1" applyAlignment="1">
      <alignment horizontal="center" vertical="center" wrapText="1"/>
    </xf>
    <xf numFmtId="0" fontId="24" fillId="6" borderId="5" xfId="0" applyFont="1" applyFill="1" applyBorder="1" applyAlignment="1">
      <alignment horizontal="center" vertical="center" wrapText="1"/>
    </xf>
    <xf numFmtId="9" fontId="24" fillId="10" borderId="3" xfId="0" applyNumberFormat="1" applyFont="1" applyFill="1" applyBorder="1" applyAlignment="1">
      <alignment horizontal="center" vertical="center" wrapText="1"/>
    </xf>
    <xf numFmtId="0" fontId="19" fillId="10" borderId="3" xfId="0" applyFont="1" applyFill="1" applyBorder="1" applyAlignment="1">
      <alignment horizontal="center" vertical="center" wrapText="1"/>
    </xf>
    <xf numFmtId="9" fontId="27" fillId="10" borderId="3" xfId="140" applyFont="1" applyFill="1" applyBorder="1" applyAlignment="1" applyProtection="1">
      <alignment horizontal="center" vertical="center" wrapText="1"/>
    </xf>
    <xf numFmtId="9" fontId="24" fillId="10" borderId="6" xfId="0" applyNumberFormat="1" applyFont="1" applyFill="1" applyBorder="1" applyAlignment="1">
      <alignment horizontal="center" vertical="center" wrapText="1"/>
    </xf>
    <xf numFmtId="0" fontId="24" fillId="3" borderId="4" xfId="0" applyFont="1" applyFill="1" applyBorder="1" applyAlignment="1">
      <alignment horizontal="center" vertical="center"/>
    </xf>
    <xf numFmtId="9" fontId="36" fillId="10" borderId="3" xfId="0" applyNumberFormat="1" applyFont="1" applyFill="1" applyBorder="1" applyAlignment="1">
      <alignment horizontal="center" vertical="center" wrapText="1"/>
    </xf>
    <xf numFmtId="0" fontId="25" fillId="10" borderId="3" xfId="0" applyFont="1" applyFill="1" applyBorder="1" applyAlignment="1">
      <alignment vertical="center" wrapText="1"/>
    </xf>
    <xf numFmtId="0" fontId="36" fillId="10" borderId="3" xfId="0" applyNumberFormat="1" applyFont="1" applyFill="1" applyBorder="1" applyAlignment="1">
      <alignment horizontal="center" vertical="center" wrapText="1"/>
    </xf>
    <xf numFmtId="0" fontId="23" fillId="10" borderId="3"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3" borderId="0" xfId="0" applyFont="1" applyFill="1"/>
    <xf numFmtId="0" fontId="28" fillId="10" borderId="3" xfId="0" applyFont="1" applyFill="1" applyBorder="1" applyAlignment="1">
      <alignment horizontal="center" vertical="center" wrapText="1"/>
    </xf>
    <xf numFmtId="9" fontId="31" fillId="10" borderId="3" xfId="140" applyFont="1" applyFill="1" applyBorder="1" applyAlignment="1" applyProtection="1">
      <alignment horizontal="center" vertical="center" wrapText="1"/>
    </xf>
    <xf numFmtId="0" fontId="25" fillId="0" borderId="3" xfId="0" applyFont="1" applyFill="1" applyBorder="1" applyAlignment="1">
      <alignment horizontal="left" vertical="center" wrapText="1"/>
    </xf>
    <xf numFmtId="0" fontId="19" fillId="10" borderId="3" xfId="128" applyFont="1" applyFill="1" applyBorder="1" applyAlignment="1">
      <alignment horizontal="center" vertical="center" wrapText="1"/>
    </xf>
    <xf numFmtId="0" fontId="36" fillId="0" borderId="3" xfId="0" applyFont="1" applyFill="1" applyBorder="1" applyAlignment="1">
      <alignment horizontal="center" vertical="center"/>
    </xf>
    <xf numFmtId="9" fontId="40" fillId="10" borderId="6" xfId="129" applyNumberFormat="1" applyFont="1" applyFill="1" applyBorder="1" applyAlignment="1">
      <alignment horizontal="center" vertical="center" wrapText="1"/>
    </xf>
    <xf numFmtId="0" fontId="25" fillId="0" borderId="3" xfId="128" applyFont="1" applyFill="1" applyBorder="1" applyAlignment="1">
      <alignment horizontal="center" vertical="center" wrapText="1"/>
    </xf>
    <xf numFmtId="0" fontId="24" fillId="0" borderId="2" xfId="0" applyFont="1" applyFill="1" applyBorder="1" applyAlignment="1">
      <alignment horizontal="center" vertical="center"/>
    </xf>
    <xf numFmtId="0" fontId="25" fillId="0" borderId="2" xfId="128" applyFont="1" applyFill="1" applyBorder="1" applyAlignment="1">
      <alignment horizontal="center" vertical="center" wrapText="1"/>
    </xf>
    <xf numFmtId="10" fontId="40" fillId="0" borderId="6" xfId="129" applyNumberFormat="1" applyFont="1" applyFill="1" applyBorder="1" applyAlignment="1">
      <alignment horizontal="center" vertical="center" wrapText="1"/>
    </xf>
    <xf numFmtId="9" fontId="24" fillId="11" borderId="3" xfId="0" applyNumberFormat="1" applyFont="1" applyFill="1" applyBorder="1" applyAlignment="1">
      <alignment horizontal="center" vertical="center" wrapText="1"/>
    </xf>
    <xf numFmtId="0" fontId="23" fillId="11" borderId="3" xfId="0" applyFont="1" applyFill="1" applyBorder="1" applyAlignment="1">
      <alignment horizontal="center" vertical="center" wrapText="1"/>
    </xf>
    <xf numFmtId="9" fontId="27" fillId="11" borderId="3" xfId="140" applyFont="1" applyFill="1" applyBorder="1" applyAlignment="1" applyProtection="1">
      <alignment horizontal="center" vertical="center" wrapText="1"/>
    </xf>
    <xf numFmtId="0" fontId="24" fillId="4" borderId="9" xfId="0" applyFont="1" applyFill="1" applyBorder="1" applyAlignment="1">
      <alignment horizontal="center" vertical="center"/>
    </xf>
    <xf numFmtId="174" fontId="27" fillId="11" borderId="3" xfId="10" applyNumberFormat="1" applyFont="1" applyFill="1" applyBorder="1" applyAlignment="1" applyProtection="1">
      <alignment horizontal="center" vertical="center" wrapText="1"/>
    </xf>
    <xf numFmtId="0" fontId="28" fillId="0" borderId="0" xfId="0" applyFont="1" applyFill="1"/>
    <xf numFmtId="0" fontId="28" fillId="0" borderId="3" xfId="0" applyFont="1" applyFill="1" applyBorder="1" applyAlignment="1">
      <alignment horizontal="center" vertical="center"/>
    </xf>
    <xf numFmtId="0" fontId="28" fillId="0" borderId="3" xfId="0" applyFont="1" applyFill="1" applyBorder="1" applyAlignment="1">
      <alignment horizontal="left" vertical="center"/>
    </xf>
    <xf numFmtId="43" fontId="28" fillId="0" borderId="3" xfId="0" applyNumberFormat="1" applyFont="1" applyFill="1" applyBorder="1"/>
    <xf numFmtId="0" fontId="24" fillId="0" borderId="0" xfId="0" applyFont="1" applyFill="1" applyBorder="1" applyAlignment="1">
      <alignment horizontal="center" vertical="center"/>
    </xf>
    <xf numFmtId="9" fontId="18" fillId="0" borderId="0" xfId="0" applyNumberFormat="1" applyFont="1" applyFill="1" applyBorder="1" applyAlignment="1">
      <alignment horizontal="center" vertical="center" wrapText="1"/>
    </xf>
    <xf numFmtId="0" fontId="24" fillId="0" borderId="0" xfId="0" applyNumberFormat="1" applyFont="1" applyAlignment="1">
      <alignment horizontal="center"/>
    </xf>
    <xf numFmtId="0" fontId="19" fillId="0" borderId="0" xfId="0" applyFont="1" applyAlignment="1">
      <alignment horizontal="left"/>
    </xf>
    <xf numFmtId="1" fontId="36" fillId="0" borderId="3" xfId="129" applyNumberFormat="1" applyFont="1" applyFill="1" applyBorder="1" applyAlignment="1">
      <alignment horizontal="center" vertical="center" wrapText="1"/>
    </xf>
    <xf numFmtId="176" fontId="36" fillId="0" borderId="3" xfId="0" applyNumberFormat="1" applyFont="1" applyFill="1" applyBorder="1" applyAlignment="1">
      <alignment horizontal="center" vertical="center" wrapText="1"/>
    </xf>
    <xf numFmtId="1" fontId="36" fillId="0" borderId="3" xfId="0" applyNumberFormat="1" applyFont="1" applyFill="1" applyBorder="1" applyAlignment="1">
      <alignment horizontal="center" vertical="center" wrapText="1"/>
    </xf>
    <xf numFmtId="10" fontId="21"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0" fontId="23" fillId="15" borderId="3" xfId="0" applyFont="1" applyFill="1" applyBorder="1" applyAlignment="1">
      <alignment horizontal="left" vertical="center" wrapText="1"/>
    </xf>
    <xf numFmtId="0" fontId="23" fillId="15" borderId="3" xfId="0" applyFont="1" applyFill="1" applyBorder="1" applyAlignment="1">
      <alignment horizontal="center" vertical="center" wrapText="1"/>
    </xf>
    <xf numFmtId="0" fontId="19" fillId="0" borderId="4" xfId="0" applyNumberFormat="1" applyFont="1" applyFill="1" applyBorder="1" applyAlignment="1">
      <alignment vertical="center" wrapText="1"/>
    </xf>
    <xf numFmtId="0" fontId="25" fillId="0" borderId="4" xfId="0" applyFont="1" applyFill="1" applyBorder="1" applyAlignment="1">
      <alignment vertical="center"/>
    </xf>
    <xf numFmtId="0" fontId="25" fillId="0" borderId="5" xfId="0" applyFont="1" applyFill="1" applyBorder="1" applyAlignment="1">
      <alignment vertical="center" wrapText="1"/>
    </xf>
    <xf numFmtId="0" fontId="25" fillId="0" borderId="2" xfId="0" applyFont="1" applyFill="1" applyBorder="1" applyAlignment="1">
      <alignment vertical="center" wrapText="1"/>
    </xf>
    <xf numFmtId="9" fontId="18" fillId="7"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4"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0" fontId="19" fillId="14" borderId="3" xfId="0" applyFont="1" applyFill="1" applyBorder="1" applyAlignment="1">
      <alignment horizontal="left" vertical="center" wrapText="1"/>
    </xf>
    <xf numFmtId="9" fontId="27" fillId="14" borderId="3" xfId="140" applyFont="1" applyFill="1" applyBorder="1" applyAlignment="1" applyProtection="1">
      <alignment horizontal="center" vertical="center" wrapText="1"/>
    </xf>
    <xf numFmtId="9" fontId="18" fillId="14" borderId="6" xfId="129" applyFont="1" applyFill="1" applyBorder="1" applyAlignment="1">
      <alignment horizontal="center" vertical="center" wrapText="1"/>
    </xf>
    <xf numFmtId="0" fontId="18" fillId="14" borderId="3" xfId="0" applyFont="1" applyFill="1" applyBorder="1" applyAlignment="1">
      <alignment horizontal="center" vertical="center" wrapText="1"/>
    </xf>
    <xf numFmtId="0" fontId="18" fillId="14" borderId="3" xfId="0" applyFont="1" applyFill="1" applyBorder="1" applyAlignment="1">
      <alignment horizontal="left" vertical="center" wrapText="1"/>
    </xf>
    <xf numFmtId="0" fontId="19" fillId="16" borderId="3" xfId="0" applyFont="1" applyFill="1" applyBorder="1"/>
    <xf numFmtId="0" fontId="25" fillId="0" borderId="9" xfId="0" applyFont="1" applyFill="1" applyBorder="1" applyAlignment="1">
      <alignment vertical="center" wrapText="1"/>
    </xf>
    <xf numFmtId="0" fontId="25" fillId="0" borderId="11" xfId="0" applyFont="1" applyFill="1" applyBorder="1" applyAlignment="1">
      <alignment vertical="center" wrapText="1"/>
    </xf>
    <xf numFmtId="0" fontId="19" fillId="0" borderId="4" xfId="0" applyNumberFormat="1" applyFont="1" applyFill="1" applyBorder="1" applyAlignment="1">
      <alignment horizontal="left" vertical="center" wrapText="1"/>
    </xf>
    <xf numFmtId="0" fontId="18" fillId="2"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5" fillId="0" borderId="4" xfId="0" applyFont="1" applyFill="1" applyBorder="1" applyAlignment="1">
      <alignment horizontal="left" vertical="center" wrapText="1"/>
    </xf>
    <xf numFmtId="0" fontId="19" fillId="10" borderId="0" xfId="0" applyFont="1" applyFill="1"/>
    <xf numFmtId="0" fontId="25" fillId="12" borderId="3" xfId="0" applyFont="1" applyFill="1" applyBorder="1" applyAlignment="1">
      <alignment horizontal="center" vertical="center" wrapText="1"/>
    </xf>
    <xf numFmtId="9" fontId="36" fillId="12" borderId="3" xfId="0" applyNumberFormat="1" applyFont="1" applyFill="1" applyBorder="1" applyAlignment="1">
      <alignment horizontal="center" vertical="center" wrapText="1"/>
    </xf>
    <xf numFmtId="0" fontId="36" fillId="12" borderId="3" xfId="0" applyNumberFormat="1" applyFont="1" applyFill="1" applyBorder="1" applyAlignment="1">
      <alignment horizontal="center" vertical="center" wrapText="1"/>
    </xf>
    <xf numFmtId="0" fontId="23" fillId="12" borderId="3" xfId="0" applyFont="1" applyFill="1" applyBorder="1" applyAlignment="1">
      <alignment horizontal="center" vertical="center" wrapText="1"/>
    </xf>
    <xf numFmtId="9" fontId="27" fillId="12" borderId="3" xfId="140" applyFont="1" applyFill="1" applyBorder="1" applyAlignment="1" applyProtection="1">
      <alignment horizontal="center" vertical="center" wrapText="1"/>
    </xf>
    <xf numFmtId="0" fontId="25" fillId="12" borderId="3" xfId="0" applyFont="1" applyFill="1" applyBorder="1" applyAlignment="1">
      <alignment vertical="center" wrapText="1"/>
    </xf>
    <xf numFmtId="9" fontId="36" fillId="0" borderId="6" xfId="0" applyNumberFormat="1" applyFont="1" applyFill="1" applyBorder="1" applyAlignment="1">
      <alignment horizontal="center" vertical="center" wrapText="1"/>
    </xf>
    <xf numFmtId="0" fontId="25" fillId="0" borderId="14" xfId="0" applyFont="1" applyFill="1" applyBorder="1" applyAlignment="1">
      <alignment horizontal="center" vertical="center" wrapText="1"/>
    </xf>
    <xf numFmtId="0" fontId="24" fillId="0" borderId="12" xfId="0" applyNumberFormat="1" applyFont="1" applyFill="1" applyBorder="1" applyAlignment="1">
      <alignment horizontal="center" vertical="center" wrapText="1"/>
    </xf>
    <xf numFmtId="0" fontId="36" fillId="0" borderId="2" xfId="0" applyFont="1" applyFill="1" applyBorder="1" applyAlignment="1">
      <alignment horizontal="center" vertical="center"/>
    </xf>
    <xf numFmtId="0" fontId="19" fillId="16" borderId="3" xfId="112" applyFont="1" applyFill="1" applyBorder="1" applyAlignment="1">
      <alignment horizontal="justify" vertical="center" wrapText="1"/>
    </xf>
    <xf numFmtId="2" fontId="15" fillId="16" borderId="3" xfId="133" applyNumberFormat="1" applyFont="1" applyFill="1" applyBorder="1" applyAlignment="1">
      <alignment horizontal="center" vertical="center" wrapText="1"/>
    </xf>
    <xf numFmtId="0" fontId="19" fillId="13" borderId="3" xfId="112" applyFont="1" applyFill="1" applyBorder="1" applyAlignment="1">
      <alignment horizontal="center" vertical="center" wrapText="1"/>
    </xf>
    <xf numFmtId="9" fontId="18" fillId="12" borderId="3" xfId="0" applyNumberFormat="1" applyFont="1" applyFill="1" applyBorder="1" applyAlignment="1">
      <alignment horizontal="center" vertical="center" textRotation="90"/>
    </xf>
    <xf numFmtId="0" fontId="36" fillId="13" borderId="3" xfId="0" applyNumberFormat="1" applyFont="1" applyFill="1" applyBorder="1" applyAlignment="1">
      <alignment horizontal="center" vertical="center" wrapText="1"/>
    </xf>
    <xf numFmtId="0" fontId="36" fillId="0" borderId="4" xfId="0" applyFont="1" applyFill="1" applyBorder="1" applyAlignment="1">
      <alignment horizontal="center" vertical="center"/>
    </xf>
    <xf numFmtId="0" fontId="36" fillId="0" borderId="3" xfId="0" applyFont="1" applyBorder="1" applyAlignment="1">
      <alignment horizontal="center" vertical="center"/>
    </xf>
    <xf numFmtId="168" fontId="36" fillId="0" borderId="3" xfId="129" applyNumberFormat="1" applyFont="1" applyFill="1" applyBorder="1" applyAlignment="1">
      <alignment horizontal="center" vertical="center" wrapText="1"/>
    </xf>
    <xf numFmtId="168" fontId="36" fillId="10" borderId="3" xfId="129" applyNumberFormat="1" applyFont="1" applyFill="1" applyBorder="1" applyAlignment="1">
      <alignment horizontal="center" vertical="center" wrapText="1"/>
    </xf>
    <xf numFmtId="168" fontId="51" fillId="11" borderId="3" xfId="129" applyNumberFormat="1" applyFont="1" applyFill="1" applyBorder="1" applyAlignment="1">
      <alignment horizontal="center" vertical="center" wrapText="1"/>
    </xf>
    <xf numFmtId="0" fontId="24" fillId="0" borderId="3" xfId="0" applyFont="1" applyFill="1" applyBorder="1" applyAlignment="1">
      <alignment horizontal="left" vertical="center" wrapText="1"/>
    </xf>
    <xf numFmtId="0" fontId="24" fillId="11" borderId="3" xfId="0" applyFont="1" applyFill="1" applyBorder="1" applyAlignment="1">
      <alignment horizontal="left" vertical="center" wrapText="1"/>
    </xf>
    <xf numFmtId="2" fontId="41" fillId="14" borderId="3" xfId="0" applyNumberFormat="1" applyFont="1" applyFill="1" applyBorder="1" applyAlignment="1">
      <alignment horizontal="center" vertical="center" wrapText="1"/>
    </xf>
    <xf numFmtId="0" fontId="24" fillId="10" borderId="3" xfId="0" applyFont="1" applyFill="1" applyBorder="1" applyAlignment="1">
      <alignment horizontal="left" vertical="center" wrapText="1"/>
    </xf>
    <xf numFmtId="2" fontId="36" fillId="0" borderId="3" xfId="0" applyNumberFormat="1" applyFont="1" applyFill="1" applyBorder="1" applyAlignment="1">
      <alignment horizontal="center" vertical="center" wrapText="1"/>
    </xf>
    <xf numFmtId="2" fontId="36" fillId="10" borderId="3" xfId="0" applyNumberFormat="1" applyFont="1" applyFill="1" applyBorder="1" applyAlignment="1">
      <alignment horizontal="center" vertical="center" wrapText="1"/>
    </xf>
    <xf numFmtId="174" fontId="24" fillId="0" borderId="3" xfId="0" applyNumberFormat="1" applyFont="1" applyFill="1" applyBorder="1"/>
    <xf numFmtId="174" fontId="42" fillId="0" borderId="3" xfId="10" applyNumberFormat="1" applyFont="1" applyFill="1" applyBorder="1" applyAlignment="1" applyProtection="1">
      <alignment horizontal="center" vertical="center" wrapText="1"/>
    </xf>
    <xf numFmtId="2" fontId="41" fillId="15" borderId="3" xfId="0" applyNumberFormat="1" applyFont="1" applyFill="1" applyBorder="1" applyAlignment="1">
      <alignment horizontal="center" vertical="center" wrapText="1"/>
    </xf>
    <xf numFmtId="174" fontId="42" fillId="11" borderId="3" xfId="10" applyNumberFormat="1" applyFont="1" applyFill="1" applyBorder="1" applyAlignment="1" applyProtection="1">
      <alignment horizontal="center" vertical="center" wrapText="1"/>
    </xf>
    <xf numFmtId="0" fontId="36" fillId="2" borderId="3" xfId="128" applyFont="1" applyFill="1" applyBorder="1" applyAlignment="1">
      <alignment horizontal="center" vertical="center" wrapText="1"/>
    </xf>
    <xf numFmtId="175" fontId="43" fillId="16" borderId="3" xfId="0" applyNumberFormat="1" applyFont="1" applyFill="1" applyBorder="1" applyAlignment="1">
      <alignment horizontal="center" vertical="center"/>
    </xf>
    <xf numFmtId="0" fontId="36" fillId="0" borderId="0" xfId="0" applyFont="1" applyFill="1"/>
    <xf numFmtId="168" fontId="36" fillId="14" borderId="3" xfId="129" applyNumberFormat="1" applyFont="1" applyFill="1" applyBorder="1" applyAlignment="1">
      <alignment horizontal="center" vertical="center" wrapText="1"/>
    </xf>
    <xf numFmtId="0" fontId="36"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25" fillId="0" borderId="6" xfId="0" applyFont="1" applyFill="1" applyBorder="1" applyAlignment="1">
      <alignment horizontal="center" vertical="center" wrapText="1"/>
    </xf>
    <xf numFmtId="9" fontId="18" fillId="12" borderId="4" xfId="0" applyNumberFormat="1" applyFont="1" applyFill="1" applyBorder="1" applyAlignment="1">
      <alignment horizontal="center" vertical="center" textRotation="90"/>
    </xf>
    <xf numFmtId="9" fontId="18" fillId="12" borderId="9" xfId="0" applyNumberFormat="1" applyFont="1" applyFill="1" applyBorder="1" applyAlignment="1">
      <alignment horizontal="center" vertical="center" textRotation="90"/>
    </xf>
    <xf numFmtId="9" fontId="18" fillId="12" borderId="3" xfId="0" applyNumberFormat="1" applyFont="1" applyFill="1" applyBorder="1" applyAlignment="1">
      <alignment horizontal="center" vertical="center" textRotation="90"/>
    </xf>
    <xf numFmtId="0" fontId="25" fillId="0" borderId="2" xfId="0" applyFont="1" applyFill="1" applyBorder="1" applyAlignment="1">
      <alignment horizontal="center" vertical="center" wrapText="1"/>
    </xf>
    <xf numFmtId="9" fontId="36" fillId="14" borderId="6" xfId="0" applyNumberFormat="1" applyFont="1" applyFill="1" applyBorder="1" applyAlignment="1">
      <alignment horizontal="center" vertical="center" wrapText="1"/>
    </xf>
    <xf numFmtId="168" fontId="19" fillId="14" borderId="6" xfId="0" applyNumberFormat="1" applyFont="1" applyFill="1" applyBorder="1" applyAlignment="1">
      <alignment horizontal="center" vertical="center" wrapText="1"/>
    </xf>
    <xf numFmtId="0" fontId="25" fillId="14" borderId="3" xfId="0" applyFont="1" applyFill="1" applyBorder="1" applyAlignment="1">
      <alignment horizontal="center" vertical="center" wrapText="1"/>
    </xf>
    <xf numFmtId="0" fontId="36" fillId="14" borderId="3" xfId="0" applyNumberFormat="1" applyFont="1" applyFill="1" applyBorder="1" applyAlignment="1">
      <alignment horizontal="center" vertical="center" wrapText="1"/>
    </xf>
    <xf numFmtId="0" fontId="23" fillId="14" borderId="3" xfId="0" applyFont="1" applyFill="1" applyBorder="1" applyAlignment="1">
      <alignment horizontal="center" vertical="center" wrapText="1"/>
    </xf>
    <xf numFmtId="0" fontId="18" fillId="14" borderId="3" xfId="0" applyFont="1" applyFill="1" applyBorder="1" applyAlignment="1">
      <alignment horizontal="center" vertical="center" textRotation="90"/>
    </xf>
    <xf numFmtId="2" fontId="18" fillId="14"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5" fillId="0" borderId="2" xfId="0" applyFont="1" applyFill="1" applyBorder="1" applyAlignment="1">
      <alignment horizontal="left" vertical="center" wrapText="1"/>
    </xf>
    <xf numFmtId="0" fontId="25" fillId="0" borderId="0" xfId="0" applyFont="1" applyFill="1" applyBorder="1" applyAlignment="1">
      <alignment horizontal="center" vertical="center" wrapText="1"/>
    </xf>
    <xf numFmtId="0" fontId="24" fillId="4" borderId="11" xfId="0" applyFont="1" applyFill="1" applyBorder="1" applyAlignment="1">
      <alignment horizontal="center" vertical="center" wrapText="1"/>
    </xf>
    <xf numFmtId="0" fontId="25" fillId="0" borderId="3" xfId="128" applyFont="1" applyFill="1" applyBorder="1" applyAlignment="1">
      <alignment horizontal="center" vertical="center" wrapText="1"/>
    </xf>
    <xf numFmtId="0" fontId="25" fillId="0" borderId="3" xfId="0" applyFont="1" applyFill="1" applyBorder="1" applyAlignment="1">
      <alignment horizontal="center" vertical="center" wrapText="1"/>
    </xf>
    <xf numFmtId="0" fontId="51" fillId="0" borderId="3" xfId="0" applyFont="1" applyFill="1" applyBorder="1" applyAlignment="1">
      <alignment horizontal="center" vertical="center"/>
    </xf>
    <xf numFmtId="9" fontId="53" fillId="12" borderId="3" xfId="0" applyNumberFormat="1" applyFont="1" applyFill="1" applyBorder="1" applyAlignment="1">
      <alignment horizontal="center" vertical="center" textRotation="90"/>
    </xf>
    <xf numFmtId="0" fontId="51" fillId="0" borderId="3" xfId="0" applyFont="1" applyFill="1" applyBorder="1" applyAlignment="1">
      <alignment horizontal="center" vertical="center" wrapText="1"/>
    </xf>
    <xf numFmtId="0" fontId="54" fillId="0" borderId="3" xfId="0" applyFont="1" applyFill="1" applyBorder="1" applyAlignment="1">
      <alignment horizontal="center" vertical="center" wrapText="1"/>
    </xf>
    <xf numFmtId="0" fontId="51" fillId="0" borderId="3" xfId="0" applyFont="1" applyFill="1" applyBorder="1" applyAlignment="1">
      <alignment vertical="center" wrapText="1"/>
    </xf>
    <xf numFmtId="9" fontId="51" fillId="0" borderId="3" xfId="0" applyNumberFormat="1" applyFont="1" applyFill="1" applyBorder="1" applyAlignment="1">
      <alignment horizontal="center" vertical="center" wrapText="1"/>
    </xf>
    <xf numFmtId="168" fontId="51" fillId="0" borderId="3" xfId="129" applyNumberFormat="1" applyFont="1" applyFill="1" applyBorder="1" applyAlignment="1">
      <alignment horizontal="center" vertical="center" wrapText="1"/>
    </xf>
    <xf numFmtId="0" fontId="51" fillId="0" borderId="3" xfId="0" applyNumberFormat="1" applyFont="1" applyFill="1" applyBorder="1" applyAlignment="1">
      <alignment horizontal="center" vertical="center" wrapText="1"/>
    </xf>
    <xf numFmtId="2" fontId="51" fillId="0" borderId="3" xfId="0" applyNumberFormat="1" applyFont="1" applyFill="1" applyBorder="1" applyAlignment="1">
      <alignment horizontal="center" vertical="center" wrapText="1"/>
    </xf>
    <xf numFmtId="0" fontId="53" fillId="0" borderId="3" xfId="0" applyFont="1" applyFill="1" applyBorder="1" applyAlignment="1">
      <alignment horizontal="center" vertical="center" wrapText="1"/>
    </xf>
    <xf numFmtId="9" fontId="56" fillId="0" borderId="3" xfId="140" applyFont="1" applyFill="1" applyBorder="1" applyAlignment="1" applyProtection="1">
      <alignment horizontal="center" vertical="center" wrapText="1"/>
    </xf>
    <xf numFmtId="0" fontId="53" fillId="0" borderId="0" xfId="0" applyFont="1" applyFill="1"/>
    <xf numFmtId="0" fontId="54" fillId="0" borderId="3" xfId="128" applyFont="1" applyFill="1" applyBorder="1" applyAlignment="1">
      <alignment horizontal="center" vertical="center" wrapText="1"/>
    </xf>
    <xf numFmtId="0" fontId="25" fillId="0" borderId="6" xfId="0" applyFont="1" applyFill="1" applyBorder="1" applyAlignment="1">
      <alignment vertical="center" wrapText="1"/>
    </xf>
    <xf numFmtId="0" fontId="18" fillId="0" borderId="3" xfId="0" applyFont="1" applyFill="1" applyBorder="1" applyAlignment="1">
      <alignment horizontal="center" vertical="center" wrapText="1"/>
    </xf>
    <xf numFmtId="0" fontId="19" fillId="0" borderId="3" xfId="112" applyFont="1" applyFill="1" applyBorder="1" applyAlignment="1">
      <alignment horizontal="justify" vertical="center" wrapText="1"/>
    </xf>
    <xf numFmtId="0" fontId="25" fillId="0" borderId="4" xfId="0" applyFont="1" applyFill="1" applyBorder="1" applyAlignment="1">
      <alignment vertical="center" wrapText="1"/>
    </xf>
    <xf numFmtId="4" fontId="19" fillId="10" borderId="3" xfId="8" applyNumberFormat="1" applyFont="1" applyFill="1" applyBorder="1" applyAlignment="1">
      <alignment horizontal="center" vertical="center" wrapText="1"/>
    </xf>
    <xf numFmtId="0" fontId="19" fillId="10" borderId="3" xfId="89" applyFont="1" applyFill="1" applyBorder="1" applyAlignment="1">
      <alignment horizontal="center" vertical="center" wrapText="1"/>
    </xf>
    <xf numFmtId="0" fontId="19" fillId="10" borderId="3" xfId="94" applyFont="1" applyFill="1" applyBorder="1" applyAlignment="1">
      <alignment horizontal="center" vertical="center" wrapText="1"/>
    </xf>
    <xf numFmtId="0" fontId="37" fillId="10" borderId="3" xfId="128" applyFont="1" applyFill="1" applyBorder="1" applyAlignment="1">
      <alignment horizontal="center" vertical="center" wrapText="1"/>
    </xf>
    <xf numFmtId="0" fontId="52" fillId="10" borderId="3" xfId="128" applyFont="1" applyFill="1" applyBorder="1" applyAlignment="1">
      <alignment horizontal="center" vertical="center" wrapText="1"/>
    </xf>
    <xf numFmtId="0" fontId="19" fillId="10" borderId="0" xfId="0" applyFont="1" applyFill="1" applyAlignment="1">
      <alignment horizontal="center"/>
    </xf>
    <xf numFmtId="0" fontId="18" fillId="17" borderId="3" xfId="0" applyFont="1" applyFill="1" applyBorder="1" applyAlignment="1">
      <alignment horizontal="center" vertical="center" wrapText="1"/>
    </xf>
    <xf numFmtId="4" fontId="19" fillId="17" borderId="3" xfId="8" applyNumberFormat="1" applyFont="1" applyFill="1" applyBorder="1" applyAlignment="1">
      <alignment horizontal="center" vertical="center" wrapText="1"/>
    </xf>
    <xf numFmtId="0" fontId="19" fillId="17" borderId="3" xfId="0" applyFont="1" applyFill="1" applyBorder="1" applyAlignment="1">
      <alignment horizontal="center" vertical="center"/>
    </xf>
    <xf numFmtId="0" fontId="19" fillId="17" borderId="3" xfId="94" applyFont="1" applyFill="1" applyBorder="1" applyAlignment="1">
      <alignment horizontal="center" vertical="center" wrapText="1"/>
    </xf>
    <xf numFmtId="0" fontId="19" fillId="17" borderId="3" xfId="0" applyFont="1" applyFill="1" applyBorder="1" applyAlignment="1">
      <alignment horizontal="center" vertical="center" wrapText="1"/>
    </xf>
    <xf numFmtId="0" fontId="18" fillId="17" borderId="14" xfId="0" applyFont="1" applyFill="1" applyBorder="1" applyAlignment="1">
      <alignment vertical="center"/>
    </xf>
    <xf numFmtId="0" fontId="19" fillId="17" borderId="3" xfId="128" applyFont="1" applyFill="1" applyBorder="1" applyAlignment="1">
      <alignment horizontal="center" vertical="center" wrapText="1"/>
    </xf>
    <xf numFmtId="0" fontId="37" fillId="17" borderId="3" xfId="0" applyNumberFormat="1" applyFont="1" applyFill="1" applyBorder="1" applyAlignment="1">
      <alignment vertical="center" wrapText="1"/>
    </xf>
    <xf numFmtId="0" fontId="52" fillId="17" borderId="3" xfId="128" applyFont="1" applyFill="1" applyBorder="1" applyAlignment="1">
      <alignment horizontal="center" vertical="center" wrapText="1"/>
    </xf>
    <xf numFmtId="0" fontId="55" fillId="17" borderId="3" xfId="128" applyFont="1" applyFill="1" applyBorder="1" applyAlignment="1">
      <alignment horizontal="center" vertical="center" wrapText="1"/>
    </xf>
    <xf numFmtId="0" fontId="19" fillId="17" borderId="2" xfId="128" applyFont="1" applyFill="1" applyBorder="1" applyAlignment="1">
      <alignment horizontal="center" vertical="center" wrapText="1"/>
    </xf>
    <xf numFmtId="0" fontId="19" fillId="17" borderId="0" xfId="0" applyFont="1" applyFill="1"/>
    <xf numFmtId="0" fontId="19" fillId="0" borderId="0" xfId="128" applyFont="1" applyFill="1" applyBorder="1" applyAlignment="1">
      <alignment horizontal="center" vertical="center" wrapText="1"/>
    </xf>
    <xf numFmtId="0" fontId="54" fillId="0" borderId="3" xfId="0" applyNumberFormat="1" applyFont="1" applyFill="1" applyBorder="1" applyAlignment="1">
      <alignment horizontal="center" vertical="center" wrapText="1"/>
    </xf>
    <xf numFmtId="2" fontId="54" fillId="0" borderId="3" xfId="0" applyNumberFormat="1" applyFont="1" applyFill="1" applyBorder="1" applyAlignment="1">
      <alignment horizontal="center" vertical="center" wrapText="1"/>
    </xf>
    <xf numFmtId="1" fontId="54" fillId="0" borderId="3" xfId="0" applyNumberFormat="1" applyFont="1" applyFill="1" applyBorder="1" applyAlignment="1">
      <alignment horizontal="center" vertical="center" wrapText="1"/>
    </xf>
    <xf numFmtId="0" fontId="54" fillId="0" borderId="4" xfId="0" applyFont="1" applyFill="1" applyBorder="1" applyAlignment="1">
      <alignment horizontal="center" vertical="center"/>
    </xf>
    <xf numFmtId="0" fontId="54" fillId="0" borderId="3" xfId="0" applyFont="1" applyFill="1" applyBorder="1" applyAlignment="1">
      <alignment vertical="center" wrapText="1"/>
    </xf>
    <xf numFmtId="0" fontId="54" fillId="0" borderId="3" xfId="0" applyFont="1" applyFill="1" applyBorder="1" applyAlignment="1">
      <alignment horizontal="center" vertical="center"/>
    </xf>
    <xf numFmtId="0" fontId="55" fillId="17" borderId="3" xfId="94" applyFont="1" applyFill="1" applyBorder="1" applyAlignment="1">
      <alignment horizontal="center" vertical="center" wrapText="1"/>
    </xf>
    <xf numFmtId="0" fontId="54" fillId="0" borderId="4" xfId="0" applyFont="1" applyFill="1" applyBorder="1" applyAlignment="1">
      <alignment horizontal="center" vertical="center" wrapText="1"/>
    </xf>
    <xf numFmtId="9" fontId="54" fillId="0" borderId="3" xfId="129" applyFont="1" applyFill="1" applyBorder="1" applyAlignment="1">
      <alignment horizontal="center" vertical="center" wrapText="1"/>
    </xf>
    <xf numFmtId="168" fontId="54" fillId="0" borderId="3" xfId="129" applyNumberFormat="1" applyFont="1" applyFill="1" applyBorder="1" applyAlignment="1">
      <alignment horizontal="center" vertical="center" wrapText="1"/>
    </xf>
    <xf numFmtId="0" fontId="55" fillId="10" borderId="3" xfId="94" applyFont="1" applyFill="1" applyBorder="1" applyAlignment="1">
      <alignment horizontal="center" vertical="center" wrapText="1"/>
    </xf>
    <xf numFmtId="0" fontId="55" fillId="0" borderId="3" xfId="0" applyFont="1" applyFill="1" applyBorder="1" applyAlignment="1">
      <alignment horizontal="center" vertical="center" wrapText="1"/>
    </xf>
    <xf numFmtId="0" fontId="51" fillId="0" borderId="4" xfId="0" applyFont="1" applyFill="1" applyBorder="1" applyAlignment="1">
      <alignment horizontal="center" vertical="center" wrapText="1"/>
    </xf>
    <xf numFmtId="176" fontId="19" fillId="0" borderId="3" xfId="0" applyNumberFormat="1" applyFont="1" applyFill="1" applyBorder="1" applyAlignment="1">
      <alignment horizontal="center" vertical="center" wrapText="1"/>
    </xf>
    <xf numFmtId="0" fontId="21" fillId="0" borderId="3" xfId="140" applyNumberFormat="1" applyFont="1" applyFill="1" applyBorder="1" applyAlignment="1" applyProtection="1">
      <alignment horizontal="center" vertical="center" wrapText="1"/>
    </xf>
    <xf numFmtId="0" fontId="27" fillId="0" borderId="3" xfId="140" applyNumberFormat="1" applyFont="1" applyFill="1" applyBorder="1" applyAlignment="1" applyProtection="1">
      <alignment horizontal="center" vertical="center" wrapText="1"/>
    </xf>
    <xf numFmtId="1" fontId="19" fillId="13" borderId="3" xfId="0" applyNumberFormat="1" applyFont="1" applyFill="1" applyBorder="1" applyAlignment="1">
      <alignment horizontal="center" vertical="center" wrapText="1"/>
    </xf>
    <xf numFmtId="1" fontId="55" fillId="0" borderId="3" xfId="0" applyNumberFormat="1"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60" fillId="0" borderId="4" xfId="0" applyFont="1" applyFill="1" applyBorder="1" applyAlignment="1">
      <alignment horizontal="center" vertical="center" wrapText="1"/>
    </xf>
    <xf numFmtId="0" fontId="60" fillId="17" borderId="4" xfId="0" applyFont="1" applyFill="1" applyBorder="1" applyAlignment="1">
      <alignment horizontal="center" vertical="center" wrapText="1"/>
    </xf>
    <xf numFmtId="9" fontId="60" fillId="0" borderId="3" xfId="129" applyFont="1" applyFill="1" applyBorder="1" applyAlignment="1">
      <alignment horizontal="center" vertical="center" wrapText="1"/>
    </xf>
    <xf numFmtId="168" fontId="60" fillId="0" borderId="3" xfId="129" applyNumberFormat="1" applyFont="1" applyFill="1" applyBorder="1" applyAlignment="1">
      <alignment horizontal="center" vertical="center" wrapText="1"/>
    </xf>
    <xf numFmtId="0" fontId="60" fillId="10" borderId="4" xfId="0" applyFont="1" applyFill="1" applyBorder="1" applyAlignment="1">
      <alignment horizontal="center" vertical="center" wrapText="1"/>
    </xf>
    <xf numFmtId="1" fontId="60" fillId="0" borderId="3" xfId="0"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2" fontId="60" fillId="0" borderId="3" xfId="0" applyNumberFormat="1" applyFont="1" applyFill="1" applyBorder="1" applyAlignment="1">
      <alignment horizontal="center" vertical="center" wrapText="1"/>
    </xf>
    <xf numFmtId="9" fontId="60" fillId="0" borderId="3" xfId="112" applyNumberFormat="1" applyFont="1" applyFill="1" applyBorder="1" applyAlignment="1">
      <alignment horizontal="center" vertical="center" wrapText="1"/>
    </xf>
    <xf numFmtId="0" fontId="60" fillId="17" borderId="3" xfId="94" applyFont="1" applyFill="1" applyBorder="1" applyAlignment="1">
      <alignment horizontal="center" vertical="center" wrapText="1"/>
    </xf>
    <xf numFmtId="9" fontId="25" fillId="0" borderId="3" xfId="129" applyFont="1" applyFill="1" applyBorder="1" applyAlignment="1">
      <alignment horizontal="center" vertical="center" wrapText="1"/>
    </xf>
    <xf numFmtId="168" fontId="25" fillId="0" borderId="3" xfId="129" applyNumberFormat="1" applyFont="1" applyFill="1" applyBorder="1" applyAlignment="1">
      <alignment horizontal="center" vertical="center" wrapText="1"/>
    </xf>
    <xf numFmtId="0" fontId="60"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2" fontId="25" fillId="0" borderId="3" xfId="0" applyNumberFormat="1" applyFont="1" applyFill="1" applyBorder="1" applyAlignment="1">
      <alignment horizontal="center" vertical="center" wrapText="1"/>
    </xf>
    <xf numFmtId="0" fontId="52" fillId="0" borderId="3" xfId="128" applyFont="1" applyFill="1" applyBorder="1" applyAlignment="1">
      <alignment horizontal="center" vertical="center" wrapText="1"/>
    </xf>
    <xf numFmtId="0" fontId="54" fillId="0" borderId="4" xfId="0" applyFont="1" applyFill="1" applyBorder="1" applyAlignment="1">
      <alignment vertical="center" wrapText="1"/>
    </xf>
    <xf numFmtId="9" fontId="54" fillId="0" borderId="3" xfId="0" applyNumberFormat="1" applyFont="1" applyFill="1" applyBorder="1" applyAlignment="1">
      <alignment horizontal="center" vertical="center" wrapText="1"/>
    </xf>
    <xf numFmtId="0" fontId="55" fillId="10" borderId="3" xfId="128" applyFont="1" applyFill="1" applyBorder="1" applyAlignment="1">
      <alignment horizontal="center" vertical="center" wrapText="1"/>
    </xf>
    <xf numFmtId="9" fontId="53" fillId="12" borderId="4" xfId="0" applyNumberFormat="1" applyFont="1" applyFill="1" applyBorder="1" applyAlignment="1">
      <alignment horizontal="center" vertical="center" textRotation="90"/>
    </xf>
    <xf numFmtId="0" fontId="54" fillId="0" borderId="2" xfId="128" applyFont="1" applyFill="1" applyBorder="1" applyAlignment="1">
      <alignment horizontal="center" vertical="center" wrapText="1"/>
    </xf>
    <xf numFmtId="0" fontId="52" fillId="0" borderId="3" xfId="0" applyFont="1" applyFill="1" applyBorder="1" applyAlignment="1">
      <alignment horizontal="center" vertical="center" wrapText="1"/>
    </xf>
    <xf numFmtId="0" fontId="36" fillId="2" borderId="3" xfId="0" applyFont="1" applyFill="1" applyBorder="1" applyAlignment="1">
      <alignment horizontal="left" vertical="center" wrapText="1"/>
    </xf>
    <xf numFmtId="0" fontId="36" fillId="2" borderId="3" xfId="0" applyFont="1" applyFill="1" applyBorder="1" applyAlignment="1">
      <alignment horizontal="center" vertical="center" wrapText="1"/>
    </xf>
    <xf numFmtId="0" fontId="36" fillId="0" borderId="6" xfId="0" applyFont="1" applyFill="1" applyBorder="1" applyAlignment="1">
      <alignment vertical="center" wrapText="1"/>
    </xf>
    <xf numFmtId="0" fontId="36" fillId="0" borderId="3"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3" xfId="0" applyNumberFormat="1" applyFont="1" applyFill="1" applyBorder="1" applyAlignment="1">
      <alignment horizontal="center" vertical="center" wrapText="1"/>
    </xf>
    <xf numFmtId="9" fontId="53" fillId="13" borderId="4" xfId="0" applyNumberFormat="1" applyFont="1" applyFill="1" applyBorder="1" applyAlignment="1">
      <alignment horizontal="center" vertical="center" textRotation="90"/>
    </xf>
    <xf numFmtId="0" fontId="51" fillId="13" borderId="3" xfId="0" applyFont="1" applyFill="1" applyBorder="1" applyAlignment="1">
      <alignment horizontal="center" vertical="center"/>
    </xf>
    <xf numFmtId="0" fontId="51" fillId="13" borderId="4" xfId="0" applyFont="1" applyFill="1" applyBorder="1" applyAlignment="1">
      <alignment horizontal="center" vertical="center" wrapText="1"/>
    </xf>
    <xf numFmtId="0" fontId="51" fillId="13" borderId="4" xfId="0" applyFont="1" applyFill="1" applyBorder="1" applyAlignment="1">
      <alignment vertical="center" wrapText="1"/>
    </xf>
    <xf numFmtId="0" fontId="51" fillId="13" borderId="3" xfId="0" applyFont="1" applyFill="1" applyBorder="1" applyAlignment="1">
      <alignment horizontal="center" vertical="center" wrapText="1"/>
    </xf>
    <xf numFmtId="0" fontId="52" fillId="13" borderId="3" xfId="128" applyFont="1" applyFill="1" applyBorder="1" applyAlignment="1">
      <alignment horizontal="center" vertical="center" wrapText="1"/>
    </xf>
    <xf numFmtId="9" fontId="51" fillId="13" borderId="3" xfId="0" applyNumberFormat="1" applyFont="1" applyFill="1" applyBorder="1" applyAlignment="1">
      <alignment horizontal="center" vertical="center" wrapText="1"/>
    </xf>
    <xf numFmtId="168" fontId="51" fillId="13" borderId="3" xfId="129" applyNumberFormat="1" applyFont="1" applyFill="1" applyBorder="1" applyAlignment="1">
      <alignment horizontal="center" vertical="center" wrapText="1"/>
    </xf>
    <xf numFmtId="0" fontId="51" fillId="13" borderId="3" xfId="0" applyNumberFormat="1" applyFont="1" applyFill="1" applyBorder="1" applyAlignment="1">
      <alignment horizontal="center" vertical="center" wrapText="1"/>
    </xf>
    <xf numFmtId="2" fontId="51" fillId="13" borderId="3" xfId="0" applyNumberFormat="1" applyFont="1" applyFill="1" applyBorder="1" applyAlignment="1">
      <alignment horizontal="center" vertical="center" wrapText="1"/>
    </xf>
    <xf numFmtId="0" fontId="60" fillId="17" borderId="3" xfId="128" applyFont="1" applyFill="1" applyBorder="1" applyAlignment="1">
      <alignment horizontal="center" vertical="center" wrapText="1"/>
    </xf>
    <xf numFmtId="9" fontId="53" fillId="12" borderId="4" xfId="0" applyNumberFormat="1" applyFont="1" applyFill="1" applyBorder="1" applyAlignment="1">
      <alignment vertical="center" textRotation="90"/>
    </xf>
    <xf numFmtId="0" fontId="51" fillId="2" borderId="3" xfId="0" applyNumberFormat="1" applyFont="1" applyFill="1" applyBorder="1" applyAlignment="1">
      <alignment horizontal="center" vertical="center" wrapText="1"/>
    </xf>
    <xf numFmtId="0" fontId="51" fillId="2" borderId="3" xfId="128" applyFont="1" applyFill="1" applyBorder="1" applyAlignment="1">
      <alignment horizontal="center" vertical="center" wrapText="1"/>
    </xf>
    <xf numFmtId="9" fontId="51" fillId="0" borderId="6" xfId="129" applyFont="1" applyFill="1" applyBorder="1" applyAlignment="1">
      <alignment horizontal="center" vertical="center" wrapText="1"/>
    </xf>
    <xf numFmtId="9" fontId="63" fillId="0" borderId="3" xfId="140" applyFont="1" applyFill="1" applyBorder="1" applyAlignment="1" applyProtection="1">
      <alignment horizontal="center" vertical="center" wrapText="1"/>
    </xf>
    <xf numFmtId="9" fontId="53" fillId="12" borderId="11" xfId="0" applyNumberFormat="1" applyFont="1" applyFill="1" applyBorder="1" applyAlignment="1">
      <alignment vertical="center" textRotation="90"/>
    </xf>
    <xf numFmtId="0" fontId="51" fillId="0" borderId="3" xfId="0" quotePrefix="1" applyNumberFormat="1" applyFont="1" applyFill="1" applyBorder="1" applyAlignment="1">
      <alignment horizontal="left" vertical="center" wrapText="1"/>
    </xf>
    <xf numFmtId="0" fontId="51" fillId="0" borderId="3" xfId="128" applyFont="1" applyFill="1" applyBorder="1" applyAlignment="1">
      <alignment horizontal="center" vertical="center" wrapText="1"/>
    </xf>
    <xf numFmtId="0" fontId="64" fillId="10" borderId="3" xfId="94" applyFont="1" applyFill="1" applyBorder="1" applyAlignment="1">
      <alignment horizontal="center" vertical="center" wrapText="1"/>
    </xf>
    <xf numFmtId="0" fontId="18" fillId="0" borderId="3" xfId="0" applyFont="1" applyFill="1" applyBorder="1" applyAlignment="1">
      <alignment horizontal="center" vertical="center" wrapText="1"/>
    </xf>
    <xf numFmtId="2" fontId="60" fillId="10" borderId="4" xfId="0" applyNumberFormat="1" applyFont="1" applyFill="1" applyBorder="1" applyAlignment="1">
      <alignment horizontal="center" vertical="center" wrapText="1"/>
    </xf>
    <xf numFmtId="2" fontId="19" fillId="10" borderId="3" xfId="0" applyNumberFormat="1" applyFont="1" applyFill="1" applyBorder="1"/>
    <xf numFmtId="2" fontId="21" fillId="0" borderId="3" xfId="10" applyNumberFormat="1" applyFont="1" applyFill="1" applyBorder="1" applyAlignment="1" applyProtection="1">
      <alignment horizontal="center" vertical="center" wrapText="1"/>
    </xf>
    <xf numFmtId="2" fontId="21" fillId="10" borderId="4" xfId="10" applyNumberFormat="1" applyFont="1" applyFill="1" applyBorder="1" applyAlignment="1" applyProtection="1">
      <alignment horizontal="center" vertical="center" wrapText="1"/>
    </xf>
    <xf numFmtId="2" fontId="59" fillId="0" borderId="3" xfId="10" applyNumberFormat="1" applyFont="1" applyFill="1" applyBorder="1" applyAlignment="1" applyProtection="1">
      <alignment horizontal="center" vertical="center" wrapText="1"/>
    </xf>
    <xf numFmtId="2" fontId="61" fillId="0" borderId="3" xfId="10" applyNumberFormat="1" applyFont="1" applyFill="1" applyBorder="1" applyAlignment="1" applyProtection="1">
      <alignment horizontal="center" vertical="center" wrapText="1"/>
    </xf>
    <xf numFmtId="2" fontId="21" fillId="10" borderId="3" xfId="10" applyNumberFormat="1" applyFont="1" applyFill="1" applyBorder="1" applyAlignment="1" applyProtection="1">
      <alignment horizontal="center" vertical="center" wrapText="1"/>
    </xf>
    <xf numFmtId="2" fontId="18" fillId="0" borderId="3" xfId="0" applyNumberFormat="1" applyFont="1" applyFill="1" applyBorder="1"/>
    <xf numFmtId="2" fontId="27" fillId="14" borderId="3" xfId="10" applyNumberFormat="1" applyFont="1" applyFill="1" applyBorder="1" applyAlignment="1" applyProtection="1">
      <alignment horizontal="center" vertical="center" wrapText="1"/>
    </xf>
    <xf numFmtId="2" fontId="27" fillId="0" borderId="3" xfId="10" applyNumberFormat="1" applyFont="1" applyFill="1" applyBorder="1" applyAlignment="1" applyProtection="1">
      <alignment horizontal="center" vertical="center" wrapText="1"/>
    </xf>
    <xf numFmtId="2" fontId="27" fillId="10" borderId="3" xfId="10" applyNumberFormat="1" applyFont="1" applyFill="1" applyBorder="1" applyAlignment="1" applyProtection="1">
      <alignment horizontal="center" vertical="center" wrapText="1"/>
    </xf>
    <xf numFmtId="2" fontId="31" fillId="10" borderId="3" xfId="10" applyNumberFormat="1" applyFont="1" applyFill="1" applyBorder="1" applyAlignment="1" applyProtection="1">
      <alignment horizontal="center" vertical="center" wrapText="1"/>
    </xf>
    <xf numFmtId="2" fontId="27" fillId="12" borderId="3" xfId="10" applyNumberFormat="1" applyFont="1" applyFill="1" applyBorder="1" applyAlignment="1" applyProtection="1">
      <alignment horizontal="center" vertical="center" wrapText="1"/>
    </xf>
    <xf numFmtId="2" fontId="56" fillId="0" borderId="3" xfId="10" applyNumberFormat="1" applyFont="1" applyFill="1" applyBorder="1" applyAlignment="1" applyProtection="1">
      <alignment horizontal="center" vertical="center" wrapText="1"/>
    </xf>
    <xf numFmtId="2" fontId="18" fillId="11" borderId="3" xfId="0" applyNumberFormat="1" applyFont="1" applyFill="1" applyBorder="1"/>
    <xf numFmtId="0" fontId="18"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50" fillId="10" borderId="3" xfId="0" applyFont="1" applyFill="1" applyBorder="1" applyAlignment="1">
      <alignment horizontal="center" vertical="center" wrapText="1"/>
    </xf>
    <xf numFmtId="0" fontId="60" fillId="10" borderId="3" xfId="94" applyFont="1" applyFill="1" applyBorder="1" applyAlignment="1">
      <alignment horizontal="center" vertical="center" wrapText="1"/>
    </xf>
    <xf numFmtId="2" fontId="19" fillId="0" borderId="0" xfId="0" applyNumberFormat="1" applyFont="1" applyFill="1"/>
    <xf numFmtId="0" fontId="32" fillId="0" borderId="12" xfId="112" applyFont="1" applyFill="1" applyBorder="1" applyAlignment="1">
      <alignment horizontal="left" vertical="center"/>
    </xf>
    <xf numFmtId="0" fontId="18" fillId="9" borderId="3" xfId="112" applyFont="1" applyFill="1" applyBorder="1" applyAlignment="1">
      <alignment horizontal="center" vertical="center"/>
    </xf>
    <xf numFmtId="0" fontId="18" fillId="9" borderId="3" xfId="112" applyFont="1" applyFill="1" applyBorder="1" applyAlignment="1">
      <alignment horizontal="center" vertical="center" wrapText="1"/>
    </xf>
    <xf numFmtId="0" fontId="18" fillId="9" borderId="4" xfId="112" applyFont="1" applyFill="1" applyBorder="1" applyAlignment="1">
      <alignment horizontal="center" vertical="center" wrapText="1"/>
    </xf>
    <xf numFmtId="0" fontId="18" fillId="9" borderId="11" xfId="112" applyFont="1" applyFill="1" applyBorder="1" applyAlignment="1">
      <alignment horizontal="center" vertical="center" wrapText="1"/>
    </xf>
    <xf numFmtId="0" fontId="24" fillId="5" borderId="4" xfId="110" applyFont="1" applyFill="1" applyBorder="1" applyAlignment="1">
      <alignment horizontal="center" vertical="center" wrapText="1"/>
    </xf>
    <xf numFmtId="0" fontId="24" fillId="5" borderId="11" xfId="110" quotePrefix="1" applyFont="1" applyFill="1" applyBorder="1" applyAlignment="1">
      <alignment horizontal="center" vertical="center" wrapText="1"/>
    </xf>
    <xf numFmtId="168" fontId="18" fillId="9" borderId="3" xfId="133" applyNumberFormat="1" applyFont="1" applyFill="1" applyBorder="1" applyAlignment="1">
      <alignment horizontal="center" vertical="center" wrapText="1"/>
    </xf>
    <xf numFmtId="49" fontId="18" fillId="9" borderId="4" xfId="22" applyNumberFormat="1" applyFont="1" applyFill="1" applyBorder="1" applyAlignment="1">
      <alignment horizontal="center" vertical="center"/>
    </xf>
    <xf numFmtId="49" fontId="18" fillId="9" borderId="11" xfId="22" applyNumberFormat="1" applyFont="1" applyFill="1" applyBorder="1" applyAlignment="1">
      <alignment horizontal="center" vertical="center"/>
    </xf>
    <xf numFmtId="0" fontId="18" fillId="9" borderId="3" xfId="112" applyNumberFormat="1" applyFont="1" applyFill="1" applyBorder="1" applyAlignment="1">
      <alignment horizontal="center" vertical="center" wrapText="1"/>
    </xf>
    <xf numFmtId="0" fontId="24" fillId="8" borderId="4" xfId="110" quotePrefix="1" applyFont="1" applyFill="1" applyBorder="1" applyAlignment="1">
      <alignment horizontal="center" vertical="center" wrapText="1"/>
    </xf>
    <xf numFmtId="0" fontId="24" fillId="8" borderId="11" xfId="110" quotePrefix="1" applyFont="1" applyFill="1" applyBorder="1" applyAlignment="1">
      <alignment horizontal="center" vertical="center" wrapText="1"/>
    </xf>
    <xf numFmtId="0" fontId="24" fillId="8" borderId="4" xfId="110" applyFont="1" applyFill="1" applyBorder="1" applyAlignment="1">
      <alignment horizontal="center" vertical="center" wrapText="1"/>
    </xf>
    <xf numFmtId="0" fontId="18" fillId="8" borderId="3" xfId="112" applyFont="1" applyFill="1" applyBorder="1" applyAlignment="1">
      <alignment horizontal="center" vertical="center" textRotation="90"/>
    </xf>
    <xf numFmtId="0" fontId="18" fillId="8" borderId="4" xfId="112" applyFont="1" applyFill="1" applyBorder="1" applyAlignment="1">
      <alignment horizontal="center" vertical="center" textRotation="90"/>
    </xf>
    <xf numFmtId="9" fontId="19" fillId="8" borderId="3" xfId="112" applyNumberFormat="1" applyFont="1" applyFill="1" applyBorder="1" applyAlignment="1">
      <alignment horizontal="center" vertical="center" textRotation="90"/>
    </xf>
    <xf numFmtId="9" fontId="19" fillId="8" borderId="4" xfId="112" applyNumberFormat="1" applyFont="1" applyFill="1" applyBorder="1" applyAlignment="1">
      <alignment horizontal="center" vertical="center" textRotation="90"/>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0" fontId="19" fillId="0" borderId="4" xfId="112" applyFont="1" applyFill="1" applyBorder="1" applyAlignment="1">
      <alignment horizontal="justify" vertical="center" wrapText="1"/>
    </xf>
    <xf numFmtId="0" fontId="19" fillId="0" borderId="9" xfId="112" applyFont="1" applyFill="1" applyBorder="1" applyAlignment="1">
      <alignment horizontal="justify" vertical="center" wrapText="1"/>
    </xf>
    <xf numFmtId="9" fontId="19" fillId="0" borderId="4"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18" fillId="8" borderId="11" xfId="112" applyFont="1" applyFill="1" applyBorder="1" applyAlignment="1">
      <alignment horizontal="center" vertical="center" textRotation="90"/>
    </xf>
    <xf numFmtId="9" fontId="19" fillId="8" borderId="11" xfId="112" applyNumberFormat="1" applyFont="1" applyFill="1" applyBorder="1" applyAlignment="1">
      <alignment horizontal="center" vertical="center" textRotation="90"/>
    </xf>
    <xf numFmtId="0" fontId="18" fillId="8" borderId="9" xfId="112" applyFont="1" applyFill="1" applyBorder="1" applyAlignment="1">
      <alignment horizontal="center" vertical="center" textRotation="90"/>
    </xf>
    <xf numFmtId="9" fontId="19" fillId="8"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9" fillId="0" borderId="11" xfId="112" applyNumberFormat="1" applyFont="1" applyFill="1" applyBorder="1" applyAlignment="1">
      <alignment horizontal="center" vertical="center" wrapText="1"/>
    </xf>
    <xf numFmtId="9" fontId="18" fillId="0" borderId="9" xfId="112" applyNumberFormat="1" applyFont="1" applyFill="1" applyBorder="1" applyAlignment="1">
      <alignment horizontal="center" vertical="center" textRotation="90"/>
    </xf>
    <xf numFmtId="0" fontId="19" fillId="2" borderId="4" xfId="112" applyFont="1" applyFill="1" applyBorder="1" applyAlignment="1">
      <alignment horizontal="justify" vertical="center" wrapText="1"/>
    </xf>
    <xf numFmtId="0" fontId="19" fillId="2" borderId="9" xfId="112" applyFont="1" applyFill="1" applyBorder="1" applyAlignment="1">
      <alignment horizontal="justify"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0" fontId="19" fillId="0" borderId="11" xfId="112" applyFont="1" applyFill="1" applyBorder="1" applyAlignment="1">
      <alignment horizontal="justify" vertical="center" wrapText="1"/>
    </xf>
    <xf numFmtId="9" fontId="18" fillId="12" borderId="9"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0" fontId="25" fillId="0" borderId="4"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5" fillId="0" borderId="4"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11" xfId="0" applyFont="1" applyFill="1" applyBorder="1" applyAlignment="1">
      <alignment horizontal="left"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9" fontId="18" fillId="15" borderId="14" xfId="0" applyNumberFormat="1" applyFont="1" applyFill="1" applyBorder="1" applyAlignment="1">
      <alignment horizontal="center" vertical="center" textRotation="90"/>
    </xf>
    <xf numFmtId="9" fontId="18" fillId="15" borderId="0" xfId="0" applyNumberFormat="1" applyFont="1" applyFill="1" applyBorder="1" applyAlignment="1">
      <alignment horizontal="center" vertical="center" textRotation="90"/>
    </xf>
    <xf numFmtId="9" fontId="18" fillId="6" borderId="4" xfId="0" applyNumberFormat="1" applyFont="1" applyFill="1" applyBorder="1" applyAlignment="1">
      <alignment horizontal="center" vertical="center" textRotation="90"/>
    </xf>
    <xf numFmtId="9" fontId="18" fillId="6" borderId="9" xfId="0" applyNumberFormat="1" applyFont="1" applyFill="1" applyBorder="1" applyAlignment="1">
      <alignment horizontal="center" vertical="center" textRotation="90"/>
    </xf>
    <xf numFmtId="9" fontId="18" fillId="6" borderId="11" xfId="0" applyNumberFormat="1" applyFont="1" applyFill="1" applyBorder="1" applyAlignment="1">
      <alignment horizontal="center" vertical="center" textRotation="90"/>
    </xf>
    <xf numFmtId="0" fontId="28" fillId="14" borderId="5" xfId="0" applyFont="1" applyFill="1" applyBorder="1" applyAlignment="1">
      <alignment horizontal="left" vertical="center" wrapText="1"/>
    </xf>
    <xf numFmtId="0" fontId="28" fillId="14" borderId="2" xfId="0" applyFont="1" applyFill="1" applyBorder="1" applyAlignment="1">
      <alignment horizontal="left" vertical="center" wrapText="1"/>
    </xf>
    <xf numFmtId="0" fontId="28" fillId="14" borderId="8" xfId="0" applyFont="1" applyFill="1" applyBorder="1" applyAlignment="1">
      <alignment horizontal="left" vertical="center" wrapText="1"/>
    </xf>
    <xf numFmtId="9" fontId="18" fillId="10" borderId="4" xfId="0" applyNumberFormat="1" applyFont="1" applyFill="1" applyBorder="1" applyAlignment="1">
      <alignment horizontal="center" vertical="center" textRotation="90"/>
    </xf>
    <xf numFmtId="9" fontId="18" fillId="10" borderId="11" xfId="0" applyNumberFormat="1" applyFont="1" applyFill="1" applyBorder="1" applyAlignment="1">
      <alignment horizontal="center" vertical="center" textRotation="90"/>
    </xf>
    <xf numFmtId="9" fontId="18" fillId="12" borderId="3" xfId="0" applyNumberFormat="1" applyFont="1" applyFill="1" applyBorder="1" applyAlignment="1">
      <alignment horizontal="center" vertical="center" textRotation="90"/>
    </xf>
    <xf numFmtId="0" fontId="36" fillId="0" borderId="4" xfId="0" applyFont="1" applyFill="1" applyBorder="1" applyAlignment="1">
      <alignment horizontal="center" vertical="center"/>
    </xf>
    <xf numFmtId="0" fontId="36" fillId="0" borderId="11" xfId="0" applyFont="1" applyFill="1" applyBorder="1" applyAlignment="1">
      <alignment horizontal="center" vertical="center"/>
    </xf>
    <xf numFmtId="0" fontId="25" fillId="0" borderId="6" xfId="0" applyFont="1" applyFill="1" applyBorder="1" applyAlignment="1">
      <alignment horizontal="center" vertical="center" wrapText="1"/>
    </xf>
    <xf numFmtId="0" fontId="25" fillId="0" borderId="10" xfId="0" applyFont="1" applyFill="1" applyBorder="1" applyAlignment="1">
      <alignment horizontal="center" vertical="center" wrapText="1"/>
    </xf>
    <xf numFmtId="0" fontId="36" fillId="0" borderId="3" xfId="0" applyFont="1" applyFill="1" applyBorder="1" applyAlignment="1">
      <alignment horizontal="center" vertical="center"/>
    </xf>
    <xf numFmtId="0" fontId="25" fillId="0" borderId="3" xfId="0" applyFont="1" applyFill="1" applyBorder="1" applyAlignment="1">
      <alignment horizontal="center" vertical="center" wrapText="1"/>
    </xf>
    <xf numFmtId="9" fontId="18" fillId="3" borderId="4" xfId="129" applyFont="1" applyFill="1" applyBorder="1" applyAlignment="1">
      <alignment horizontal="center" vertical="center" textRotation="90" wrapText="1"/>
    </xf>
    <xf numFmtId="9" fontId="18" fillId="3" borderId="9" xfId="129" applyFont="1" applyFill="1" applyBorder="1" applyAlignment="1">
      <alignment horizontal="center" vertical="center" textRotation="90" wrapText="1"/>
    </xf>
    <xf numFmtId="9" fontId="18" fillId="3" borderId="11" xfId="129" applyFont="1" applyFill="1" applyBorder="1" applyAlignment="1">
      <alignment horizontal="center" vertical="center" textRotation="90" wrapText="1"/>
    </xf>
    <xf numFmtId="0" fontId="18" fillId="10" borderId="5" xfId="0" applyFont="1" applyFill="1" applyBorder="1" applyAlignment="1">
      <alignment horizontal="left" vertical="center"/>
    </xf>
    <xf numFmtId="0" fontId="18" fillId="10" borderId="2" xfId="0" applyFont="1" applyFill="1" applyBorder="1" applyAlignment="1">
      <alignment horizontal="left" vertical="center"/>
    </xf>
    <xf numFmtId="9" fontId="18" fillId="12" borderId="4" xfId="0" applyNumberFormat="1" applyFont="1" applyFill="1" applyBorder="1" applyAlignment="1">
      <alignment horizontal="center" vertical="center" textRotation="90"/>
    </xf>
    <xf numFmtId="0" fontId="24" fillId="0" borderId="4" xfId="0" applyFont="1" applyFill="1" applyBorder="1" applyAlignment="1">
      <alignment horizontal="center" vertical="center"/>
    </xf>
    <xf numFmtId="0" fontId="24" fillId="0" borderId="9" xfId="0" applyFont="1" applyFill="1" applyBorder="1" applyAlignment="1">
      <alignment horizontal="center" vertical="center"/>
    </xf>
    <xf numFmtId="0" fontId="24" fillId="0" borderId="11" xfId="0" applyFont="1" applyFill="1" applyBorder="1" applyAlignment="1">
      <alignment horizontal="center" vertical="center"/>
    </xf>
    <xf numFmtId="0" fontId="24" fillId="4" borderId="5" xfId="0" applyNumberFormat="1" applyFont="1" applyFill="1" applyBorder="1" applyAlignment="1">
      <alignment horizontal="center" vertical="center" wrapText="1"/>
    </xf>
    <xf numFmtId="0" fontId="24" fillId="4" borderId="2" xfId="0" applyNumberFormat="1" applyFont="1" applyFill="1" applyBorder="1" applyAlignment="1">
      <alignment horizontal="center" vertical="center" wrapText="1"/>
    </xf>
    <xf numFmtId="0" fontId="24" fillId="4" borderId="8" xfId="0" applyNumberFormat="1" applyFont="1" applyFill="1" applyBorder="1" applyAlignment="1">
      <alignment horizontal="center" vertical="center" wrapText="1"/>
    </xf>
    <xf numFmtId="0" fontId="18" fillId="4" borderId="5" xfId="0" applyFont="1" applyFill="1" applyBorder="1" applyAlignment="1">
      <alignment horizontal="left" vertical="center" wrapText="1"/>
    </xf>
    <xf numFmtId="0" fontId="18" fillId="11" borderId="2" xfId="0" applyFont="1" applyFill="1" applyBorder="1" applyAlignment="1">
      <alignment horizontal="left" vertical="center" wrapText="1"/>
    </xf>
    <xf numFmtId="0" fontId="18" fillId="11" borderId="8" xfId="0" applyFont="1" applyFill="1" applyBorder="1" applyAlignment="1">
      <alignment horizontal="left" vertical="center" wrapText="1"/>
    </xf>
    <xf numFmtId="0" fontId="18" fillId="14" borderId="5" xfId="0" applyNumberFormat="1" applyFont="1" applyFill="1" applyBorder="1" applyAlignment="1">
      <alignment horizontal="left" vertical="center"/>
    </xf>
    <xf numFmtId="0" fontId="18" fillId="14" borderId="2" xfId="0" applyNumberFormat="1" applyFont="1" applyFill="1" applyBorder="1" applyAlignment="1">
      <alignment horizontal="left" vertical="center"/>
    </xf>
    <xf numFmtId="0" fontId="18" fillId="14" borderId="8" xfId="0" applyNumberFormat="1" applyFont="1" applyFill="1" applyBorder="1" applyAlignment="1">
      <alignment horizontal="left" vertical="center"/>
    </xf>
    <xf numFmtId="0" fontId="18" fillId="10" borderId="8" xfId="0" applyFont="1" applyFill="1" applyBorder="1" applyAlignment="1">
      <alignment horizontal="left" vertical="center"/>
    </xf>
    <xf numFmtId="0" fontId="18" fillId="2" borderId="6" xfId="82" applyFont="1" applyFill="1" applyBorder="1" applyAlignment="1" applyProtection="1">
      <alignment horizontal="center" vertical="center" wrapText="1"/>
    </xf>
    <xf numFmtId="0" fontId="18" fillId="2" borderId="14" xfId="82" applyFont="1" applyFill="1" applyBorder="1" applyAlignment="1" applyProtection="1">
      <alignment horizontal="center" vertical="center" wrapText="1"/>
    </xf>
    <xf numFmtId="0" fontId="18" fillId="2" borderId="13" xfId="82" applyFont="1" applyFill="1" applyBorder="1" applyAlignment="1" applyProtection="1">
      <alignment horizontal="center" vertical="center" wrapText="1"/>
    </xf>
    <xf numFmtId="0" fontId="18" fillId="2" borderId="10" xfId="82" applyFont="1" applyFill="1" applyBorder="1" applyAlignment="1" applyProtection="1">
      <alignment horizontal="center" vertical="center" wrapText="1"/>
    </xf>
    <xf numFmtId="0" fontId="18" fillId="2" borderId="12" xfId="82" applyFont="1" applyFill="1" applyBorder="1" applyAlignment="1" applyProtection="1">
      <alignment horizontal="center" vertical="center" wrapText="1"/>
    </xf>
    <xf numFmtId="0" fontId="18" fillId="2" borderId="17" xfId="82" applyFont="1" applyFill="1" applyBorder="1" applyAlignment="1" applyProtection="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2" borderId="5" xfId="82" applyFont="1" applyFill="1" applyBorder="1" applyAlignment="1" applyProtection="1">
      <alignment horizontal="left" vertical="center" wrapText="1"/>
    </xf>
    <xf numFmtId="0" fontId="18" fillId="2" borderId="8" xfId="82" applyFont="1" applyFill="1" applyBorder="1" applyAlignment="1" applyProtection="1">
      <alignment horizontal="left" vertical="center" wrapText="1"/>
    </xf>
    <xf numFmtId="0" fontId="18" fillId="2" borderId="2"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2" borderId="5" xfId="0" applyFont="1" applyFill="1" applyBorder="1" applyAlignment="1">
      <alignment horizontal="center" vertical="center" wrapText="1"/>
    </xf>
    <xf numFmtId="0" fontId="24" fillId="0" borderId="4" xfId="0" applyNumberFormat="1" applyFont="1" applyFill="1" applyBorder="1" applyAlignment="1">
      <alignment horizontal="center" vertical="center" wrapText="1"/>
    </xf>
    <xf numFmtId="0" fontId="24" fillId="0" borderId="9" xfId="0" applyNumberFormat="1" applyFont="1" applyFill="1" applyBorder="1" applyAlignment="1">
      <alignment horizontal="center" vertical="center" wrapText="1"/>
    </xf>
    <xf numFmtId="0" fontId="24" fillId="0" borderId="11" xfId="0" applyNumberFormat="1"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4" fillId="0" borderId="13"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5" fillId="0" borderId="4" xfId="0" applyFont="1" applyFill="1" applyBorder="1" applyAlignment="1">
      <alignment horizontal="left" vertical="center"/>
    </xf>
    <xf numFmtId="0" fontId="25" fillId="0" borderId="11" xfId="0" applyFont="1" applyFill="1" applyBorder="1" applyAlignment="1">
      <alignment horizontal="left" vertical="center"/>
    </xf>
    <xf numFmtId="0" fontId="36" fillId="0" borderId="4" xfId="0" applyFont="1" applyFill="1" applyBorder="1" applyAlignment="1">
      <alignment horizontal="center" vertical="center" wrapText="1"/>
    </xf>
    <xf numFmtId="0" fontId="36" fillId="0" borderId="11" xfId="0" applyFont="1" applyFill="1" applyBorder="1" applyAlignment="1">
      <alignment horizontal="center" vertical="center" wrapText="1"/>
    </xf>
    <xf numFmtId="0" fontId="36" fillId="0" borderId="9" xfId="0" applyFont="1" applyFill="1" applyBorder="1" applyAlignment="1">
      <alignment horizontal="center" vertical="center" wrapText="1"/>
    </xf>
    <xf numFmtId="0" fontId="36" fillId="0" borderId="4" xfId="0" applyFont="1" applyFill="1" applyBorder="1" applyAlignment="1">
      <alignment horizontal="left" vertical="center"/>
    </xf>
    <xf numFmtId="0" fontId="36" fillId="0" borderId="9" xfId="0" applyFont="1" applyFill="1" applyBorder="1" applyAlignment="1">
      <alignment horizontal="left" vertical="center"/>
    </xf>
    <xf numFmtId="0" fontId="36" fillId="0" borderId="11" xfId="0" applyFont="1" applyFill="1" applyBorder="1" applyAlignment="1">
      <alignment horizontal="left" vertical="center"/>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36" fillId="0" borderId="4"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6" fillId="0" borderId="11" xfId="0" applyFont="1" applyFill="1" applyBorder="1" applyAlignment="1">
      <alignment horizontal="left" vertical="center" wrapText="1"/>
    </xf>
    <xf numFmtId="0" fontId="62" fillId="0" borderId="4" xfId="0" applyFont="1" applyFill="1" applyBorder="1" applyAlignment="1">
      <alignment horizontal="center" vertical="center"/>
    </xf>
    <xf numFmtId="0" fontId="62" fillId="0" borderId="11" xfId="0" applyFont="1" applyFill="1" applyBorder="1" applyAlignment="1">
      <alignment horizontal="center" vertical="center"/>
    </xf>
    <xf numFmtId="0" fontId="51" fillId="2" borderId="4" xfId="0" applyNumberFormat="1" applyFont="1" applyFill="1" applyBorder="1" applyAlignment="1">
      <alignment horizontal="left" vertical="center" wrapText="1"/>
    </xf>
    <xf numFmtId="0" fontId="51" fillId="2" borderId="11" xfId="0" applyNumberFormat="1" applyFont="1" applyFill="1" applyBorder="1" applyAlignment="1">
      <alignment horizontal="left" vertical="center" wrapText="1"/>
    </xf>
    <xf numFmtId="9" fontId="18" fillId="3" borderId="9" xfId="0" applyNumberFormat="1" applyFont="1" applyFill="1" applyBorder="1" applyAlignment="1">
      <alignment horizontal="center" vertical="center" textRotation="90"/>
    </xf>
    <xf numFmtId="0" fontId="24" fillId="10" borderId="5" xfId="0" applyFont="1" applyFill="1" applyBorder="1" applyAlignment="1">
      <alignment horizontal="left" vertical="center" wrapText="1"/>
    </xf>
    <xf numFmtId="0" fontId="24" fillId="10" borderId="2" xfId="0" applyFont="1" applyFill="1" applyBorder="1" applyAlignment="1">
      <alignment horizontal="left" vertical="center" wrapText="1"/>
    </xf>
    <xf numFmtId="0" fontId="24" fillId="10" borderId="8" xfId="0" applyFont="1" applyFill="1" applyBorder="1" applyAlignment="1">
      <alignment horizontal="left" vertical="center" wrapText="1"/>
    </xf>
    <xf numFmtId="0" fontId="25" fillId="0" borderId="4" xfId="0" applyFont="1" applyFill="1" applyBorder="1" applyAlignment="1">
      <alignment vertical="center" wrapText="1"/>
    </xf>
    <xf numFmtId="0" fontId="25" fillId="0" borderId="9" xfId="0" applyFont="1" applyFill="1" applyBorder="1" applyAlignment="1">
      <alignment vertical="center" wrapText="1"/>
    </xf>
    <xf numFmtId="0" fontId="25" fillId="0" borderId="11" xfId="0" applyFont="1" applyFill="1" applyBorder="1" applyAlignment="1">
      <alignment vertical="center" wrapText="1"/>
    </xf>
    <xf numFmtId="0" fontId="18" fillId="10" borderId="5" xfId="0" applyNumberFormat="1" applyFont="1" applyFill="1" applyBorder="1" applyAlignment="1">
      <alignment horizontal="left" vertical="center" wrapText="1"/>
    </xf>
    <xf numFmtId="0" fontId="18" fillId="10" borderId="2" xfId="0" applyNumberFormat="1" applyFont="1" applyFill="1" applyBorder="1" applyAlignment="1">
      <alignment horizontal="left" vertical="center" wrapText="1"/>
    </xf>
    <xf numFmtId="0" fontId="18" fillId="10" borderId="8" xfId="0" applyNumberFormat="1" applyFont="1" applyFill="1" applyBorder="1" applyAlignment="1">
      <alignment horizontal="left" vertical="center" wrapText="1"/>
    </xf>
    <xf numFmtId="0" fontId="25" fillId="12" borderId="4" xfId="0" applyFont="1" applyFill="1" applyBorder="1" applyAlignment="1">
      <alignment horizontal="center" vertical="center"/>
    </xf>
    <xf numFmtId="0" fontId="25" fillId="12" borderId="9" xfId="0" applyFont="1" applyFill="1" applyBorder="1" applyAlignment="1">
      <alignment horizontal="center" vertical="center"/>
    </xf>
    <xf numFmtId="0" fontId="25" fillId="12" borderId="11" xfId="0" applyFont="1" applyFill="1" applyBorder="1" applyAlignment="1">
      <alignment horizontal="center" vertical="center"/>
    </xf>
    <xf numFmtId="0" fontId="25" fillId="12" borderId="4" xfId="0" applyFont="1" applyFill="1" applyBorder="1" applyAlignment="1">
      <alignment horizontal="center" vertical="center" wrapText="1"/>
    </xf>
    <xf numFmtId="0" fontId="25" fillId="12" borderId="9" xfId="0" applyFont="1" applyFill="1" applyBorder="1" applyAlignment="1">
      <alignment horizontal="center" vertical="center" wrapText="1"/>
    </xf>
    <xf numFmtId="0" fontId="25" fillId="12" borderId="11" xfId="0" applyFont="1" applyFill="1" applyBorder="1" applyAlignment="1">
      <alignment horizontal="center" vertical="center" wrapText="1"/>
    </xf>
    <xf numFmtId="0" fontId="18" fillId="3" borderId="5" xfId="0" applyFont="1" applyFill="1" applyBorder="1" applyAlignment="1">
      <alignment horizontal="left" vertical="center" wrapText="1"/>
    </xf>
    <xf numFmtId="0" fontId="18" fillId="3" borderId="2" xfId="0" applyFont="1" applyFill="1" applyBorder="1" applyAlignment="1">
      <alignment horizontal="left" vertical="center" wrapText="1"/>
    </xf>
    <xf numFmtId="0" fontId="18" fillId="3" borderId="8" xfId="0" applyFont="1" applyFill="1" applyBorder="1" applyAlignment="1">
      <alignment horizontal="left" vertical="center" wrapText="1"/>
    </xf>
    <xf numFmtId="9" fontId="53" fillId="12" borderId="4" xfId="0" applyNumberFormat="1" applyFont="1" applyFill="1" applyBorder="1" applyAlignment="1">
      <alignment horizontal="center" vertical="center" textRotation="90"/>
    </xf>
    <xf numFmtId="9" fontId="53" fillId="12" borderId="11" xfId="0" applyNumberFormat="1" applyFont="1" applyFill="1" applyBorder="1" applyAlignment="1">
      <alignment horizontal="center" vertical="center" textRotation="90"/>
    </xf>
    <xf numFmtId="0" fontId="54" fillId="0" borderId="4" xfId="0" applyFont="1" applyFill="1" applyBorder="1" applyAlignment="1">
      <alignment horizontal="center" vertical="center" wrapText="1"/>
    </xf>
    <xf numFmtId="0" fontId="54" fillId="0" borderId="11" xfId="0" applyFont="1" applyFill="1" applyBorder="1" applyAlignment="1">
      <alignment horizontal="center" vertical="center" wrapText="1"/>
    </xf>
    <xf numFmtId="9" fontId="18" fillId="11" borderId="0" xfId="0" applyNumberFormat="1" applyFont="1" applyFill="1" applyAlignment="1">
      <alignment horizontal="center" vertical="center" textRotation="90"/>
    </xf>
    <xf numFmtId="0" fontId="18" fillId="4" borderId="0" xfId="0" applyFont="1" applyFill="1" applyAlignment="1">
      <alignment horizontal="center" vertical="center" textRotation="90"/>
    </xf>
    <xf numFmtId="0" fontId="28" fillId="11" borderId="5" xfId="0" applyFont="1" applyFill="1" applyBorder="1" applyAlignment="1">
      <alignment horizontal="left" vertical="center" wrapText="1"/>
    </xf>
    <xf numFmtId="0" fontId="28" fillId="11" borderId="2" xfId="0" applyFont="1" applyFill="1" applyBorder="1" applyAlignment="1">
      <alignment horizontal="left" vertical="center" wrapText="1"/>
    </xf>
    <xf numFmtId="0" fontId="28" fillId="11" borderId="8" xfId="0" applyFont="1" applyFill="1" applyBorder="1" applyAlignment="1">
      <alignment horizontal="left" vertical="center" wrapText="1"/>
    </xf>
    <xf numFmtId="0" fontId="18" fillId="0" borderId="0" xfId="0" applyFont="1" applyFill="1" applyAlignment="1">
      <alignment horizontal="center"/>
    </xf>
    <xf numFmtId="0" fontId="28" fillId="3" borderId="5" xfId="0" applyFont="1" applyFill="1" applyBorder="1" applyAlignment="1">
      <alignment horizontal="left" vertical="center" wrapText="1"/>
    </xf>
    <xf numFmtId="0" fontId="28" fillId="3" borderId="2" xfId="0" applyFont="1" applyFill="1" applyBorder="1" applyAlignment="1">
      <alignment horizontal="left" vertical="center" wrapText="1"/>
    </xf>
    <xf numFmtId="0" fontId="28" fillId="3" borderId="8" xfId="0" applyFont="1" applyFill="1" applyBorder="1" applyAlignment="1">
      <alignment horizontal="left" vertical="center" wrapText="1"/>
    </xf>
    <xf numFmtId="0" fontId="19" fillId="4" borderId="0" xfId="0" applyFont="1" applyFill="1" applyAlignment="1">
      <alignment horizontal="center"/>
    </xf>
    <xf numFmtId="0" fontId="19" fillId="4" borderId="16" xfId="0" applyFont="1" applyFill="1" applyBorder="1" applyAlignment="1">
      <alignment horizontal="center"/>
    </xf>
    <xf numFmtId="0" fontId="18" fillId="4" borderId="10" xfId="0" applyFont="1" applyFill="1" applyBorder="1" applyAlignment="1">
      <alignment horizontal="left" vertical="center" wrapText="1"/>
    </xf>
    <xf numFmtId="0" fontId="18" fillId="14" borderId="5" xfId="0" applyFont="1" applyFill="1" applyBorder="1" applyAlignment="1">
      <alignment horizontal="left" vertical="center" wrapText="1"/>
    </xf>
    <xf numFmtId="0" fontId="18" fillId="14" borderId="2" xfId="0" applyFont="1" applyFill="1" applyBorder="1" applyAlignment="1">
      <alignment horizontal="left" vertical="center" wrapText="1"/>
    </xf>
    <xf numFmtId="0" fontId="18" fillId="14" borderId="8" xfId="0" applyFont="1" applyFill="1" applyBorder="1" applyAlignment="1">
      <alignment horizontal="left" vertical="center" wrapText="1"/>
    </xf>
    <xf numFmtId="0" fontId="24" fillId="16" borderId="5" xfId="0" applyFont="1" applyFill="1" applyBorder="1" applyAlignment="1">
      <alignment horizontal="center" vertical="center"/>
    </xf>
    <xf numFmtId="0" fontId="24" fillId="16" borderId="2" xfId="0" applyFont="1" applyFill="1" applyBorder="1" applyAlignment="1">
      <alignment horizontal="center" vertical="center"/>
    </xf>
    <xf numFmtId="0" fontId="24" fillId="16" borderId="8" xfId="0" applyFont="1" applyFill="1" applyBorder="1" applyAlignment="1">
      <alignment horizontal="center" vertical="center"/>
    </xf>
    <xf numFmtId="0" fontId="54" fillId="0" borderId="4" xfId="0" applyFont="1" applyFill="1" applyBorder="1" applyAlignment="1">
      <alignment vertical="center" wrapText="1"/>
    </xf>
    <xf numFmtId="0" fontId="54" fillId="0" borderId="11" xfId="0" applyFont="1" applyFill="1" applyBorder="1" applyAlignment="1">
      <alignment vertical="center" wrapText="1"/>
    </xf>
    <xf numFmtId="0" fontId="28" fillId="0" borderId="5"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8" fillId="0" borderId="8" xfId="0" applyFont="1" applyFill="1" applyBorder="1" applyAlignment="1">
      <alignment horizontal="center" vertical="center" wrapText="1"/>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13" zoomScale="85" zoomScaleNormal="85" workbookViewId="0">
      <selection activeCell="A13" sqref="A13:A24"/>
    </sheetView>
  </sheetViews>
  <sheetFormatPr defaultRowHeight="15.75"/>
  <cols>
    <col min="1" max="1" width="5.5" style="41" customWidth="1"/>
    <col min="2" max="2" width="6.375" style="41" customWidth="1"/>
    <col min="3" max="3" width="4" style="71" customWidth="1"/>
    <col min="4" max="4" width="20.625" style="72" customWidth="1"/>
    <col min="5" max="5" width="7.5" style="73" customWidth="1"/>
    <col min="6" max="6" width="7.375" style="73" customWidth="1"/>
    <col min="7" max="7" width="24.875" style="74" customWidth="1"/>
    <col min="8" max="8" width="6.5" style="74" bestFit="1" customWidth="1"/>
    <col min="9" max="9" width="24.875" style="74" customWidth="1"/>
    <col min="10" max="10" width="8.125" style="73" customWidth="1"/>
    <col min="11" max="11" width="9.25" style="75" customWidth="1"/>
    <col min="12" max="13" width="8.125" style="41" customWidth="1"/>
    <col min="14" max="14" width="7.625" style="122" customWidth="1"/>
    <col min="15" max="16" width="8.5" style="122" customWidth="1"/>
    <col min="17" max="17" width="10.5" style="122" customWidth="1"/>
    <col min="18" max="18" width="10.375" style="122" customWidth="1"/>
    <col min="19" max="19" width="11" style="122" customWidth="1"/>
    <col min="20" max="21" width="8.5" style="122" customWidth="1"/>
    <col min="22" max="16384" width="9" style="41"/>
  </cols>
  <sheetData>
    <row r="1" spans="1:21" ht="43.7" customHeight="1">
      <c r="A1" s="410" t="s">
        <v>340</v>
      </c>
      <c r="B1" s="410"/>
      <c r="C1" s="410"/>
      <c r="D1" s="410"/>
      <c r="E1" s="410"/>
      <c r="F1" s="410"/>
      <c r="G1" s="410"/>
      <c r="H1" s="410"/>
      <c r="I1" s="410"/>
      <c r="J1" s="39"/>
      <c r="K1" s="40"/>
      <c r="L1" s="38"/>
      <c r="M1" s="38"/>
      <c r="N1" s="111"/>
      <c r="O1" s="111"/>
      <c r="P1" s="111"/>
      <c r="Q1" s="111"/>
      <c r="R1" s="111"/>
      <c r="S1" s="111"/>
      <c r="T1" s="111"/>
      <c r="U1" s="111"/>
    </row>
    <row r="2" spans="1:21" ht="19.7" customHeight="1">
      <c r="A2" s="42"/>
      <c r="B2" s="42"/>
      <c r="C2" s="42"/>
      <c r="D2" s="43" t="s">
        <v>46</v>
      </c>
      <c r="E2" s="44"/>
      <c r="F2" s="44"/>
      <c r="G2" s="45"/>
      <c r="H2" s="45"/>
      <c r="I2" s="45"/>
      <c r="J2" s="44"/>
      <c r="K2" s="46"/>
      <c r="L2" s="42"/>
      <c r="M2" s="42"/>
      <c r="N2" s="112" t="s">
        <v>224</v>
      </c>
      <c r="O2" s="112"/>
      <c r="P2" s="113"/>
      <c r="Q2" s="113"/>
      <c r="R2" s="113"/>
      <c r="S2" s="112"/>
      <c r="T2" s="112"/>
      <c r="U2" s="113"/>
    </row>
    <row r="3" spans="1:21">
      <c r="A3" s="47"/>
      <c r="B3" s="47"/>
      <c r="C3" s="47"/>
      <c r="D3" s="48"/>
      <c r="E3" s="49"/>
      <c r="F3" s="49">
        <v>1</v>
      </c>
      <c r="G3" s="49">
        <v>2</v>
      </c>
      <c r="H3" s="49"/>
      <c r="I3" s="49"/>
      <c r="J3" s="49">
        <v>3</v>
      </c>
      <c r="K3" s="49">
        <v>4</v>
      </c>
      <c r="L3" s="49">
        <v>7</v>
      </c>
      <c r="M3" s="49">
        <v>8</v>
      </c>
      <c r="N3" s="49">
        <v>10</v>
      </c>
      <c r="O3" s="49">
        <v>11</v>
      </c>
      <c r="P3" s="49">
        <v>12</v>
      </c>
      <c r="Q3" s="49">
        <v>13</v>
      </c>
      <c r="R3" s="49">
        <v>14</v>
      </c>
      <c r="S3" s="49">
        <v>15</v>
      </c>
      <c r="T3" s="49">
        <v>16</v>
      </c>
      <c r="U3" s="49">
        <v>18</v>
      </c>
    </row>
    <row r="4" spans="1:21" ht="36.950000000000003" customHeight="1">
      <c r="A4" s="411" t="s">
        <v>47</v>
      </c>
      <c r="B4" s="411"/>
      <c r="C4" s="411"/>
      <c r="D4" s="411"/>
      <c r="E4" s="412" t="s">
        <v>21</v>
      </c>
      <c r="F4" s="412" t="s">
        <v>341</v>
      </c>
      <c r="G4" s="413" t="s">
        <v>22</v>
      </c>
      <c r="H4" s="412" t="s">
        <v>342</v>
      </c>
      <c r="I4" s="413" t="s">
        <v>22</v>
      </c>
      <c r="J4" s="412" t="s">
        <v>23</v>
      </c>
      <c r="K4" s="417" t="s">
        <v>24</v>
      </c>
      <c r="L4" s="418" t="s">
        <v>26</v>
      </c>
      <c r="M4" s="420" t="s">
        <v>25</v>
      </c>
      <c r="N4" s="421" t="s">
        <v>229</v>
      </c>
      <c r="O4" s="421" t="s">
        <v>88</v>
      </c>
      <c r="P4" s="421" t="s">
        <v>89</v>
      </c>
      <c r="Q4" s="423" t="s">
        <v>194</v>
      </c>
      <c r="R4" s="423" t="s">
        <v>230</v>
      </c>
      <c r="S4" s="415" t="s">
        <v>231</v>
      </c>
      <c r="T4" s="415" t="s">
        <v>343</v>
      </c>
      <c r="U4" s="415" t="s">
        <v>232</v>
      </c>
    </row>
    <row r="5" spans="1:21" ht="57.6" customHeight="1">
      <c r="A5" s="411"/>
      <c r="B5" s="411"/>
      <c r="C5" s="411"/>
      <c r="D5" s="411"/>
      <c r="E5" s="412"/>
      <c r="F5" s="412"/>
      <c r="G5" s="414"/>
      <c r="H5" s="412"/>
      <c r="I5" s="414"/>
      <c r="J5" s="412"/>
      <c r="K5" s="417"/>
      <c r="L5" s="419"/>
      <c r="M5" s="420"/>
      <c r="N5" s="422"/>
      <c r="O5" s="422"/>
      <c r="P5" s="422"/>
      <c r="Q5" s="422"/>
      <c r="R5" s="422"/>
      <c r="S5" s="416"/>
      <c r="T5" s="416"/>
      <c r="U5" s="416"/>
    </row>
    <row r="6" spans="1:21" ht="66.75" customHeight="1">
      <c r="A6" s="424" t="s">
        <v>27</v>
      </c>
      <c r="B6" s="426">
        <v>0.25</v>
      </c>
      <c r="C6" s="428" t="s">
        <v>14</v>
      </c>
      <c r="D6" s="430" t="s">
        <v>0</v>
      </c>
      <c r="E6" s="432">
        <v>0.5</v>
      </c>
      <c r="F6" s="52" t="s">
        <v>344</v>
      </c>
      <c r="G6" s="51" t="s">
        <v>45</v>
      </c>
      <c r="H6" s="52" t="s">
        <v>345</v>
      </c>
      <c r="I6" s="51" t="s">
        <v>346</v>
      </c>
      <c r="J6" s="15">
        <v>0.7</v>
      </c>
      <c r="K6" s="53">
        <f>J6*$E$6*$B$6</f>
        <v>8.7499999999999994E-2</v>
      </c>
      <c r="L6" s="15" t="s">
        <v>35</v>
      </c>
      <c r="M6" s="55" t="s">
        <v>30</v>
      </c>
      <c r="N6" s="94" t="s">
        <v>60</v>
      </c>
      <c r="O6" s="94" t="s">
        <v>227</v>
      </c>
      <c r="P6" s="56"/>
      <c r="Q6" s="56"/>
      <c r="R6" s="94" t="s">
        <v>226</v>
      </c>
      <c r="S6" s="56"/>
      <c r="T6" s="94" t="s">
        <v>226</v>
      </c>
      <c r="U6" s="56"/>
    </row>
    <row r="7" spans="1:21" ht="66.75" customHeight="1">
      <c r="A7" s="424"/>
      <c r="B7" s="426"/>
      <c r="C7" s="429"/>
      <c r="D7" s="431"/>
      <c r="E7" s="433"/>
      <c r="F7" s="52" t="s">
        <v>347</v>
      </c>
      <c r="G7" s="51" t="s">
        <v>196</v>
      </c>
      <c r="H7" s="52" t="s">
        <v>348</v>
      </c>
      <c r="I7" s="51" t="s">
        <v>333</v>
      </c>
      <c r="J7" s="15">
        <v>0.3</v>
      </c>
      <c r="K7" s="53">
        <f>J7*$E$6*$B$6</f>
        <v>3.7499999999999999E-2</v>
      </c>
      <c r="L7" s="15" t="s">
        <v>334</v>
      </c>
      <c r="M7" s="55" t="s">
        <v>30</v>
      </c>
      <c r="N7" s="94" t="s">
        <v>60</v>
      </c>
      <c r="O7" s="94" t="s">
        <v>227</v>
      </c>
      <c r="P7" s="94" t="s">
        <v>61</v>
      </c>
      <c r="Q7" s="94"/>
      <c r="R7" s="94" t="s">
        <v>226</v>
      </c>
      <c r="S7" s="94"/>
      <c r="T7" s="94"/>
      <c r="U7" s="94" t="s">
        <v>226</v>
      </c>
    </row>
    <row r="8" spans="1:21" ht="61.5" customHeight="1">
      <c r="A8" s="424"/>
      <c r="B8" s="426"/>
      <c r="C8" s="434" t="s">
        <v>15</v>
      </c>
      <c r="D8" s="435" t="s">
        <v>44</v>
      </c>
      <c r="E8" s="436">
        <v>0.5</v>
      </c>
      <c r="F8" s="52" t="s">
        <v>349</v>
      </c>
      <c r="G8" s="51" t="s">
        <v>43</v>
      </c>
      <c r="H8" s="52" t="s">
        <v>350</v>
      </c>
      <c r="I8" s="51" t="s">
        <v>43</v>
      </c>
      <c r="J8" s="15">
        <v>0.5</v>
      </c>
      <c r="K8" s="53">
        <f>J8*$E$8*$B$6</f>
        <v>6.25E-2</v>
      </c>
      <c r="L8" s="15" t="s">
        <v>28</v>
      </c>
      <c r="M8" s="55" t="s">
        <v>34</v>
      </c>
      <c r="N8" s="94" t="s">
        <v>60</v>
      </c>
      <c r="O8" s="94" t="s">
        <v>227</v>
      </c>
      <c r="P8" s="94"/>
      <c r="Q8" s="94"/>
      <c r="R8" s="94" t="s">
        <v>226</v>
      </c>
      <c r="S8" s="94"/>
      <c r="T8" s="94"/>
      <c r="U8" s="56"/>
    </row>
    <row r="9" spans="1:21" ht="57" customHeight="1">
      <c r="A9" s="425"/>
      <c r="B9" s="427"/>
      <c r="C9" s="428"/>
      <c r="D9" s="430" t="e">
        <v>#N/A</v>
      </c>
      <c r="E9" s="436"/>
      <c r="F9" s="52" t="s">
        <v>351</v>
      </c>
      <c r="G9" s="51" t="s">
        <v>57</v>
      </c>
      <c r="H9" s="52" t="s">
        <v>352</v>
      </c>
      <c r="I9" s="51" t="s">
        <v>57</v>
      </c>
      <c r="J9" s="15">
        <v>0.5</v>
      </c>
      <c r="K9" s="53">
        <f>J9*$E$8*$B$6</f>
        <v>6.25E-2</v>
      </c>
      <c r="L9" s="15" t="s">
        <v>253</v>
      </c>
      <c r="M9" s="55" t="s">
        <v>34</v>
      </c>
      <c r="N9" s="94" t="s">
        <v>60</v>
      </c>
      <c r="O9" s="94"/>
      <c r="P9" s="94"/>
      <c r="Q9" s="94" t="s">
        <v>226</v>
      </c>
      <c r="R9" s="94"/>
      <c r="S9" s="94"/>
      <c r="T9" s="56"/>
      <c r="U9" s="56"/>
    </row>
    <row r="10" spans="1:21" ht="25.5" customHeight="1">
      <c r="A10" s="114"/>
      <c r="B10" s="96"/>
      <c r="C10" s="115"/>
      <c r="D10" s="116"/>
      <c r="E10" s="97">
        <f>SUM(E6:E9)</f>
        <v>1</v>
      </c>
      <c r="F10" s="97"/>
      <c r="G10" s="98"/>
      <c r="H10" s="98"/>
      <c r="I10" s="98"/>
      <c r="J10" s="99"/>
      <c r="K10" s="100"/>
      <c r="L10" s="99"/>
      <c r="M10" s="117"/>
      <c r="N10" s="118"/>
      <c r="O10" s="118"/>
      <c r="P10" s="118"/>
      <c r="Q10" s="118"/>
      <c r="R10" s="118"/>
      <c r="S10" s="118"/>
      <c r="T10" s="118"/>
      <c r="U10" s="118"/>
    </row>
    <row r="11" spans="1:21" ht="118.5" customHeight="1">
      <c r="A11" s="437" t="s">
        <v>31</v>
      </c>
      <c r="B11" s="438">
        <v>0.15</v>
      </c>
      <c r="C11" s="50" t="s">
        <v>16</v>
      </c>
      <c r="D11" s="51" t="s">
        <v>48</v>
      </c>
      <c r="E11" s="58">
        <v>1</v>
      </c>
      <c r="F11" s="58" t="s">
        <v>353</v>
      </c>
      <c r="G11" s="51" t="s">
        <v>49</v>
      </c>
      <c r="H11" s="58" t="s">
        <v>354</v>
      </c>
      <c r="I11" s="51" t="s">
        <v>49</v>
      </c>
      <c r="J11" s="15">
        <v>1</v>
      </c>
      <c r="K11" s="53">
        <f>J11*$E$11*$B$11</f>
        <v>0.15</v>
      </c>
      <c r="L11" s="59" t="s">
        <v>32</v>
      </c>
      <c r="M11" s="55" t="s">
        <v>29</v>
      </c>
      <c r="N11" s="94" t="s">
        <v>60</v>
      </c>
      <c r="O11" s="94" t="s">
        <v>227</v>
      </c>
      <c r="P11" s="94" t="s">
        <v>226</v>
      </c>
      <c r="Q11" s="94" t="s">
        <v>226</v>
      </c>
      <c r="R11" s="94" t="s">
        <v>226</v>
      </c>
      <c r="S11" s="94" t="s">
        <v>226</v>
      </c>
      <c r="T11" s="94" t="s">
        <v>226</v>
      </c>
      <c r="U11" s="94" t="s">
        <v>226</v>
      </c>
    </row>
    <row r="12" spans="1:21" s="65" customFormat="1" ht="33.75" customHeight="1">
      <c r="A12" s="424"/>
      <c r="B12" s="426"/>
      <c r="C12" s="60"/>
      <c r="D12" s="61"/>
      <c r="E12" s="62">
        <f>E11</f>
        <v>1</v>
      </c>
      <c r="F12" s="62"/>
      <c r="G12" s="63"/>
      <c r="H12" s="119"/>
      <c r="I12" s="119"/>
      <c r="J12" s="63"/>
      <c r="K12" s="64"/>
      <c r="L12" s="63"/>
      <c r="M12" s="63"/>
      <c r="N12" s="119"/>
      <c r="O12" s="119"/>
      <c r="P12" s="119"/>
      <c r="Q12" s="119"/>
      <c r="R12" s="119"/>
      <c r="S12" s="119"/>
      <c r="T12" s="119"/>
      <c r="U12" s="119"/>
    </row>
    <row r="13" spans="1:21" s="65" customFormat="1" ht="78" customHeight="1">
      <c r="A13" s="425" t="s">
        <v>33</v>
      </c>
      <c r="B13" s="427">
        <v>0.45</v>
      </c>
      <c r="C13" s="441" t="s">
        <v>1</v>
      </c>
      <c r="D13" s="449" t="s">
        <v>2</v>
      </c>
      <c r="E13" s="432">
        <v>0.25</v>
      </c>
      <c r="F13" s="52" t="s">
        <v>355</v>
      </c>
      <c r="G13" s="51" t="s">
        <v>9</v>
      </c>
      <c r="H13" s="52" t="s">
        <v>356</v>
      </c>
      <c r="I13" s="51" t="s">
        <v>9</v>
      </c>
      <c r="J13" s="15">
        <v>1</v>
      </c>
      <c r="K13" s="53">
        <f>J13*$E$13*$B$13</f>
        <v>0.1125</v>
      </c>
      <c r="L13" s="1" t="s">
        <v>256</v>
      </c>
      <c r="M13" s="55" t="s">
        <v>30</v>
      </c>
      <c r="N13" s="94" t="s">
        <v>60</v>
      </c>
      <c r="O13" s="94"/>
      <c r="P13" s="94" t="s">
        <v>227</v>
      </c>
      <c r="Q13" s="94" t="s">
        <v>226</v>
      </c>
      <c r="R13" s="94"/>
      <c r="S13" s="94"/>
      <c r="T13" s="94" t="s">
        <v>226</v>
      </c>
      <c r="U13" s="94" t="s">
        <v>226</v>
      </c>
    </row>
    <row r="14" spans="1:21" s="65" customFormat="1" ht="66.75" hidden="1" customHeight="1">
      <c r="A14" s="439"/>
      <c r="B14" s="440"/>
      <c r="C14" s="442"/>
      <c r="D14" s="450" t="e">
        <v>#N/A</v>
      </c>
      <c r="E14" s="433"/>
      <c r="F14" s="52" t="s">
        <v>17</v>
      </c>
      <c r="G14" s="51" t="s">
        <v>10</v>
      </c>
      <c r="H14" s="52" t="s">
        <v>357</v>
      </c>
      <c r="I14" s="241" t="s">
        <v>10</v>
      </c>
      <c r="J14" s="15">
        <v>0</v>
      </c>
      <c r="K14" s="53">
        <f>J14*$E$13*$B$13</f>
        <v>0</v>
      </c>
      <c r="L14" s="242" t="s">
        <v>358</v>
      </c>
      <c r="M14" s="55" t="s">
        <v>30</v>
      </c>
      <c r="N14" s="94" t="s">
        <v>60</v>
      </c>
      <c r="O14" s="94"/>
      <c r="P14" s="94" t="s">
        <v>227</v>
      </c>
      <c r="Q14" s="94" t="s">
        <v>226</v>
      </c>
      <c r="R14" s="94"/>
      <c r="S14" s="94"/>
      <c r="T14" s="94" t="s">
        <v>226</v>
      </c>
      <c r="U14" s="94" t="s">
        <v>226</v>
      </c>
    </row>
    <row r="15" spans="1:21" s="65" customFormat="1" ht="88.5" hidden="1" customHeight="1">
      <c r="A15" s="439"/>
      <c r="B15" s="440"/>
      <c r="C15" s="442"/>
      <c r="D15" s="450" t="e">
        <v>#N/A</v>
      </c>
      <c r="E15" s="433"/>
      <c r="F15" s="52" t="s">
        <v>18</v>
      </c>
      <c r="G15" s="51" t="s">
        <v>11</v>
      </c>
      <c r="H15" s="52" t="s">
        <v>359</v>
      </c>
      <c r="I15" s="241" t="s">
        <v>11</v>
      </c>
      <c r="J15" s="15">
        <v>0</v>
      </c>
      <c r="K15" s="53">
        <f>J15*$E$13*$B$13</f>
        <v>0</v>
      </c>
      <c r="L15" s="242" t="s">
        <v>358</v>
      </c>
      <c r="M15" s="55" t="s">
        <v>30</v>
      </c>
      <c r="N15" s="94" t="s">
        <v>60</v>
      </c>
      <c r="O15" s="94"/>
      <c r="P15" s="94" t="s">
        <v>227</v>
      </c>
      <c r="Q15" s="94" t="s">
        <v>226</v>
      </c>
      <c r="R15" s="94"/>
      <c r="S15" s="94"/>
      <c r="T15" s="94" t="s">
        <v>226</v>
      </c>
      <c r="U15" s="94" t="s">
        <v>226</v>
      </c>
    </row>
    <row r="16" spans="1:21" ht="64.5" customHeight="1">
      <c r="A16" s="439"/>
      <c r="B16" s="440"/>
      <c r="C16" s="443" t="s">
        <v>3</v>
      </c>
      <c r="D16" s="445" t="s">
        <v>4</v>
      </c>
      <c r="E16" s="432">
        <v>0.25</v>
      </c>
      <c r="F16" s="52" t="s">
        <v>360</v>
      </c>
      <c r="G16" s="51" t="s">
        <v>54</v>
      </c>
      <c r="H16" s="52" t="s">
        <v>361</v>
      </c>
      <c r="I16" s="51" t="s">
        <v>54</v>
      </c>
      <c r="J16" s="15">
        <v>0.7</v>
      </c>
      <c r="K16" s="53">
        <f>J16*$E$16*$B$13</f>
        <v>7.8750000000000001E-2</v>
      </c>
      <c r="L16" s="84" t="s">
        <v>28</v>
      </c>
      <c r="M16" s="55" t="s">
        <v>30</v>
      </c>
      <c r="N16" s="94" t="s">
        <v>60</v>
      </c>
      <c r="O16" s="94" t="s">
        <v>61</v>
      </c>
      <c r="P16" s="94" t="s">
        <v>227</v>
      </c>
      <c r="Q16" s="94" t="s">
        <v>226</v>
      </c>
      <c r="R16" s="94" t="s">
        <v>61</v>
      </c>
      <c r="S16" s="94"/>
      <c r="T16" s="94" t="s">
        <v>226</v>
      </c>
      <c r="U16" s="56"/>
    </row>
    <row r="17" spans="1:21" ht="60.75" customHeight="1">
      <c r="A17" s="439"/>
      <c r="B17" s="440"/>
      <c r="C17" s="444"/>
      <c r="D17" s="446"/>
      <c r="E17" s="447"/>
      <c r="F17" s="52" t="s">
        <v>362</v>
      </c>
      <c r="G17" s="51" t="s">
        <v>56</v>
      </c>
      <c r="H17" s="52" t="s">
        <v>363</v>
      </c>
      <c r="I17" s="79" t="s">
        <v>303</v>
      </c>
      <c r="J17" s="15">
        <v>0.3</v>
      </c>
      <c r="K17" s="53">
        <f>J17*$E$16*$B$13</f>
        <v>3.3750000000000002E-2</v>
      </c>
      <c r="L17" s="84" t="s">
        <v>304</v>
      </c>
      <c r="M17" s="55" t="s">
        <v>30</v>
      </c>
      <c r="N17" s="94" t="s">
        <v>60</v>
      </c>
      <c r="O17" s="94" t="s">
        <v>227</v>
      </c>
      <c r="P17" s="94"/>
      <c r="Q17" s="94"/>
      <c r="R17" s="94" t="s">
        <v>226</v>
      </c>
      <c r="S17" s="94"/>
      <c r="T17" s="94"/>
      <c r="U17" s="56"/>
    </row>
    <row r="18" spans="1:21" ht="113.25" customHeight="1">
      <c r="A18" s="439"/>
      <c r="B18" s="440"/>
      <c r="C18" s="443" t="s">
        <v>12</v>
      </c>
      <c r="D18" s="430" t="s">
        <v>6</v>
      </c>
      <c r="E18" s="432">
        <v>0.2</v>
      </c>
      <c r="F18" s="52" t="s">
        <v>364</v>
      </c>
      <c r="G18" s="51" t="s">
        <v>36</v>
      </c>
      <c r="H18" s="52" t="s">
        <v>365</v>
      </c>
      <c r="I18" s="79" t="s">
        <v>479</v>
      </c>
      <c r="J18" s="15">
        <v>0.5</v>
      </c>
      <c r="K18" s="53">
        <f>J18*$E$18*$B$13</f>
        <v>4.5000000000000005E-2</v>
      </c>
      <c r="L18" s="84" t="s">
        <v>366</v>
      </c>
      <c r="M18" s="55" t="s">
        <v>30</v>
      </c>
      <c r="N18" s="94" t="s">
        <v>60</v>
      </c>
      <c r="O18" s="94" t="s">
        <v>227</v>
      </c>
      <c r="P18" s="94" t="s">
        <v>61</v>
      </c>
      <c r="Q18" s="94" t="s">
        <v>226</v>
      </c>
      <c r="R18" s="94" t="s">
        <v>226</v>
      </c>
      <c r="S18" s="94"/>
      <c r="T18" s="94"/>
      <c r="U18" s="56"/>
    </row>
    <row r="19" spans="1:21" ht="91.5" customHeight="1">
      <c r="A19" s="439"/>
      <c r="B19" s="440"/>
      <c r="C19" s="448"/>
      <c r="D19" s="431"/>
      <c r="E19" s="433"/>
      <c r="F19" s="432" t="s">
        <v>367</v>
      </c>
      <c r="G19" s="451" t="s">
        <v>55</v>
      </c>
      <c r="H19" s="52" t="s">
        <v>368</v>
      </c>
      <c r="I19" s="79" t="s">
        <v>480</v>
      </c>
      <c r="J19" s="15">
        <v>0.25</v>
      </c>
      <c r="K19" s="53">
        <f>J19*$E$18*$B$13</f>
        <v>2.2500000000000003E-2</v>
      </c>
      <c r="L19" s="84" t="s">
        <v>366</v>
      </c>
      <c r="M19" s="55" t="s">
        <v>30</v>
      </c>
      <c r="N19" s="94" t="s">
        <v>60</v>
      </c>
      <c r="O19" s="94" t="s">
        <v>227</v>
      </c>
      <c r="P19" s="94"/>
      <c r="Q19" s="94"/>
      <c r="R19" s="94" t="s">
        <v>226</v>
      </c>
      <c r="S19" s="94"/>
      <c r="T19" s="243" t="s">
        <v>226</v>
      </c>
      <c r="U19" s="56"/>
    </row>
    <row r="20" spans="1:21" ht="54" customHeight="1">
      <c r="A20" s="439"/>
      <c r="B20" s="440"/>
      <c r="C20" s="444"/>
      <c r="D20" s="266"/>
      <c r="E20" s="447"/>
      <c r="F20" s="447"/>
      <c r="G20" s="452"/>
      <c r="H20" s="52" t="s">
        <v>481</v>
      </c>
      <c r="I20" s="79" t="s">
        <v>482</v>
      </c>
      <c r="J20" s="15">
        <v>0.25</v>
      </c>
      <c r="K20" s="53">
        <f>J20*$E$18*$B$13</f>
        <v>2.2500000000000003E-2</v>
      </c>
      <c r="L20" s="84" t="s">
        <v>366</v>
      </c>
      <c r="M20" s="55" t="s">
        <v>30</v>
      </c>
      <c r="N20" s="94" t="s">
        <v>60</v>
      </c>
      <c r="O20" s="94" t="s">
        <v>227</v>
      </c>
      <c r="P20" s="94"/>
      <c r="Q20" s="94"/>
      <c r="R20" s="94" t="s">
        <v>226</v>
      </c>
      <c r="S20" s="94"/>
      <c r="T20" s="243" t="s">
        <v>226</v>
      </c>
      <c r="U20" s="56"/>
    </row>
    <row r="21" spans="1:21" ht="78.75" customHeight="1">
      <c r="A21" s="439"/>
      <c r="B21" s="440"/>
      <c r="C21" s="66" t="s">
        <v>5</v>
      </c>
      <c r="D21" s="6" t="s">
        <v>8</v>
      </c>
      <c r="E21" s="57">
        <v>0.1</v>
      </c>
      <c r="F21" s="52" t="s">
        <v>369</v>
      </c>
      <c r="G21" s="51" t="s">
        <v>195</v>
      </c>
      <c r="H21" s="84" t="s">
        <v>370</v>
      </c>
      <c r="I21" s="79" t="s">
        <v>195</v>
      </c>
      <c r="J21" s="15">
        <v>1</v>
      </c>
      <c r="K21" s="53">
        <f>J21*$E$21*$B$13</f>
        <v>4.5000000000000005E-2</v>
      </c>
      <c r="L21" s="177" t="s">
        <v>158</v>
      </c>
      <c r="M21" s="55" t="s">
        <v>30</v>
      </c>
      <c r="N21" s="94" t="s">
        <v>227</v>
      </c>
      <c r="O21" s="94" t="s">
        <v>226</v>
      </c>
      <c r="P21" s="94" t="s">
        <v>226</v>
      </c>
      <c r="Q21" s="94" t="s">
        <v>226</v>
      </c>
      <c r="R21" s="94" t="s">
        <v>226</v>
      </c>
      <c r="S21" s="94" t="s">
        <v>226</v>
      </c>
      <c r="T21" s="94" t="s">
        <v>226</v>
      </c>
      <c r="U21" s="94" t="s">
        <v>226</v>
      </c>
    </row>
    <row r="22" spans="1:21" ht="57.75" customHeight="1">
      <c r="A22" s="439"/>
      <c r="B22" s="440"/>
      <c r="C22" s="443" t="s">
        <v>7</v>
      </c>
      <c r="D22" s="430" t="s">
        <v>39</v>
      </c>
      <c r="E22" s="432">
        <v>0.2</v>
      </c>
      <c r="F22" s="52" t="s">
        <v>371</v>
      </c>
      <c r="G22" s="51" t="s">
        <v>41</v>
      </c>
      <c r="H22" s="52" t="s">
        <v>372</v>
      </c>
      <c r="I22" s="51" t="s">
        <v>373</v>
      </c>
      <c r="J22" s="15">
        <v>0.5</v>
      </c>
      <c r="K22" s="53">
        <f>J22*$E$22*$B$13</f>
        <v>4.5000000000000005E-2</v>
      </c>
      <c r="L22" s="84" t="s">
        <v>374</v>
      </c>
      <c r="M22" s="55" t="s">
        <v>30</v>
      </c>
      <c r="N22" s="94" t="s">
        <v>60</v>
      </c>
      <c r="O22" s="94"/>
      <c r="P22" s="94" t="s">
        <v>227</v>
      </c>
      <c r="Q22" s="94" t="s">
        <v>226</v>
      </c>
      <c r="R22" s="94"/>
      <c r="S22" s="94"/>
      <c r="T22" s="94" t="s">
        <v>226</v>
      </c>
      <c r="U22" s="94" t="s">
        <v>226</v>
      </c>
    </row>
    <row r="23" spans="1:21" ht="81.75" customHeight="1">
      <c r="A23" s="439"/>
      <c r="B23" s="440"/>
      <c r="C23" s="444"/>
      <c r="D23" s="453"/>
      <c r="E23" s="447"/>
      <c r="F23" s="52" t="s">
        <v>375</v>
      </c>
      <c r="G23" s="51" t="s">
        <v>52</v>
      </c>
      <c r="H23" s="52" t="s">
        <v>376</v>
      </c>
      <c r="I23" s="51" t="s">
        <v>52</v>
      </c>
      <c r="J23" s="15">
        <v>0.5</v>
      </c>
      <c r="K23" s="53">
        <f>J23*$E$22*$B$13</f>
        <v>4.5000000000000005E-2</v>
      </c>
      <c r="L23" s="177" t="s">
        <v>377</v>
      </c>
      <c r="M23" s="55" t="s">
        <v>30</v>
      </c>
      <c r="N23" s="94" t="s">
        <v>60</v>
      </c>
      <c r="O23" s="56"/>
      <c r="P23" s="94" t="s">
        <v>227</v>
      </c>
      <c r="Q23" s="94" t="s">
        <v>226</v>
      </c>
      <c r="R23" s="94"/>
      <c r="S23" s="94"/>
      <c r="T23" s="94" t="s">
        <v>226</v>
      </c>
      <c r="U23" s="56"/>
    </row>
    <row r="24" spans="1:21" s="68" customFormat="1" ht="21.95" customHeight="1">
      <c r="A24" s="437"/>
      <c r="B24" s="438"/>
      <c r="C24" s="60"/>
      <c r="D24" s="61"/>
      <c r="E24" s="67">
        <f>SUM(E13:E23)</f>
        <v>1</v>
      </c>
      <c r="F24" s="67"/>
      <c r="G24" s="63"/>
      <c r="H24" s="119"/>
      <c r="I24" s="119"/>
      <c r="J24" s="63"/>
      <c r="K24" s="64"/>
      <c r="L24" s="63"/>
      <c r="M24" s="63"/>
      <c r="N24" s="119"/>
      <c r="O24" s="119"/>
      <c r="P24" s="119"/>
      <c r="Q24" s="119"/>
      <c r="R24" s="119"/>
      <c r="S24" s="119"/>
      <c r="T24" s="119"/>
      <c r="U24" s="119"/>
    </row>
    <row r="25" spans="1:21" ht="89.25" customHeight="1">
      <c r="A25" s="424" t="s">
        <v>53</v>
      </c>
      <c r="B25" s="426">
        <v>0.15</v>
      </c>
      <c r="C25" s="66" t="s">
        <v>19</v>
      </c>
      <c r="D25" s="80" t="s">
        <v>51</v>
      </c>
      <c r="E25" s="95">
        <v>1</v>
      </c>
      <c r="F25" s="52" t="s">
        <v>378</v>
      </c>
      <c r="G25" s="51" t="s">
        <v>37</v>
      </c>
      <c r="H25" s="52" t="s">
        <v>379</v>
      </c>
      <c r="I25" s="51" t="s">
        <v>37</v>
      </c>
      <c r="J25" s="15">
        <v>1</v>
      </c>
      <c r="K25" s="53">
        <f>J25*$E$25*$B$25</f>
        <v>0.15</v>
      </c>
      <c r="L25" s="54" t="s">
        <v>225</v>
      </c>
      <c r="M25" s="55" t="s">
        <v>30</v>
      </c>
      <c r="N25" s="94" t="s">
        <v>60</v>
      </c>
      <c r="O25" s="94"/>
      <c r="P25" s="94" t="s">
        <v>227</v>
      </c>
      <c r="Q25" s="94"/>
      <c r="R25" s="94"/>
      <c r="S25" s="94"/>
      <c r="T25" s="94" t="s">
        <v>226</v>
      </c>
      <c r="U25" s="56"/>
    </row>
    <row r="26" spans="1:21" ht="45" customHeight="1">
      <c r="A26" s="424"/>
      <c r="B26" s="426"/>
      <c r="C26" s="60"/>
      <c r="D26" s="69">
        <v>13</v>
      </c>
      <c r="E26" s="70">
        <f>E25</f>
        <v>1</v>
      </c>
      <c r="F26" s="70"/>
      <c r="G26" s="69">
        <v>19</v>
      </c>
      <c r="H26" s="69"/>
      <c r="I26" s="69"/>
      <c r="J26" s="69"/>
      <c r="K26" s="97">
        <f>SUM(K6:K25)</f>
        <v>1</v>
      </c>
      <c r="L26" s="69"/>
      <c r="M26" s="69"/>
      <c r="N26" s="69">
        <v>12</v>
      </c>
      <c r="O26" s="69">
        <v>10</v>
      </c>
      <c r="P26" s="69">
        <v>11</v>
      </c>
      <c r="Q26" s="69">
        <v>5</v>
      </c>
      <c r="R26" s="69">
        <v>4</v>
      </c>
      <c r="S26" s="69">
        <v>7</v>
      </c>
      <c r="T26" s="69">
        <v>10</v>
      </c>
      <c r="U26" s="69">
        <v>6</v>
      </c>
    </row>
    <row r="27" spans="1:21" ht="39" customHeight="1">
      <c r="A27" s="120"/>
      <c r="B27" s="121">
        <f>SUM(B6:B26)</f>
        <v>1</v>
      </c>
      <c r="C27" s="120"/>
      <c r="D27" s="120"/>
      <c r="E27" s="120"/>
      <c r="F27" s="120"/>
      <c r="G27" s="120"/>
      <c r="H27" s="120"/>
      <c r="I27" s="120"/>
      <c r="J27" s="120"/>
      <c r="K27" s="120"/>
      <c r="L27" s="120"/>
      <c r="M27" s="120"/>
      <c r="N27" s="120"/>
      <c r="O27" s="120"/>
      <c r="P27" s="120"/>
      <c r="Q27" s="120"/>
      <c r="R27" s="120"/>
      <c r="S27" s="120"/>
      <c r="T27" s="120"/>
      <c r="U27" s="120"/>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05"/>
  <sheetViews>
    <sheetView tabSelected="1" topLeftCell="A169" zoomScale="85" zoomScaleNormal="85" workbookViewId="0">
      <selection activeCell="W176" sqref="W176"/>
    </sheetView>
  </sheetViews>
  <sheetFormatPr defaultColWidth="8" defaultRowHeight="15.75"/>
  <cols>
    <col min="1" max="4" width="5" style="93" customWidth="1"/>
    <col min="5" max="5" width="5" style="35" hidden="1" customWidth="1"/>
    <col min="6" max="6" width="21.625" style="35" hidden="1" customWidth="1"/>
    <col min="7" max="7" width="6" style="200" hidden="1" customWidth="1"/>
    <col min="8" max="8" width="27" style="201" hidden="1" customWidth="1"/>
    <col min="9" max="9" width="7" style="201" customWidth="1"/>
    <col min="10" max="10" width="29.375" style="201" customWidth="1"/>
    <col min="11" max="11" width="10.125" style="7" customWidth="1"/>
    <col min="12" max="12" width="9.125" style="319" customWidth="1"/>
    <col min="13" max="13" width="7.25" style="7" customWidth="1"/>
    <col min="14" max="14" width="8.25" style="123" bestFit="1" customWidth="1"/>
    <col min="15" max="15" width="10.375" style="123" customWidth="1"/>
    <col min="16" max="16" width="8.625" style="307" customWidth="1"/>
    <col min="17" max="17" width="9.125" style="103" customWidth="1"/>
    <col min="18" max="18" width="8.125" style="104" customWidth="1"/>
    <col min="19" max="19" width="9.25" style="263" customWidth="1"/>
    <col min="20" max="20" width="8.25" style="13" customWidth="1"/>
    <col min="21" max="21" width="7.5" style="13" customWidth="1"/>
    <col min="22" max="22" width="10.25" style="13" customWidth="1"/>
    <col min="23" max="23" width="9.375" style="13" customWidth="1"/>
    <col min="24" max="24" width="8.875" style="93" bestFit="1" customWidth="1"/>
    <col min="25" max="16384" width="8" style="93"/>
  </cols>
  <sheetData>
    <row r="1" spans="1:58" ht="23.25" customHeight="1">
      <c r="A1" s="501" t="s">
        <v>186</v>
      </c>
      <c r="B1" s="502"/>
      <c r="C1" s="502"/>
      <c r="D1" s="502"/>
      <c r="E1" s="502"/>
      <c r="F1" s="502"/>
      <c r="G1" s="502"/>
      <c r="H1" s="503"/>
      <c r="I1" s="517" t="s">
        <v>243</v>
      </c>
      <c r="J1" s="512"/>
      <c r="K1" s="512"/>
      <c r="L1" s="512"/>
      <c r="M1" s="512"/>
      <c r="N1" s="512"/>
      <c r="O1" s="512"/>
      <c r="P1" s="512"/>
      <c r="Q1" s="512"/>
      <c r="R1" s="513"/>
      <c r="S1" s="507" t="s">
        <v>497</v>
      </c>
      <c r="T1" s="508"/>
      <c r="U1" s="508"/>
      <c r="V1" s="508"/>
      <c r="W1" s="509"/>
    </row>
    <row r="2" spans="1:58" ht="24" customHeight="1">
      <c r="A2" s="504"/>
      <c r="B2" s="505"/>
      <c r="C2" s="505"/>
      <c r="D2" s="505"/>
      <c r="E2" s="505"/>
      <c r="F2" s="505"/>
      <c r="G2" s="505"/>
      <c r="H2" s="506"/>
      <c r="I2" s="510" t="s">
        <v>290</v>
      </c>
      <c r="J2" s="511"/>
      <c r="K2" s="512" t="s">
        <v>291</v>
      </c>
      <c r="L2" s="512"/>
      <c r="M2" s="512"/>
      <c r="N2" s="513"/>
      <c r="O2" s="227"/>
      <c r="P2" s="514" t="s">
        <v>249</v>
      </c>
      <c r="Q2" s="515"/>
      <c r="R2" s="516"/>
      <c r="S2" s="507" t="s">
        <v>259</v>
      </c>
      <c r="T2" s="508"/>
      <c r="U2" s="508"/>
      <c r="V2" s="509"/>
      <c r="W2" s="125"/>
    </row>
    <row r="3" spans="1:58" s="13" customFormat="1" ht="18.600000000000001" customHeight="1">
      <c r="A3" s="462" t="s">
        <v>327</v>
      </c>
      <c r="B3" s="462" t="s">
        <v>328</v>
      </c>
      <c r="C3" s="462" t="s">
        <v>329</v>
      </c>
      <c r="D3" s="462" t="s">
        <v>330</v>
      </c>
      <c r="E3" s="518" t="s">
        <v>222</v>
      </c>
      <c r="F3" s="518" t="s">
        <v>218</v>
      </c>
      <c r="G3" s="518" t="s">
        <v>341</v>
      </c>
      <c r="H3" s="462" t="s">
        <v>250</v>
      </c>
      <c r="I3" s="534" t="s">
        <v>342</v>
      </c>
      <c r="J3" s="523" t="s">
        <v>161</v>
      </c>
      <c r="K3" s="531" t="s">
        <v>162</v>
      </c>
      <c r="L3" s="533"/>
      <c r="M3" s="536" t="s">
        <v>163</v>
      </c>
      <c r="N3" s="462" t="s">
        <v>331</v>
      </c>
      <c r="O3" s="462" t="s">
        <v>24</v>
      </c>
      <c r="P3" s="521" t="s">
        <v>164</v>
      </c>
      <c r="Q3" s="522"/>
      <c r="R3" s="522"/>
      <c r="S3" s="522"/>
      <c r="T3" s="522"/>
      <c r="U3" s="522"/>
      <c r="V3" s="522"/>
      <c r="W3" s="523"/>
    </row>
    <row r="4" spans="1:58" s="103" customFormat="1" ht="15" customHeight="1">
      <c r="A4" s="463"/>
      <c r="B4" s="463"/>
      <c r="C4" s="463"/>
      <c r="D4" s="463"/>
      <c r="E4" s="519"/>
      <c r="F4" s="519"/>
      <c r="G4" s="519"/>
      <c r="H4" s="463"/>
      <c r="I4" s="534"/>
      <c r="J4" s="535"/>
      <c r="K4" s="527" t="s">
        <v>155</v>
      </c>
      <c r="L4" s="462" t="s">
        <v>165</v>
      </c>
      <c r="M4" s="537"/>
      <c r="N4" s="463"/>
      <c r="O4" s="463"/>
      <c r="P4" s="524"/>
      <c r="Q4" s="525"/>
      <c r="R4" s="525"/>
      <c r="S4" s="525"/>
      <c r="T4" s="525"/>
      <c r="U4" s="525"/>
      <c r="V4" s="525"/>
      <c r="W4" s="526"/>
    </row>
    <row r="5" spans="1:58" s="13" customFormat="1" ht="27.6" customHeight="1">
      <c r="A5" s="463"/>
      <c r="B5" s="463"/>
      <c r="C5" s="463"/>
      <c r="D5" s="463"/>
      <c r="E5" s="519"/>
      <c r="F5" s="519"/>
      <c r="G5" s="519"/>
      <c r="H5" s="463"/>
      <c r="I5" s="534"/>
      <c r="J5" s="535"/>
      <c r="K5" s="528"/>
      <c r="L5" s="463"/>
      <c r="M5" s="537"/>
      <c r="N5" s="463"/>
      <c r="O5" s="463"/>
      <c r="P5" s="530" t="s">
        <v>251</v>
      </c>
      <c r="Q5" s="530"/>
      <c r="R5" s="530"/>
      <c r="S5" s="530"/>
      <c r="T5" s="531" t="s">
        <v>187</v>
      </c>
      <c r="U5" s="532"/>
      <c r="V5" s="532"/>
      <c r="W5" s="533"/>
    </row>
    <row r="6" spans="1:58" s="13" customFormat="1" ht="47.25">
      <c r="A6" s="464"/>
      <c r="B6" s="464"/>
      <c r="C6" s="464"/>
      <c r="D6" s="464"/>
      <c r="E6" s="520"/>
      <c r="F6" s="520"/>
      <c r="G6" s="520"/>
      <c r="H6" s="464"/>
      <c r="I6" s="534"/>
      <c r="J6" s="526"/>
      <c r="K6" s="529"/>
      <c r="L6" s="464"/>
      <c r="M6" s="538"/>
      <c r="N6" s="464"/>
      <c r="O6" s="464"/>
      <c r="P6" s="299" t="s">
        <v>166</v>
      </c>
      <c r="Q6" s="10" t="s">
        <v>252</v>
      </c>
      <c r="R6" s="11" t="s">
        <v>167</v>
      </c>
      <c r="S6" s="251" t="s">
        <v>168</v>
      </c>
      <c r="T6" s="11" t="s">
        <v>166</v>
      </c>
      <c r="U6" s="10" t="s">
        <v>252</v>
      </c>
      <c r="V6" s="11" t="s">
        <v>167</v>
      </c>
      <c r="W6" s="11" t="s">
        <v>168</v>
      </c>
    </row>
    <row r="7" spans="1:58" s="127" customFormat="1">
      <c r="A7" s="127">
        <v>1</v>
      </c>
      <c r="B7" s="127">
        <v>2</v>
      </c>
      <c r="C7" s="127">
        <v>3</v>
      </c>
      <c r="D7" s="127">
        <v>4</v>
      </c>
      <c r="E7" s="126">
        <v>5</v>
      </c>
      <c r="F7" s="81">
        <v>6</v>
      </c>
      <c r="G7" s="128">
        <v>7</v>
      </c>
      <c r="H7" s="9">
        <v>8</v>
      </c>
      <c r="I7" s="9">
        <v>7</v>
      </c>
      <c r="J7" s="9">
        <v>8</v>
      </c>
      <c r="K7" s="25">
        <v>9</v>
      </c>
      <c r="L7" s="299">
        <v>10</v>
      </c>
      <c r="M7" s="25">
        <v>11</v>
      </c>
      <c r="N7" s="10">
        <v>12</v>
      </c>
      <c r="O7" s="406">
        <v>13</v>
      </c>
      <c r="P7" s="405">
        <v>14</v>
      </c>
      <c r="Q7" s="406">
        <v>15</v>
      </c>
      <c r="R7" s="405">
        <v>16</v>
      </c>
      <c r="S7" s="406">
        <v>17</v>
      </c>
      <c r="T7" s="405">
        <v>18</v>
      </c>
      <c r="U7" s="406">
        <v>19</v>
      </c>
      <c r="V7" s="405">
        <v>20</v>
      </c>
      <c r="W7" s="406">
        <v>21</v>
      </c>
    </row>
    <row r="8" spans="1:58" s="127" customFormat="1" ht="72" customHeight="1">
      <c r="A8" s="3" t="s">
        <v>321</v>
      </c>
      <c r="B8" s="3" t="s">
        <v>322</v>
      </c>
      <c r="C8" s="3" t="s">
        <v>323</v>
      </c>
      <c r="D8" s="3" t="s">
        <v>324</v>
      </c>
      <c r="E8" s="126"/>
      <c r="F8" s="81"/>
      <c r="G8" s="239"/>
      <c r="H8" s="228"/>
      <c r="I8" s="405"/>
      <c r="J8" s="228"/>
      <c r="K8" s="25" t="s">
        <v>26</v>
      </c>
      <c r="L8" s="308" t="s">
        <v>201</v>
      </c>
      <c r="M8" s="25" t="s">
        <v>466</v>
      </c>
      <c r="N8" s="10" t="s">
        <v>332</v>
      </c>
      <c r="O8" s="10" t="s">
        <v>467</v>
      </c>
      <c r="P8" s="133" t="s">
        <v>468</v>
      </c>
      <c r="Q8" s="10" t="s">
        <v>469</v>
      </c>
      <c r="R8" s="10" t="s">
        <v>325</v>
      </c>
      <c r="S8" s="25" t="s">
        <v>326</v>
      </c>
      <c r="T8" s="10" t="s">
        <v>468</v>
      </c>
      <c r="U8" s="10" t="s">
        <v>469</v>
      </c>
      <c r="V8" s="10" t="s">
        <v>325</v>
      </c>
      <c r="W8" s="10" t="s">
        <v>326</v>
      </c>
    </row>
    <row r="9" spans="1:58" ht="23.25" customHeight="1">
      <c r="A9" s="465">
        <v>0.85</v>
      </c>
      <c r="B9" s="491"/>
      <c r="C9" s="492"/>
      <c r="D9" s="493"/>
      <c r="E9" s="129" t="s">
        <v>169</v>
      </c>
      <c r="F9" s="494" t="s">
        <v>219</v>
      </c>
      <c r="G9" s="495"/>
      <c r="H9" s="495"/>
      <c r="I9" s="495"/>
      <c r="J9" s="495"/>
      <c r="K9" s="495"/>
      <c r="L9" s="495"/>
      <c r="M9" s="496"/>
      <c r="N9" s="26"/>
      <c r="O9" s="26"/>
      <c r="P9" s="22"/>
      <c r="Q9" s="22"/>
      <c r="R9" s="130"/>
      <c r="S9" s="252"/>
      <c r="T9" s="130"/>
      <c r="U9" s="130"/>
      <c r="V9" s="130"/>
      <c r="W9" s="130"/>
    </row>
    <row r="10" spans="1:58" s="131" customFormat="1" ht="24.6" customHeight="1">
      <c r="A10" s="466"/>
      <c r="B10" s="467">
        <v>0.44</v>
      </c>
      <c r="E10" s="132" t="s">
        <v>170</v>
      </c>
      <c r="F10" s="497" t="s">
        <v>220</v>
      </c>
      <c r="G10" s="498"/>
      <c r="H10" s="498"/>
      <c r="I10" s="498"/>
      <c r="J10" s="498"/>
      <c r="K10" s="498"/>
      <c r="L10" s="498"/>
      <c r="M10" s="499"/>
      <c r="N10" s="220"/>
      <c r="O10" s="220"/>
      <c r="P10" s="133"/>
      <c r="Q10" s="221"/>
      <c r="R10" s="222"/>
      <c r="S10" s="253">
        <f>SUM(S12:S35)</f>
        <v>40.529257999999999</v>
      </c>
      <c r="T10" s="221"/>
      <c r="U10" s="221"/>
      <c r="V10" s="222"/>
      <c r="W10" s="222"/>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row>
    <row r="11" spans="1:58" s="138" customFormat="1" ht="21" customHeight="1">
      <c r="A11" s="466"/>
      <c r="B11" s="468"/>
      <c r="C11" s="482">
        <v>0.33</v>
      </c>
      <c r="D11" s="135"/>
      <c r="E11" s="136" t="s">
        <v>199</v>
      </c>
      <c r="F11" s="485" t="s">
        <v>221</v>
      </c>
      <c r="G11" s="486"/>
      <c r="H11" s="486"/>
      <c r="I11" s="486"/>
      <c r="J11" s="486"/>
      <c r="K11" s="486"/>
      <c r="L11" s="486"/>
      <c r="M11" s="500"/>
      <c r="N11" s="12"/>
      <c r="O11" s="12"/>
      <c r="P11" s="133"/>
      <c r="Q11" s="133"/>
      <c r="R11" s="134"/>
      <c r="S11" s="254"/>
      <c r="T11" s="133"/>
      <c r="U11" s="133"/>
      <c r="V11" s="134"/>
      <c r="W11" s="134"/>
      <c r="X11" s="137"/>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row>
    <row r="12" spans="1:58" s="13" customFormat="1" ht="37.5" customHeight="1">
      <c r="A12" s="466"/>
      <c r="B12" s="468"/>
      <c r="C12" s="483"/>
      <c r="D12" s="487">
        <v>0.5</v>
      </c>
      <c r="E12" s="488" t="s">
        <v>14</v>
      </c>
      <c r="F12" s="539" t="s">
        <v>244</v>
      </c>
      <c r="G12" s="84" t="s">
        <v>344</v>
      </c>
      <c r="H12" s="139" t="s">
        <v>45</v>
      </c>
      <c r="I12" s="84" t="s">
        <v>345</v>
      </c>
      <c r="J12" s="300" t="s">
        <v>346</v>
      </c>
      <c r="K12" s="341" t="s">
        <v>245</v>
      </c>
      <c r="L12" s="342">
        <v>1647.87</v>
      </c>
      <c r="M12" s="341" t="s">
        <v>159</v>
      </c>
      <c r="N12" s="343">
        <v>0.5</v>
      </c>
      <c r="O12" s="344">
        <f>$A$9*$B$10*$C$11*$D$12*N12</f>
        <v>3.0855E-2</v>
      </c>
      <c r="P12" s="345">
        <v>1664.16</v>
      </c>
      <c r="Q12" s="346">
        <v>10</v>
      </c>
      <c r="R12" s="347">
        <f>IF(AND((100+(P12-L12)*10)&gt;30,(100+(P12-L12)*10)&lt;=120),100+(P12-L12)*10,IF((100+(P12-L12)*10)&lt;30,0,120))</f>
        <v>120</v>
      </c>
      <c r="S12" s="348">
        <f>R12*O12</f>
        <v>3.7025999999999999</v>
      </c>
      <c r="T12" s="390">
        <v>1664.16</v>
      </c>
      <c r="U12" s="143">
        <f>T12-L12</f>
        <v>16.290000000000191</v>
      </c>
      <c r="V12" s="206">
        <f>IF(AND((100+U12*10)&gt;30,(100+U12*10)&lt;120),(100+U12*10),IF((100+U12*10)&gt;=120,120,0))</f>
        <v>120</v>
      </c>
      <c r="W12" s="143">
        <f>V12*O12</f>
        <v>3.7025999999999999</v>
      </c>
      <c r="Y12" s="409">
        <f>W12-S12</f>
        <v>0</v>
      </c>
    </row>
    <row r="13" spans="1:58" s="13" customFormat="1" ht="22.5" customHeight="1">
      <c r="A13" s="466"/>
      <c r="B13" s="468"/>
      <c r="C13" s="483"/>
      <c r="D13" s="455"/>
      <c r="E13" s="490"/>
      <c r="F13" s="540"/>
      <c r="G13" s="107" t="s">
        <v>347</v>
      </c>
      <c r="H13" s="139" t="s">
        <v>189</v>
      </c>
      <c r="I13" s="107" t="s">
        <v>348</v>
      </c>
      <c r="J13" s="301" t="s">
        <v>302</v>
      </c>
      <c r="K13" s="110" t="s">
        <v>334</v>
      </c>
      <c r="L13" s="309">
        <v>6.79</v>
      </c>
      <c r="M13" s="339" t="s">
        <v>159</v>
      </c>
      <c r="N13" s="144">
        <v>0.5</v>
      </c>
      <c r="O13" s="248">
        <f>$A$9*$B$10*$C$11*$D$12*N13</f>
        <v>3.0855E-2</v>
      </c>
      <c r="P13" s="302">
        <v>7.94</v>
      </c>
      <c r="Q13" s="204">
        <v>5</v>
      </c>
      <c r="R13" s="323">
        <f>IF(AND((100-(1-P13/L13)*100*5)&gt;30,(100-(1-P13/L13)*100*5)&lt;=120),100-(1-P13/L13)*100*5,IF((100-(1-P13/L13)*100*5)&lt;30,0,120))</f>
        <v>120</v>
      </c>
      <c r="S13" s="255">
        <f>R13*O13</f>
        <v>3.7025999999999999</v>
      </c>
      <c r="T13" s="302">
        <v>7.94</v>
      </c>
      <c r="U13" s="143">
        <f>(T13/L13)*100</f>
        <v>116.93667157584684</v>
      </c>
      <c r="V13" s="206">
        <f>IF(AND((100-(100-U13)*5)&gt;30,(100-(100-U13)*5)&lt;120),(100-(100-U13)*5),IF((100-(100-U13)*5)&gt;=120,120,0))</f>
        <v>120</v>
      </c>
      <c r="W13" s="143">
        <f t="shared" ref="W13:W15" si="0">V13*O13</f>
        <v>3.7025999999999999</v>
      </c>
      <c r="Y13" s="409">
        <f t="shared" ref="Y13:Y76" si="1">W13-S13</f>
        <v>0</v>
      </c>
    </row>
    <row r="14" spans="1:58" s="13" customFormat="1" ht="29.25" customHeight="1">
      <c r="A14" s="466"/>
      <c r="B14" s="468"/>
      <c r="C14" s="483"/>
      <c r="D14" s="487">
        <v>0.5</v>
      </c>
      <c r="E14" s="488" t="s">
        <v>15</v>
      </c>
      <c r="F14" s="539" t="s">
        <v>44</v>
      </c>
      <c r="G14" s="84" t="s">
        <v>349</v>
      </c>
      <c r="H14" s="79" t="s">
        <v>43</v>
      </c>
      <c r="I14" s="84" t="s">
        <v>350</v>
      </c>
      <c r="J14" s="79" t="s">
        <v>43</v>
      </c>
      <c r="K14" s="27" t="s">
        <v>28</v>
      </c>
      <c r="L14" s="310">
        <v>99.7</v>
      </c>
      <c r="M14" s="106" t="s">
        <v>267</v>
      </c>
      <c r="N14" s="140">
        <v>0.5</v>
      </c>
      <c r="O14" s="248">
        <f>$A$9*$B$10*$C$11*$D$14*N14</f>
        <v>3.0855E-2</v>
      </c>
      <c r="P14" s="169">
        <v>119.35</v>
      </c>
      <c r="Q14" s="204">
        <v>10</v>
      </c>
      <c r="R14" s="321">
        <f>IF(AND((100+(P14-L14)*100)&gt;30,(100+(P14-L14)*100)&lt;=120),100+(P14-L14)*100,IF((100+(P14-L14)*100)&lt;30,0,120))</f>
        <v>120</v>
      </c>
      <c r="S14" s="255">
        <f t="shared" ref="S14:S35" si="2">R14*O14</f>
        <v>3.7025999999999999</v>
      </c>
      <c r="T14" s="169">
        <v>119.35</v>
      </c>
      <c r="U14" s="334">
        <f>T14-L14</f>
        <v>19.649999999999991</v>
      </c>
      <c r="V14" s="206">
        <f>IF(AND((100+U14*100)&gt;30,(100+U14*100)&lt;120),(100+U14*100),IF((100+U14*100)&gt;=120,120,0))</f>
        <v>120</v>
      </c>
      <c r="W14" s="143">
        <f t="shared" si="0"/>
        <v>3.7025999999999999</v>
      </c>
      <c r="Y14" s="409">
        <f t="shared" si="1"/>
        <v>0</v>
      </c>
    </row>
    <row r="15" spans="1:58" s="13" customFormat="1" ht="48.75" customHeight="1">
      <c r="A15" s="466"/>
      <c r="B15" s="468"/>
      <c r="C15" s="484"/>
      <c r="D15" s="455"/>
      <c r="E15" s="490"/>
      <c r="F15" s="540"/>
      <c r="G15" s="108" t="s">
        <v>351</v>
      </c>
      <c r="H15" s="79" t="s">
        <v>57</v>
      </c>
      <c r="I15" s="108" t="s">
        <v>352</v>
      </c>
      <c r="J15" s="79" t="s">
        <v>57</v>
      </c>
      <c r="K15" s="151" t="s">
        <v>253</v>
      </c>
      <c r="L15" s="311">
        <v>180</v>
      </c>
      <c r="M15" s="84" t="s">
        <v>159</v>
      </c>
      <c r="N15" s="140">
        <v>0.5</v>
      </c>
      <c r="O15" s="248">
        <f>$A$9*$B$10*$C$11*$D$14*N15</f>
        <v>3.0855E-2</v>
      </c>
      <c r="P15" s="407">
        <v>156</v>
      </c>
      <c r="Q15" s="202">
        <v>2</v>
      </c>
      <c r="R15" s="321">
        <f>IF(AND((100+(1-P15/L15)*100*2)&gt;30,(100+(1-P15/L15)*100*2)&lt;=100),100+(1-P15/L15)*100*2,IF((100+(1-P15/L15)*100*2)&lt;30,0,100))</f>
        <v>100</v>
      </c>
      <c r="S15" s="255">
        <f t="shared" si="2"/>
        <v>3.0855000000000001</v>
      </c>
      <c r="T15" s="169">
        <v>156.33000000000001</v>
      </c>
      <c r="U15" s="206">
        <f>100-(T15*100/L15)</f>
        <v>13.149999999999991</v>
      </c>
      <c r="V15" s="206">
        <f>IF(AND((100+U15)&gt;30,(100+U15)&lt;100),(100+U15),IF((100+U15)&gt;=100,100,0))</f>
        <v>100</v>
      </c>
      <c r="W15" s="143">
        <f t="shared" si="0"/>
        <v>3.0855000000000001</v>
      </c>
      <c r="Y15" s="409">
        <f t="shared" si="1"/>
        <v>0</v>
      </c>
    </row>
    <row r="16" spans="1:58">
      <c r="A16" s="466"/>
      <c r="B16" s="468"/>
      <c r="C16" s="146"/>
      <c r="D16" s="138"/>
      <c r="E16" s="136" t="s">
        <v>60</v>
      </c>
      <c r="F16" s="485" t="s">
        <v>246</v>
      </c>
      <c r="G16" s="486"/>
      <c r="H16" s="486"/>
      <c r="I16" s="486"/>
      <c r="J16" s="486"/>
      <c r="K16" s="486"/>
      <c r="L16" s="486"/>
      <c r="M16" s="500"/>
      <c r="N16" s="28"/>
      <c r="O16" s="249"/>
      <c r="P16" s="133"/>
      <c r="Q16" s="133"/>
      <c r="R16" s="134"/>
      <c r="S16" s="256"/>
      <c r="T16" s="133"/>
      <c r="U16" s="133"/>
      <c r="V16" s="134"/>
      <c r="W16" s="391"/>
      <c r="Y16" s="409">
        <f t="shared" si="1"/>
        <v>0</v>
      </c>
    </row>
    <row r="17" spans="1:59" s="152" customFormat="1" ht="14.25" hidden="1" customHeight="1">
      <c r="A17" s="466"/>
      <c r="B17" s="468"/>
      <c r="C17" s="147"/>
      <c r="D17" s="244">
        <v>1</v>
      </c>
      <c r="E17" s="148" t="s">
        <v>16</v>
      </c>
      <c r="F17" s="14" t="s">
        <v>48</v>
      </c>
      <c r="G17" s="149" t="s">
        <v>353</v>
      </c>
      <c r="H17" s="14" t="s">
        <v>48</v>
      </c>
      <c r="I17" s="149" t="s">
        <v>354</v>
      </c>
      <c r="J17" s="14" t="s">
        <v>254</v>
      </c>
      <c r="K17" s="150" t="s">
        <v>255</v>
      </c>
      <c r="L17" s="312">
        <v>0</v>
      </c>
      <c r="M17" s="150" t="s">
        <v>159</v>
      </c>
      <c r="N17" s="151">
        <v>1</v>
      </c>
      <c r="O17" s="248">
        <f>$A$9*$B$10*$C$17*$D$17*N17</f>
        <v>0</v>
      </c>
      <c r="P17" s="303">
        <v>0</v>
      </c>
      <c r="Q17" s="204">
        <v>10</v>
      </c>
      <c r="R17" s="142">
        <f>100-(L17-P17)*Q17</f>
        <v>100</v>
      </c>
      <c r="S17" s="255">
        <f t="shared" si="2"/>
        <v>0</v>
      </c>
      <c r="T17" s="303">
        <v>0</v>
      </c>
      <c r="U17" s="76"/>
      <c r="V17" s="205"/>
      <c r="W17" s="392"/>
      <c r="Y17" s="409">
        <f t="shared" si="1"/>
        <v>0</v>
      </c>
    </row>
    <row r="18" spans="1:59" ht="15.75" customHeight="1">
      <c r="A18" s="466"/>
      <c r="B18" s="468"/>
      <c r="C18" s="482">
        <v>0.67</v>
      </c>
      <c r="D18" s="153"/>
      <c r="E18" s="154" t="s">
        <v>188</v>
      </c>
      <c r="F18" s="485" t="s">
        <v>156</v>
      </c>
      <c r="G18" s="486"/>
      <c r="H18" s="486"/>
      <c r="I18" s="485" t="s">
        <v>156</v>
      </c>
      <c r="J18" s="486"/>
      <c r="K18" s="486"/>
      <c r="L18" s="313"/>
      <c r="M18" s="155"/>
      <c r="N18" s="12"/>
      <c r="O18" s="249"/>
      <c r="P18" s="156"/>
      <c r="Q18" s="156"/>
      <c r="R18" s="157"/>
      <c r="S18" s="256"/>
      <c r="T18" s="156"/>
      <c r="U18" s="156"/>
      <c r="V18" s="157"/>
      <c r="W18" s="393"/>
      <c r="Y18" s="409">
        <f t="shared" si="1"/>
        <v>0</v>
      </c>
    </row>
    <row r="19" spans="1:59" s="91" customFormat="1" ht="37.700000000000003" customHeight="1">
      <c r="A19" s="466"/>
      <c r="B19" s="468"/>
      <c r="C19" s="483"/>
      <c r="D19" s="487">
        <v>0.13</v>
      </c>
      <c r="E19" s="488" t="s">
        <v>1</v>
      </c>
      <c r="F19" s="550" t="s">
        <v>2</v>
      </c>
      <c r="G19" s="84" t="s">
        <v>355</v>
      </c>
      <c r="H19" s="79" t="s">
        <v>9</v>
      </c>
      <c r="I19" s="84" t="s">
        <v>356</v>
      </c>
      <c r="J19" s="79" t="s">
        <v>9</v>
      </c>
      <c r="K19" s="54" t="s">
        <v>256</v>
      </c>
      <c r="L19" s="311">
        <v>90.21</v>
      </c>
      <c r="M19" s="106" t="s">
        <v>159</v>
      </c>
      <c r="N19" s="140">
        <v>1</v>
      </c>
      <c r="O19" s="248">
        <f>$A$9*$B$10*$C$18*$D$19*N19</f>
        <v>3.2575400000000004E-2</v>
      </c>
      <c r="P19" s="304">
        <v>19.100000000000001</v>
      </c>
      <c r="Q19" s="206">
        <v>1</v>
      </c>
      <c r="R19" s="323">
        <f>IF(AND((100+(1-P19/L19)*100*1)&gt;30,(100+(1-P19/L19)*100*1)&lt;=120),100+(1-P19/L19)*100*1,IF((100+(1-P19/L19)*100*1)&lt;30,0,120))</f>
        <v>120</v>
      </c>
      <c r="S19" s="255">
        <f t="shared" si="2"/>
        <v>3.9090480000000003</v>
      </c>
      <c r="T19" s="304">
        <v>19.100000000000001</v>
      </c>
      <c r="U19" s="143">
        <f>T19/L19*100-100</f>
        <v>-78.827181022059634</v>
      </c>
      <c r="V19" s="206">
        <f>IF(AND((100-U19)&gt;30,(100-U19)&lt;120),(100-U19),IF((100-U19)&gt;=120,120,0))</f>
        <v>120</v>
      </c>
      <c r="W19" s="392">
        <f>V19*O19</f>
        <v>3.9090480000000003</v>
      </c>
      <c r="X19" s="215"/>
      <c r="Y19" s="409">
        <f t="shared" si="1"/>
        <v>0</v>
      </c>
      <c r="Z19" s="215"/>
      <c r="AA19" s="215"/>
      <c r="AB19" s="215"/>
      <c r="AC19" s="215"/>
      <c r="AD19" s="215"/>
      <c r="AE19" s="215"/>
      <c r="AF19" s="215"/>
      <c r="AG19" s="215"/>
      <c r="AH19" s="215"/>
      <c r="AI19" s="215"/>
      <c r="AJ19" s="215"/>
      <c r="AK19" s="215"/>
      <c r="AL19" s="215"/>
      <c r="AM19" s="215"/>
      <c r="AN19" s="215"/>
      <c r="AO19" s="215"/>
      <c r="AP19" s="215"/>
      <c r="AQ19" s="215"/>
      <c r="AR19" s="215"/>
      <c r="AS19" s="215"/>
      <c r="AT19" s="215"/>
      <c r="AU19" s="215"/>
      <c r="AV19" s="215"/>
      <c r="AW19" s="215"/>
      <c r="AX19" s="215"/>
      <c r="AY19" s="215"/>
      <c r="AZ19" s="215"/>
      <c r="BA19" s="215"/>
      <c r="BB19" s="215"/>
      <c r="BC19" s="215"/>
      <c r="BD19" s="215"/>
      <c r="BE19" s="215"/>
      <c r="BF19" s="215"/>
      <c r="BG19" s="214"/>
    </row>
    <row r="20" spans="1:59" s="91" customFormat="1" ht="14.25" hidden="1" customHeight="1">
      <c r="A20" s="466"/>
      <c r="B20" s="468"/>
      <c r="C20" s="483"/>
      <c r="D20" s="454"/>
      <c r="E20" s="489"/>
      <c r="F20" s="551"/>
      <c r="G20" s="84" t="s">
        <v>17</v>
      </c>
      <c r="H20" s="79" t="s">
        <v>10</v>
      </c>
      <c r="I20" s="84" t="s">
        <v>17</v>
      </c>
      <c r="J20" s="79" t="s">
        <v>10</v>
      </c>
      <c r="K20" s="54" t="s">
        <v>257</v>
      </c>
      <c r="L20" s="311">
        <v>100</v>
      </c>
      <c r="M20" s="106" t="s">
        <v>159</v>
      </c>
      <c r="N20" s="140">
        <v>0</v>
      </c>
      <c r="O20" s="248">
        <f>$A$9*$B$10*$C$18*$D$19*N20</f>
        <v>0</v>
      </c>
      <c r="P20" s="304"/>
      <c r="Q20" s="2">
        <v>1</v>
      </c>
      <c r="R20" s="204">
        <f>100+(1-P20/L20)*100*Q20</f>
        <v>200</v>
      </c>
      <c r="S20" s="255">
        <f t="shared" si="2"/>
        <v>0</v>
      </c>
      <c r="T20" s="304"/>
      <c r="U20" s="389"/>
      <c r="V20" s="16"/>
      <c r="W20" s="392"/>
      <c r="X20" s="215"/>
      <c r="Y20" s="409">
        <f t="shared" si="1"/>
        <v>0</v>
      </c>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4"/>
    </row>
    <row r="21" spans="1:59" s="91" customFormat="1" ht="14.25" hidden="1" customHeight="1">
      <c r="A21" s="466"/>
      <c r="B21" s="468"/>
      <c r="C21" s="483"/>
      <c r="D21" s="455"/>
      <c r="E21" s="490"/>
      <c r="F21" s="552"/>
      <c r="G21" s="84" t="s">
        <v>18</v>
      </c>
      <c r="H21" s="79" t="s">
        <v>11</v>
      </c>
      <c r="I21" s="84" t="s">
        <v>18</v>
      </c>
      <c r="J21" s="79" t="s">
        <v>11</v>
      </c>
      <c r="K21" s="54" t="s">
        <v>257</v>
      </c>
      <c r="L21" s="311">
        <v>100</v>
      </c>
      <c r="M21" s="106" t="s">
        <v>159</v>
      </c>
      <c r="N21" s="140">
        <v>0</v>
      </c>
      <c r="O21" s="248">
        <f>$A$9*$B$10*$C$18*$D$19*N21</f>
        <v>0</v>
      </c>
      <c r="P21" s="304"/>
      <c r="Q21" s="2">
        <v>1</v>
      </c>
      <c r="R21" s="204">
        <f>100+(1-P21/L21)*100*Q21</f>
        <v>200</v>
      </c>
      <c r="S21" s="255">
        <f t="shared" si="2"/>
        <v>0</v>
      </c>
      <c r="T21" s="304"/>
      <c r="U21" s="389"/>
      <c r="V21" s="16"/>
      <c r="W21" s="392"/>
      <c r="X21" s="215"/>
      <c r="Y21" s="409">
        <f t="shared" si="1"/>
        <v>0</v>
      </c>
      <c r="Z21" s="215"/>
      <c r="AA21" s="215"/>
      <c r="AB21" s="215"/>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215"/>
      <c r="AZ21" s="215"/>
      <c r="BA21" s="215"/>
      <c r="BB21" s="215"/>
      <c r="BC21" s="215"/>
      <c r="BD21" s="215"/>
      <c r="BE21" s="215"/>
      <c r="BF21" s="215"/>
      <c r="BG21" s="214"/>
    </row>
    <row r="22" spans="1:59" s="91" customFormat="1" ht="45.6" customHeight="1">
      <c r="A22" s="466"/>
      <c r="B22" s="468"/>
      <c r="C22" s="483"/>
      <c r="D22" s="487">
        <v>0.25</v>
      </c>
      <c r="E22" s="488" t="s">
        <v>3</v>
      </c>
      <c r="F22" s="541" t="s">
        <v>4</v>
      </c>
      <c r="G22" s="84" t="s">
        <v>360</v>
      </c>
      <c r="H22" s="79" t="s">
        <v>154</v>
      </c>
      <c r="I22" s="84" t="s">
        <v>361</v>
      </c>
      <c r="J22" s="79" t="s">
        <v>154</v>
      </c>
      <c r="K22" s="84" t="s">
        <v>28</v>
      </c>
      <c r="L22" s="311">
        <v>8.5</v>
      </c>
      <c r="M22" s="339" t="s">
        <v>159</v>
      </c>
      <c r="N22" s="140">
        <v>0.5</v>
      </c>
      <c r="O22" s="248">
        <f>$A$9*$B$10*$C$18*$D$22*N22</f>
        <v>3.1322500000000003E-2</v>
      </c>
      <c r="P22" s="304">
        <v>4.2300000000000004</v>
      </c>
      <c r="Q22" s="2">
        <v>10</v>
      </c>
      <c r="R22" s="321">
        <f>IF(AND((100-(P22-L22)*10*10)&gt;30,(100-(P22-L22)*10*10)&lt;=120),100-(P22-L22)*10*10,IF((100-(P22-L22)*10*10)&lt;30,0,120))</f>
        <v>120</v>
      </c>
      <c r="S22" s="255">
        <f t="shared" si="2"/>
        <v>3.7587000000000002</v>
      </c>
      <c r="T22" s="304">
        <v>4.2300000000000004</v>
      </c>
      <c r="U22" s="143">
        <f>T22-L22</f>
        <v>-4.2699999999999996</v>
      </c>
      <c r="V22" s="206">
        <f>IF(AND((100-U22*100)&gt;30,(100-U22*100)&lt;120),(100-U22*100),IF((100-U22*100)&gt;=120,120,0))</f>
        <v>120</v>
      </c>
      <c r="W22" s="392">
        <f t="shared" ref="W22:W26" si="3">V22*O22</f>
        <v>3.7587000000000002</v>
      </c>
      <c r="X22" s="215"/>
      <c r="Y22" s="409">
        <f t="shared" si="1"/>
        <v>0</v>
      </c>
      <c r="Z22" s="215"/>
      <c r="AA22" s="215"/>
      <c r="AB22" s="215"/>
      <c r="AC22" s="215"/>
      <c r="AD22" s="215"/>
      <c r="AE22" s="215"/>
      <c r="AF22" s="215"/>
      <c r="AG22" s="215"/>
      <c r="AH22" s="215"/>
      <c r="AI22" s="215"/>
      <c r="AJ22" s="215"/>
      <c r="AK22" s="215"/>
      <c r="AL22" s="215"/>
      <c r="AM22" s="215"/>
      <c r="AN22" s="215"/>
      <c r="AO22" s="215"/>
      <c r="AP22" s="215"/>
      <c r="AQ22" s="215"/>
      <c r="AR22" s="215"/>
      <c r="AS22" s="215"/>
      <c r="AT22" s="215"/>
      <c r="AU22" s="215"/>
      <c r="AV22" s="215"/>
      <c r="AW22" s="215"/>
      <c r="AX22" s="215"/>
      <c r="AY22" s="215"/>
      <c r="AZ22" s="215"/>
      <c r="BA22" s="215"/>
      <c r="BB22" s="215"/>
      <c r="BC22" s="215"/>
      <c r="BD22" s="215"/>
      <c r="BE22" s="215"/>
      <c r="BF22" s="215"/>
      <c r="BG22" s="214"/>
    </row>
    <row r="23" spans="1:59" s="91" customFormat="1" ht="36" customHeight="1">
      <c r="A23" s="466"/>
      <c r="B23" s="468"/>
      <c r="C23" s="483"/>
      <c r="D23" s="455"/>
      <c r="E23" s="490"/>
      <c r="F23" s="542"/>
      <c r="G23" s="84" t="s">
        <v>362</v>
      </c>
      <c r="H23" s="79" t="s">
        <v>56</v>
      </c>
      <c r="I23" s="84" t="s">
        <v>363</v>
      </c>
      <c r="J23" s="79" t="s">
        <v>303</v>
      </c>
      <c r="K23" s="84" t="s">
        <v>304</v>
      </c>
      <c r="L23" s="311">
        <v>17</v>
      </c>
      <c r="M23" s="106" t="s">
        <v>159</v>
      </c>
      <c r="N23" s="140">
        <v>0.5</v>
      </c>
      <c r="O23" s="248">
        <f>$A$9*$B$10*$C$18*$D$22*N23</f>
        <v>3.1322500000000003E-2</v>
      </c>
      <c r="P23" s="304">
        <v>25</v>
      </c>
      <c r="Q23" s="2">
        <v>2</v>
      </c>
      <c r="R23" s="321">
        <f>IF(AND((100-(1-P23/L23)*100*2)&gt;30,(100-(1-P23/L23)*100*2)&lt;=100),100-(1-P23/L23)*100*2,IF((100-(1-P23/L23)*100*2)&lt;30,0,100))</f>
        <v>100</v>
      </c>
      <c r="S23" s="255">
        <f t="shared" si="2"/>
        <v>3.1322500000000004</v>
      </c>
      <c r="T23" s="304">
        <v>25</v>
      </c>
      <c r="U23" s="206">
        <f>T23/L23*100-100</f>
        <v>47.058823529411768</v>
      </c>
      <c r="V23" s="206">
        <f>IF(AND((100+U23)&gt;30,(100+U23)&lt;100),(100+U23),IF((100+U23)&gt;=100,100,0))</f>
        <v>100</v>
      </c>
      <c r="W23" s="392">
        <f t="shared" si="3"/>
        <v>3.1322500000000004</v>
      </c>
      <c r="X23" s="215"/>
      <c r="Y23" s="409">
        <f t="shared" si="1"/>
        <v>0</v>
      </c>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4"/>
    </row>
    <row r="24" spans="1:59" s="91" customFormat="1" ht="63" customHeight="1">
      <c r="A24" s="466"/>
      <c r="B24" s="468"/>
      <c r="C24" s="483"/>
      <c r="D24" s="487">
        <v>0.37</v>
      </c>
      <c r="E24" s="488" t="s">
        <v>12</v>
      </c>
      <c r="F24" s="541" t="s">
        <v>6</v>
      </c>
      <c r="G24" s="110" t="s">
        <v>364</v>
      </c>
      <c r="H24" s="79" t="s">
        <v>479</v>
      </c>
      <c r="I24" s="324" t="s">
        <v>365</v>
      </c>
      <c r="J24" s="325" t="s">
        <v>479</v>
      </c>
      <c r="K24" s="326" t="s">
        <v>233</v>
      </c>
      <c r="L24" s="327">
        <v>7</v>
      </c>
      <c r="M24" s="328" t="s">
        <v>159</v>
      </c>
      <c r="N24" s="329">
        <v>0</v>
      </c>
      <c r="O24" s="330">
        <f>$A$9*$B$10*$C$18*$D$24*N24</f>
        <v>0</v>
      </c>
      <c r="P24" s="331"/>
      <c r="Q24" s="332">
        <v>2</v>
      </c>
      <c r="R24" s="321">
        <v>0</v>
      </c>
      <c r="S24" s="322">
        <f>R24*O24</f>
        <v>0</v>
      </c>
      <c r="T24" s="331"/>
      <c r="U24" s="338">
        <f>T24-L24</f>
        <v>-7</v>
      </c>
      <c r="V24" s="338">
        <f>IF(AND((100-U24*20)&gt;30,(100-U24*20)&lt;100),(100-U24*20),IF((100-U24*20)&gt;=100,100,0))</f>
        <v>100</v>
      </c>
      <c r="W24" s="394">
        <f t="shared" si="3"/>
        <v>0</v>
      </c>
      <c r="X24" s="215"/>
      <c r="Y24" s="409">
        <f t="shared" si="1"/>
        <v>0</v>
      </c>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4"/>
    </row>
    <row r="25" spans="1:59" s="91" customFormat="1" ht="63" customHeight="1">
      <c r="A25" s="466"/>
      <c r="B25" s="468"/>
      <c r="C25" s="483"/>
      <c r="D25" s="454"/>
      <c r="E25" s="489"/>
      <c r="F25" s="543"/>
      <c r="G25" s="432" t="s">
        <v>367</v>
      </c>
      <c r="H25" s="451" t="s">
        <v>55</v>
      </c>
      <c r="I25" s="349" t="s">
        <v>368</v>
      </c>
      <c r="J25" s="79" t="s">
        <v>480</v>
      </c>
      <c r="K25" s="84" t="s">
        <v>233</v>
      </c>
      <c r="L25" s="350">
        <v>3</v>
      </c>
      <c r="M25" s="339" t="s">
        <v>159</v>
      </c>
      <c r="N25" s="351">
        <v>0.5</v>
      </c>
      <c r="O25" s="352">
        <f>$A$9*$B$10*$C$18*$D$24*N25</f>
        <v>4.6357300000000004E-2</v>
      </c>
      <c r="P25" s="408">
        <v>2.83</v>
      </c>
      <c r="Q25" s="353">
        <v>2</v>
      </c>
      <c r="R25" s="354">
        <f>IF(AND((100-(P25-L25)*10*2)&gt;30,(100-(P25-L25)*10*2)&lt;=100),100-(P25-L25)*10*2,IF((100-(P25-L25)*10*2)&lt;30,0,100))</f>
        <v>100</v>
      </c>
      <c r="S25" s="355">
        <f t="shared" si="2"/>
        <v>4.6357300000000006</v>
      </c>
      <c r="T25" s="388">
        <v>3</v>
      </c>
      <c r="U25" s="346">
        <f>T25-L25</f>
        <v>0</v>
      </c>
      <c r="V25" s="346">
        <f>IF(AND((100-U25*20)&gt;30,(100-U25*20)&lt;100),(100-U25*20),IF((100-U25*20)&gt;=100,100,0))</f>
        <v>100</v>
      </c>
      <c r="W25" s="395">
        <f t="shared" si="3"/>
        <v>4.6357300000000006</v>
      </c>
      <c r="X25" s="215"/>
      <c r="Y25" s="409">
        <f t="shared" si="1"/>
        <v>0</v>
      </c>
      <c r="Z25" s="215"/>
      <c r="AA25" s="215"/>
      <c r="AB25" s="215"/>
      <c r="AC25" s="215"/>
      <c r="AD25" s="215"/>
      <c r="AE25" s="215"/>
      <c r="AF25" s="215"/>
      <c r="AG25" s="215"/>
      <c r="AH25" s="215"/>
      <c r="AI25" s="215"/>
      <c r="AJ25" s="215"/>
      <c r="AK25" s="215"/>
      <c r="AL25" s="215"/>
      <c r="AM25" s="215"/>
      <c r="AN25" s="215"/>
      <c r="AO25" s="215"/>
      <c r="AP25" s="215"/>
      <c r="AQ25" s="215"/>
      <c r="AR25" s="215"/>
      <c r="AS25" s="215"/>
      <c r="AT25" s="215"/>
      <c r="AU25" s="215"/>
      <c r="AV25" s="215"/>
      <c r="AW25" s="215"/>
      <c r="AX25" s="215"/>
      <c r="AY25" s="215"/>
      <c r="AZ25" s="215"/>
      <c r="BA25" s="215"/>
      <c r="BB25" s="215"/>
      <c r="BC25" s="215"/>
      <c r="BD25" s="215"/>
      <c r="BE25" s="215"/>
      <c r="BF25" s="215"/>
      <c r="BG25" s="214"/>
    </row>
    <row r="26" spans="1:59" s="91" customFormat="1" ht="55.5" customHeight="1">
      <c r="A26" s="466"/>
      <c r="B26" s="468"/>
      <c r="C26" s="483"/>
      <c r="D26" s="454"/>
      <c r="E26" s="489"/>
      <c r="F26" s="543"/>
      <c r="G26" s="447"/>
      <c r="H26" s="452"/>
      <c r="I26" s="349" t="s">
        <v>481</v>
      </c>
      <c r="J26" s="79" t="s">
        <v>482</v>
      </c>
      <c r="K26" s="84" t="s">
        <v>233</v>
      </c>
      <c r="L26" s="350">
        <v>5</v>
      </c>
      <c r="M26" s="339" t="s">
        <v>159</v>
      </c>
      <c r="N26" s="351">
        <v>0.5</v>
      </c>
      <c r="O26" s="352">
        <f>$A$9*$B$10*$C$18*$D$24*N26</f>
        <v>4.6357300000000004E-2</v>
      </c>
      <c r="P26" s="408">
        <v>4.67</v>
      </c>
      <c r="Q26" s="353">
        <v>2</v>
      </c>
      <c r="R26" s="354">
        <f>IF(AND((100-(P26-L26)*10*2)&gt;30,(100-(P26-L26)*10*2)&lt;=100),100-(P26-L26)*10*2,IF((100-(P26-L26)*10*2)&lt;30,0,100))</f>
        <v>100</v>
      </c>
      <c r="S26" s="355">
        <f t="shared" si="2"/>
        <v>4.6357300000000006</v>
      </c>
      <c r="T26" s="388">
        <v>4.67</v>
      </c>
      <c r="U26" s="346">
        <f>T26-L26</f>
        <v>-0.33000000000000007</v>
      </c>
      <c r="V26" s="346">
        <f>IF(AND((100-U26*20)&gt;30,(100-U26*20)&lt;100),(100-U26*20),IF((100-U26*20)&gt;=100,100,0))</f>
        <v>100</v>
      </c>
      <c r="W26" s="395">
        <f t="shared" si="3"/>
        <v>4.6357300000000006</v>
      </c>
      <c r="X26" s="215"/>
      <c r="Y26" s="409">
        <f t="shared" si="1"/>
        <v>0</v>
      </c>
      <c r="Z26" s="215"/>
      <c r="AA26" s="215"/>
      <c r="AB26" s="215"/>
      <c r="AC26" s="215"/>
      <c r="AD26" s="215"/>
      <c r="AE26" s="215"/>
      <c r="AF26" s="215"/>
      <c r="AG26" s="215"/>
      <c r="AH26" s="215"/>
      <c r="AI26" s="215"/>
      <c r="AJ26" s="215"/>
      <c r="AK26" s="215"/>
      <c r="AL26" s="215"/>
      <c r="AM26" s="215"/>
      <c r="AN26" s="215"/>
      <c r="AO26" s="215"/>
      <c r="AP26" s="215"/>
      <c r="AQ26" s="215"/>
      <c r="AR26" s="215"/>
      <c r="AS26" s="215"/>
      <c r="AT26" s="215"/>
      <c r="AU26" s="215"/>
      <c r="AV26" s="215"/>
      <c r="AW26" s="215"/>
      <c r="AX26" s="215"/>
      <c r="AY26" s="215"/>
      <c r="AZ26" s="215"/>
      <c r="BA26" s="215"/>
      <c r="BB26" s="215"/>
      <c r="BC26" s="215"/>
      <c r="BD26" s="215"/>
      <c r="BE26" s="215"/>
      <c r="BF26" s="215"/>
      <c r="BG26" s="214"/>
    </row>
    <row r="27" spans="1:59" s="91" customFormat="1" ht="14.25" hidden="1" customHeight="1">
      <c r="A27" s="466"/>
      <c r="B27" s="468"/>
      <c r="C27" s="483"/>
      <c r="D27" s="455"/>
      <c r="E27" s="490"/>
      <c r="F27" s="542"/>
      <c r="G27" s="110" t="s">
        <v>38</v>
      </c>
      <c r="H27" s="139" t="s">
        <v>50</v>
      </c>
      <c r="I27" s="110" t="s">
        <v>38</v>
      </c>
      <c r="J27" s="139" t="s">
        <v>50</v>
      </c>
      <c r="K27" s="110" t="s">
        <v>28</v>
      </c>
      <c r="L27" s="311">
        <v>15</v>
      </c>
      <c r="M27" s="106" t="s">
        <v>159</v>
      </c>
      <c r="N27" s="140">
        <v>0</v>
      </c>
      <c r="O27" s="248">
        <f>$A$9*$B$10*$C$18*$D$19*N27</f>
        <v>0</v>
      </c>
      <c r="P27" s="304"/>
      <c r="Q27" s="10"/>
      <c r="R27" s="90">
        <f>100+(P27-L27)*10</f>
        <v>-50</v>
      </c>
      <c r="S27" s="255">
        <f t="shared" si="2"/>
        <v>0</v>
      </c>
      <c r="T27" s="304"/>
      <c r="U27" s="389"/>
      <c r="V27" s="16"/>
      <c r="W27" s="392"/>
      <c r="X27" s="215"/>
      <c r="Y27" s="409">
        <f t="shared" si="1"/>
        <v>0</v>
      </c>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4"/>
    </row>
    <row r="28" spans="1:59" s="91" customFormat="1" ht="14.25" hidden="1" customHeight="1">
      <c r="A28" s="466"/>
      <c r="B28" s="468"/>
      <c r="C28" s="483"/>
      <c r="D28" s="244"/>
      <c r="E28" s="145" t="s">
        <v>5</v>
      </c>
      <c r="F28" s="82" t="s">
        <v>8</v>
      </c>
      <c r="G28" s="84" t="s">
        <v>369</v>
      </c>
      <c r="H28" s="79" t="s">
        <v>195</v>
      </c>
      <c r="I28" s="84" t="s">
        <v>370</v>
      </c>
      <c r="J28" s="79" t="s">
        <v>195</v>
      </c>
      <c r="K28" s="177" t="s">
        <v>158</v>
      </c>
      <c r="L28" s="311">
        <v>0</v>
      </c>
      <c r="M28" s="106" t="s">
        <v>159</v>
      </c>
      <c r="N28" s="140">
        <v>1</v>
      </c>
      <c r="O28" s="248">
        <f>$A$9*$B$10*$C$18*$D$28*N28</f>
        <v>0</v>
      </c>
      <c r="P28" s="169"/>
      <c r="Q28" s="2">
        <v>10</v>
      </c>
      <c r="R28" s="142">
        <f>100-(P28-L28)*Q28</f>
        <v>100</v>
      </c>
      <c r="S28" s="255">
        <f t="shared" si="2"/>
        <v>0</v>
      </c>
      <c r="T28" s="169"/>
      <c r="U28" s="389"/>
      <c r="V28" s="16"/>
      <c r="W28" s="392"/>
      <c r="X28" s="215"/>
      <c r="Y28" s="409">
        <f t="shared" si="1"/>
        <v>0</v>
      </c>
      <c r="Z28" s="215"/>
      <c r="AA28" s="215"/>
      <c r="AB28" s="215"/>
      <c r="AC28" s="215"/>
      <c r="AD28" s="215"/>
      <c r="AE28" s="215"/>
      <c r="AF28" s="215"/>
      <c r="AG28" s="215"/>
      <c r="AH28" s="215"/>
      <c r="AI28" s="215"/>
      <c r="AJ28" s="215"/>
      <c r="AK28" s="215"/>
      <c r="AL28" s="215"/>
      <c r="AM28" s="215"/>
      <c r="AN28" s="215"/>
      <c r="AO28" s="215"/>
      <c r="AP28" s="215"/>
      <c r="AQ28" s="215"/>
      <c r="AR28" s="215"/>
      <c r="AS28" s="215"/>
      <c r="AT28" s="215"/>
      <c r="AU28" s="215"/>
      <c r="AV28" s="215"/>
      <c r="AW28" s="215"/>
      <c r="AX28" s="215"/>
      <c r="AY28" s="215"/>
      <c r="AZ28" s="215"/>
      <c r="BA28" s="215"/>
      <c r="BB28" s="215"/>
      <c r="BC28" s="215"/>
      <c r="BD28" s="215"/>
      <c r="BE28" s="215"/>
      <c r="BF28" s="215"/>
      <c r="BG28" s="214"/>
    </row>
    <row r="29" spans="1:59" s="91" customFormat="1" ht="32.25" customHeight="1">
      <c r="A29" s="466"/>
      <c r="B29" s="468"/>
      <c r="C29" s="483"/>
      <c r="D29" s="487">
        <v>0.25</v>
      </c>
      <c r="E29" s="488" t="s">
        <v>7</v>
      </c>
      <c r="F29" s="544" t="s">
        <v>39</v>
      </c>
      <c r="G29" s="456" t="s">
        <v>371</v>
      </c>
      <c r="H29" s="547" t="s">
        <v>41</v>
      </c>
      <c r="I29" s="456" t="s">
        <v>372</v>
      </c>
      <c r="J29" s="459" t="s">
        <v>338</v>
      </c>
      <c r="K29" s="84" t="s">
        <v>258</v>
      </c>
      <c r="L29" s="311">
        <v>0</v>
      </c>
      <c r="M29" s="106" t="s">
        <v>159</v>
      </c>
      <c r="N29" s="140">
        <v>0.5</v>
      </c>
      <c r="O29" s="248">
        <f>$A$9*$B$10*$C$18*$D$29*N29</f>
        <v>3.1322500000000003E-2</v>
      </c>
      <c r="P29" s="169">
        <v>0</v>
      </c>
      <c r="Q29" s="2" t="s">
        <v>496</v>
      </c>
      <c r="R29" s="142">
        <v>100</v>
      </c>
      <c r="S29" s="255">
        <f t="shared" si="2"/>
        <v>3.1322500000000004</v>
      </c>
      <c r="T29" s="169">
        <v>0</v>
      </c>
      <c r="U29" s="389"/>
      <c r="V29" s="335">
        <v>100</v>
      </c>
      <c r="W29" s="392">
        <f t="shared" ref="W29" si="4">V29*O29</f>
        <v>3.1322500000000004</v>
      </c>
      <c r="X29" s="215"/>
      <c r="Y29" s="409">
        <f t="shared" si="1"/>
        <v>0</v>
      </c>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4"/>
    </row>
    <row r="30" spans="1:59" s="91" customFormat="1" ht="14.25" hidden="1" customHeight="1">
      <c r="A30" s="466"/>
      <c r="B30" s="468"/>
      <c r="C30" s="483"/>
      <c r="D30" s="454"/>
      <c r="E30" s="489"/>
      <c r="F30" s="545"/>
      <c r="G30" s="457"/>
      <c r="H30" s="548"/>
      <c r="I30" s="457"/>
      <c r="J30" s="460"/>
      <c r="K30" s="84" t="s">
        <v>258</v>
      </c>
      <c r="L30" s="311">
        <v>0</v>
      </c>
      <c r="M30" s="106" t="s">
        <v>159</v>
      </c>
      <c r="N30" s="140">
        <v>0</v>
      </c>
      <c r="O30" s="248">
        <f>$A$9*$B$10*$C$18*$D$19*N30</f>
        <v>0</v>
      </c>
      <c r="P30" s="169"/>
      <c r="Q30" s="2">
        <v>40</v>
      </c>
      <c r="R30" s="142">
        <f>100-(P30-L30)*Q30</f>
        <v>100</v>
      </c>
      <c r="S30" s="255">
        <f t="shared" si="2"/>
        <v>0</v>
      </c>
      <c r="T30" s="169"/>
      <c r="U30" s="389"/>
      <c r="V30" s="16"/>
      <c r="W30" s="392"/>
      <c r="X30" s="215"/>
      <c r="Y30" s="409">
        <f t="shared" si="1"/>
        <v>0</v>
      </c>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4"/>
    </row>
    <row r="31" spans="1:59" s="91" customFormat="1" ht="14.25" hidden="1" customHeight="1">
      <c r="A31" s="466"/>
      <c r="B31" s="468"/>
      <c r="C31" s="483"/>
      <c r="D31" s="454"/>
      <c r="E31" s="489"/>
      <c r="F31" s="545"/>
      <c r="G31" s="458"/>
      <c r="H31" s="549"/>
      <c r="I31" s="458"/>
      <c r="J31" s="461"/>
      <c r="K31" s="84" t="s">
        <v>258</v>
      </c>
      <c r="L31" s="311">
        <v>0</v>
      </c>
      <c r="M31" s="106" t="s">
        <v>159</v>
      </c>
      <c r="N31" s="140">
        <v>0</v>
      </c>
      <c r="O31" s="248">
        <f>$A$9*$B$10*$C$18*$D$19*N31</f>
        <v>0</v>
      </c>
      <c r="P31" s="169"/>
      <c r="Q31" s="2">
        <v>100</v>
      </c>
      <c r="R31" s="142">
        <f>100-(P31-L31)*Q31</f>
        <v>100</v>
      </c>
      <c r="S31" s="255">
        <f t="shared" si="2"/>
        <v>0</v>
      </c>
      <c r="T31" s="169"/>
      <c r="U31" s="389"/>
      <c r="V31" s="16"/>
      <c r="W31" s="392"/>
      <c r="X31" s="215"/>
      <c r="Y31" s="409">
        <f t="shared" si="1"/>
        <v>0</v>
      </c>
      <c r="Z31" s="215"/>
      <c r="AA31" s="215"/>
      <c r="AB31" s="215"/>
      <c r="AC31" s="215"/>
      <c r="AD31" s="215"/>
      <c r="AE31" s="215"/>
      <c r="AF31" s="215"/>
      <c r="AG31" s="215"/>
      <c r="AH31" s="215"/>
      <c r="AI31" s="215"/>
      <c r="AJ31" s="215"/>
      <c r="AK31" s="215"/>
      <c r="AL31" s="215"/>
      <c r="AM31" s="215"/>
      <c r="AN31" s="215"/>
      <c r="AO31" s="215"/>
      <c r="AP31" s="215"/>
      <c r="AQ31" s="215"/>
      <c r="AR31" s="215"/>
      <c r="AS31" s="215"/>
      <c r="AT31" s="215"/>
      <c r="AU31" s="215"/>
      <c r="AV31" s="215"/>
      <c r="AW31" s="215"/>
      <c r="AX31" s="215"/>
      <c r="AY31" s="215"/>
      <c r="AZ31" s="215"/>
      <c r="BA31" s="215"/>
      <c r="BB31" s="215"/>
      <c r="BC31" s="215"/>
      <c r="BD31" s="215"/>
      <c r="BE31" s="215"/>
      <c r="BF31" s="215"/>
      <c r="BG31" s="214"/>
    </row>
    <row r="32" spans="1:59" s="91" customFormat="1" ht="57.95" customHeight="1">
      <c r="A32" s="466"/>
      <c r="B32" s="468"/>
      <c r="C32" s="484"/>
      <c r="D32" s="455"/>
      <c r="E32" s="490"/>
      <c r="F32" s="546"/>
      <c r="G32" s="84" t="s">
        <v>375</v>
      </c>
      <c r="H32" s="79" t="s">
        <v>42</v>
      </c>
      <c r="I32" s="84" t="s">
        <v>376</v>
      </c>
      <c r="J32" s="79" t="s">
        <v>42</v>
      </c>
      <c r="K32" s="177" t="s">
        <v>158</v>
      </c>
      <c r="L32" s="311">
        <v>0</v>
      </c>
      <c r="M32" s="106" t="s">
        <v>159</v>
      </c>
      <c r="N32" s="140">
        <v>0.5</v>
      </c>
      <c r="O32" s="248">
        <f>$A$9*$B$10*$C$18*$D$29*N32</f>
        <v>3.1322500000000003E-2</v>
      </c>
      <c r="P32" s="169">
        <v>0</v>
      </c>
      <c r="Q32" s="2">
        <v>10</v>
      </c>
      <c r="R32" s="142">
        <f>100-(P32-L32)*Q32</f>
        <v>100</v>
      </c>
      <c r="S32" s="255">
        <f t="shared" si="2"/>
        <v>3.1322500000000004</v>
      </c>
      <c r="T32" s="169">
        <v>0</v>
      </c>
      <c r="U32" s="389">
        <v>10</v>
      </c>
      <c r="V32" s="335">
        <f>100-U32*T32</f>
        <v>100</v>
      </c>
      <c r="W32" s="392">
        <f t="shared" ref="W32" si="5">V32*O32</f>
        <v>3.1322500000000004</v>
      </c>
      <c r="X32" s="215"/>
      <c r="Y32" s="409">
        <f t="shared" si="1"/>
        <v>0</v>
      </c>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4"/>
    </row>
    <row r="33" spans="1:25" ht="15.75" customHeight="1">
      <c r="A33" s="466"/>
      <c r="B33" s="468"/>
      <c r="C33" s="482">
        <v>0</v>
      </c>
      <c r="D33" s="135"/>
      <c r="E33" s="158" t="s">
        <v>200</v>
      </c>
      <c r="F33" s="485" t="s">
        <v>157</v>
      </c>
      <c r="G33" s="486"/>
      <c r="H33" s="486"/>
      <c r="I33" s="486"/>
      <c r="J33" s="486"/>
      <c r="K33" s="486"/>
      <c r="L33" s="486"/>
      <c r="M33" s="500"/>
      <c r="N33" s="159"/>
      <c r="O33" s="249"/>
      <c r="P33" s="133"/>
      <c r="Q33" s="133"/>
      <c r="R33" s="160"/>
      <c r="S33" s="256"/>
      <c r="T33" s="133"/>
      <c r="U33" s="133"/>
      <c r="V33" s="160"/>
      <c r="W33" s="396"/>
      <c r="Y33" s="409">
        <f t="shared" si="1"/>
        <v>0</v>
      </c>
    </row>
    <row r="34" spans="1:25" s="161" customFormat="1" ht="14.25" hidden="1" customHeight="1">
      <c r="A34" s="466"/>
      <c r="B34" s="468"/>
      <c r="C34" s="483"/>
      <c r="D34" s="380"/>
      <c r="E34" s="553" t="s">
        <v>19</v>
      </c>
      <c r="F34" s="555" t="s">
        <v>51</v>
      </c>
      <c r="G34" s="381" t="s">
        <v>20</v>
      </c>
      <c r="H34" s="289" t="s">
        <v>13</v>
      </c>
      <c r="I34" s="289"/>
      <c r="J34" s="289"/>
      <c r="K34" s="382" t="s">
        <v>40</v>
      </c>
      <c r="L34" s="316"/>
      <c r="M34" s="333" t="s">
        <v>30</v>
      </c>
      <c r="N34" s="383">
        <v>0</v>
      </c>
      <c r="O34" s="291">
        <f>$A$9*$B$10*$C$18*$D$19*N34</f>
        <v>0</v>
      </c>
      <c r="P34" s="306"/>
      <c r="Q34" s="356"/>
      <c r="R34" s="384"/>
      <c r="S34" s="293">
        <f t="shared" si="2"/>
        <v>0</v>
      </c>
      <c r="T34" s="306"/>
      <c r="U34" s="18"/>
      <c r="V34" s="16"/>
      <c r="W34" s="392"/>
      <c r="Y34" s="409">
        <f t="shared" si="1"/>
        <v>0</v>
      </c>
    </row>
    <row r="35" spans="1:25" s="161" customFormat="1" ht="36" customHeight="1">
      <c r="A35" s="466"/>
      <c r="B35" s="469"/>
      <c r="C35" s="484"/>
      <c r="D35" s="385">
        <v>1</v>
      </c>
      <c r="E35" s="554"/>
      <c r="F35" s="556"/>
      <c r="G35" s="381" t="s">
        <v>378</v>
      </c>
      <c r="H35" s="289" t="s">
        <v>37</v>
      </c>
      <c r="I35" s="381" t="s">
        <v>379</v>
      </c>
      <c r="J35" s="289" t="s">
        <v>37</v>
      </c>
      <c r="K35" s="382" t="s">
        <v>225</v>
      </c>
      <c r="L35" s="316">
        <v>48</v>
      </c>
      <c r="M35" s="333" t="s">
        <v>267</v>
      </c>
      <c r="N35" s="383">
        <v>1</v>
      </c>
      <c r="O35" s="291">
        <f>$A$9*$B$10*$C$33*$D$35*N35</f>
        <v>0</v>
      </c>
      <c r="P35" s="306">
        <v>0</v>
      </c>
      <c r="Q35" s="356">
        <v>2</v>
      </c>
      <c r="R35" s="292">
        <f>IF(AND((100-(P35-L35)*2)&gt;30,(100-(P35-L35)*2)&lt;=100),100-(P35-L35)*2,IF((100-(P35-L35)*2)&lt;30,0,100))</f>
        <v>100</v>
      </c>
      <c r="S35" s="293">
        <f t="shared" si="2"/>
        <v>0</v>
      </c>
      <c r="T35" s="306">
        <v>0</v>
      </c>
      <c r="U35" s="206">
        <f>T35-L35</f>
        <v>-48</v>
      </c>
      <c r="V35" s="206">
        <f>IF(AND((100-U35*2)&gt;30,(100-U35*2)&lt;120),(100-U35*2),IF((100-U35*2)&gt;=120,120,0))</f>
        <v>120</v>
      </c>
      <c r="W35" s="392">
        <f>V35*O35</f>
        <v>0</v>
      </c>
      <c r="Y35" s="409">
        <f t="shared" si="1"/>
        <v>0</v>
      </c>
    </row>
    <row r="36" spans="1:25" s="161" customFormat="1" ht="15.95" customHeight="1">
      <c r="A36" s="466"/>
      <c r="E36" s="29"/>
      <c r="F36" s="29"/>
      <c r="G36" s="148"/>
      <c r="H36" s="162"/>
      <c r="I36" s="162"/>
      <c r="J36" s="162"/>
      <c r="K36" s="163"/>
      <c r="L36" s="315"/>
      <c r="M36" s="164"/>
      <c r="N36" s="165"/>
      <c r="O36" s="248"/>
      <c r="P36" s="305"/>
      <c r="Q36" s="166"/>
      <c r="R36" s="19"/>
      <c r="S36" s="257"/>
      <c r="T36" s="305"/>
      <c r="U36" s="166"/>
      <c r="V36" s="19"/>
      <c r="W36" s="397"/>
      <c r="Y36" s="409">
        <f t="shared" si="1"/>
        <v>0</v>
      </c>
    </row>
    <row r="37" spans="1:25" ht="20.25" customHeight="1">
      <c r="A37" s="466"/>
      <c r="B37" s="467">
        <v>0.44</v>
      </c>
      <c r="C37" s="167"/>
      <c r="D37" s="167"/>
      <c r="E37" s="167" t="s">
        <v>172</v>
      </c>
      <c r="F37" s="592" t="s">
        <v>173</v>
      </c>
      <c r="G37" s="593"/>
      <c r="H37" s="593"/>
      <c r="I37" s="593"/>
      <c r="J37" s="593"/>
      <c r="K37" s="593"/>
      <c r="L37" s="593"/>
      <c r="M37" s="594"/>
      <c r="N37" s="216"/>
      <c r="O37" s="264"/>
      <c r="P37" s="217"/>
      <c r="Q37" s="217"/>
      <c r="R37" s="218"/>
      <c r="S37" s="253">
        <f>SUM(S40:S157)</f>
        <v>37.307547200000016</v>
      </c>
      <c r="T37" s="217"/>
      <c r="U37" s="217"/>
      <c r="V37" s="219"/>
      <c r="W37" s="398"/>
      <c r="Y37" s="409">
        <f t="shared" si="1"/>
        <v>-37.307547200000016</v>
      </c>
    </row>
    <row r="38" spans="1:25" s="103" customFormat="1" ht="14.25" hidden="1" customHeight="1">
      <c r="A38" s="466"/>
      <c r="B38" s="468"/>
      <c r="C38" s="147"/>
      <c r="D38" s="244">
        <v>0</v>
      </c>
      <c r="E38" s="110" t="s">
        <v>58</v>
      </c>
      <c r="F38" s="5" t="s">
        <v>59</v>
      </c>
      <c r="G38" s="110" t="s">
        <v>217</v>
      </c>
      <c r="H38" s="5" t="s">
        <v>247</v>
      </c>
      <c r="I38" s="5"/>
      <c r="J38" s="5"/>
      <c r="K38" s="79" t="s">
        <v>158</v>
      </c>
      <c r="L38" s="314">
        <v>0</v>
      </c>
      <c r="M38" s="79" t="s">
        <v>171</v>
      </c>
      <c r="N38" s="141">
        <v>0</v>
      </c>
      <c r="O38" s="249"/>
      <c r="P38" s="182">
        <v>0</v>
      </c>
      <c r="Q38" s="79"/>
      <c r="R38" s="142">
        <f>100-(P38-L38)*10</f>
        <v>100</v>
      </c>
      <c r="S38" s="255" t="e">
        <f>$A$9*$B$37*#REF!*$D$38*N38*R38</f>
        <v>#REF!</v>
      </c>
      <c r="T38" s="182">
        <v>0</v>
      </c>
      <c r="U38" s="20"/>
      <c r="V38" s="19"/>
      <c r="W38" s="399"/>
      <c r="Y38" s="409" t="e">
        <f t="shared" si="1"/>
        <v>#REF!</v>
      </c>
    </row>
    <row r="39" spans="1:25" s="103" customFormat="1" ht="21" customHeight="1">
      <c r="A39" s="466"/>
      <c r="B39" s="468"/>
      <c r="C39" s="473">
        <v>0.11</v>
      </c>
      <c r="D39" s="172"/>
      <c r="E39" s="172" t="s">
        <v>201</v>
      </c>
      <c r="F39" s="558" t="s">
        <v>174</v>
      </c>
      <c r="G39" s="559"/>
      <c r="H39" s="559"/>
      <c r="I39" s="559"/>
      <c r="J39" s="559"/>
      <c r="K39" s="559"/>
      <c r="L39" s="559"/>
      <c r="M39" s="560"/>
      <c r="N39" s="173"/>
      <c r="O39" s="249"/>
      <c r="P39" s="174"/>
      <c r="Q39" s="174"/>
      <c r="R39" s="175"/>
      <c r="S39" s="256"/>
      <c r="T39" s="174"/>
      <c r="U39" s="176"/>
      <c r="V39" s="170"/>
      <c r="W39" s="400"/>
      <c r="Y39" s="409">
        <f t="shared" si="1"/>
        <v>0</v>
      </c>
    </row>
    <row r="40" spans="1:25" s="13" customFormat="1" ht="30">
      <c r="A40" s="466"/>
      <c r="B40" s="468"/>
      <c r="C40" s="557"/>
      <c r="D40" s="369">
        <v>0</v>
      </c>
      <c r="E40" s="370" t="s">
        <v>90</v>
      </c>
      <c r="F40" s="371" t="s">
        <v>228</v>
      </c>
      <c r="G40" s="370" t="s">
        <v>380</v>
      </c>
      <c r="H40" s="371" t="s">
        <v>228</v>
      </c>
      <c r="I40" s="370" t="s">
        <v>381</v>
      </c>
      <c r="J40" s="372" t="s">
        <v>260</v>
      </c>
      <c r="K40" s="373" t="s">
        <v>158</v>
      </c>
      <c r="L40" s="374">
        <v>0</v>
      </c>
      <c r="M40" s="371" t="s">
        <v>267</v>
      </c>
      <c r="N40" s="375">
        <v>1</v>
      </c>
      <c r="O40" s="376">
        <f>$A$9*$B$37*$C$39*$D$40*N40</f>
        <v>0</v>
      </c>
      <c r="P40" s="374"/>
      <c r="Q40" s="373"/>
      <c r="R40" s="377">
        <f t="shared" ref="R40:R52" si="6">100-(P40-L40)*Q40</f>
        <v>100</v>
      </c>
      <c r="S40" s="378">
        <f>R40*O40</f>
        <v>0</v>
      </c>
      <c r="T40" s="374"/>
      <c r="U40" s="389">
        <v>10</v>
      </c>
      <c r="V40" s="335">
        <f>100-U40*T40</f>
        <v>100</v>
      </c>
      <c r="W40" s="392">
        <f t="shared" ref="W40:W53" si="7">V40*O40</f>
        <v>0</v>
      </c>
      <c r="Y40" s="409">
        <f t="shared" si="1"/>
        <v>0</v>
      </c>
    </row>
    <row r="41" spans="1:25" s="13" customFormat="1" ht="39" customHeight="1">
      <c r="A41" s="466"/>
      <c r="B41" s="468"/>
      <c r="C41" s="557"/>
      <c r="D41" s="487">
        <v>0.5</v>
      </c>
      <c r="E41" s="456" t="s">
        <v>91</v>
      </c>
      <c r="F41" s="547" t="s">
        <v>92</v>
      </c>
      <c r="G41" s="456" t="s">
        <v>382</v>
      </c>
      <c r="H41" s="547" t="s">
        <v>92</v>
      </c>
      <c r="I41" s="456" t="s">
        <v>383</v>
      </c>
      <c r="J41" s="561" t="s">
        <v>261</v>
      </c>
      <c r="K41" s="177" t="s">
        <v>158</v>
      </c>
      <c r="L41" s="314">
        <v>0</v>
      </c>
      <c r="M41" s="340" t="s">
        <v>159</v>
      </c>
      <c r="N41" s="141">
        <v>1</v>
      </c>
      <c r="O41" s="248">
        <f>$A$9*$B$37*$C$39*$D$41*N41</f>
        <v>2.0570000000000001E-2</v>
      </c>
      <c r="P41" s="182">
        <v>0</v>
      </c>
      <c r="Q41" s="177"/>
      <c r="R41" s="142">
        <v>100</v>
      </c>
      <c r="S41" s="255">
        <f>R41*O41</f>
        <v>2.0569999999999999</v>
      </c>
      <c r="T41" s="182">
        <v>0</v>
      </c>
      <c r="U41" s="389">
        <v>10</v>
      </c>
      <c r="V41" s="335">
        <f t="shared" ref="V41:V53" si="8">100-U41*T41</f>
        <v>100</v>
      </c>
      <c r="W41" s="392">
        <f t="shared" si="7"/>
        <v>2.0569999999999999</v>
      </c>
      <c r="Y41" s="409">
        <f t="shared" si="1"/>
        <v>0</v>
      </c>
    </row>
    <row r="42" spans="1:25" s="13" customFormat="1" ht="14.25" hidden="1" customHeight="1">
      <c r="A42" s="466"/>
      <c r="B42" s="468"/>
      <c r="C42" s="557"/>
      <c r="D42" s="454"/>
      <c r="E42" s="457"/>
      <c r="F42" s="548"/>
      <c r="G42" s="457"/>
      <c r="H42" s="548"/>
      <c r="I42" s="457"/>
      <c r="J42" s="562"/>
      <c r="K42" s="177" t="s">
        <v>158</v>
      </c>
      <c r="L42" s="314">
        <v>0</v>
      </c>
      <c r="M42" s="284" t="s">
        <v>159</v>
      </c>
      <c r="N42" s="141">
        <v>0</v>
      </c>
      <c r="O42" s="248"/>
      <c r="P42" s="182"/>
      <c r="Q42" s="177"/>
      <c r="R42" s="142">
        <f t="shared" si="6"/>
        <v>100</v>
      </c>
      <c r="S42" s="255">
        <f t="shared" ref="S42:S104" si="9">R42*O42</f>
        <v>0</v>
      </c>
      <c r="T42" s="182"/>
      <c r="U42" s="389">
        <v>10</v>
      </c>
      <c r="V42" s="335">
        <f t="shared" si="8"/>
        <v>100</v>
      </c>
      <c r="W42" s="392">
        <f t="shared" si="7"/>
        <v>0</v>
      </c>
      <c r="Y42" s="409">
        <f t="shared" si="1"/>
        <v>0</v>
      </c>
    </row>
    <row r="43" spans="1:25" s="13" customFormat="1" ht="14.25" hidden="1" customHeight="1">
      <c r="A43" s="466"/>
      <c r="B43" s="468"/>
      <c r="C43" s="557"/>
      <c r="D43" s="454"/>
      <c r="E43" s="457"/>
      <c r="F43" s="548"/>
      <c r="G43" s="457"/>
      <c r="H43" s="548"/>
      <c r="I43" s="457"/>
      <c r="J43" s="562"/>
      <c r="K43" s="177" t="s">
        <v>158</v>
      </c>
      <c r="L43" s="314">
        <v>0</v>
      </c>
      <c r="M43" s="284" t="s">
        <v>159</v>
      </c>
      <c r="N43" s="141">
        <v>0</v>
      </c>
      <c r="O43" s="248"/>
      <c r="P43" s="182"/>
      <c r="Q43" s="177"/>
      <c r="R43" s="142">
        <f t="shared" si="6"/>
        <v>100</v>
      </c>
      <c r="S43" s="255">
        <f t="shared" si="9"/>
        <v>0</v>
      </c>
      <c r="T43" s="182"/>
      <c r="U43" s="389">
        <v>10</v>
      </c>
      <c r="V43" s="335">
        <f t="shared" si="8"/>
        <v>100</v>
      </c>
      <c r="W43" s="392">
        <f t="shared" si="7"/>
        <v>0</v>
      </c>
      <c r="Y43" s="409">
        <f t="shared" si="1"/>
        <v>0</v>
      </c>
    </row>
    <row r="44" spans="1:25" s="13" customFormat="1" ht="14.25" hidden="1" customHeight="1">
      <c r="A44" s="466"/>
      <c r="B44" s="468"/>
      <c r="C44" s="557"/>
      <c r="D44" s="455"/>
      <c r="E44" s="458"/>
      <c r="F44" s="549"/>
      <c r="G44" s="458"/>
      <c r="H44" s="549"/>
      <c r="I44" s="458"/>
      <c r="J44" s="563"/>
      <c r="K44" s="177" t="s">
        <v>158</v>
      </c>
      <c r="L44" s="314">
        <v>0</v>
      </c>
      <c r="M44" s="284" t="s">
        <v>159</v>
      </c>
      <c r="N44" s="141">
        <v>0</v>
      </c>
      <c r="O44" s="248"/>
      <c r="P44" s="182"/>
      <c r="Q44" s="177"/>
      <c r="R44" s="142">
        <f t="shared" si="6"/>
        <v>100</v>
      </c>
      <c r="S44" s="255">
        <f t="shared" si="9"/>
        <v>0</v>
      </c>
      <c r="T44" s="182"/>
      <c r="U44" s="389">
        <v>10</v>
      </c>
      <c r="V44" s="335">
        <f t="shared" si="8"/>
        <v>100</v>
      </c>
      <c r="W44" s="392">
        <f t="shared" si="7"/>
        <v>0</v>
      </c>
      <c r="Y44" s="409">
        <f t="shared" si="1"/>
        <v>0</v>
      </c>
    </row>
    <row r="45" spans="1:25" s="13" customFormat="1" ht="14.25" hidden="1" customHeight="1">
      <c r="A45" s="466"/>
      <c r="B45" s="468"/>
      <c r="C45" s="557"/>
      <c r="D45" s="487"/>
      <c r="E45" s="456"/>
      <c r="F45" s="547"/>
      <c r="G45" s="456"/>
      <c r="H45" s="547"/>
      <c r="I45" s="456"/>
      <c r="J45" s="561"/>
      <c r="K45" s="177" t="s">
        <v>158</v>
      </c>
      <c r="L45" s="314">
        <v>0</v>
      </c>
      <c r="M45" s="284" t="s">
        <v>159</v>
      </c>
      <c r="N45" s="141"/>
      <c r="O45" s="248"/>
      <c r="P45" s="182"/>
      <c r="Q45" s="177"/>
      <c r="R45" s="142">
        <f t="shared" si="6"/>
        <v>100</v>
      </c>
      <c r="S45" s="255">
        <f t="shared" si="9"/>
        <v>0</v>
      </c>
      <c r="T45" s="182"/>
      <c r="U45" s="389">
        <v>10</v>
      </c>
      <c r="V45" s="335">
        <f t="shared" si="8"/>
        <v>100</v>
      </c>
      <c r="W45" s="392">
        <f t="shared" si="7"/>
        <v>0</v>
      </c>
      <c r="Y45" s="409">
        <f t="shared" si="1"/>
        <v>0</v>
      </c>
    </row>
    <row r="46" spans="1:25" s="13" customFormat="1" ht="14.25" hidden="1" customHeight="1">
      <c r="A46" s="466"/>
      <c r="B46" s="468"/>
      <c r="C46" s="557"/>
      <c r="D46" s="455"/>
      <c r="E46" s="458"/>
      <c r="F46" s="549"/>
      <c r="G46" s="458"/>
      <c r="H46" s="549"/>
      <c r="I46" s="458"/>
      <c r="J46" s="563"/>
      <c r="K46" s="177" t="s">
        <v>158</v>
      </c>
      <c r="L46" s="314">
        <v>0</v>
      </c>
      <c r="M46" s="284" t="s">
        <v>159</v>
      </c>
      <c r="N46" s="141"/>
      <c r="O46" s="248"/>
      <c r="P46" s="182"/>
      <c r="Q46" s="177"/>
      <c r="R46" s="142">
        <f t="shared" si="6"/>
        <v>100</v>
      </c>
      <c r="S46" s="255">
        <f t="shared" si="9"/>
        <v>0</v>
      </c>
      <c r="T46" s="182"/>
      <c r="U46" s="389">
        <v>10</v>
      </c>
      <c r="V46" s="335">
        <f t="shared" si="8"/>
        <v>100</v>
      </c>
      <c r="W46" s="392">
        <f t="shared" si="7"/>
        <v>0</v>
      </c>
      <c r="Y46" s="409">
        <f t="shared" si="1"/>
        <v>0</v>
      </c>
    </row>
    <row r="47" spans="1:25" s="13" customFormat="1" ht="14.25" hidden="1" customHeight="1">
      <c r="A47" s="466"/>
      <c r="B47" s="468"/>
      <c r="C47" s="557"/>
      <c r="D47" s="487"/>
      <c r="E47" s="456" t="s">
        <v>62</v>
      </c>
      <c r="F47" s="547" t="s">
        <v>63</v>
      </c>
      <c r="G47" s="456" t="s">
        <v>384</v>
      </c>
      <c r="H47" s="547" t="s">
        <v>262</v>
      </c>
      <c r="I47" s="456" t="s">
        <v>385</v>
      </c>
      <c r="J47" s="561" t="s">
        <v>262</v>
      </c>
      <c r="K47" s="177" t="s">
        <v>158</v>
      </c>
      <c r="L47" s="314">
        <v>0</v>
      </c>
      <c r="M47" s="284" t="s">
        <v>159</v>
      </c>
      <c r="N47" s="141">
        <v>1</v>
      </c>
      <c r="O47" s="248">
        <f>$A$9*$B$37*$C$39*$D$47*N47</f>
        <v>0</v>
      </c>
      <c r="P47" s="182"/>
      <c r="Q47" s="177"/>
      <c r="R47" s="142">
        <f t="shared" si="6"/>
        <v>100</v>
      </c>
      <c r="S47" s="255">
        <f t="shared" si="9"/>
        <v>0</v>
      </c>
      <c r="T47" s="182"/>
      <c r="U47" s="389">
        <v>10</v>
      </c>
      <c r="V47" s="335">
        <f t="shared" si="8"/>
        <v>100</v>
      </c>
      <c r="W47" s="392">
        <f t="shared" si="7"/>
        <v>0</v>
      </c>
      <c r="Y47" s="409">
        <f t="shared" si="1"/>
        <v>0</v>
      </c>
    </row>
    <row r="48" spans="1:25" s="13" customFormat="1" ht="14.25" hidden="1" customHeight="1">
      <c r="A48" s="466"/>
      <c r="B48" s="468"/>
      <c r="C48" s="557"/>
      <c r="D48" s="454"/>
      <c r="E48" s="457"/>
      <c r="F48" s="548"/>
      <c r="G48" s="457"/>
      <c r="H48" s="548"/>
      <c r="I48" s="457"/>
      <c r="J48" s="562"/>
      <c r="K48" s="177" t="s">
        <v>158</v>
      </c>
      <c r="L48" s="314">
        <v>0</v>
      </c>
      <c r="M48" s="284" t="s">
        <v>159</v>
      </c>
      <c r="N48" s="141">
        <v>0</v>
      </c>
      <c r="O48" s="248">
        <f>$A$9*$B$37*$C$39*$D$47*J48*N48</f>
        <v>0</v>
      </c>
      <c r="P48" s="182"/>
      <c r="Q48" s="177"/>
      <c r="R48" s="142">
        <f t="shared" si="6"/>
        <v>100</v>
      </c>
      <c r="S48" s="255">
        <f t="shared" si="9"/>
        <v>0</v>
      </c>
      <c r="T48" s="182"/>
      <c r="U48" s="389">
        <v>10</v>
      </c>
      <c r="V48" s="335">
        <f t="shared" si="8"/>
        <v>100</v>
      </c>
      <c r="W48" s="392">
        <f t="shared" si="7"/>
        <v>0</v>
      </c>
      <c r="Y48" s="409">
        <f t="shared" si="1"/>
        <v>0</v>
      </c>
    </row>
    <row r="49" spans="1:25" s="13" customFormat="1" ht="14.25" hidden="1" customHeight="1">
      <c r="A49" s="466"/>
      <c r="B49" s="468"/>
      <c r="C49" s="557"/>
      <c r="D49" s="455"/>
      <c r="E49" s="458"/>
      <c r="F49" s="549"/>
      <c r="G49" s="458"/>
      <c r="H49" s="549"/>
      <c r="I49" s="458"/>
      <c r="J49" s="563"/>
      <c r="K49" s="177" t="s">
        <v>158</v>
      </c>
      <c r="L49" s="314">
        <v>0</v>
      </c>
      <c r="M49" s="284" t="s">
        <v>159</v>
      </c>
      <c r="N49" s="141">
        <v>0</v>
      </c>
      <c r="O49" s="248">
        <f>$A$9*$B$37*$C$39*$D$47*J49*N49</f>
        <v>0</v>
      </c>
      <c r="P49" s="182"/>
      <c r="Q49" s="177"/>
      <c r="R49" s="142">
        <f t="shared" si="6"/>
        <v>100</v>
      </c>
      <c r="S49" s="255">
        <f t="shared" si="9"/>
        <v>0</v>
      </c>
      <c r="T49" s="182"/>
      <c r="U49" s="389">
        <v>10</v>
      </c>
      <c r="V49" s="335">
        <f t="shared" si="8"/>
        <v>100</v>
      </c>
      <c r="W49" s="392">
        <f t="shared" si="7"/>
        <v>0</v>
      </c>
      <c r="Y49" s="409">
        <f t="shared" si="1"/>
        <v>0</v>
      </c>
    </row>
    <row r="50" spans="1:25" s="13" customFormat="1" ht="14.25" hidden="1" customHeight="1">
      <c r="A50" s="466"/>
      <c r="B50" s="468"/>
      <c r="C50" s="557"/>
      <c r="D50" s="487"/>
      <c r="E50" s="456" t="s">
        <v>64</v>
      </c>
      <c r="F50" s="547" t="s">
        <v>65</v>
      </c>
      <c r="G50" s="456" t="s">
        <v>386</v>
      </c>
      <c r="H50" s="547" t="s">
        <v>263</v>
      </c>
      <c r="I50" s="456" t="s">
        <v>387</v>
      </c>
      <c r="J50" s="561" t="s">
        <v>263</v>
      </c>
      <c r="K50" s="177" t="s">
        <v>158</v>
      </c>
      <c r="L50" s="314">
        <v>0</v>
      </c>
      <c r="M50" s="284" t="s">
        <v>159</v>
      </c>
      <c r="N50" s="141">
        <v>1</v>
      </c>
      <c r="O50" s="248">
        <f>$A$9*$B$37*$C$39*$D$50*N50</f>
        <v>0</v>
      </c>
      <c r="P50" s="182"/>
      <c r="Q50" s="177"/>
      <c r="R50" s="142">
        <f t="shared" si="6"/>
        <v>100</v>
      </c>
      <c r="S50" s="255">
        <f t="shared" si="9"/>
        <v>0</v>
      </c>
      <c r="T50" s="182"/>
      <c r="U50" s="389">
        <v>10</v>
      </c>
      <c r="V50" s="335">
        <f t="shared" si="8"/>
        <v>100</v>
      </c>
      <c r="W50" s="392">
        <f t="shared" si="7"/>
        <v>0</v>
      </c>
      <c r="Y50" s="409">
        <f t="shared" si="1"/>
        <v>0</v>
      </c>
    </row>
    <row r="51" spans="1:25" s="13" customFormat="1" ht="14.25" hidden="1" customHeight="1">
      <c r="A51" s="466"/>
      <c r="B51" s="468"/>
      <c r="C51" s="557"/>
      <c r="D51" s="454"/>
      <c r="E51" s="457"/>
      <c r="F51" s="548"/>
      <c r="G51" s="457"/>
      <c r="H51" s="548"/>
      <c r="I51" s="457"/>
      <c r="J51" s="562"/>
      <c r="K51" s="177" t="s">
        <v>158</v>
      </c>
      <c r="L51" s="314">
        <v>0</v>
      </c>
      <c r="M51" s="284" t="s">
        <v>159</v>
      </c>
      <c r="N51" s="141">
        <v>0</v>
      </c>
      <c r="O51" s="248">
        <f>$A$9*$B$37*$C$39*$D$50*J51*N51</f>
        <v>0</v>
      </c>
      <c r="P51" s="182"/>
      <c r="Q51" s="177"/>
      <c r="R51" s="142">
        <f t="shared" si="6"/>
        <v>100</v>
      </c>
      <c r="S51" s="255">
        <f t="shared" si="9"/>
        <v>0</v>
      </c>
      <c r="T51" s="182"/>
      <c r="U51" s="389">
        <v>10</v>
      </c>
      <c r="V51" s="335">
        <f t="shared" si="8"/>
        <v>100</v>
      </c>
      <c r="W51" s="392">
        <f t="shared" si="7"/>
        <v>0</v>
      </c>
      <c r="Y51" s="409">
        <f t="shared" si="1"/>
        <v>0</v>
      </c>
    </row>
    <row r="52" spans="1:25" s="13" customFormat="1" ht="14.25" hidden="1" customHeight="1">
      <c r="A52" s="466"/>
      <c r="B52" s="468"/>
      <c r="C52" s="557"/>
      <c r="D52" s="455"/>
      <c r="E52" s="458"/>
      <c r="F52" s="549"/>
      <c r="G52" s="458"/>
      <c r="H52" s="549"/>
      <c r="I52" s="458"/>
      <c r="J52" s="563"/>
      <c r="K52" s="177" t="s">
        <v>158</v>
      </c>
      <c r="L52" s="314">
        <v>0</v>
      </c>
      <c r="M52" s="284" t="s">
        <v>159</v>
      </c>
      <c r="N52" s="141">
        <v>0</v>
      </c>
      <c r="O52" s="248">
        <f>$A$9*$B$37*$C$39*$D$50*J52*N52</f>
        <v>0</v>
      </c>
      <c r="P52" s="182"/>
      <c r="Q52" s="177"/>
      <c r="R52" s="142">
        <f t="shared" si="6"/>
        <v>100</v>
      </c>
      <c r="S52" s="255">
        <f t="shared" si="9"/>
        <v>0</v>
      </c>
      <c r="T52" s="182"/>
      <c r="U52" s="389">
        <v>10</v>
      </c>
      <c r="V52" s="335">
        <f t="shared" si="8"/>
        <v>100</v>
      </c>
      <c r="W52" s="392">
        <f t="shared" si="7"/>
        <v>0</v>
      </c>
      <c r="Y52" s="409">
        <f t="shared" si="1"/>
        <v>0</v>
      </c>
    </row>
    <row r="53" spans="1:25" s="13" customFormat="1" ht="45" customHeight="1">
      <c r="A53" s="466"/>
      <c r="B53" s="468"/>
      <c r="C53" s="557"/>
      <c r="D53" s="487">
        <v>0.5</v>
      </c>
      <c r="E53" s="456" t="s">
        <v>93</v>
      </c>
      <c r="F53" s="547" t="s">
        <v>94</v>
      </c>
      <c r="G53" s="456" t="s">
        <v>388</v>
      </c>
      <c r="H53" s="547" t="s">
        <v>234</v>
      </c>
      <c r="I53" s="456" t="s">
        <v>389</v>
      </c>
      <c r="J53" s="561" t="s">
        <v>264</v>
      </c>
      <c r="K53" s="177" t="s">
        <v>158</v>
      </c>
      <c r="L53" s="314">
        <v>0</v>
      </c>
      <c r="M53" s="177" t="s">
        <v>159</v>
      </c>
      <c r="N53" s="141">
        <v>1</v>
      </c>
      <c r="O53" s="248">
        <f>$A$9*$B$37*$C$39*$D$53*N53</f>
        <v>2.0570000000000001E-2</v>
      </c>
      <c r="P53" s="182">
        <v>0</v>
      </c>
      <c r="Q53" s="177"/>
      <c r="R53" s="142">
        <v>100</v>
      </c>
      <c r="S53" s="255">
        <f t="shared" si="9"/>
        <v>2.0569999999999999</v>
      </c>
      <c r="T53" s="182">
        <v>0</v>
      </c>
      <c r="U53" s="389">
        <v>10</v>
      </c>
      <c r="V53" s="335">
        <f t="shared" si="8"/>
        <v>100</v>
      </c>
      <c r="W53" s="392">
        <f t="shared" si="7"/>
        <v>2.0569999999999999</v>
      </c>
      <c r="Y53" s="409">
        <f t="shared" si="1"/>
        <v>0</v>
      </c>
    </row>
    <row r="54" spans="1:25" s="13" customFormat="1" ht="14.25" hidden="1" customHeight="1">
      <c r="A54" s="466"/>
      <c r="B54" s="468"/>
      <c r="C54" s="474"/>
      <c r="D54" s="455"/>
      <c r="E54" s="458"/>
      <c r="F54" s="549"/>
      <c r="G54" s="458"/>
      <c r="H54" s="549"/>
      <c r="I54" s="458"/>
      <c r="J54" s="563"/>
      <c r="K54" s="177" t="s">
        <v>158</v>
      </c>
      <c r="L54" s="314">
        <v>0</v>
      </c>
      <c r="M54" s="177" t="s">
        <v>171</v>
      </c>
      <c r="N54" s="141">
        <v>0</v>
      </c>
      <c r="O54" s="248"/>
      <c r="P54" s="182"/>
      <c r="Q54" s="79"/>
      <c r="R54" s="142">
        <f>100-(P54-L54)*10</f>
        <v>100</v>
      </c>
      <c r="S54" s="255">
        <f t="shared" si="9"/>
        <v>0</v>
      </c>
      <c r="T54" s="182"/>
      <c r="U54" s="20"/>
      <c r="V54" s="19"/>
      <c r="W54" s="399"/>
      <c r="Y54" s="409">
        <f t="shared" si="1"/>
        <v>0</v>
      </c>
    </row>
    <row r="55" spans="1:25" s="13" customFormat="1" ht="24" customHeight="1">
      <c r="A55" s="466"/>
      <c r="B55" s="468"/>
      <c r="C55" s="473">
        <v>0.09</v>
      </c>
      <c r="D55" s="138"/>
      <c r="E55" s="154" t="s">
        <v>208</v>
      </c>
      <c r="F55" s="558" t="s">
        <v>66</v>
      </c>
      <c r="G55" s="559"/>
      <c r="H55" s="559"/>
      <c r="I55" s="559"/>
      <c r="J55" s="559"/>
      <c r="K55" s="559"/>
      <c r="L55" s="559"/>
      <c r="M55" s="560"/>
      <c r="N55" s="168"/>
      <c r="O55" s="249"/>
      <c r="P55" s="174"/>
      <c r="Q55" s="174"/>
      <c r="R55" s="174"/>
      <c r="S55" s="256"/>
      <c r="T55" s="174"/>
      <c r="U55" s="176"/>
      <c r="V55" s="170"/>
      <c r="W55" s="400"/>
      <c r="Y55" s="409">
        <f t="shared" si="1"/>
        <v>0</v>
      </c>
    </row>
    <row r="56" spans="1:25" s="13" customFormat="1" ht="54.75" customHeight="1">
      <c r="A56" s="466"/>
      <c r="B56" s="468"/>
      <c r="C56" s="557"/>
      <c r="D56" s="213">
        <v>0.5</v>
      </c>
      <c r="E56" s="86" t="s">
        <v>95</v>
      </c>
      <c r="F56" s="87" t="s">
        <v>96</v>
      </c>
      <c r="G56" s="245" t="s">
        <v>390</v>
      </c>
      <c r="H56" s="87" t="s">
        <v>235</v>
      </c>
      <c r="I56" s="245" t="s">
        <v>391</v>
      </c>
      <c r="J56" s="124" t="s">
        <v>279</v>
      </c>
      <c r="K56" s="177" t="s">
        <v>158</v>
      </c>
      <c r="L56" s="314">
        <v>0</v>
      </c>
      <c r="M56" s="339" t="s">
        <v>159</v>
      </c>
      <c r="N56" s="141">
        <v>1</v>
      </c>
      <c r="O56" s="248">
        <f>$A$9*$B$37*$C$55*$D$56*N56</f>
        <v>1.6829999999999998E-2</v>
      </c>
      <c r="P56" s="182">
        <v>0</v>
      </c>
      <c r="Q56" s="177"/>
      <c r="R56" s="142">
        <v>100</v>
      </c>
      <c r="S56" s="255">
        <f t="shared" si="9"/>
        <v>1.6829999999999998</v>
      </c>
      <c r="T56" s="182">
        <v>0</v>
      </c>
      <c r="U56" s="389">
        <v>10</v>
      </c>
      <c r="V56" s="335">
        <f t="shared" ref="V56:V57" si="10">100-U56*T56</f>
        <v>100</v>
      </c>
      <c r="W56" s="392">
        <f t="shared" ref="W56:W58" si="11">V56*O56</f>
        <v>1.6829999999999998</v>
      </c>
      <c r="Y56" s="409">
        <f t="shared" si="1"/>
        <v>0</v>
      </c>
    </row>
    <row r="57" spans="1:25" s="13" customFormat="1" ht="55.5" customHeight="1">
      <c r="A57" s="466"/>
      <c r="B57" s="468"/>
      <c r="C57" s="557"/>
      <c r="D57" s="213">
        <v>0.5</v>
      </c>
      <c r="E57" s="86" t="s">
        <v>97</v>
      </c>
      <c r="F57" s="87" t="s">
        <v>98</v>
      </c>
      <c r="G57" s="245" t="s">
        <v>392</v>
      </c>
      <c r="H57" s="87" t="s">
        <v>236</v>
      </c>
      <c r="I57" s="245" t="s">
        <v>393</v>
      </c>
      <c r="J57" s="124" t="s">
        <v>280</v>
      </c>
      <c r="K57" s="177" t="s">
        <v>158</v>
      </c>
      <c r="L57" s="314">
        <v>0</v>
      </c>
      <c r="M57" s="339" t="s">
        <v>159</v>
      </c>
      <c r="N57" s="141">
        <v>1</v>
      </c>
      <c r="O57" s="248">
        <f>$A$9*$B$37*$C$55*$D$57*N57</f>
        <v>1.6829999999999998E-2</v>
      </c>
      <c r="P57" s="182">
        <v>0</v>
      </c>
      <c r="Q57" s="177"/>
      <c r="R57" s="142">
        <v>100</v>
      </c>
      <c r="S57" s="255">
        <f t="shared" si="9"/>
        <v>1.6829999999999998</v>
      </c>
      <c r="T57" s="182">
        <v>0</v>
      </c>
      <c r="U57" s="389">
        <v>10</v>
      </c>
      <c r="V57" s="335">
        <f t="shared" si="10"/>
        <v>100</v>
      </c>
      <c r="W57" s="392">
        <f t="shared" si="11"/>
        <v>1.6829999999999998</v>
      </c>
      <c r="Y57" s="409">
        <f t="shared" si="1"/>
        <v>0</v>
      </c>
    </row>
    <row r="58" spans="1:25" s="13" customFormat="1" ht="52.7" hidden="1" customHeight="1">
      <c r="A58" s="466"/>
      <c r="B58" s="468"/>
      <c r="C58" s="474"/>
      <c r="D58" s="213">
        <v>0</v>
      </c>
      <c r="E58" s="210" t="s">
        <v>99</v>
      </c>
      <c r="F58" s="209" t="s">
        <v>100</v>
      </c>
      <c r="G58" s="246" t="s">
        <v>394</v>
      </c>
      <c r="H58" s="209" t="s">
        <v>248</v>
      </c>
      <c r="I58" s="246" t="s">
        <v>395</v>
      </c>
      <c r="J58" s="226" t="s">
        <v>248</v>
      </c>
      <c r="K58" s="288" t="s">
        <v>158</v>
      </c>
      <c r="L58" s="316">
        <v>0</v>
      </c>
      <c r="M58" s="177" t="s">
        <v>159</v>
      </c>
      <c r="N58" s="141">
        <v>1</v>
      </c>
      <c r="O58" s="248">
        <f>$A$9*$B$37*$C$55*$D$58*N58</f>
        <v>0</v>
      </c>
      <c r="P58" s="306">
        <v>0</v>
      </c>
      <c r="Q58" s="177"/>
      <c r="R58" s="142">
        <v>100</v>
      </c>
      <c r="S58" s="255">
        <f t="shared" si="9"/>
        <v>0</v>
      </c>
      <c r="T58" s="306">
        <v>0</v>
      </c>
      <c r="U58" s="389">
        <v>10</v>
      </c>
      <c r="V58" s="335">
        <f>100-U58*T58</f>
        <v>100</v>
      </c>
      <c r="W58" s="392">
        <f t="shared" si="11"/>
        <v>0</v>
      </c>
      <c r="Y58" s="409">
        <f t="shared" si="1"/>
        <v>0</v>
      </c>
    </row>
    <row r="59" spans="1:25" s="30" customFormat="1" ht="24" customHeight="1">
      <c r="A59" s="466"/>
      <c r="B59" s="468"/>
      <c r="C59" s="473">
        <v>0.12</v>
      </c>
      <c r="D59" s="178"/>
      <c r="E59" s="154" t="s">
        <v>209</v>
      </c>
      <c r="F59" s="564" t="s">
        <v>67</v>
      </c>
      <c r="G59" s="565"/>
      <c r="H59" s="565"/>
      <c r="I59" s="565"/>
      <c r="J59" s="565"/>
      <c r="K59" s="565"/>
      <c r="L59" s="565"/>
      <c r="M59" s="566"/>
      <c r="N59" s="168"/>
      <c r="O59" s="249"/>
      <c r="P59" s="89"/>
      <c r="Q59" s="89"/>
      <c r="R59" s="89"/>
      <c r="S59" s="256"/>
      <c r="T59" s="89"/>
      <c r="U59" s="179"/>
      <c r="V59" s="180"/>
      <c r="W59" s="401"/>
      <c r="Y59" s="409">
        <f t="shared" si="1"/>
        <v>0</v>
      </c>
    </row>
    <row r="60" spans="1:25" s="13" customFormat="1" ht="32.25" customHeight="1">
      <c r="A60" s="466"/>
      <c r="B60" s="468"/>
      <c r="C60" s="557"/>
      <c r="D60" s="487">
        <v>0.2</v>
      </c>
      <c r="E60" s="456" t="s">
        <v>101</v>
      </c>
      <c r="F60" s="547" t="s">
        <v>102</v>
      </c>
      <c r="G60" s="456" t="s">
        <v>396</v>
      </c>
      <c r="H60" s="547" t="s">
        <v>102</v>
      </c>
      <c r="I60" s="456" t="s">
        <v>397</v>
      </c>
      <c r="J60" s="459" t="s">
        <v>265</v>
      </c>
      <c r="K60" s="177" t="s">
        <v>158</v>
      </c>
      <c r="L60" s="314">
        <v>0</v>
      </c>
      <c r="M60" s="106" t="s">
        <v>267</v>
      </c>
      <c r="N60" s="141">
        <v>1</v>
      </c>
      <c r="O60" s="248">
        <f>$A$9*$B$37*$C$59*$D$60*N60</f>
        <v>8.9759999999999996E-3</v>
      </c>
      <c r="P60" s="182">
        <v>0</v>
      </c>
      <c r="Q60" s="177"/>
      <c r="R60" s="142">
        <v>100</v>
      </c>
      <c r="S60" s="255">
        <f t="shared" si="9"/>
        <v>0.89759999999999995</v>
      </c>
      <c r="T60" s="182">
        <v>0</v>
      </c>
      <c r="U60" s="389">
        <v>10</v>
      </c>
      <c r="V60" s="335">
        <f t="shared" ref="V60:V74" si="12">100-U60*T60</f>
        <v>100</v>
      </c>
      <c r="W60" s="392">
        <f t="shared" ref="W60:W74" si="13">V60*O60</f>
        <v>0.89759999999999995</v>
      </c>
      <c r="Y60" s="409">
        <f t="shared" si="1"/>
        <v>0</v>
      </c>
    </row>
    <row r="61" spans="1:25" s="13" customFormat="1" ht="14.25" hidden="1" customHeight="1">
      <c r="A61" s="466"/>
      <c r="B61" s="468"/>
      <c r="C61" s="557"/>
      <c r="D61" s="454"/>
      <c r="E61" s="457"/>
      <c r="F61" s="548"/>
      <c r="G61" s="457"/>
      <c r="H61" s="548"/>
      <c r="I61" s="457"/>
      <c r="J61" s="460"/>
      <c r="K61" s="177" t="s">
        <v>158</v>
      </c>
      <c r="L61" s="314">
        <v>0</v>
      </c>
      <c r="M61" s="106" t="s">
        <v>267</v>
      </c>
      <c r="N61" s="141">
        <v>0</v>
      </c>
      <c r="O61" s="248">
        <f>$A$9*$B$37*$C$59*$D$60*J61*N61</f>
        <v>0</v>
      </c>
      <c r="P61" s="182"/>
      <c r="Q61" s="177"/>
      <c r="R61" s="142">
        <f t="shared" ref="R61:R73" si="14">100-(P61-L61)*Q61</f>
        <v>100</v>
      </c>
      <c r="S61" s="255">
        <f t="shared" si="9"/>
        <v>0</v>
      </c>
      <c r="T61" s="182"/>
      <c r="U61" s="389">
        <v>10</v>
      </c>
      <c r="V61" s="335">
        <f t="shared" si="12"/>
        <v>100</v>
      </c>
      <c r="W61" s="392">
        <f t="shared" si="13"/>
        <v>0</v>
      </c>
      <c r="Y61" s="409">
        <f t="shared" si="1"/>
        <v>0</v>
      </c>
    </row>
    <row r="62" spans="1:25" s="13" customFormat="1" ht="14.25" hidden="1" customHeight="1">
      <c r="A62" s="466"/>
      <c r="B62" s="468"/>
      <c r="C62" s="557"/>
      <c r="D62" s="454"/>
      <c r="E62" s="457"/>
      <c r="F62" s="548"/>
      <c r="G62" s="457"/>
      <c r="H62" s="548"/>
      <c r="I62" s="457"/>
      <c r="J62" s="460"/>
      <c r="K62" s="177" t="s">
        <v>158</v>
      </c>
      <c r="L62" s="314">
        <v>0</v>
      </c>
      <c r="M62" s="106" t="s">
        <v>267</v>
      </c>
      <c r="N62" s="141">
        <v>0</v>
      </c>
      <c r="O62" s="248">
        <f>$A$9*$B$37*$C$59*$D$60*J62*N62</f>
        <v>0</v>
      </c>
      <c r="P62" s="182"/>
      <c r="Q62" s="177"/>
      <c r="R62" s="142">
        <f t="shared" si="14"/>
        <v>100</v>
      </c>
      <c r="S62" s="255">
        <f t="shared" si="9"/>
        <v>0</v>
      </c>
      <c r="T62" s="182"/>
      <c r="U62" s="389">
        <v>10</v>
      </c>
      <c r="V62" s="335">
        <f t="shared" si="12"/>
        <v>100</v>
      </c>
      <c r="W62" s="392">
        <f t="shared" si="13"/>
        <v>0</v>
      </c>
      <c r="Y62" s="409">
        <f t="shared" si="1"/>
        <v>0</v>
      </c>
    </row>
    <row r="63" spans="1:25" s="13" customFormat="1" ht="14.25" hidden="1" customHeight="1">
      <c r="A63" s="466"/>
      <c r="B63" s="468"/>
      <c r="C63" s="557"/>
      <c r="D63" s="455"/>
      <c r="E63" s="458"/>
      <c r="F63" s="549"/>
      <c r="G63" s="458"/>
      <c r="H63" s="549"/>
      <c r="I63" s="458"/>
      <c r="J63" s="461"/>
      <c r="K63" s="177" t="s">
        <v>158</v>
      </c>
      <c r="L63" s="314">
        <v>0</v>
      </c>
      <c r="M63" s="106" t="s">
        <v>267</v>
      </c>
      <c r="N63" s="141">
        <v>0</v>
      </c>
      <c r="O63" s="248">
        <f>$A$9*$B$37*$C$59*$D$60*J63*N63</f>
        <v>0</v>
      </c>
      <c r="P63" s="182"/>
      <c r="Q63" s="177"/>
      <c r="R63" s="142">
        <f t="shared" si="14"/>
        <v>100</v>
      </c>
      <c r="S63" s="255">
        <f t="shared" si="9"/>
        <v>0</v>
      </c>
      <c r="T63" s="182"/>
      <c r="U63" s="389">
        <v>10</v>
      </c>
      <c r="V63" s="335">
        <f t="shared" si="12"/>
        <v>100</v>
      </c>
      <c r="W63" s="392">
        <f t="shared" si="13"/>
        <v>0</v>
      </c>
      <c r="Y63" s="409">
        <f t="shared" si="1"/>
        <v>0</v>
      </c>
    </row>
    <row r="64" spans="1:25" s="13" customFormat="1" ht="33" customHeight="1">
      <c r="A64" s="466"/>
      <c r="B64" s="468"/>
      <c r="C64" s="557"/>
      <c r="D64" s="487">
        <v>0.2</v>
      </c>
      <c r="E64" s="456" t="s">
        <v>103</v>
      </c>
      <c r="F64" s="547" t="s">
        <v>104</v>
      </c>
      <c r="G64" s="456" t="s">
        <v>398</v>
      </c>
      <c r="H64" s="547" t="s">
        <v>104</v>
      </c>
      <c r="I64" s="456" t="s">
        <v>399</v>
      </c>
      <c r="J64" s="459" t="s">
        <v>266</v>
      </c>
      <c r="K64" s="177" t="s">
        <v>158</v>
      </c>
      <c r="L64" s="314">
        <v>0</v>
      </c>
      <c r="M64" s="106" t="s">
        <v>267</v>
      </c>
      <c r="N64" s="141">
        <v>1</v>
      </c>
      <c r="O64" s="248">
        <f>$A$9*$B$37*$C$59*$D$64*N64</f>
        <v>8.9759999999999996E-3</v>
      </c>
      <c r="P64" s="182">
        <v>1</v>
      </c>
      <c r="Q64" s="177">
        <v>10</v>
      </c>
      <c r="R64" s="142">
        <f>100-P64*Q64</f>
        <v>90</v>
      </c>
      <c r="S64" s="255">
        <f t="shared" si="9"/>
        <v>0.80784</v>
      </c>
      <c r="T64" s="182">
        <v>0</v>
      </c>
      <c r="U64" s="389">
        <v>10</v>
      </c>
      <c r="V64" s="335">
        <f t="shared" si="12"/>
        <v>100</v>
      </c>
      <c r="W64" s="392">
        <f t="shared" si="13"/>
        <v>0.89759999999999995</v>
      </c>
      <c r="Y64" s="409">
        <f t="shared" si="1"/>
        <v>8.9759999999999951E-2</v>
      </c>
    </row>
    <row r="65" spans="1:25" s="13" customFormat="1" ht="14.25" hidden="1" customHeight="1">
      <c r="A65" s="466"/>
      <c r="B65" s="468"/>
      <c r="C65" s="557"/>
      <c r="D65" s="454"/>
      <c r="E65" s="457"/>
      <c r="F65" s="548"/>
      <c r="G65" s="457"/>
      <c r="H65" s="548"/>
      <c r="I65" s="457"/>
      <c r="J65" s="460"/>
      <c r="K65" s="177" t="s">
        <v>158</v>
      </c>
      <c r="L65" s="314">
        <v>0</v>
      </c>
      <c r="M65" s="106" t="s">
        <v>267</v>
      </c>
      <c r="N65" s="141">
        <v>0</v>
      </c>
      <c r="O65" s="248">
        <f>$A$9*$B$37*$C$59*$D$64*J65*N65</f>
        <v>0</v>
      </c>
      <c r="P65" s="182"/>
      <c r="Q65" s="177"/>
      <c r="R65" s="142">
        <f t="shared" si="14"/>
        <v>100</v>
      </c>
      <c r="S65" s="255">
        <f t="shared" si="9"/>
        <v>0</v>
      </c>
      <c r="T65" s="182"/>
      <c r="U65" s="389">
        <v>10</v>
      </c>
      <c r="V65" s="335">
        <f t="shared" si="12"/>
        <v>100</v>
      </c>
      <c r="W65" s="392">
        <f t="shared" si="13"/>
        <v>0</v>
      </c>
      <c r="Y65" s="409">
        <f t="shared" si="1"/>
        <v>0</v>
      </c>
    </row>
    <row r="66" spans="1:25" s="13" customFormat="1" ht="14.25" hidden="1" customHeight="1">
      <c r="A66" s="466"/>
      <c r="B66" s="468"/>
      <c r="C66" s="557"/>
      <c r="D66" s="454"/>
      <c r="E66" s="457"/>
      <c r="F66" s="548"/>
      <c r="G66" s="457"/>
      <c r="H66" s="548"/>
      <c r="I66" s="457"/>
      <c r="J66" s="460"/>
      <c r="K66" s="177" t="s">
        <v>158</v>
      </c>
      <c r="L66" s="314">
        <v>0</v>
      </c>
      <c r="M66" s="106" t="s">
        <v>267</v>
      </c>
      <c r="N66" s="141">
        <v>0</v>
      </c>
      <c r="O66" s="248">
        <f>$A$9*$B$37*$C$59*$D$64*J66*N66</f>
        <v>0</v>
      </c>
      <c r="P66" s="182"/>
      <c r="Q66" s="177"/>
      <c r="R66" s="142">
        <f t="shared" si="14"/>
        <v>100</v>
      </c>
      <c r="S66" s="255">
        <f t="shared" si="9"/>
        <v>0</v>
      </c>
      <c r="T66" s="182"/>
      <c r="U66" s="389">
        <v>10</v>
      </c>
      <c r="V66" s="335">
        <f t="shared" si="12"/>
        <v>100</v>
      </c>
      <c r="W66" s="392">
        <f t="shared" si="13"/>
        <v>0</v>
      </c>
      <c r="Y66" s="409">
        <f t="shared" si="1"/>
        <v>0</v>
      </c>
    </row>
    <row r="67" spans="1:25" s="13" customFormat="1" ht="14.25" hidden="1" customHeight="1">
      <c r="A67" s="466"/>
      <c r="B67" s="468"/>
      <c r="C67" s="557"/>
      <c r="D67" s="455"/>
      <c r="E67" s="458"/>
      <c r="F67" s="549"/>
      <c r="G67" s="458"/>
      <c r="H67" s="549"/>
      <c r="I67" s="458"/>
      <c r="J67" s="461"/>
      <c r="K67" s="177" t="s">
        <v>158</v>
      </c>
      <c r="L67" s="314">
        <v>0</v>
      </c>
      <c r="M67" s="106" t="s">
        <v>267</v>
      </c>
      <c r="N67" s="141">
        <v>0</v>
      </c>
      <c r="O67" s="248">
        <f>$A$9*$B$37*$C$59*$D$64*J67*N67</f>
        <v>0</v>
      </c>
      <c r="P67" s="182"/>
      <c r="Q67" s="177"/>
      <c r="R67" s="142">
        <f t="shared" si="14"/>
        <v>100</v>
      </c>
      <c r="S67" s="255">
        <f t="shared" si="9"/>
        <v>0</v>
      </c>
      <c r="T67" s="182"/>
      <c r="U67" s="389">
        <v>10</v>
      </c>
      <c r="V67" s="335">
        <f t="shared" si="12"/>
        <v>100</v>
      </c>
      <c r="W67" s="392">
        <f t="shared" si="13"/>
        <v>0</v>
      </c>
      <c r="Y67" s="409">
        <f t="shared" si="1"/>
        <v>0</v>
      </c>
    </row>
    <row r="68" spans="1:25" s="13" customFormat="1" ht="60" customHeight="1">
      <c r="A68" s="466"/>
      <c r="B68" s="468"/>
      <c r="C68" s="557"/>
      <c r="D68" s="487">
        <v>0.2</v>
      </c>
      <c r="E68" s="456" t="s">
        <v>105</v>
      </c>
      <c r="F68" s="547" t="s">
        <v>106</v>
      </c>
      <c r="G68" s="456" t="s">
        <v>400</v>
      </c>
      <c r="H68" s="547" t="s">
        <v>106</v>
      </c>
      <c r="I68" s="456" t="s">
        <v>401</v>
      </c>
      <c r="J68" s="459" t="s">
        <v>268</v>
      </c>
      <c r="K68" s="177" t="s">
        <v>158</v>
      </c>
      <c r="L68" s="314">
        <v>0</v>
      </c>
      <c r="M68" s="106" t="s">
        <v>267</v>
      </c>
      <c r="N68" s="141">
        <v>1</v>
      </c>
      <c r="O68" s="248">
        <f>$A$9*$B$37*$C$59*$D$68*N68</f>
        <v>8.9759999999999996E-3</v>
      </c>
      <c r="P68" s="182">
        <v>0</v>
      </c>
      <c r="Q68" s="177">
        <v>10</v>
      </c>
      <c r="R68" s="335">
        <f>100-(X68-3)*10</f>
        <v>99.7</v>
      </c>
      <c r="S68" s="255">
        <f t="shared" si="9"/>
        <v>0.89490720000000001</v>
      </c>
      <c r="T68" s="182">
        <v>0</v>
      </c>
      <c r="U68" s="389">
        <v>10</v>
      </c>
      <c r="V68" s="335">
        <f>100-(X68-3)*10</f>
        <v>99.7</v>
      </c>
      <c r="W68" s="392">
        <f t="shared" si="13"/>
        <v>0.89490720000000001</v>
      </c>
      <c r="X68" s="13">
        <v>3.03</v>
      </c>
      <c r="Y68" s="409">
        <f t="shared" si="1"/>
        <v>0</v>
      </c>
    </row>
    <row r="69" spans="1:25" s="13" customFormat="1" ht="14.25" hidden="1" customHeight="1">
      <c r="A69" s="466"/>
      <c r="B69" s="468"/>
      <c r="C69" s="557"/>
      <c r="D69" s="454"/>
      <c r="E69" s="457"/>
      <c r="F69" s="548"/>
      <c r="G69" s="457"/>
      <c r="H69" s="548"/>
      <c r="I69" s="457"/>
      <c r="J69" s="460"/>
      <c r="K69" s="79" t="s">
        <v>158</v>
      </c>
      <c r="L69" s="314">
        <v>0</v>
      </c>
      <c r="M69" s="106" t="s">
        <v>267</v>
      </c>
      <c r="N69" s="141">
        <v>0</v>
      </c>
      <c r="O69" s="248">
        <f>$A$9*$B$37*$C$59*$D$68*J69*N69</f>
        <v>0</v>
      </c>
      <c r="P69" s="182"/>
      <c r="Q69" s="177"/>
      <c r="R69" s="142">
        <f t="shared" si="14"/>
        <v>100</v>
      </c>
      <c r="S69" s="255">
        <f t="shared" si="9"/>
        <v>0</v>
      </c>
      <c r="T69" s="182"/>
      <c r="U69" s="389">
        <v>10</v>
      </c>
      <c r="V69" s="335">
        <f t="shared" si="12"/>
        <v>100</v>
      </c>
      <c r="W69" s="392">
        <f t="shared" si="13"/>
        <v>0</v>
      </c>
      <c r="Y69" s="409">
        <f t="shared" si="1"/>
        <v>0</v>
      </c>
    </row>
    <row r="70" spans="1:25" s="13" customFormat="1" ht="14.25" hidden="1" customHeight="1">
      <c r="A70" s="466"/>
      <c r="B70" s="468"/>
      <c r="C70" s="557"/>
      <c r="D70" s="455"/>
      <c r="E70" s="458"/>
      <c r="F70" s="549"/>
      <c r="G70" s="458"/>
      <c r="H70" s="549"/>
      <c r="I70" s="458"/>
      <c r="J70" s="461"/>
      <c r="K70" s="79" t="s">
        <v>158</v>
      </c>
      <c r="L70" s="314">
        <v>0</v>
      </c>
      <c r="M70" s="106" t="s">
        <v>267</v>
      </c>
      <c r="N70" s="141">
        <v>0</v>
      </c>
      <c r="O70" s="248">
        <f>$A$9*$B$37*$C$59*$D$68*J70*N70</f>
        <v>0</v>
      </c>
      <c r="P70" s="182"/>
      <c r="Q70" s="177"/>
      <c r="R70" s="142">
        <f t="shared" si="14"/>
        <v>100</v>
      </c>
      <c r="S70" s="255">
        <f t="shared" si="9"/>
        <v>0</v>
      </c>
      <c r="T70" s="182"/>
      <c r="U70" s="389">
        <v>10</v>
      </c>
      <c r="V70" s="335">
        <f t="shared" si="12"/>
        <v>100</v>
      </c>
      <c r="W70" s="392">
        <f t="shared" si="13"/>
        <v>0</v>
      </c>
      <c r="Y70" s="409">
        <f t="shared" si="1"/>
        <v>0</v>
      </c>
    </row>
    <row r="71" spans="1:25" s="13" customFormat="1" ht="47.25" customHeight="1">
      <c r="A71" s="466"/>
      <c r="B71" s="468"/>
      <c r="C71" s="557"/>
      <c r="D71" s="487">
        <v>0.2</v>
      </c>
      <c r="E71" s="456" t="s">
        <v>107</v>
      </c>
      <c r="F71" s="547" t="s">
        <v>108</v>
      </c>
      <c r="G71" s="456" t="s">
        <v>402</v>
      </c>
      <c r="H71" s="547" t="s">
        <v>108</v>
      </c>
      <c r="I71" s="456" t="s">
        <v>403</v>
      </c>
      <c r="J71" s="459" t="s">
        <v>269</v>
      </c>
      <c r="K71" s="177" t="s">
        <v>158</v>
      </c>
      <c r="L71" s="314">
        <v>0</v>
      </c>
      <c r="M71" s="106" t="s">
        <v>267</v>
      </c>
      <c r="N71" s="141">
        <v>1</v>
      </c>
      <c r="O71" s="248">
        <f>$A$9*$B$37*$C$59*$D$71*N71</f>
        <v>8.9759999999999996E-3</v>
      </c>
      <c r="P71" s="182">
        <v>0</v>
      </c>
      <c r="Q71" s="177"/>
      <c r="R71" s="142">
        <v>100</v>
      </c>
      <c r="S71" s="255">
        <f t="shared" si="9"/>
        <v>0.89759999999999995</v>
      </c>
      <c r="T71" s="182">
        <v>0</v>
      </c>
      <c r="U71" s="389">
        <v>10</v>
      </c>
      <c r="V71" s="335">
        <f t="shared" si="12"/>
        <v>100</v>
      </c>
      <c r="W71" s="392">
        <f t="shared" si="13"/>
        <v>0.89759999999999995</v>
      </c>
      <c r="Y71" s="409">
        <f t="shared" si="1"/>
        <v>0</v>
      </c>
    </row>
    <row r="72" spans="1:25" s="13" customFormat="1" ht="14.25" hidden="1" customHeight="1">
      <c r="A72" s="466"/>
      <c r="B72" s="468"/>
      <c r="C72" s="557"/>
      <c r="D72" s="454"/>
      <c r="E72" s="457"/>
      <c r="F72" s="548"/>
      <c r="G72" s="457"/>
      <c r="H72" s="548"/>
      <c r="I72" s="457"/>
      <c r="J72" s="460"/>
      <c r="K72" s="177" t="s">
        <v>158</v>
      </c>
      <c r="L72" s="314">
        <v>0</v>
      </c>
      <c r="M72" s="106" t="s">
        <v>267</v>
      </c>
      <c r="N72" s="141">
        <v>0</v>
      </c>
      <c r="O72" s="248">
        <f>$A$9*$B$37*$C$59*$D$71*J72*N72</f>
        <v>0</v>
      </c>
      <c r="P72" s="182"/>
      <c r="Q72" s="177"/>
      <c r="R72" s="142">
        <f t="shared" si="14"/>
        <v>100</v>
      </c>
      <c r="S72" s="255">
        <f t="shared" si="9"/>
        <v>0</v>
      </c>
      <c r="T72" s="182"/>
      <c r="U72" s="389">
        <v>10</v>
      </c>
      <c r="V72" s="335">
        <f t="shared" si="12"/>
        <v>100</v>
      </c>
      <c r="W72" s="392">
        <f t="shared" si="13"/>
        <v>0</v>
      </c>
      <c r="Y72" s="409">
        <f t="shared" si="1"/>
        <v>0</v>
      </c>
    </row>
    <row r="73" spans="1:25" s="13" customFormat="1" ht="14.25" hidden="1" customHeight="1">
      <c r="A73" s="466"/>
      <c r="B73" s="468"/>
      <c r="C73" s="557"/>
      <c r="D73" s="455"/>
      <c r="E73" s="458"/>
      <c r="F73" s="549"/>
      <c r="G73" s="458"/>
      <c r="H73" s="549"/>
      <c r="I73" s="458"/>
      <c r="J73" s="461"/>
      <c r="K73" s="177" t="s">
        <v>158</v>
      </c>
      <c r="L73" s="314">
        <v>0</v>
      </c>
      <c r="M73" s="106" t="s">
        <v>267</v>
      </c>
      <c r="N73" s="141">
        <v>0</v>
      </c>
      <c r="O73" s="248">
        <f>$A$9*$B$37*$C$59*$D$71*J73*N73</f>
        <v>0</v>
      </c>
      <c r="P73" s="182"/>
      <c r="Q73" s="177"/>
      <c r="R73" s="142">
        <f t="shared" si="14"/>
        <v>100</v>
      </c>
      <c r="S73" s="255">
        <f t="shared" si="9"/>
        <v>0</v>
      </c>
      <c r="T73" s="182"/>
      <c r="U73" s="389">
        <v>10</v>
      </c>
      <c r="V73" s="335">
        <f t="shared" si="12"/>
        <v>100</v>
      </c>
      <c r="W73" s="392">
        <f t="shared" si="13"/>
        <v>0</v>
      </c>
      <c r="Y73" s="409">
        <f t="shared" si="1"/>
        <v>0</v>
      </c>
    </row>
    <row r="74" spans="1:25" s="13" customFormat="1" ht="46.5" customHeight="1">
      <c r="A74" s="466"/>
      <c r="B74" s="468"/>
      <c r="C74" s="557"/>
      <c r="D74" s="487">
        <v>0.2</v>
      </c>
      <c r="E74" s="456" t="s">
        <v>109</v>
      </c>
      <c r="F74" s="547" t="s">
        <v>110</v>
      </c>
      <c r="G74" s="456" t="s">
        <v>404</v>
      </c>
      <c r="H74" s="547" t="s">
        <v>110</v>
      </c>
      <c r="I74" s="456" t="s">
        <v>405</v>
      </c>
      <c r="J74" s="459" t="s">
        <v>270</v>
      </c>
      <c r="K74" s="177" t="s">
        <v>158</v>
      </c>
      <c r="L74" s="314">
        <v>0</v>
      </c>
      <c r="M74" s="106" t="s">
        <v>267</v>
      </c>
      <c r="N74" s="141">
        <v>1</v>
      </c>
      <c r="O74" s="248">
        <f>$A$9*$B$37*$C$59*$D$74*N74</f>
        <v>8.9759999999999996E-3</v>
      </c>
      <c r="P74" s="182">
        <v>0</v>
      </c>
      <c r="Q74" s="177"/>
      <c r="R74" s="142">
        <v>100</v>
      </c>
      <c r="S74" s="255">
        <f t="shared" si="9"/>
        <v>0.89759999999999995</v>
      </c>
      <c r="T74" s="182">
        <v>0</v>
      </c>
      <c r="U74" s="389">
        <v>10</v>
      </c>
      <c r="V74" s="335">
        <f t="shared" si="12"/>
        <v>100</v>
      </c>
      <c r="W74" s="392">
        <f t="shared" si="13"/>
        <v>0.89759999999999995</v>
      </c>
      <c r="Y74" s="409">
        <f t="shared" si="1"/>
        <v>0</v>
      </c>
    </row>
    <row r="75" spans="1:25" s="13" customFormat="1" ht="14.25" hidden="1" customHeight="1">
      <c r="A75" s="466"/>
      <c r="B75" s="468"/>
      <c r="C75" s="557"/>
      <c r="D75" s="454"/>
      <c r="E75" s="457"/>
      <c r="F75" s="548"/>
      <c r="G75" s="457"/>
      <c r="H75" s="548"/>
      <c r="I75" s="457"/>
      <c r="J75" s="460"/>
      <c r="K75" s="79" t="s">
        <v>158</v>
      </c>
      <c r="L75" s="314">
        <v>0</v>
      </c>
      <c r="M75" s="181" t="s">
        <v>30</v>
      </c>
      <c r="N75" s="141">
        <v>0</v>
      </c>
      <c r="O75" s="248"/>
      <c r="P75" s="182"/>
      <c r="Q75" s="79"/>
      <c r="R75" s="142">
        <f>100-(P75-L75)*10</f>
        <v>100</v>
      </c>
      <c r="S75" s="255">
        <f t="shared" si="9"/>
        <v>0</v>
      </c>
      <c r="T75" s="182"/>
      <c r="U75" s="20"/>
      <c r="V75" s="19"/>
      <c r="W75" s="399"/>
      <c r="Y75" s="409">
        <f t="shared" si="1"/>
        <v>0</v>
      </c>
    </row>
    <row r="76" spans="1:25" s="13" customFormat="1" ht="14.25" hidden="1" customHeight="1">
      <c r="A76" s="466"/>
      <c r="B76" s="468"/>
      <c r="C76" s="557"/>
      <c r="D76" s="454"/>
      <c r="E76" s="457"/>
      <c r="F76" s="548"/>
      <c r="G76" s="457"/>
      <c r="H76" s="548"/>
      <c r="I76" s="457"/>
      <c r="J76" s="460"/>
      <c r="K76" s="79" t="s">
        <v>158</v>
      </c>
      <c r="L76" s="314">
        <v>0</v>
      </c>
      <c r="M76" s="181" t="s">
        <v>30</v>
      </c>
      <c r="N76" s="141">
        <v>0</v>
      </c>
      <c r="O76" s="248"/>
      <c r="P76" s="182"/>
      <c r="Q76" s="79"/>
      <c r="R76" s="142">
        <f>100-(P76-L76)*10</f>
        <v>100</v>
      </c>
      <c r="S76" s="255">
        <f t="shared" si="9"/>
        <v>0</v>
      </c>
      <c r="T76" s="182"/>
      <c r="U76" s="20"/>
      <c r="V76" s="19"/>
      <c r="W76" s="399"/>
      <c r="Y76" s="409">
        <f t="shared" si="1"/>
        <v>0</v>
      </c>
    </row>
    <row r="77" spans="1:25" s="13" customFormat="1" ht="14.25" hidden="1" customHeight="1">
      <c r="A77" s="466"/>
      <c r="B77" s="468"/>
      <c r="C77" s="474"/>
      <c r="D77" s="455"/>
      <c r="E77" s="458"/>
      <c r="F77" s="549"/>
      <c r="G77" s="458"/>
      <c r="H77" s="549"/>
      <c r="I77" s="458"/>
      <c r="J77" s="461"/>
      <c r="K77" s="79" t="s">
        <v>158</v>
      </c>
      <c r="L77" s="314">
        <v>0</v>
      </c>
      <c r="M77" s="181" t="s">
        <v>30</v>
      </c>
      <c r="N77" s="141">
        <v>0</v>
      </c>
      <c r="O77" s="248"/>
      <c r="P77" s="182"/>
      <c r="Q77" s="79"/>
      <c r="R77" s="142">
        <f>100-(P77-L77)*10</f>
        <v>100</v>
      </c>
      <c r="S77" s="255">
        <f t="shared" si="9"/>
        <v>0</v>
      </c>
      <c r="T77" s="182"/>
      <c r="U77" s="20"/>
      <c r="V77" s="19"/>
      <c r="W77" s="399"/>
      <c r="Y77" s="409">
        <f t="shared" ref="Y77:Y140" si="15">W77-S77</f>
        <v>0</v>
      </c>
    </row>
    <row r="78" spans="1:25" s="13" customFormat="1" ht="21.95" customHeight="1">
      <c r="A78" s="466"/>
      <c r="B78" s="468"/>
      <c r="C78" s="473">
        <v>0.1</v>
      </c>
      <c r="D78" s="138"/>
      <c r="E78" s="154" t="s">
        <v>210</v>
      </c>
      <c r="F78" s="558" t="s">
        <v>68</v>
      </c>
      <c r="G78" s="559"/>
      <c r="H78" s="559"/>
      <c r="I78" s="559"/>
      <c r="J78" s="559"/>
      <c r="K78" s="559"/>
      <c r="L78" s="559"/>
      <c r="M78" s="560"/>
      <c r="N78" s="168"/>
      <c r="O78" s="249"/>
      <c r="P78" s="174"/>
      <c r="Q78" s="174"/>
      <c r="R78" s="174"/>
      <c r="S78" s="256"/>
      <c r="T78" s="174"/>
      <c r="U78" s="176"/>
      <c r="V78" s="170"/>
      <c r="W78" s="400"/>
      <c r="Y78" s="409">
        <f t="shared" si="15"/>
        <v>0</v>
      </c>
    </row>
    <row r="79" spans="1:25" s="13" customFormat="1" ht="84" customHeight="1">
      <c r="A79" s="466"/>
      <c r="B79" s="468"/>
      <c r="C79" s="557"/>
      <c r="D79" s="487">
        <v>0.25</v>
      </c>
      <c r="E79" s="456" t="s">
        <v>111</v>
      </c>
      <c r="F79" s="547" t="s">
        <v>112</v>
      </c>
      <c r="G79" s="456" t="s">
        <v>406</v>
      </c>
      <c r="H79" s="547" t="s">
        <v>112</v>
      </c>
      <c r="I79" s="456" t="s">
        <v>407</v>
      </c>
      <c r="J79" s="561" t="s">
        <v>271</v>
      </c>
      <c r="K79" s="177" t="s">
        <v>158</v>
      </c>
      <c r="L79" s="314">
        <v>0</v>
      </c>
      <c r="M79" s="106" t="s">
        <v>267</v>
      </c>
      <c r="N79" s="141">
        <v>1</v>
      </c>
      <c r="O79" s="248">
        <f>$A$9*$B$37*$C$78*$D$79*N79</f>
        <v>9.3500000000000007E-3</v>
      </c>
      <c r="P79" s="182">
        <v>0</v>
      </c>
      <c r="Q79" s="177"/>
      <c r="R79" s="142">
        <v>100</v>
      </c>
      <c r="S79" s="255">
        <f t="shared" si="9"/>
        <v>0.93500000000000005</v>
      </c>
      <c r="T79" s="182">
        <v>0</v>
      </c>
      <c r="U79" s="389">
        <v>10</v>
      </c>
      <c r="V79" s="335">
        <f t="shared" ref="V79:V85" si="16">100-U79*T79</f>
        <v>100</v>
      </c>
      <c r="W79" s="392">
        <f t="shared" ref="W79:W85" si="17">V79*O79</f>
        <v>0.93500000000000005</v>
      </c>
      <c r="Y79" s="409">
        <f t="shared" si="15"/>
        <v>0</v>
      </c>
    </row>
    <row r="80" spans="1:25" s="13" customFormat="1" ht="14.25" hidden="1" customHeight="1">
      <c r="A80" s="466"/>
      <c r="B80" s="468"/>
      <c r="C80" s="557"/>
      <c r="D80" s="454"/>
      <c r="E80" s="457"/>
      <c r="F80" s="548"/>
      <c r="G80" s="457"/>
      <c r="H80" s="548"/>
      <c r="I80" s="457"/>
      <c r="J80" s="562"/>
      <c r="K80" s="177" t="s">
        <v>158</v>
      </c>
      <c r="L80" s="314">
        <v>0</v>
      </c>
      <c r="M80" s="106" t="s">
        <v>267</v>
      </c>
      <c r="N80" s="141">
        <v>0</v>
      </c>
      <c r="O80" s="248">
        <f>$A$9*$B$37*$C$78*$D$79*J80*N80</f>
        <v>0</v>
      </c>
      <c r="P80" s="182"/>
      <c r="Q80" s="177"/>
      <c r="R80" s="142">
        <f t="shared" ref="R80:R82" si="18">100-(P80-L80)*Q80</f>
        <v>100</v>
      </c>
      <c r="S80" s="255">
        <f t="shared" si="9"/>
        <v>0</v>
      </c>
      <c r="T80" s="182"/>
      <c r="U80" s="389">
        <v>10</v>
      </c>
      <c r="V80" s="335">
        <f t="shared" si="16"/>
        <v>100</v>
      </c>
      <c r="W80" s="392">
        <f t="shared" si="17"/>
        <v>0</v>
      </c>
      <c r="Y80" s="409">
        <f t="shared" si="15"/>
        <v>0</v>
      </c>
    </row>
    <row r="81" spans="1:25" s="13" customFormat="1" ht="14.25" hidden="1" customHeight="1">
      <c r="A81" s="466"/>
      <c r="B81" s="468"/>
      <c r="C81" s="557"/>
      <c r="D81" s="454"/>
      <c r="E81" s="457"/>
      <c r="F81" s="548"/>
      <c r="G81" s="457"/>
      <c r="H81" s="548"/>
      <c r="I81" s="457"/>
      <c r="J81" s="562"/>
      <c r="K81" s="177" t="s">
        <v>158</v>
      </c>
      <c r="L81" s="314">
        <v>0</v>
      </c>
      <c r="M81" s="106" t="s">
        <v>267</v>
      </c>
      <c r="N81" s="141">
        <v>0</v>
      </c>
      <c r="O81" s="248">
        <f>$A$9*$B$37*$C$78*$D$79*J81*N81</f>
        <v>0</v>
      </c>
      <c r="P81" s="182"/>
      <c r="Q81" s="177"/>
      <c r="R81" s="142">
        <f t="shared" si="18"/>
        <v>100</v>
      </c>
      <c r="S81" s="255">
        <f t="shared" si="9"/>
        <v>0</v>
      </c>
      <c r="T81" s="182"/>
      <c r="U81" s="389">
        <v>10</v>
      </c>
      <c r="V81" s="335">
        <f t="shared" si="16"/>
        <v>100</v>
      </c>
      <c r="W81" s="392">
        <f t="shared" si="17"/>
        <v>0</v>
      </c>
      <c r="Y81" s="409">
        <f t="shared" si="15"/>
        <v>0</v>
      </c>
    </row>
    <row r="82" spans="1:25" s="13" customFormat="1" ht="14.25" hidden="1" customHeight="1">
      <c r="A82" s="466"/>
      <c r="B82" s="468"/>
      <c r="C82" s="557"/>
      <c r="D82" s="455"/>
      <c r="E82" s="458"/>
      <c r="F82" s="549"/>
      <c r="G82" s="458"/>
      <c r="H82" s="549"/>
      <c r="I82" s="458"/>
      <c r="J82" s="563"/>
      <c r="K82" s="177" t="s">
        <v>158</v>
      </c>
      <c r="L82" s="314">
        <v>0</v>
      </c>
      <c r="M82" s="106" t="s">
        <v>267</v>
      </c>
      <c r="N82" s="141">
        <v>0</v>
      </c>
      <c r="O82" s="248">
        <f>$A$9*$B$37*$C$78*$D$79*J82*N82</f>
        <v>0</v>
      </c>
      <c r="P82" s="182"/>
      <c r="Q82" s="177"/>
      <c r="R82" s="142">
        <f t="shared" si="18"/>
        <v>100</v>
      </c>
      <c r="S82" s="255">
        <f t="shared" si="9"/>
        <v>0</v>
      </c>
      <c r="T82" s="182"/>
      <c r="U82" s="389">
        <v>10</v>
      </c>
      <c r="V82" s="335">
        <f t="shared" si="16"/>
        <v>100</v>
      </c>
      <c r="W82" s="392">
        <f t="shared" si="17"/>
        <v>0</v>
      </c>
      <c r="Y82" s="409">
        <f t="shared" si="15"/>
        <v>0</v>
      </c>
    </row>
    <row r="83" spans="1:25" s="13" customFormat="1" ht="93" customHeight="1">
      <c r="A83" s="466"/>
      <c r="B83" s="468"/>
      <c r="C83" s="557"/>
      <c r="D83" s="244">
        <v>0.25</v>
      </c>
      <c r="E83" s="84" t="s">
        <v>113</v>
      </c>
      <c r="F83" s="79" t="s">
        <v>114</v>
      </c>
      <c r="G83" s="84" t="s">
        <v>408</v>
      </c>
      <c r="H83" s="79" t="s">
        <v>114</v>
      </c>
      <c r="I83" s="84" t="s">
        <v>409</v>
      </c>
      <c r="J83" s="79" t="s">
        <v>282</v>
      </c>
      <c r="K83" s="177" t="s">
        <v>158</v>
      </c>
      <c r="L83" s="314">
        <v>0</v>
      </c>
      <c r="M83" s="106" t="s">
        <v>267</v>
      </c>
      <c r="N83" s="141">
        <v>1</v>
      </c>
      <c r="O83" s="248">
        <f>$A$9*$B$37*$C$78*$D$83*N83</f>
        <v>9.3500000000000007E-3</v>
      </c>
      <c r="P83" s="182">
        <v>0</v>
      </c>
      <c r="Q83" s="177"/>
      <c r="R83" s="142">
        <v>100</v>
      </c>
      <c r="S83" s="255">
        <f t="shared" si="9"/>
        <v>0.93500000000000005</v>
      </c>
      <c r="T83" s="182">
        <v>0</v>
      </c>
      <c r="U83" s="389">
        <v>10</v>
      </c>
      <c r="V83" s="335">
        <f t="shared" si="16"/>
        <v>100</v>
      </c>
      <c r="W83" s="392">
        <f t="shared" si="17"/>
        <v>0.93500000000000005</v>
      </c>
      <c r="Y83" s="409">
        <f t="shared" si="15"/>
        <v>0</v>
      </c>
    </row>
    <row r="84" spans="1:25" s="13" customFormat="1" ht="45" customHeight="1">
      <c r="A84" s="466"/>
      <c r="B84" s="468"/>
      <c r="C84" s="557"/>
      <c r="D84" s="244">
        <v>0.25</v>
      </c>
      <c r="E84" s="84" t="s">
        <v>115</v>
      </c>
      <c r="F84" s="211" t="s">
        <v>116</v>
      </c>
      <c r="G84" s="84" t="s">
        <v>410</v>
      </c>
      <c r="H84" s="212" t="s">
        <v>116</v>
      </c>
      <c r="I84" s="84" t="s">
        <v>411</v>
      </c>
      <c r="J84" s="212" t="s">
        <v>281</v>
      </c>
      <c r="K84" s="177" t="s">
        <v>158</v>
      </c>
      <c r="L84" s="314">
        <v>0</v>
      </c>
      <c r="M84" s="106" t="s">
        <v>267</v>
      </c>
      <c r="N84" s="141">
        <v>1</v>
      </c>
      <c r="O84" s="248">
        <f>$A$9*$B$37*$C$78*$D$83*N84</f>
        <v>9.3500000000000007E-3</v>
      </c>
      <c r="P84" s="182">
        <v>0</v>
      </c>
      <c r="Q84" s="177"/>
      <c r="R84" s="142">
        <v>100</v>
      </c>
      <c r="S84" s="255">
        <f t="shared" si="9"/>
        <v>0.93500000000000005</v>
      </c>
      <c r="T84" s="182">
        <v>0</v>
      </c>
      <c r="U84" s="389">
        <v>10</v>
      </c>
      <c r="V84" s="335">
        <f t="shared" si="16"/>
        <v>100</v>
      </c>
      <c r="W84" s="392">
        <f t="shared" si="17"/>
        <v>0.93500000000000005</v>
      </c>
      <c r="Y84" s="409">
        <f t="shared" si="15"/>
        <v>0</v>
      </c>
    </row>
    <row r="85" spans="1:25" s="13" customFormat="1" ht="47.25">
      <c r="A85" s="466"/>
      <c r="B85" s="468"/>
      <c r="C85" s="474"/>
      <c r="D85" s="244">
        <v>0.25</v>
      </c>
      <c r="E85" s="84" t="s">
        <v>117</v>
      </c>
      <c r="F85" s="5" t="s">
        <v>118</v>
      </c>
      <c r="G85" s="84" t="s">
        <v>412</v>
      </c>
      <c r="H85" s="5" t="s">
        <v>118</v>
      </c>
      <c r="I85" s="84" t="s">
        <v>413</v>
      </c>
      <c r="J85" s="5" t="s">
        <v>305</v>
      </c>
      <c r="K85" s="177" t="s">
        <v>158</v>
      </c>
      <c r="L85" s="314">
        <v>0</v>
      </c>
      <c r="M85" s="106" t="s">
        <v>267</v>
      </c>
      <c r="N85" s="141">
        <v>1</v>
      </c>
      <c r="O85" s="248">
        <f>$A$9*$B$37*$C$78*$D$83*N85</f>
        <v>9.3500000000000007E-3</v>
      </c>
      <c r="P85" s="182">
        <v>0</v>
      </c>
      <c r="Q85" s="177"/>
      <c r="R85" s="142">
        <v>100</v>
      </c>
      <c r="S85" s="255">
        <f t="shared" si="9"/>
        <v>0.93500000000000005</v>
      </c>
      <c r="T85" s="182">
        <v>0</v>
      </c>
      <c r="U85" s="389">
        <v>10</v>
      </c>
      <c r="V85" s="335">
        <f t="shared" si="16"/>
        <v>100</v>
      </c>
      <c r="W85" s="392">
        <f t="shared" si="17"/>
        <v>0.93500000000000005</v>
      </c>
      <c r="Y85" s="409">
        <f t="shared" si="15"/>
        <v>0</v>
      </c>
    </row>
    <row r="86" spans="1:25" s="13" customFormat="1" ht="27" customHeight="1">
      <c r="A86" s="466"/>
      <c r="B86" s="468"/>
      <c r="C86" s="473">
        <v>0.08</v>
      </c>
      <c r="D86" s="138"/>
      <c r="E86" s="154" t="s">
        <v>211</v>
      </c>
      <c r="F86" s="558" t="s">
        <v>69</v>
      </c>
      <c r="G86" s="559"/>
      <c r="H86" s="559"/>
      <c r="I86" s="559"/>
      <c r="J86" s="559"/>
      <c r="K86" s="559"/>
      <c r="L86" s="559"/>
      <c r="M86" s="560"/>
      <c r="N86" s="168"/>
      <c r="O86" s="249"/>
      <c r="P86" s="174"/>
      <c r="Q86" s="174"/>
      <c r="R86" s="174"/>
      <c r="S86" s="256"/>
      <c r="T86" s="174"/>
      <c r="U86" s="176"/>
      <c r="V86" s="170"/>
      <c r="W86" s="400"/>
      <c r="Y86" s="409">
        <f t="shared" si="15"/>
        <v>0</v>
      </c>
    </row>
    <row r="87" spans="1:25" s="13" customFormat="1" ht="37.5" customHeight="1">
      <c r="A87" s="466"/>
      <c r="B87" s="468"/>
      <c r="C87" s="557"/>
      <c r="D87" s="487">
        <v>0.4</v>
      </c>
      <c r="E87" s="456" t="s">
        <v>119</v>
      </c>
      <c r="F87" s="541" t="s">
        <v>120</v>
      </c>
      <c r="G87" s="456" t="s">
        <v>414</v>
      </c>
      <c r="H87" s="541" t="s">
        <v>120</v>
      </c>
      <c r="I87" s="456" t="s">
        <v>415</v>
      </c>
      <c r="J87" s="541" t="s">
        <v>283</v>
      </c>
      <c r="K87" s="177" t="s">
        <v>158</v>
      </c>
      <c r="L87" s="314">
        <v>0</v>
      </c>
      <c r="M87" s="177" t="s">
        <v>159</v>
      </c>
      <c r="N87" s="141">
        <v>1</v>
      </c>
      <c r="O87" s="248">
        <f>$A$9*$B$37*$C$86*$D$87*N87</f>
        <v>1.1968000000000001E-2</v>
      </c>
      <c r="P87" s="182">
        <v>0</v>
      </c>
      <c r="Q87" s="177"/>
      <c r="R87" s="142">
        <v>100</v>
      </c>
      <c r="S87" s="255">
        <f t="shared" si="9"/>
        <v>1.1968000000000001</v>
      </c>
      <c r="T87" s="182">
        <v>0</v>
      </c>
      <c r="U87" s="389">
        <v>10</v>
      </c>
      <c r="V87" s="335">
        <f t="shared" ref="V87:V93" si="19">100-U87*T87</f>
        <v>100</v>
      </c>
      <c r="W87" s="392">
        <f t="shared" ref="W87:W93" si="20">V87*O87</f>
        <v>1.1968000000000001</v>
      </c>
      <c r="Y87" s="409">
        <f t="shared" si="15"/>
        <v>0</v>
      </c>
    </row>
    <row r="88" spans="1:25" s="13" customFormat="1" ht="14.25" hidden="1" customHeight="1">
      <c r="A88" s="466"/>
      <c r="B88" s="468"/>
      <c r="C88" s="557"/>
      <c r="D88" s="454"/>
      <c r="E88" s="457"/>
      <c r="F88" s="543"/>
      <c r="G88" s="457"/>
      <c r="H88" s="543"/>
      <c r="I88" s="457"/>
      <c r="J88" s="543"/>
      <c r="K88" s="177" t="s">
        <v>158</v>
      </c>
      <c r="L88" s="314">
        <v>0</v>
      </c>
      <c r="M88" s="177" t="s">
        <v>159</v>
      </c>
      <c r="N88" s="141">
        <v>0</v>
      </c>
      <c r="O88" s="248">
        <f>$A$9*$B$37*$C$86*$D$87*J88*N88</f>
        <v>0</v>
      </c>
      <c r="P88" s="182"/>
      <c r="Q88" s="177"/>
      <c r="R88" s="142">
        <f t="shared" ref="R88:R98" si="21">100-(P88-L88)*Q88</f>
        <v>100</v>
      </c>
      <c r="S88" s="255">
        <f t="shared" si="9"/>
        <v>0</v>
      </c>
      <c r="T88" s="182"/>
      <c r="U88" s="389">
        <v>10</v>
      </c>
      <c r="V88" s="335">
        <f t="shared" si="19"/>
        <v>100</v>
      </c>
      <c r="W88" s="392">
        <f t="shared" si="20"/>
        <v>0</v>
      </c>
      <c r="Y88" s="409">
        <f t="shared" si="15"/>
        <v>0</v>
      </c>
    </row>
    <row r="89" spans="1:25" s="13" customFormat="1" ht="14.25" hidden="1" customHeight="1">
      <c r="A89" s="466"/>
      <c r="B89" s="468"/>
      <c r="C89" s="557"/>
      <c r="D89" s="454"/>
      <c r="E89" s="457"/>
      <c r="F89" s="543"/>
      <c r="G89" s="457"/>
      <c r="H89" s="543"/>
      <c r="I89" s="457"/>
      <c r="J89" s="543"/>
      <c r="K89" s="177" t="s">
        <v>158</v>
      </c>
      <c r="L89" s="314">
        <v>0</v>
      </c>
      <c r="M89" s="177" t="s">
        <v>159</v>
      </c>
      <c r="N89" s="141">
        <v>0</v>
      </c>
      <c r="O89" s="248">
        <f>$A$9*$B$37*$C$86*$D$87*J89*N89</f>
        <v>0</v>
      </c>
      <c r="P89" s="182"/>
      <c r="Q89" s="177"/>
      <c r="R89" s="142">
        <f t="shared" si="21"/>
        <v>100</v>
      </c>
      <c r="S89" s="255">
        <f t="shared" si="9"/>
        <v>0</v>
      </c>
      <c r="T89" s="182"/>
      <c r="U89" s="389">
        <v>10</v>
      </c>
      <c r="V89" s="335">
        <f t="shared" si="19"/>
        <v>100</v>
      </c>
      <c r="W89" s="392">
        <f t="shared" si="20"/>
        <v>0</v>
      </c>
      <c r="Y89" s="409">
        <f t="shared" si="15"/>
        <v>0</v>
      </c>
    </row>
    <row r="90" spans="1:25" s="13" customFormat="1" ht="14.25" hidden="1" customHeight="1">
      <c r="A90" s="466"/>
      <c r="B90" s="468"/>
      <c r="C90" s="557"/>
      <c r="D90" s="454"/>
      <c r="E90" s="457"/>
      <c r="F90" s="543"/>
      <c r="G90" s="457"/>
      <c r="H90" s="543"/>
      <c r="I90" s="457"/>
      <c r="J90" s="543"/>
      <c r="K90" s="177" t="s">
        <v>158</v>
      </c>
      <c r="L90" s="314">
        <v>0</v>
      </c>
      <c r="M90" s="177" t="s">
        <v>159</v>
      </c>
      <c r="N90" s="141">
        <v>0</v>
      </c>
      <c r="O90" s="248">
        <f>$A$9*$B$37*$C$86*$D$87*J90*N90</f>
        <v>0</v>
      </c>
      <c r="P90" s="182"/>
      <c r="Q90" s="177"/>
      <c r="R90" s="142">
        <f t="shared" si="21"/>
        <v>100</v>
      </c>
      <c r="S90" s="255">
        <f t="shared" si="9"/>
        <v>0</v>
      </c>
      <c r="T90" s="182"/>
      <c r="U90" s="389">
        <v>10</v>
      </c>
      <c r="V90" s="335">
        <f t="shared" si="19"/>
        <v>100</v>
      </c>
      <c r="W90" s="392">
        <f t="shared" si="20"/>
        <v>0</v>
      </c>
      <c r="Y90" s="409">
        <f t="shared" si="15"/>
        <v>0</v>
      </c>
    </row>
    <row r="91" spans="1:25" s="13" customFormat="1" ht="14.25" hidden="1" customHeight="1">
      <c r="A91" s="466"/>
      <c r="B91" s="468"/>
      <c r="C91" s="557"/>
      <c r="D91" s="454"/>
      <c r="E91" s="457"/>
      <c r="F91" s="543"/>
      <c r="G91" s="457"/>
      <c r="H91" s="543"/>
      <c r="I91" s="457"/>
      <c r="J91" s="543"/>
      <c r="K91" s="177" t="s">
        <v>158</v>
      </c>
      <c r="L91" s="314">
        <v>0</v>
      </c>
      <c r="M91" s="177" t="s">
        <v>159</v>
      </c>
      <c r="N91" s="141">
        <v>0</v>
      </c>
      <c r="O91" s="248">
        <f>$A$9*$B$37*$C$86*$D$87*J91*N91</f>
        <v>0</v>
      </c>
      <c r="P91" s="182"/>
      <c r="Q91" s="177"/>
      <c r="R91" s="142">
        <f t="shared" si="21"/>
        <v>100</v>
      </c>
      <c r="S91" s="255">
        <f t="shared" si="9"/>
        <v>0</v>
      </c>
      <c r="T91" s="182"/>
      <c r="U91" s="389">
        <v>10</v>
      </c>
      <c r="V91" s="335">
        <f t="shared" si="19"/>
        <v>100</v>
      </c>
      <c r="W91" s="392">
        <f t="shared" si="20"/>
        <v>0</v>
      </c>
      <c r="Y91" s="409">
        <f t="shared" si="15"/>
        <v>0</v>
      </c>
    </row>
    <row r="92" spans="1:25" s="13" customFormat="1" ht="14.25" hidden="1" customHeight="1">
      <c r="A92" s="466"/>
      <c r="B92" s="468"/>
      <c r="C92" s="557"/>
      <c r="D92" s="455"/>
      <c r="E92" s="458"/>
      <c r="F92" s="542"/>
      <c r="G92" s="458"/>
      <c r="H92" s="542"/>
      <c r="I92" s="458"/>
      <c r="J92" s="542"/>
      <c r="K92" s="177" t="s">
        <v>158</v>
      </c>
      <c r="L92" s="314">
        <v>0</v>
      </c>
      <c r="M92" s="177" t="s">
        <v>159</v>
      </c>
      <c r="N92" s="141">
        <v>0</v>
      </c>
      <c r="O92" s="248">
        <f>$A$9*$B$37*$C$86*$D$87*J92*N92</f>
        <v>0</v>
      </c>
      <c r="P92" s="182"/>
      <c r="Q92" s="177"/>
      <c r="R92" s="142">
        <f t="shared" si="21"/>
        <v>100</v>
      </c>
      <c r="S92" s="255">
        <f t="shared" si="9"/>
        <v>0</v>
      </c>
      <c r="T92" s="182"/>
      <c r="U92" s="389">
        <v>10</v>
      </c>
      <c r="V92" s="335">
        <f t="shared" si="19"/>
        <v>100</v>
      </c>
      <c r="W92" s="392">
        <f t="shared" si="20"/>
        <v>0</v>
      </c>
      <c r="Y92" s="409">
        <f t="shared" si="15"/>
        <v>0</v>
      </c>
    </row>
    <row r="93" spans="1:25" s="13" customFormat="1" ht="37.5" customHeight="1">
      <c r="A93" s="466"/>
      <c r="B93" s="468"/>
      <c r="C93" s="557"/>
      <c r="D93" s="487">
        <v>0.3</v>
      </c>
      <c r="E93" s="456" t="s">
        <v>121</v>
      </c>
      <c r="F93" s="547" t="s">
        <v>122</v>
      </c>
      <c r="G93" s="456" t="s">
        <v>416</v>
      </c>
      <c r="H93" s="547" t="s">
        <v>122</v>
      </c>
      <c r="I93" s="456" t="s">
        <v>417</v>
      </c>
      <c r="J93" s="547" t="s">
        <v>272</v>
      </c>
      <c r="K93" s="177" t="s">
        <v>158</v>
      </c>
      <c r="L93" s="314">
        <v>0</v>
      </c>
      <c r="M93" s="177" t="s">
        <v>159</v>
      </c>
      <c r="N93" s="141">
        <v>1</v>
      </c>
      <c r="O93" s="248">
        <f>$A$9*$B$37*$C$86*$D$93*N93</f>
        <v>8.9759999999999996E-3</v>
      </c>
      <c r="P93" s="182">
        <v>0</v>
      </c>
      <c r="Q93" s="177"/>
      <c r="R93" s="142">
        <v>100</v>
      </c>
      <c r="S93" s="255">
        <f t="shared" si="9"/>
        <v>0.89759999999999995</v>
      </c>
      <c r="T93" s="182">
        <v>0</v>
      </c>
      <c r="U93" s="389">
        <v>10</v>
      </c>
      <c r="V93" s="335">
        <f t="shared" si="19"/>
        <v>100</v>
      </c>
      <c r="W93" s="392">
        <f t="shared" si="20"/>
        <v>0.89759999999999995</v>
      </c>
      <c r="Y93" s="409">
        <f t="shared" si="15"/>
        <v>0</v>
      </c>
    </row>
    <row r="94" spans="1:25" s="13" customFormat="1" ht="14.25" hidden="1" customHeight="1">
      <c r="A94" s="466"/>
      <c r="B94" s="468"/>
      <c r="C94" s="557"/>
      <c r="D94" s="455"/>
      <c r="E94" s="458"/>
      <c r="F94" s="549"/>
      <c r="G94" s="458"/>
      <c r="H94" s="549"/>
      <c r="I94" s="458"/>
      <c r="J94" s="549"/>
      <c r="K94" s="177" t="s">
        <v>158</v>
      </c>
      <c r="L94" s="314">
        <v>0</v>
      </c>
      <c r="M94" s="177" t="s">
        <v>159</v>
      </c>
      <c r="N94" s="141">
        <v>0</v>
      </c>
      <c r="O94" s="248">
        <f>$A$9*$B$37*$C$86*$D$93*J94*N94</f>
        <v>0</v>
      </c>
      <c r="P94" s="182"/>
      <c r="Q94" s="177"/>
      <c r="R94" s="142">
        <f t="shared" si="21"/>
        <v>100</v>
      </c>
      <c r="S94" s="255">
        <f t="shared" si="9"/>
        <v>0</v>
      </c>
      <c r="T94" s="182"/>
      <c r="U94" s="20"/>
      <c r="V94" s="19"/>
      <c r="W94" s="399"/>
      <c r="Y94" s="409">
        <f t="shared" si="15"/>
        <v>0</v>
      </c>
    </row>
    <row r="95" spans="1:25" s="13" customFormat="1" ht="63.75" customHeight="1">
      <c r="A95" s="466"/>
      <c r="B95" s="468"/>
      <c r="C95" s="557"/>
      <c r="D95" s="487">
        <v>0.3</v>
      </c>
      <c r="E95" s="456" t="s">
        <v>123</v>
      </c>
      <c r="F95" s="547" t="s">
        <v>124</v>
      </c>
      <c r="G95" s="456" t="s">
        <v>418</v>
      </c>
      <c r="H95" s="547" t="s">
        <v>124</v>
      </c>
      <c r="I95" s="456" t="s">
        <v>419</v>
      </c>
      <c r="J95" s="459" t="s">
        <v>306</v>
      </c>
      <c r="K95" s="340" t="s">
        <v>489</v>
      </c>
      <c r="L95" s="379">
        <v>1</v>
      </c>
      <c r="M95" s="177" t="s">
        <v>159</v>
      </c>
      <c r="N95" s="141">
        <v>1</v>
      </c>
      <c r="O95" s="248">
        <f>$A$9*$B$37*$C$86*$D$95*N95</f>
        <v>8.9759999999999996E-3</v>
      </c>
      <c r="P95" s="182">
        <v>1</v>
      </c>
      <c r="Q95" s="177"/>
      <c r="R95" s="142">
        <v>100</v>
      </c>
      <c r="S95" s="255">
        <f t="shared" si="9"/>
        <v>0.89759999999999995</v>
      </c>
      <c r="T95" s="182">
        <v>1</v>
      </c>
      <c r="U95" s="389">
        <f>T95-L95</f>
        <v>0</v>
      </c>
      <c r="V95" s="335">
        <f>100-U95*10</f>
        <v>100</v>
      </c>
      <c r="W95" s="392">
        <f t="shared" ref="W95" si="22">V95*O95</f>
        <v>0.89759999999999995</v>
      </c>
      <c r="Y95" s="409">
        <f t="shared" si="15"/>
        <v>0</v>
      </c>
    </row>
    <row r="96" spans="1:25" s="13" customFormat="1" ht="14.25" hidden="1" customHeight="1">
      <c r="A96" s="466"/>
      <c r="B96" s="468"/>
      <c r="C96" s="557"/>
      <c r="D96" s="454"/>
      <c r="E96" s="457"/>
      <c r="F96" s="548"/>
      <c r="G96" s="457"/>
      <c r="H96" s="548"/>
      <c r="I96" s="457"/>
      <c r="J96" s="460"/>
      <c r="K96" s="177" t="s">
        <v>158</v>
      </c>
      <c r="L96" s="314">
        <v>0</v>
      </c>
      <c r="M96" s="177" t="s">
        <v>159</v>
      </c>
      <c r="N96" s="141">
        <v>0</v>
      </c>
      <c r="O96" s="248"/>
      <c r="P96" s="182"/>
      <c r="Q96" s="177"/>
      <c r="R96" s="142">
        <f t="shared" si="21"/>
        <v>100</v>
      </c>
      <c r="S96" s="255">
        <f t="shared" si="9"/>
        <v>0</v>
      </c>
      <c r="T96" s="182"/>
      <c r="U96" s="20"/>
      <c r="V96" s="19"/>
      <c r="W96" s="399"/>
      <c r="Y96" s="409">
        <f t="shared" si="15"/>
        <v>0</v>
      </c>
    </row>
    <row r="97" spans="1:25" s="13" customFormat="1" ht="14.25" hidden="1" customHeight="1">
      <c r="A97" s="466"/>
      <c r="B97" s="468"/>
      <c r="C97" s="557"/>
      <c r="D97" s="455"/>
      <c r="E97" s="458"/>
      <c r="F97" s="549"/>
      <c r="G97" s="458"/>
      <c r="H97" s="549"/>
      <c r="I97" s="458"/>
      <c r="J97" s="461"/>
      <c r="K97" s="177" t="s">
        <v>158</v>
      </c>
      <c r="L97" s="314">
        <v>0</v>
      </c>
      <c r="M97" s="177" t="s">
        <v>159</v>
      </c>
      <c r="N97" s="141">
        <v>0</v>
      </c>
      <c r="O97" s="248"/>
      <c r="P97" s="182"/>
      <c r="Q97" s="177"/>
      <c r="R97" s="142">
        <f t="shared" si="21"/>
        <v>100</v>
      </c>
      <c r="S97" s="255">
        <f t="shared" si="9"/>
        <v>0</v>
      </c>
      <c r="T97" s="182"/>
      <c r="U97" s="20"/>
      <c r="V97" s="19"/>
      <c r="W97" s="399"/>
      <c r="Y97" s="409">
        <f t="shared" si="15"/>
        <v>0</v>
      </c>
    </row>
    <row r="98" spans="1:25" s="230" customFormat="1" ht="14.25" hidden="1" customHeight="1">
      <c r="A98" s="466"/>
      <c r="B98" s="468"/>
      <c r="C98" s="557"/>
      <c r="D98" s="487">
        <v>0</v>
      </c>
      <c r="E98" s="567" t="s">
        <v>125</v>
      </c>
      <c r="F98" s="570" t="s">
        <v>126</v>
      </c>
      <c r="G98" s="567" t="s">
        <v>125</v>
      </c>
      <c r="H98" s="570" t="s">
        <v>126</v>
      </c>
      <c r="I98" s="567" t="s">
        <v>125</v>
      </c>
      <c r="J98" s="570" t="s">
        <v>273</v>
      </c>
      <c r="K98" s="231" t="s">
        <v>158</v>
      </c>
      <c r="L98" s="314">
        <v>0</v>
      </c>
      <c r="M98" s="231" t="s">
        <v>159</v>
      </c>
      <c r="N98" s="232"/>
      <c r="O98" s="248"/>
      <c r="P98" s="182"/>
      <c r="Q98" s="231"/>
      <c r="R98" s="233">
        <f t="shared" si="21"/>
        <v>100</v>
      </c>
      <c r="S98" s="255">
        <f t="shared" si="9"/>
        <v>0</v>
      </c>
      <c r="T98" s="182"/>
      <c r="U98" s="234"/>
      <c r="V98" s="235"/>
      <c r="W98" s="402"/>
      <c r="Y98" s="409">
        <f t="shared" si="15"/>
        <v>0</v>
      </c>
    </row>
    <row r="99" spans="1:25" s="13" customFormat="1" ht="14.25" hidden="1" customHeight="1">
      <c r="A99" s="466"/>
      <c r="B99" s="468"/>
      <c r="C99" s="557"/>
      <c r="D99" s="454"/>
      <c r="E99" s="568"/>
      <c r="F99" s="571"/>
      <c r="G99" s="568"/>
      <c r="H99" s="571"/>
      <c r="I99" s="568"/>
      <c r="J99" s="571"/>
      <c r="K99" s="231" t="s">
        <v>158</v>
      </c>
      <c r="L99" s="314">
        <v>0</v>
      </c>
      <c r="M99" s="231" t="s">
        <v>30</v>
      </c>
      <c r="N99" s="232">
        <v>0</v>
      </c>
      <c r="O99" s="248"/>
      <c r="P99" s="182"/>
      <c r="Q99" s="236"/>
      <c r="R99" s="233">
        <f>100-(P99-L99)*10</f>
        <v>100</v>
      </c>
      <c r="S99" s="255">
        <f t="shared" si="9"/>
        <v>0</v>
      </c>
      <c r="T99" s="182"/>
      <c r="U99" s="234"/>
      <c r="V99" s="235"/>
      <c r="W99" s="402"/>
      <c r="Y99" s="409">
        <f t="shared" si="15"/>
        <v>0</v>
      </c>
    </row>
    <row r="100" spans="1:25" s="13" customFormat="1" ht="14.25" hidden="1" customHeight="1">
      <c r="A100" s="466"/>
      <c r="B100" s="468"/>
      <c r="C100" s="557"/>
      <c r="D100" s="454"/>
      <c r="E100" s="568"/>
      <c r="F100" s="571"/>
      <c r="G100" s="568"/>
      <c r="H100" s="571"/>
      <c r="I100" s="568"/>
      <c r="J100" s="571"/>
      <c r="K100" s="231" t="s">
        <v>158</v>
      </c>
      <c r="L100" s="314">
        <v>0</v>
      </c>
      <c r="M100" s="231" t="s">
        <v>30</v>
      </c>
      <c r="N100" s="232">
        <v>0</v>
      </c>
      <c r="O100" s="248"/>
      <c r="P100" s="182"/>
      <c r="Q100" s="236"/>
      <c r="R100" s="233">
        <f>100-(P100-L100)*10</f>
        <v>100</v>
      </c>
      <c r="S100" s="255">
        <f t="shared" si="9"/>
        <v>0</v>
      </c>
      <c r="T100" s="182"/>
      <c r="U100" s="234"/>
      <c r="V100" s="235"/>
      <c r="W100" s="402"/>
      <c r="Y100" s="409">
        <f t="shared" si="15"/>
        <v>0</v>
      </c>
    </row>
    <row r="101" spans="1:25" s="13" customFormat="1" ht="14.25" hidden="1" customHeight="1">
      <c r="A101" s="466"/>
      <c r="B101" s="468"/>
      <c r="C101" s="557"/>
      <c r="D101" s="454"/>
      <c r="E101" s="568"/>
      <c r="F101" s="571"/>
      <c r="G101" s="568"/>
      <c r="H101" s="571"/>
      <c r="I101" s="568"/>
      <c r="J101" s="571"/>
      <c r="K101" s="231" t="s">
        <v>158</v>
      </c>
      <c r="L101" s="314">
        <v>0</v>
      </c>
      <c r="M101" s="231" t="s">
        <v>30</v>
      </c>
      <c r="N101" s="232">
        <v>0</v>
      </c>
      <c r="O101" s="248"/>
      <c r="P101" s="182"/>
      <c r="Q101" s="236"/>
      <c r="R101" s="233">
        <f>100-(P101-L101)*10</f>
        <v>100</v>
      </c>
      <c r="S101" s="255">
        <f t="shared" si="9"/>
        <v>0</v>
      </c>
      <c r="T101" s="182"/>
      <c r="U101" s="234"/>
      <c r="V101" s="235"/>
      <c r="W101" s="402"/>
      <c r="Y101" s="409">
        <f t="shared" si="15"/>
        <v>0</v>
      </c>
    </row>
    <row r="102" spans="1:25" s="13" customFormat="1" ht="14.25" hidden="1" customHeight="1">
      <c r="A102" s="466"/>
      <c r="B102" s="468"/>
      <c r="C102" s="474"/>
      <c r="D102" s="455"/>
      <c r="E102" s="569"/>
      <c r="F102" s="572"/>
      <c r="G102" s="569"/>
      <c r="H102" s="572"/>
      <c r="I102" s="569"/>
      <c r="J102" s="572"/>
      <c r="K102" s="231" t="s">
        <v>158</v>
      </c>
      <c r="L102" s="314">
        <v>0</v>
      </c>
      <c r="M102" s="231" t="s">
        <v>30</v>
      </c>
      <c r="N102" s="232">
        <v>0</v>
      </c>
      <c r="O102" s="248"/>
      <c r="P102" s="182"/>
      <c r="Q102" s="236"/>
      <c r="R102" s="233">
        <f>100-(P102-L102)*10</f>
        <v>100</v>
      </c>
      <c r="S102" s="255">
        <f t="shared" si="9"/>
        <v>0</v>
      </c>
      <c r="T102" s="182"/>
      <c r="U102" s="234"/>
      <c r="V102" s="235"/>
      <c r="W102" s="402"/>
      <c r="Y102" s="409">
        <f t="shared" si="15"/>
        <v>0</v>
      </c>
    </row>
    <row r="103" spans="1:25" s="30" customFormat="1" ht="18.95" customHeight="1">
      <c r="A103" s="466"/>
      <c r="B103" s="468"/>
      <c r="C103" s="473">
        <v>0.13</v>
      </c>
      <c r="D103" s="178"/>
      <c r="E103" s="154" t="s">
        <v>202</v>
      </c>
      <c r="F103" s="558" t="s">
        <v>175</v>
      </c>
      <c r="G103" s="559"/>
      <c r="H103" s="559"/>
      <c r="I103" s="559"/>
      <c r="J103" s="559"/>
      <c r="K103" s="559"/>
      <c r="L103" s="559"/>
      <c r="M103" s="560"/>
      <c r="N103" s="168"/>
      <c r="O103" s="249"/>
      <c r="P103" s="89"/>
      <c r="Q103" s="89"/>
      <c r="R103" s="89"/>
      <c r="S103" s="256"/>
      <c r="T103" s="89"/>
      <c r="U103" s="179"/>
      <c r="V103" s="180"/>
      <c r="W103" s="401"/>
      <c r="Y103" s="409">
        <f t="shared" si="15"/>
        <v>0</v>
      </c>
    </row>
    <row r="104" spans="1:25" s="13" customFormat="1" ht="42.75" customHeight="1">
      <c r="A104" s="466"/>
      <c r="B104" s="468"/>
      <c r="C104" s="557"/>
      <c r="D104" s="487">
        <v>0.3</v>
      </c>
      <c r="E104" s="456" t="s">
        <v>127</v>
      </c>
      <c r="F104" s="547" t="s">
        <v>128</v>
      </c>
      <c r="G104" s="456" t="s">
        <v>237</v>
      </c>
      <c r="H104" s="547" t="s">
        <v>128</v>
      </c>
      <c r="I104" s="456" t="s">
        <v>420</v>
      </c>
      <c r="J104" s="561" t="s">
        <v>274</v>
      </c>
      <c r="K104" s="177" t="s">
        <v>158</v>
      </c>
      <c r="L104" s="314">
        <v>0</v>
      </c>
      <c r="M104" s="177" t="s">
        <v>159</v>
      </c>
      <c r="N104" s="141">
        <v>1</v>
      </c>
      <c r="O104" s="248">
        <f>$A$9*$B$37*$C$103*$D$104*N104</f>
        <v>1.4586E-2</v>
      </c>
      <c r="P104" s="182">
        <v>0</v>
      </c>
      <c r="Q104" s="177"/>
      <c r="R104" s="142">
        <v>100</v>
      </c>
      <c r="S104" s="255">
        <f t="shared" si="9"/>
        <v>1.4585999999999999</v>
      </c>
      <c r="T104" s="182">
        <v>0</v>
      </c>
      <c r="U104" s="389">
        <v>10</v>
      </c>
      <c r="V104" s="335">
        <f t="shared" ref="V104:V118" si="23">100-U104*T104</f>
        <v>100</v>
      </c>
      <c r="W104" s="392">
        <f t="shared" ref="W104:W118" si="24">V104*O104</f>
        <v>1.4585999999999999</v>
      </c>
      <c r="Y104" s="409">
        <f t="shared" si="15"/>
        <v>0</v>
      </c>
    </row>
    <row r="105" spans="1:25" s="13" customFormat="1" ht="14.25" hidden="1" customHeight="1">
      <c r="A105" s="466"/>
      <c r="B105" s="468"/>
      <c r="C105" s="557"/>
      <c r="D105" s="454"/>
      <c r="E105" s="457"/>
      <c r="F105" s="548"/>
      <c r="G105" s="457"/>
      <c r="H105" s="548"/>
      <c r="I105" s="457"/>
      <c r="J105" s="562"/>
      <c r="K105" s="177" t="s">
        <v>158</v>
      </c>
      <c r="L105" s="314">
        <v>0</v>
      </c>
      <c r="M105" s="177" t="s">
        <v>159</v>
      </c>
      <c r="N105" s="141">
        <v>0</v>
      </c>
      <c r="O105" s="248">
        <f>$A$9*$B$37*$C$103*$D$104*J105*N105</f>
        <v>0</v>
      </c>
      <c r="P105" s="182"/>
      <c r="Q105" s="177"/>
      <c r="R105" s="142">
        <f t="shared" ref="R105:R117" si="25">100-(P105-L105)*Q105</f>
        <v>100</v>
      </c>
      <c r="S105" s="255">
        <f t="shared" ref="S105:S157" si="26">R105*O105</f>
        <v>0</v>
      </c>
      <c r="T105" s="182"/>
      <c r="U105" s="389">
        <v>10</v>
      </c>
      <c r="V105" s="335">
        <f t="shared" si="23"/>
        <v>100</v>
      </c>
      <c r="W105" s="392">
        <f t="shared" si="24"/>
        <v>0</v>
      </c>
      <c r="Y105" s="409">
        <f t="shared" si="15"/>
        <v>0</v>
      </c>
    </row>
    <row r="106" spans="1:25" s="13" customFormat="1" ht="14.25" hidden="1" customHeight="1">
      <c r="A106" s="466"/>
      <c r="B106" s="468"/>
      <c r="C106" s="557"/>
      <c r="D106" s="454"/>
      <c r="E106" s="457"/>
      <c r="F106" s="548"/>
      <c r="G106" s="457"/>
      <c r="H106" s="548"/>
      <c r="I106" s="457"/>
      <c r="J106" s="562"/>
      <c r="K106" s="177" t="s">
        <v>158</v>
      </c>
      <c r="L106" s="314">
        <v>0</v>
      </c>
      <c r="M106" s="177" t="s">
        <v>159</v>
      </c>
      <c r="N106" s="141">
        <v>0</v>
      </c>
      <c r="O106" s="248">
        <f>$A$9*$B$37*$C$103*$D$104*J106*N106</f>
        <v>0</v>
      </c>
      <c r="P106" s="182"/>
      <c r="Q106" s="177"/>
      <c r="R106" s="142">
        <f t="shared" si="25"/>
        <v>100</v>
      </c>
      <c r="S106" s="255">
        <f t="shared" si="26"/>
        <v>0</v>
      </c>
      <c r="T106" s="182"/>
      <c r="U106" s="389">
        <v>10</v>
      </c>
      <c r="V106" s="335">
        <f t="shared" si="23"/>
        <v>100</v>
      </c>
      <c r="W106" s="392">
        <f t="shared" si="24"/>
        <v>0</v>
      </c>
      <c r="Y106" s="409">
        <f t="shared" si="15"/>
        <v>0</v>
      </c>
    </row>
    <row r="107" spans="1:25" s="13" customFormat="1" ht="14.25" hidden="1" customHeight="1">
      <c r="A107" s="466"/>
      <c r="B107" s="468"/>
      <c r="C107" s="557"/>
      <c r="D107" s="454"/>
      <c r="E107" s="457"/>
      <c r="F107" s="548"/>
      <c r="G107" s="457"/>
      <c r="H107" s="548"/>
      <c r="I107" s="457"/>
      <c r="J107" s="562"/>
      <c r="K107" s="177" t="s">
        <v>158</v>
      </c>
      <c r="L107" s="314">
        <v>0</v>
      </c>
      <c r="M107" s="177" t="s">
        <v>159</v>
      </c>
      <c r="N107" s="141">
        <v>0</v>
      </c>
      <c r="O107" s="248">
        <f>$A$9*$B$37*$C$103*$D$104*J107*N107</f>
        <v>0</v>
      </c>
      <c r="P107" s="182"/>
      <c r="Q107" s="177"/>
      <c r="R107" s="142">
        <f t="shared" si="25"/>
        <v>100</v>
      </c>
      <c r="S107" s="255">
        <f t="shared" si="26"/>
        <v>0</v>
      </c>
      <c r="T107" s="182"/>
      <c r="U107" s="389">
        <v>10</v>
      </c>
      <c r="V107" s="335">
        <f t="shared" si="23"/>
        <v>100</v>
      </c>
      <c r="W107" s="392">
        <f t="shared" si="24"/>
        <v>0</v>
      </c>
      <c r="Y107" s="409">
        <f t="shared" si="15"/>
        <v>0</v>
      </c>
    </row>
    <row r="108" spans="1:25" s="13" customFormat="1" ht="14.25" hidden="1" customHeight="1">
      <c r="A108" s="466"/>
      <c r="B108" s="468"/>
      <c r="C108" s="557"/>
      <c r="D108" s="455"/>
      <c r="E108" s="458"/>
      <c r="F108" s="549"/>
      <c r="G108" s="458"/>
      <c r="H108" s="549"/>
      <c r="I108" s="458"/>
      <c r="J108" s="563"/>
      <c r="K108" s="177" t="s">
        <v>158</v>
      </c>
      <c r="L108" s="314">
        <v>0</v>
      </c>
      <c r="M108" s="177" t="s">
        <v>159</v>
      </c>
      <c r="N108" s="141">
        <v>0</v>
      </c>
      <c r="O108" s="248">
        <f>$A$9*$B$37*$C$103*$D$104*J108*N108</f>
        <v>0</v>
      </c>
      <c r="P108" s="182"/>
      <c r="Q108" s="177"/>
      <c r="R108" s="142">
        <f t="shared" si="25"/>
        <v>100</v>
      </c>
      <c r="S108" s="255">
        <f t="shared" si="26"/>
        <v>0</v>
      </c>
      <c r="T108" s="182"/>
      <c r="U108" s="389">
        <v>10</v>
      </c>
      <c r="V108" s="335">
        <f t="shared" si="23"/>
        <v>100</v>
      </c>
      <c r="W108" s="392">
        <f t="shared" si="24"/>
        <v>0</v>
      </c>
      <c r="Y108" s="409">
        <f t="shared" si="15"/>
        <v>0</v>
      </c>
    </row>
    <row r="109" spans="1:25" s="13" customFormat="1" ht="66.75" hidden="1" customHeight="1">
      <c r="A109" s="466"/>
      <c r="B109" s="468"/>
      <c r="C109" s="557"/>
      <c r="D109" s="244">
        <v>0</v>
      </c>
      <c r="E109" s="84" t="s">
        <v>70</v>
      </c>
      <c r="F109" s="177" t="s">
        <v>71</v>
      </c>
      <c r="G109" s="84" t="s">
        <v>421</v>
      </c>
      <c r="H109" s="177" t="s">
        <v>71</v>
      </c>
      <c r="I109" s="84" t="s">
        <v>422</v>
      </c>
      <c r="J109" s="79" t="s">
        <v>320</v>
      </c>
      <c r="K109" s="177" t="s">
        <v>158</v>
      </c>
      <c r="L109" s="314">
        <v>0</v>
      </c>
      <c r="M109" s="177" t="s">
        <v>159</v>
      </c>
      <c r="N109" s="141">
        <v>1</v>
      </c>
      <c r="O109" s="248">
        <f>$A$9*$B$37*$C$103*$D$109*N109</f>
        <v>0</v>
      </c>
      <c r="P109" s="182">
        <v>0</v>
      </c>
      <c r="Q109" s="177"/>
      <c r="R109" s="142">
        <v>100</v>
      </c>
      <c r="S109" s="255">
        <f t="shared" si="26"/>
        <v>0</v>
      </c>
      <c r="T109" s="182">
        <v>0</v>
      </c>
      <c r="U109" s="389">
        <v>10</v>
      </c>
      <c r="V109" s="335">
        <f t="shared" si="23"/>
        <v>100</v>
      </c>
      <c r="W109" s="392">
        <f t="shared" si="24"/>
        <v>0</v>
      </c>
      <c r="Y109" s="409">
        <f t="shared" si="15"/>
        <v>0</v>
      </c>
    </row>
    <row r="110" spans="1:25" s="13" customFormat="1" ht="52.5" customHeight="1">
      <c r="A110" s="466"/>
      <c r="B110" s="468"/>
      <c r="C110" s="557"/>
      <c r="D110" s="487">
        <v>0.3</v>
      </c>
      <c r="E110" s="456" t="s">
        <v>129</v>
      </c>
      <c r="F110" s="547" t="s">
        <v>130</v>
      </c>
      <c r="G110" s="456" t="s">
        <v>423</v>
      </c>
      <c r="H110" s="547" t="s">
        <v>130</v>
      </c>
      <c r="I110" s="456" t="s">
        <v>424</v>
      </c>
      <c r="J110" s="561" t="s">
        <v>297</v>
      </c>
      <c r="K110" s="177" t="s">
        <v>158</v>
      </c>
      <c r="L110" s="314">
        <v>0</v>
      </c>
      <c r="M110" s="177" t="s">
        <v>159</v>
      </c>
      <c r="N110" s="141">
        <v>1</v>
      </c>
      <c r="O110" s="248">
        <f>$A$9*$B$37*$C$103*$D$110*N110</f>
        <v>1.4586E-2</v>
      </c>
      <c r="P110" s="182">
        <v>0</v>
      </c>
      <c r="Q110" s="177"/>
      <c r="R110" s="142">
        <v>100</v>
      </c>
      <c r="S110" s="255">
        <f t="shared" si="26"/>
        <v>1.4585999999999999</v>
      </c>
      <c r="T110" s="182">
        <v>0</v>
      </c>
      <c r="U110" s="389">
        <v>10</v>
      </c>
      <c r="V110" s="335">
        <f t="shared" si="23"/>
        <v>100</v>
      </c>
      <c r="W110" s="392">
        <f t="shared" si="24"/>
        <v>1.4585999999999999</v>
      </c>
      <c r="Y110" s="409">
        <f t="shared" si="15"/>
        <v>0</v>
      </c>
    </row>
    <row r="111" spans="1:25" s="13" customFormat="1" ht="14.25" hidden="1" customHeight="1">
      <c r="A111" s="466"/>
      <c r="B111" s="468"/>
      <c r="C111" s="557"/>
      <c r="D111" s="454"/>
      <c r="E111" s="457"/>
      <c r="F111" s="548"/>
      <c r="G111" s="457"/>
      <c r="H111" s="548"/>
      <c r="I111" s="457"/>
      <c r="J111" s="562"/>
      <c r="K111" s="177" t="s">
        <v>158</v>
      </c>
      <c r="L111" s="314">
        <v>0</v>
      </c>
      <c r="M111" s="177" t="s">
        <v>159</v>
      </c>
      <c r="N111" s="141">
        <v>0</v>
      </c>
      <c r="O111" s="248">
        <f>$A$9*$B$37*$C$103*$D$110*J111*N111</f>
        <v>0</v>
      </c>
      <c r="P111" s="182"/>
      <c r="Q111" s="177"/>
      <c r="R111" s="142">
        <f t="shared" si="25"/>
        <v>100</v>
      </c>
      <c r="S111" s="255">
        <f t="shared" si="26"/>
        <v>0</v>
      </c>
      <c r="T111" s="182"/>
      <c r="U111" s="389">
        <v>10</v>
      </c>
      <c r="V111" s="335">
        <f t="shared" si="23"/>
        <v>100</v>
      </c>
      <c r="W111" s="392">
        <f t="shared" si="24"/>
        <v>0</v>
      </c>
      <c r="Y111" s="409">
        <f t="shared" si="15"/>
        <v>0</v>
      </c>
    </row>
    <row r="112" spans="1:25" s="13" customFormat="1" ht="14.25" hidden="1" customHeight="1">
      <c r="A112" s="466"/>
      <c r="B112" s="468"/>
      <c r="C112" s="557"/>
      <c r="D112" s="454"/>
      <c r="E112" s="457"/>
      <c r="F112" s="548"/>
      <c r="G112" s="457"/>
      <c r="H112" s="548"/>
      <c r="I112" s="457"/>
      <c r="J112" s="562"/>
      <c r="K112" s="177" t="s">
        <v>158</v>
      </c>
      <c r="L112" s="314">
        <v>0</v>
      </c>
      <c r="M112" s="177" t="s">
        <v>159</v>
      </c>
      <c r="N112" s="141">
        <v>0</v>
      </c>
      <c r="O112" s="248">
        <f>$A$9*$B$37*$C$103*$D$110*J112*N112</f>
        <v>0</v>
      </c>
      <c r="P112" s="182"/>
      <c r="Q112" s="177"/>
      <c r="R112" s="142">
        <f t="shared" si="25"/>
        <v>100</v>
      </c>
      <c r="S112" s="255">
        <f t="shared" si="26"/>
        <v>0</v>
      </c>
      <c r="T112" s="182"/>
      <c r="U112" s="389">
        <v>10</v>
      </c>
      <c r="V112" s="335">
        <f t="shared" si="23"/>
        <v>100</v>
      </c>
      <c r="W112" s="392">
        <f t="shared" si="24"/>
        <v>0</v>
      </c>
      <c r="Y112" s="409">
        <f t="shared" si="15"/>
        <v>0</v>
      </c>
    </row>
    <row r="113" spans="1:25" s="13" customFormat="1" ht="14.25" hidden="1" customHeight="1">
      <c r="A113" s="466"/>
      <c r="B113" s="468"/>
      <c r="C113" s="557"/>
      <c r="D113" s="455"/>
      <c r="E113" s="458"/>
      <c r="F113" s="549"/>
      <c r="G113" s="458"/>
      <c r="H113" s="549"/>
      <c r="I113" s="458"/>
      <c r="J113" s="563"/>
      <c r="K113" s="177" t="s">
        <v>158</v>
      </c>
      <c r="L113" s="314">
        <v>0</v>
      </c>
      <c r="M113" s="177" t="s">
        <v>159</v>
      </c>
      <c r="N113" s="141">
        <v>0</v>
      </c>
      <c r="O113" s="248">
        <f>$A$9*$B$37*$C$103*$D$110*J113*N113</f>
        <v>0</v>
      </c>
      <c r="P113" s="182"/>
      <c r="Q113" s="177"/>
      <c r="R113" s="142">
        <f t="shared" si="25"/>
        <v>100</v>
      </c>
      <c r="S113" s="255">
        <f t="shared" si="26"/>
        <v>0</v>
      </c>
      <c r="T113" s="182"/>
      <c r="U113" s="389">
        <v>10</v>
      </c>
      <c r="V113" s="335">
        <f t="shared" si="23"/>
        <v>100</v>
      </c>
      <c r="W113" s="392">
        <f t="shared" si="24"/>
        <v>0</v>
      </c>
      <c r="Y113" s="409">
        <f t="shared" si="15"/>
        <v>0</v>
      </c>
    </row>
    <row r="114" spans="1:25" s="13" customFormat="1" ht="47.25" customHeight="1">
      <c r="A114" s="466"/>
      <c r="B114" s="468"/>
      <c r="C114" s="557"/>
      <c r="D114" s="487">
        <v>0.4</v>
      </c>
      <c r="E114" s="456" t="s">
        <v>131</v>
      </c>
      <c r="F114" s="547" t="s">
        <v>132</v>
      </c>
      <c r="G114" s="456" t="s">
        <v>425</v>
      </c>
      <c r="H114" s="547" t="s">
        <v>132</v>
      </c>
      <c r="I114" s="456" t="s">
        <v>426</v>
      </c>
      <c r="J114" s="561" t="s">
        <v>132</v>
      </c>
      <c r="K114" s="177" t="s">
        <v>158</v>
      </c>
      <c r="L114" s="314">
        <v>0</v>
      </c>
      <c r="M114" s="177" t="s">
        <v>159</v>
      </c>
      <c r="N114" s="141">
        <v>1</v>
      </c>
      <c r="O114" s="248">
        <f>$A$9*$B$37*$C$103*$D$114*N114</f>
        <v>1.9448000000000003E-2</v>
      </c>
      <c r="P114" s="182">
        <v>0</v>
      </c>
      <c r="Q114" s="177"/>
      <c r="R114" s="142">
        <v>100</v>
      </c>
      <c r="S114" s="255">
        <f t="shared" si="26"/>
        <v>1.9448000000000003</v>
      </c>
      <c r="T114" s="182">
        <v>0</v>
      </c>
      <c r="U114" s="389">
        <v>10</v>
      </c>
      <c r="V114" s="335">
        <f t="shared" si="23"/>
        <v>100</v>
      </c>
      <c r="W114" s="392">
        <f t="shared" si="24"/>
        <v>1.9448000000000003</v>
      </c>
      <c r="Y114" s="409">
        <f t="shared" si="15"/>
        <v>0</v>
      </c>
    </row>
    <row r="115" spans="1:25" s="13" customFormat="1" ht="14.25" hidden="1" customHeight="1">
      <c r="A115" s="466"/>
      <c r="B115" s="468"/>
      <c r="C115" s="557"/>
      <c r="D115" s="454"/>
      <c r="E115" s="457"/>
      <c r="F115" s="548"/>
      <c r="G115" s="457"/>
      <c r="H115" s="548"/>
      <c r="I115" s="457"/>
      <c r="J115" s="562"/>
      <c r="K115" s="177" t="s">
        <v>158</v>
      </c>
      <c r="L115" s="314">
        <v>0</v>
      </c>
      <c r="M115" s="177" t="s">
        <v>160</v>
      </c>
      <c r="N115" s="141">
        <v>0</v>
      </c>
      <c r="O115" s="248">
        <f>$A$9*$B$37*$C$103*$D$114*J115*N115</f>
        <v>0</v>
      </c>
      <c r="P115" s="182"/>
      <c r="Q115" s="177"/>
      <c r="R115" s="142">
        <f t="shared" si="25"/>
        <v>100</v>
      </c>
      <c r="S115" s="255">
        <f t="shared" si="26"/>
        <v>0</v>
      </c>
      <c r="T115" s="182"/>
      <c r="U115" s="389">
        <v>10</v>
      </c>
      <c r="V115" s="335">
        <f t="shared" si="23"/>
        <v>100</v>
      </c>
      <c r="W115" s="392">
        <f t="shared" si="24"/>
        <v>0</v>
      </c>
      <c r="Y115" s="409">
        <f t="shared" si="15"/>
        <v>0</v>
      </c>
    </row>
    <row r="116" spans="1:25" s="13" customFormat="1" ht="14.25" hidden="1" customHeight="1">
      <c r="A116" s="466"/>
      <c r="B116" s="468"/>
      <c r="C116" s="557"/>
      <c r="D116" s="454"/>
      <c r="E116" s="457"/>
      <c r="F116" s="548"/>
      <c r="G116" s="457"/>
      <c r="H116" s="548"/>
      <c r="I116" s="457"/>
      <c r="J116" s="562"/>
      <c r="K116" s="177" t="s">
        <v>158</v>
      </c>
      <c r="L116" s="314">
        <v>0</v>
      </c>
      <c r="M116" s="177" t="s">
        <v>171</v>
      </c>
      <c r="N116" s="141">
        <v>0</v>
      </c>
      <c r="O116" s="248">
        <f>$A$9*$B$37*$C$103*$D$114*J116*N116</f>
        <v>0</v>
      </c>
      <c r="P116" s="182"/>
      <c r="Q116" s="177"/>
      <c r="R116" s="142">
        <f t="shared" si="25"/>
        <v>100</v>
      </c>
      <c r="S116" s="255">
        <f t="shared" si="26"/>
        <v>0</v>
      </c>
      <c r="T116" s="182"/>
      <c r="U116" s="389">
        <v>10</v>
      </c>
      <c r="V116" s="335">
        <f t="shared" si="23"/>
        <v>100</v>
      </c>
      <c r="W116" s="392">
        <f t="shared" si="24"/>
        <v>0</v>
      </c>
      <c r="Y116" s="409">
        <f t="shared" si="15"/>
        <v>0</v>
      </c>
    </row>
    <row r="117" spans="1:25" s="13" customFormat="1" ht="14.25" hidden="1" customHeight="1">
      <c r="A117" s="466"/>
      <c r="B117" s="468"/>
      <c r="C117" s="557"/>
      <c r="D117" s="455"/>
      <c r="E117" s="458"/>
      <c r="F117" s="549"/>
      <c r="G117" s="458"/>
      <c r="H117" s="549"/>
      <c r="I117" s="458"/>
      <c r="J117" s="563"/>
      <c r="K117" s="177" t="s">
        <v>158</v>
      </c>
      <c r="L117" s="314">
        <v>0</v>
      </c>
      <c r="M117" s="177" t="s">
        <v>160</v>
      </c>
      <c r="N117" s="141">
        <v>0</v>
      </c>
      <c r="O117" s="248">
        <f>$A$9*$B$37*$C$103*$D$114*J117*N117</f>
        <v>0</v>
      </c>
      <c r="P117" s="182"/>
      <c r="Q117" s="177"/>
      <c r="R117" s="142">
        <f t="shared" si="25"/>
        <v>100</v>
      </c>
      <c r="S117" s="255">
        <f t="shared" si="26"/>
        <v>0</v>
      </c>
      <c r="T117" s="182"/>
      <c r="U117" s="389">
        <v>10</v>
      </c>
      <c r="V117" s="335">
        <f t="shared" si="23"/>
        <v>100</v>
      </c>
      <c r="W117" s="392">
        <f t="shared" si="24"/>
        <v>0</v>
      </c>
      <c r="Y117" s="409">
        <f t="shared" si="15"/>
        <v>0</v>
      </c>
    </row>
    <row r="118" spans="1:25" s="13" customFormat="1" ht="45" hidden="1" customHeight="1">
      <c r="A118" s="466"/>
      <c r="B118" s="468"/>
      <c r="C118" s="557"/>
      <c r="D118" s="487">
        <v>0</v>
      </c>
      <c r="E118" s="456" t="s">
        <v>133</v>
      </c>
      <c r="F118" s="547" t="s">
        <v>134</v>
      </c>
      <c r="G118" s="456" t="s">
        <v>427</v>
      </c>
      <c r="H118" s="547" t="s">
        <v>134</v>
      </c>
      <c r="I118" s="456" t="s">
        <v>428</v>
      </c>
      <c r="J118" s="561" t="s">
        <v>284</v>
      </c>
      <c r="K118" s="177" t="s">
        <v>158</v>
      </c>
      <c r="L118" s="314">
        <v>0</v>
      </c>
      <c r="M118" s="177" t="s">
        <v>159</v>
      </c>
      <c r="N118" s="141">
        <v>1</v>
      </c>
      <c r="O118" s="248">
        <f>$A$9*$B$37*$C$103*$D$118*N118</f>
        <v>0</v>
      </c>
      <c r="P118" s="182">
        <v>0</v>
      </c>
      <c r="Q118" s="177"/>
      <c r="R118" s="142">
        <v>100</v>
      </c>
      <c r="S118" s="255">
        <f t="shared" si="26"/>
        <v>0</v>
      </c>
      <c r="T118" s="182">
        <v>0</v>
      </c>
      <c r="U118" s="389">
        <v>10</v>
      </c>
      <c r="V118" s="335">
        <f t="shared" si="23"/>
        <v>100</v>
      </c>
      <c r="W118" s="392">
        <f t="shared" si="24"/>
        <v>0</v>
      </c>
      <c r="Y118" s="409">
        <f t="shared" si="15"/>
        <v>0</v>
      </c>
    </row>
    <row r="119" spans="1:25" s="13" customFormat="1" ht="14.25" hidden="1" customHeight="1">
      <c r="A119" s="466"/>
      <c r="B119" s="468"/>
      <c r="C119" s="474"/>
      <c r="D119" s="455"/>
      <c r="E119" s="458"/>
      <c r="F119" s="549"/>
      <c r="G119" s="458"/>
      <c r="H119" s="549"/>
      <c r="I119" s="458"/>
      <c r="J119" s="563"/>
      <c r="K119" s="79" t="s">
        <v>158</v>
      </c>
      <c r="L119" s="314">
        <v>0</v>
      </c>
      <c r="M119" s="79" t="s">
        <v>30</v>
      </c>
      <c r="N119" s="141">
        <v>0</v>
      </c>
      <c r="O119" s="248"/>
      <c r="P119" s="182"/>
      <c r="Q119" s="79"/>
      <c r="R119" s="142">
        <f>100-(P119-L119)*10</f>
        <v>100</v>
      </c>
      <c r="S119" s="255">
        <f t="shared" si="26"/>
        <v>0</v>
      </c>
      <c r="T119" s="182"/>
      <c r="U119" s="20"/>
      <c r="V119" s="19"/>
      <c r="W119" s="399"/>
      <c r="Y119" s="409">
        <f t="shared" si="15"/>
        <v>0</v>
      </c>
    </row>
    <row r="120" spans="1:25" s="30" customFormat="1" ht="15.75" customHeight="1">
      <c r="A120" s="466"/>
      <c r="B120" s="468"/>
      <c r="C120" s="473">
        <v>0.06</v>
      </c>
      <c r="D120" s="178"/>
      <c r="E120" s="154" t="s">
        <v>212</v>
      </c>
      <c r="F120" s="558" t="s">
        <v>190</v>
      </c>
      <c r="G120" s="559"/>
      <c r="H120" s="559"/>
      <c r="I120" s="559"/>
      <c r="J120" s="559"/>
      <c r="K120" s="559"/>
      <c r="L120" s="559"/>
      <c r="M120" s="560"/>
      <c r="N120" s="168"/>
      <c r="O120" s="249"/>
      <c r="P120" s="182"/>
      <c r="Q120" s="89"/>
      <c r="R120" s="89"/>
      <c r="S120" s="256"/>
      <c r="T120" s="182"/>
      <c r="U120" s="179"/>
      <c r="V120" s="180"/>
      <c r="W120" s="401"/>
      <c r="Y120" s="409">
        <f t="shared" si="15"/>
        <v>0</v>
      </c>
    </row>
    <row r="121" spans="1:25" s="13" customFormat="1" ht="54" customHeight="1">
      <c r="A121" s="466"/>
      <c r="B121" s="468"/>
      <c r="C121" s="557"/>
      <c r="D121" s="286">
        <v>0</v>
      </c>
      <c r="E121" s="285" t="s">
        <v>135</v>
      </c>
      <c r="F121" s="287" t="s">
        <v>136</v>
      </c>
      <c r="G121" s="285" t="s">
        <v>429</v>
      </c>
      <c r="H121" s="287" t="s">
        <v>136</v>
      </c>
      <c r="I121" s="285" t="s">
        <v>430</v>
      </c>
      <c r="J121" s="386" t="s">
        <v>238</v>
      </c>
      <c r="K121" s="287" t="s">
        <v>158</v>
      </c>
      <c r="L121" s="387">
        <v>0</v>
      </c>
      <c r="M121" s="287" t="s">
        <v>159</v>
      </c>
      <c r="N121" s="290">
        <v>1</v>
      </c>
      <c r="O121" s="291">
        <f>$A$9*$B$37*$C$120*$D$121*N121</f>
        <v>0</v>
      </c>
      <c r="P121" s="387"/>
      <c r="Q121" s="287"/>
      <c r="R121" s="292">
        <f>100-(P121-L121)*Q121</f>
        <v>100</v>
      </c>
      <c r="S121" s="293">
        <f t="shared" si="26"/>
        <v>0</v>
      </c>
      <c r="T121" s="387"/>
      <c r="U121" s="389">
        <v>10</v>
      </c>
      <c r="V121" s="335">
        <f t="shared" ref="V121:V122" si="27">100-U121*T121</f>
        <v>100</v>
      </c>
      <c r="W121" s="392">
        <f t="shared" ref="W121:W122" si="28">V121*O121</f>
        <v>0</v>
      </c>
      <c r="Y121" s="409">
        <f t="shared" si="15"/>
        <v>0</v>
      </c>
    </row>
    <row r="122" spans="1:25" s="13" customFormat="1" ht="41.25" customHeight="1">
      <c r="A122" s="466"/>
      <c r="B122" s="468"/>
      <c r="C122" s="474"/>
      <c r="D122" s="244">
        <v>1</v>
      </c>
      <c r="E122" s="84" t="s">
        <v>137</v>
      </c>
      <c r="F122" s="177" t="s">
        <v>197</v>
      </c>
      <c r="G122" s="84" t="s">
        <v>431</v>
      </c>
      <c r="H122" s="177" t="s">
        <v>197</v>
      </c>
      <c r="I122" s="84" t="s">
        <v>432</v>
      </c>
      <c r="J122" s="181" t="s">
        <v>307</v>
      </c>
      <c r="K122" s="177" t="s">
        <v>158</v>
      </c>
      <c r="L122" s="314">
        <v>0</v>
      </c>
      <c r="M122" s="177" t="s">
        <v>159</v>
      </c>
      <c r="N122" s="141">
        <v>1</v>
      </c>
      <c r="O122" s="248">
        <f>$A$9*$B$37*$C$120*$D$122*N122</f>
        <v>2.2439999999999998E-2</v>
      </c>
      <c r="P122" s="182">
        <v>0</v>
      </c>
      <c r="Q122" s="177"/>
      <c r="R122" s="142">
        <v>100</v>
      </c>
      <c r="S122" s="255">
        <f t="shared" si="26"/>
        <v>2.2439999999999998</v>
      </c>
      <c r="T122" s="182">
        <v>0</v>
      </c>
      <c r="U122" s="389">
        <v>10</v>
      </c>
      <c r="V122" s="335">
        <f t="shared" si="27"/>
        <v>100</v>
      </c>
      <c r="W122" s="392">
        <f t="shared" si="28"/>
        <v>2.2439999999999998</v>
      </c>
      <c r="Y122" s="409">
        <f t="shared" si="15"/>
        <v>0</v>
      </c>
    </row>
    <row r="123" spans="1:25" s="13" customFormat="1" ht="15.75" customHeight="1">
      <c r="A123" s="466"/>
      <c r="B123" s="468"/>
      <c r="C123" s="473">
        <v>0.05</v>
      </c>
      <c r="D123" s="138"/>
      <c r="E123" s="154" t="s">
        <v>213</v>
      </c>
      <c r="F123" s="558" t="s">
        <v>191</v>
      </c>
      <c r="G123" s="559"/>
      <c r="H123" s="559"/>
      <c r="I123" s="559"/>
      <c r="J123" s="559"/>
      <c r="K123" s="559"/>
      <c r="L123" s="559"/>
      <c r="M123" s="560"/>
      <c r="N123" s="173"/>
      <c r="O123" s="249"/>
      <c r="P123" s="182"/>
      <c r="Q123" s="174"/>
      <c r="R123" s="174"/>
      <c r="S123" s="256"/>
      <c r="T123" s="182"/>
      <c r="U123" s="176"/>
      <c r="V123" s="170"/>
      <c r="W123" s="400"/>
      <c r="Y123" s="409">
        <f t="shared" si="15"/>
        <v>0</v>
      </c>
    </row>
    <row r="124" spans="1:25" s="13" customFormat="1" ht="37.5" customHeight="1">
      <c r="A124" s="466"/>
      <c r="B124" s="468"/>
      <c r="C124" s="557"/>
      <c r="D124" s="487">
        <v>0.5</v>
      </c>
      <c r="E124" s="456" t="s">
        <v>138</v>
      </c>
      <c r="F124" s="547" t="s">
        <v>139</v>
      </c>
      <c r="G124" s="456" t="s">
        <v>433</v>
      </c>
      <c r="H124" s="547" t="s">
        <v>139</v>
      </c>
      <c r="I124" s="456" t="s">
        <v>434</v>
      </c>
      <c r="J124" s="459" t="s">
        <v>298</v>
      </c>
      <c r="K124" s="177" t="s">
        <v>158</v>
      </c>
      <c r="L124" s="314">
        <v>0</v>
      </c>
      <c r="M124" s="177" t="s">
        <v>159</v>
      </c>
      <c r="N124" s="141">
        <v>1</v>
      </c>
      <c r="O124" s="248">
        <f>$A$9*$B$37*$C$123*$D$124*N124</f>
        <v>9.3500000000000007E-3</v>
      </c>
      <c r="P124" s="182">
        <v>0</v>
      </c>
      <c r="Q124" s="177"/>
      <c r="R124" s="142">
        <v>100</v>
      </c>
      <c r="S124" s="255">
        <f t="shared" si="26"/>
        <v>0.93500000000000005</v>
      </c>
      <c r="T124" s="182">
        <v>0</v>
      </c>
      <c r="U124" s="389">
        <v>10</v>
      </c>
      <c r="V124" s="335">
        <f t="shared" ref="V124:V126" si="29">100-U124*T124</f>
        <v>100</v>
      </c>
      <c r="W124" s="392">
        <f t="shared" ref="W124:W126" si="30">V124*O124</f>
        <v>0.93500000000000005</v>
      </c>
      <c r="Y124" s="409">
        <f t="shared" si="15"/>
        <v>0</v>
      </c>
    </row>
    <row r="125" spans="1:25" s="13" customFormat="1" ht="14.25" hidden="1" customHeight="1">
      <c r="A125" s="466"/>
      <c r="B125" s="468"/>
      <c r="C125" s="557"/>
      <c r="D125" s="455"/>
      <c r="E125" s="458"/>
      <c r="F125" s="549"/>
      <c r="G125" s="458"/>
      <c r="H125" s="549"/>
      <c r="I125" s="458"/>
      <c r="J125" s="461"/>
      <c r="K125" s="177" t="s">
        <v>158</v>
      </c>
      <c r="L125" s="314">
        <v>0</v>
      </c>
      <c r="M125" s="177" t="s">
        <v>159</v>
      </c>
      <c r="N125" s="141">
        <v>0</v>
      </c>
      <c r="O125" s="248">
        <f>$A$9*$B$37*$C$123*$D$124*J125*N125</f>
        <v>0</v>
      </c>
      <c r="P125" s="182"/>
      <c r="Q125" s="177"/>
      <c r="R125" s="142">
        <f>100-(P125-L125)*Q125</f>
        <v>100</v>
      </c>
      <c r="S125" s="255">
        <f t="shared" si="26"/>
        <v>0</v>
      </c>
      <c r="T125" s="182"/>
      <c r="U125" s="389">
        <v>10</v>
      </c>
      <c r="V125" s="335">
        <f t="shared" si="29"/>
        <v>100</v>
      </c>
      <c r="W125" s="392">
        <f t="shared" si="30"/>
        <v>0</v>
      </c>
      <c r="Y125" s="409">
        <f t="shared" si="15"/>
        <v>0</v>
      </c>
    </row>
    <row r="126" spans="1:25" s="13" customFormat="1" ht="36" customHeight="1">
      <c r="A126" s="466"/>
      <c r="B126" s="468"/>
      <c r="C126" s="474"/>
      <c r="D126" s="244">
        <v>0.5</v>
      </c>
      <c r="E126" s="84" t="s">
        <v>140</v>
      </c>
      <c r="F126" s="4" t="s">
        <v>198</v>
      </c>
      <c r="G126" s="84" t="s">
        <v>435</v>
      </c>
      <c r="H126" s="4" t="s">
        <v>198</v>
      </c>
      <c r="I126" s="84" t="s">
        <v>436</v>
      </c>
      <c r="J126" s="181" t="s">
        <v>307</v>
      </c>
      <c r="K126" s="177" t="s">
        <v>158</v>
      </c>
      <c r="L126" s="314">
        <v>0</v>
      </c>
      <c r="M126" s="177" t="s">
        <v>159</v>
      </c>
      <c r="N126" s="141">
        <v>1</v>
      </c>
      <c r="O126" s="248">
        <f>$A$9*$B$37*$C$123*$D$126*N126</f>
        <v>9.3500000000000007E-3</v>
      </c>
      <c r="P126" s="182">
        <v>0</v>
      </c>
      <c r="Q126" s="177"/>
      <c r="R126" s="142">
        <v>100</v>
      </c>
      <c r="S126" s="255">
        <f t="shared" si="26"/>
        <v>0.93500000000000005</v>
      </c>
      <c r="T126" s="182">
        <v>0</v>
      </c>
      <c r="U126" s="389">
        <v>10</v>
      </c>
      <c r="V126" s="335">
        <f t="shared" si="29"/>
        <v>100</v>
      </c>
      <c r="W126" s="392">
        <f t="shared" si="30"/>
        <v>0.93500000000000005</v>
      </c>
      <c r="Y126" s="409">
        <f t="shared" si="15"/>
        <v>0</v>
      </c>
    </row>
    <row r="127" spans="1:25" s="13" customFormat="1" ht="15.75" customHeight="1">
      <c r="A127" s="466"/>
      <c r="B127" s="468"/>
      <c r="C127" s="473">
        <v>0.03</v>
      </c>
      <c r="D127" s="138"/>
      <c r="E127" s="154" t="s">
        <v>214</v>
      </c>
      <c r="F127" s="558" t="s">
        <v>215</v>
      </c>
      <c r="G127" s="559"/>
      <c r="H127" s="559"/>
      <c r="I127" s="559"/>
      <c r="J127" s="559"/>
      <c r="K127" s="559"/>
      <c r="L127" s="559"/>
      <c r="M127" s="560"/>
      <c r="N127" s="168"/>
      <c r="O127" s="249"/>
      <c r="P127" s="174"/>
      <c r="Q127" s="174"/>
      <c r="R127" s="174"/>
      <c r="S127" s="256"/>
      <c r="T127" s="174"/>
      <c r="U127" s="176"/>
      <c r="V127" s="170"/>
      <c r="W127" s="400"/>
      <c r="Y127" s="409">
        <f t="shared" si="15"/>
        <v>0</v>
      </c>
    </row>
    <row r="128" spans="1:25" s="13" customFormat="1" ht="41.25" customHeight="1">
      <c r="A128" s="466"/>
      <c r="B128" s="468"/>
      <c r="C128" s="474"/>
      <c r="D128" s="244">
        <v>1</v>
      </c>
      <c r="E128" s="84" t="s">
        <v>141</v>
      </c>
      <c r="F128" s="177" t="s">
        <v>239</v>
      </c>
      <c r="G128" s="84" t="s">
        <v>437</v>
      </c>
      <c r="H128" s="177" t="s">
        <v>239</v>
      </c>
      <c r="I128" s="84" t="s">
        <v>438</v>
      </c>
      <c r="J128" s="177" t="s">
        <v>239</v>
      </c>
      <c r="K128" s="177" t="s">
        <v>158</v>
      </c>
      <c r="L128" s="314">
        <v>0</v>
      </c>
      <c r="M128" s="177" t="s">
        <v>159</v>
      </c>
      <c r="N128" s="141">
        <v>1</v>
      </c>
      <c r="O128" s="248">
        <f>$A$9*$B$37*$C$127*$D$128*N128</f>
        <v>1.1219999999999999E-2</v>
      </c>
      <c r="P128" s="182">
        <v>0</v>
      </c>
      <c r="Q128" s="177"/>
      <c r="R128" s="142">
        <v>100</v>
      </c>
      <c r="S128" s="255">
        <f t="shared" si="26"/>
        <v>1.1219999999999999</v>
      </c>
      <c r="T128" s="182">
        <v>0</v>
      </c>
      <c r="U128" s="389">
        <v>10</v>
      </c>
      <c r="V128" s="335">
        <f t="shared" ref="V128" si="31">100-U128*T128</f>
        <v>100</v>
      </c>
      <c r="W128" s="392">
        <f t="shared" ref="W128" si="32">V128*O128</f>
        <v>1.1219999999999999</v>
      </c>
      <c r="Y128" s="409">
        <f t="shared" si="15"/>
        <v>0</v>
      </c>
    </row>
    <row r="129" spans="1:25" s="13" customFormat="1" ht="23.25" customHeight="1">
      <c r="A129" s="466"/>
      <c r="B129" s="468"/>
      <c r="C129" s="473">
        <v>7.0000000000000007E-2</v>
      </c>
      <c r="D129" s="138"/>
      <c r="E129" s="154" t="s">
        <v>203</v>
      </c>
      <c r="F129" s="558" t="s">
        <v>72</v>
      </c>
      <c r="G129" s="559"/>
      <c r="H129" s="559"/>
      <c r="I129" s="559"/>
      <c r="J129" s="559"/>
      <c r="K129" s="559"/>
      <c r="L129" s="559"/>
      <c r="M129" s="560"/>
      <c r="N129" s="168"/>
      <c r="O129" s="249"/>
      <c r="P129" s="174"/>
      <c r="Q129" s="174"/>
      <c r="R129" s="174"/>
      <c r="S129" s="256"/>
      <c r="T129" s="174"/>
      <c r="U129" s="176"/>
      <c r="V129" s="170"/>
      <c r="W129" s="400"/>
      <c r="Y129" s="409">
        <f t="shared" si="15"/>
        <v>0</v>
      </c>
    </row>
    <row r="130" spans="1:25" s="13" customFormat="1" ht="39.75" hidden="1" customHeight="1">
      <c r="A130" s="466"/>
      <c r="B130" s="468"/>
      <c r="C130" s="557"/>
      <c r="D130" s="244">
        <v>0</v>
      </c>
      <c r="E130" s="84" t="s">
        <v>73</v>
      </c>
      <c r="F130" s="177" t="s">
        <v>74</v>
      </c>
      <c r="G130" s="84" t="s">
        <v>439</v>
      </c>
      <c r="H130" s="177" t="s">
        <v>74</v>
      </c>
      <c r="I130" s="84" t="s">
        <v>440</v>
      </c>
      <c r="J130" s="177" t="s">
        <v>294</v>
      </c>
      <c r="K130" s="177" t="s">
        <v>158</v>
      </c>
      <c r="L130" s="314">
        <v>0</v>
      </c>
      <c r="M130" s="177" t="s">
        <v>159</v>
      </c>
      <c r="N130" s="141">
        <v>1</v>
      </c>
      <c r="O130" s="248">
        <f>$A$9*$B$37*$C$129*$D$130*N130</f>
        <v>0</v>
      </c>
      <c r="P130" s="182">
        <v>0</v>
      </c>
      <c r="Q130" s="177"/>
      <c r="R130" s="142">
        <v>100</v>
      </c>
      <c r="S130" s="255">
        <f t="shared" si="26"/>
        <v>0</v>
      </c>
      <c r="T130" s="182">
        <v>0</v>
      </c>
      <c r="U130" s="389">
        <v>10</v>
      </c>
      <c r="V130" s="335">
        <f t="shared" ref="V130:V132" si="33">100-U130*T130</f>
        <v>100</v>
      </c>
      <c r="W130" s="392">
        <f t="shared" ref="W130:W132" si="34">V130*O130</f>
        <v>0</v>
      </c>
      <c r="Y130" s="409">
        <f t="shared" si="15"/>
        <v>0</v>
      </c>
    </row>
    <row r="131" spans="1:25" s="13" customFormat="1" ht="45">
      <c r="A131" s="466"/>
      <c r="B131" s="468"/>
      <c r="C131" s="557"/>
      <c r="D131" s="487">
        <v>1</v>
      </c>
      <c r="E131" s="456" t="s">
        <v>75</v>
      </c>
      <c r="F131" s="547" t="s">
        <v>76</v>
      </c>
      <c r="G131" s="456" t="s">
        <v>308</v>
      </c>
      <c r="H131" s="547" t="s">
        <v>76</v>
      </c>
      <c r="I131" s="324" t="s">
        <v>309</v>
      </c>
      <c r="J131" s="357" t="s">
        <v>311</v>
      </c>
      <c r="K131" s="288" t="s">
        <v>158</v>
      </c>
      <c r="L131" s="317">
        <v>0</v>
      </c>
      <c r="M131" s="288" t="s">
        <v>159</v>
      </c>
      <c r="N131" s="358">
        <v>0</v>
      </c>
      <c r="O131" s="330">
        <f>$A$9*$B$37*$C$129*$D$131*N131</f>
        <v>0</v>
      </c>
      <c r="P131" s="359">
        <v>0</v>
      </c>
      <c r="Q131" s="288"/>
      <c r="R131" s="321">
        <v>100</v>
      </c>
      <c r="S131" s="322">
        <f>R131*O131</f>
        <v>0</v>
      </c>
      <c r="T131" s="359">
        <v>0</v>
      </c>
      <c r="U131" s="389">
        <v>10</v>
      </c>
      <c r="V131" s="335">
        <f t="shared" si="33"/>
        <v>100</v>
      </c>
      <c r="W131" s="392">
        <f t="shared" si="34"/>
        <v>0</v>
      </c>
      <c r="Y131" s="409">
        <f t="shared" si="15"/>
        <v>0</v>
      </c>
    </row>
    <row r="132" spans="1:25" s="13" customFormat="1" ht="39.75" customHeight="1">
      <c r="A132" s="466"/>
      <c r="B132" s="468"/>
      <c r="C132" s="557"/>
      <c r="D132" s="454"/>
      <c r="E132" s="457"/>
      <c r="F132" s="548"/>
      <c r="G132" s="457"/>
      <c r="H132" s="548"/>
      <c r="I132" s="456" t="s">
        <v>310</v>
      </c>
      <c r="J132" s="561" t="s">
        <v>490</v>
      </c>
      <c r="K132" s="177" t="s">
        <v>158</v>
      </c>
      <c r="L132" s="314">
        <v>0</v>
      </c>
      <c r="M132" s="177" t="s">
        <v>159</v>
      </c>
      <c r="N132" s="141">
        <v>1</v>
      </c>
      <c r="O132" s="248">
        <f>$A$9*$B$37*$C$129*$D$131*N132</f>
        <v>2.6180000000000002E-2</v>
      </c>
      <c r="P132" s="182">
        <v>0</v>
      </c>
      <c r="Q132" s="177"/>
      <c r="R132" s="142">
        <v>100</v>
      </c>
      <c r="S132" s="255">
        <f t="shared" si="26"/>
        <v>2.6180000000000003</v>
      </c>
      <c r="T132" s="182">
        <v>0</v>
      </c>
      <c r="U132" s="389">
        <v>10</v>
      </c>
      <c r="V132" s="335">
        <f t="shared" si="33"/>
        <v>100</v>
      </c>
      <c r="W132" s="392">
        <f t="shared" si="34"/>
        <v>2.6180000000000003</v>
      </c>
      <c r="Y132" s="409">
        <f t="shared" si="15"/>
        <v>0</v>
      </c>
    </row>
    <row r="133" spans="1:25" s="13" customFormat="1" ht="14.25" hidden="1" customHeight="1">
      <c r="A133" s="466"/>
      <c r="B133" s="468"/>
      <c r="C133" s="557"/>
      <c r="D133" s="454"/>
      <c r="E133" s="457"/>
      <c r="F133" s="224"/>
      <c r="G133" s="457"/>
      <c r="H133" s="548"/>
      <c r="I133" s="457"/>
      <c r="J133" s="562"/>
      <c r="K133" s="79" t="s">
        <v>158</v>
      </c>
      <c r="L133" s="314">
        <v>0</v>
      </c>
      <c r="M133" s="79" t="s">
        <v>30</v>
      </c>
      <c r="N133" s="141">
        <v>0</v>
      </c>
      <c r="O133" s="248"/>
      <c r="P133" s="182"/>
      <c r="Q133" s="79"/>
      <c r="R133" s="142">
        <f>100-(P133-L133)*10</f>
        <v>100</v>
      </c>
      <c r="S133" s="255">
        <f t="shared" si="26"/>
        <v>0</v>
      </c>
      <c r="T133" s="182"/>
      <c r="U133" s="20"/>
      <c r="V133" s="19"/>
      <c r="W133" s="399"/>
      <c r="Y133" s="409">
        <f t="shared" si="15"/>
        <v>0</v>
      </c>
    </row>
    <row r="134" spans="1:25" s="13" customFormat="1" ht="14.25" hidden="1" customHeight="1">
      <c r="A134" s="466"/>
      <c r="B134" s="468"/>
      <c r="C134" s="474"/>
      <c r="D134" s="455"/>
      <c r="E134" s="458"/>
      <c r="F134" s="225"/>
      <c r="G134" s="458"/>
      <c r="H134" s="549"/>
      <c r="I134" s="458"/>
      <c r="J134" s="563"/>
      <c r="K134" s="79" t="s">
        <v>158</v>
      </c>
      <c r="L134" s="314">
        <v>0</v>
      </c>
      <c r="M134" s="79" t="s">
        <v>30</v>
      </c>
      <c r="N134" s="141">
        <v>0</v>
      </c>
      <c r="O134" s="248"/>
      <c r="P134" s="182"/>
      <c r="Q134" s="79"/>
      <c r="R134" s="142">
        <f>100-(P134-L134)*10</f>
        <v>100</v>
      </c>
      <c r="S134" s="255">
        <f t="shared" si="26"/>
        <v>0</v>
      </c>
      <c r="T134" s="182"/>
      <c r="U134" s="20"/>
      <c r="V134" s="19"/>
      <c r="W134" s="399"/>
      <c r="Y134" s="409">
        <f t="shared" si="15"/>
        <v>0</v>
      </c>
    </row>
    <row r="135" spans="1:25" s="13" customFormat="1" ht="21.6" customHeight="1">
      <c r="A135" s="466"/>
      <c r="B135" s="468"/>
      <c r="C135" s="473">
        <v>7.0000000000000007E-2</v>
      </c>
      <c r="D135" s="138"/>
      <c r="E135" s="154" t="s">
        <v>204</v>
      </c>
      <c r="F135" s="564" t="s">
        <v>176</v>
      </c>
      <c r="G135" s="565"/>
      <c r="H135" s="565"/>
      <c r="I135" s="565"/>
      <c r="J135" s="565"/>
      <c r="K135" s="565"/>
      <c r="L135" s="565"/>
      <c r="M135" s="566"/>
      <c r="N135" s="168"/>
      <c r="O135" s="249"/>
      <c r="P135" s="174"/>
      <c r="Q135" s="174"/>
      <c r="R135" s="174"/>
      <c r="S135" s="256"/>
      <c r="T135" s="174"/>
      <c r="U135" s="176"/>
      <c r="V135" s="170"/>
      <c r="W135" s="400"/>
      <c r="Y135" s="409">
        <f t="shared" si="15"/>
        <v>0</v>
      </c>
    </row>
    <row r="136" spans="1:25" s="13" customFormat="1" ht="14.25" hidden="1" customHeight="1">
      <c r="A136" s="466"/>
      <c r="B136" s="468"/>
      <c r="C136" s="557"/>
      <c r="D136" s="454">
        <v>0.4</v>
      </c>
      <c r="E136" s="456" t="s">
        <v>77</v>
      </c>
      <c r="F136" s="459" t="s">
        <v>78</v>
      </c>
      <c r="G136" s="456" t="s">
        <v>441</v>
      </c>
      <c r="H136" s="459" t="s">
        <v>78</v>
      </c>
      <c r="I136" s="210" t="s">
        <v>442</v>
      </c>
      <c r="J136" s="459" t="s">
        <v>312</v>
      </c>
      <c r="K136" s="79" t="s">
        <v>158</v>
      </c>
      <c r="L136" s="314">
        <v>0</v>
      </c>
      <c r="M136" s="177" t="s">
        <v>159</v>
      </c>
      <c r="N136" s="141"/>
      <c r="O136" s="248">
        <f>$A$9*$B$37*$C$135*$D$136*N136</f>
        <v>0</v>
      </c>
      <c r="P136" s="182"/>
      <c r="Q136" s="177"/>
      <c r="R136" s="142">
        <f>100-(P136-L136)*Q136</f>
        <v>100</v>
      </c>
      <c r="S136" s="255">
        <f t="shared" si="26"/>
        <v>0</v>
      </c>
      <c r="T136" s="182"/>
      <c r="U136" s="20"/>
      <c r="V136" s="19"/>
      <c r="W136" s="399"/>
      <c r="Y136" s="409">
        <f t="shared" si="15"/>
        <v>0</v>
      </c>
    </row>
    <row r="137" spans="1:25" s="13" customFormat="1" ht="14.25" hidden="1" customHeight="1">
      <c r="A137" s="466"/>
      <c r="B137" s="468"/>
      <c r="C137" s="557"/>
      <c r="D137" s="454"/>
      <c r="E137" s="457"/>
      <c r="F137" s="460"/>
      <c r="G137" s="457"/>
      <c r="H137" s="460"/>
      <c r="I137" s="210" t="s">
        <v>443</v>
      </c>
      <c r="J137" s="461"/>
      <c r="K137" s="79" t="s">
        <v>158</v>
      </c>
      <c r="L137" s="314">
        <v>0</v>
      </c>
      <c r="M137" s="177" t="s">
        <v>159</v>
      </c>
      <c r="N137" s="141">
        <v>0</v>
      </c>
      <c r="O137" s="248">
        <f>$A$9*$B$37*$C$135*$D$136*J137*N137</f>
        <v>0</v>
      </c>
      <c r="P137" s="182"/>
      <c r="Q137" s="177"/>
      <c r="R137" s="142">
        <f>100-(P137-L137)*Q137</f>
        <v>100</v>
      </c>
      <c r="S137" s="255">
        <f t="shared" si="26"/>
        <v>0</v>
      </c>
      <c r="T137" s="182"/>
      <c r="U137" s="20"/>
      <c r="V137" s="19"/>
      <c r="W137" s="399"/>
      <c r="Y137" s="409">
        <f t="shared" si="15"/>
        <v>0</v>
      </c>
    </row>
    <row r="138" spans="1:25" s="13" customFormat="1" ht="49.5" customHeight="1">
      <c r="A138" s="466"/>
      <c r="B138" s="468"/>
      <c r="C138" s="557"/>
      <c r="D138" s="455"/>
      <c r="E138" s="458"/>
      <c r="F138" s="461"/>
      <c r="G138" s="458"/>
      <c r="H138" s="461"/>
      <c r="I138" s="210" t="s">
        <v>443</v>
      </c>
      <c r="J138" s="139" t="s">
        <v>314</v>
      </c>
      <c r="K138" s="177" t="s">
        <v>158</v>
      </c>
      <c r="L138" s="314">
        <v>0</v>
      </c>
      <c r="M138" s="177" t="s">
        <v>159</v>
      </c>
      <c r="N138" s="141">
        <v>1</v>
      </c>
      <c r="O138" s="248">
        <f>$A$9*$B$37*$C$135*$D$136*N138</f>
        <v>1.0472000000000002E-2</v>
      </c>
      <c r="P138" s="182">
        <v>0</v>
      </c>
      <c r="Q138" s="177"/>
      <c r="R138" s="142">
        <v>100</v>
      </c>
      <c r="S138" s="255">
        <f t="shared" si="26"/>
        <v>1.0472000000000001</v>
      </c>
      <c r="T138" s="182">
        <v>0</v>
      </c>
      <c r="U138" s="389">
        <v>10</v>
      </c>
      <c r="V138" s="335">
        <f t="shared" ref="V138:V140" si="35">100-U138*T138</f>
        <v>100</v>
      </c>
      <c r="W138" s="392">
        <f t="shared" ref="W138:W140" si="36">V138*O138</f>
        <v>1.0472000000000001</v>
      </c>
      <c r="Y138" s="409">
        <f t="shared" si="15"/>
        <v>0</v>
      </c>
    </row>
    <row r="139" spans="1:25" s="13" customFormat="1" ht="30">
      <c r="A139" s="466"/>
      <c r="B139" s="468"/>
      <c r="C139" s="557"/>
      <c r="D139" s="244">
        <v>0.3</v>
      </c>
      <c r="E139" s="84" t="s">
        <v>142</v>
      </c>
      <c r="F139" s="79" t="s">
        <v>143</v>
      </c>
      <c r="G139" s="84" t="s">
        <v>444</v>
      </c>
      <c r="H139" s="181" t="s">
        <v>143</v>
      </c>
      <c r="I139" s="84" t="s">
        <v>445</v>
      </c>
      <c r="J139" s="79" t="s">
        <v>313</v>
      </c>
      <c r="K139" s="177" t="s">
        <v>158</v>
      </c>
      <c r="L139" s="314">
        <v>0</v>
      </c>
      <c r="M139" s="177" t="s">
        <v>159</v>
      </c>
      <c r="N139" s="141">
        <v>1</v>
      </c>
      <c r="O139" s="248">
        <f>$A$9*$B$37*$C$135*$D$139*N139</f>
        <v>7.8539999999999999E-3</v>
      </c>
      <c r="P139" s="182">
        <v>0</v>
      </c>
      <c r="Q139" s="177"/>
      <c r="R139" s="142">
        <v>100</v>
      </c>
      <c r="S139" s="255">
        <f t="shared" si="26"/>
        <v>0.78539999999999999</v>
      </c>
      <c r="T139" s="182">
        <v>0</v>
      </c>
      <c r="U139" s="389">
        <v>10</v>
      </c>
      <c r="V139" s="335">
        <f t="shared" si="35"/>
        <v>100</v>
      </c>
      <c r="W139" s="392">
        <f t="shared" si="36"/>
        <v>0.78539999999999999</v>
      </c>
      <c r="Y139" s="409">
        <f t="shared" si="15"/>
        <v>0</v>
      </c>
    </row>
    <row r="140" spans="1:25" s="13" customFormat="1" ht="39" customHeight="1">
      <c r="A140" s="466"/>
      <c r="B140" s="468"/>
      <c r="C140" s="557"/>
      <c r="D140" s="487">
        <v>0.3</v>
      </c>
      <c r="E140" s="456" t="s">
        <v>223</v>
      </c>
      <c r="F140" s="547" t="s">
        <v>144</v>
      </c>
      <c r="G140" s="456" t="s">
        <v>446</v>
      </c>
      <c r="H140" s="547" t="s">
        <v>144</v>
      </c>
      <c r="I140" s="456" t="s">
        <v>447</v>
      </c>
      <c r="J140" s="561" t="s">
        <v>285</v>
      </c>
      <c r="K140" s="177" t="s">
        <v>158</v>
      </c>
      <c r="L140" s="314">
        <v>0</v>
      </c>
      <c r="M140" s="177" t="s">
        <v>159</v>
      </c>
      <c r="N140" s="141">
        <v>1</v>
      </c>
      <c r="O140" s="248">
        <f>$A$9*$B$37*$C$135*$D$140*N140</f>
        <v>7.8539999999999999E-3</v>
      </c>
      <c r="P140" s="182">
        <v>0</v>
      </c>
      <c r="Q140" s="177"/>
      <c r="R140" s="142">
        <v>100</v>
      </c>
      <c r="S140" s="255">
        <f t="shared" si="26"/>
        <v>0.78539999999999999</v>
      </c>
      <c r="T140" s="182">
        <v>0</v>
      </c>
      <c r="U140" s="389">
        <v>10</v>
      </c>
      <c r="V140" s="335">
        <f t="shared" si="35"/>
        <v>100</v>
      </c>
      <c r="W140" s="392">
        <f t="shared" si="36"/>
        <v>0.78539999999999999</v>
      </c>
      <c r="Y140" s="409">
        <f t="shared" si="15"/>
        <v>0</v>
      </c>
    </row>
    <row r="141" spans="1:25" s="13" customFormat="1" ht="14.25" hidden="1" customHeight="1">
      <c r="A141" s="466"/>
      <c r="B141" s="468"/>
      <c r="C141" s="557"/>
      <c r="D141" s="454"/>
      <c r="E141" s="457"/>
      <c r="F141" s="548"/>
      <c r="G141" s="457"/>
      <c r="H141" s="548"/>
      <c r="I141" s="457"/>
      <c r="J141" s="562"/>
      <c r="K141" s="79" t="s">
        <v>158</v>
      </c>
      <c r="L141" s="314">
        <v>0</v>
      </c>
      <c r="M141" s="79" t="s">
        <v>30</v>
      </c>
      <c r="N141" s="141">
        <v>0</v>
      </c>
      <c r="O141" s="248"/>
      <c r="P141" s="182"/>
      <c r="Q141" s="79"/>
      <c r="R141" s="142">
        <f>100-(P141-L141)*10</f>
        <v>100</v>
      </c>
      <c r="S141" s="255">
        <f t="shared" si="26"/>
        <v>0</v>
      </c>
      <c r="T141" s="182"/>
      <c r="U141" s="20"/>
      <c r="V141" s="19"/>
      <c r="W141" s="399"/>
      <c r="Y141" s="409">
        <f t="shared" ref="Y141:Y172" si="37">W141-S141</f>
        <v>0</v>
      </c>
    </row>
    <row r="142" spans="1:25" s="13" customFormat="1" ht="14.25" hidden="1" customHeight="1">
      <c r="A142" s="466"/>
      <c r="B142" s="468"/>
      <c r="C142" s="557"/>
      <c r="D142" s="454"/>
      <c r="E142" s="457"/>
      <c r="F142" s="548"/>
      <c r="G142" s="457"/>
      <c r="H142" s="548"/>
      <c r="I142" s="457"/>
      <c r="J142" s="562"/>
      <c r="K142" s="79" t="s">
        <v>158</v>
      </c>
      <c r="L142" s="314">
        <v>0</v>
      </c>
      <c r="M142" s="79" t="s">
        <v>30</v>
      </c>
      <c r="N142" s="141">
        <v>0</v>
      </c>
      <c r="O142" s="248"/>
      <c r="P142" s="182"/>
      <c r="Q142" s="79"/>
      <c r="R142" s="142">
        <f>100-(P142-L142)*10</f>
        <v>100</v>
      </c>
      <c r="S142" s="255">
        <f t="shared" si="26"/>
        <v>0</v>
      </c>
      <c r="T142" s="182"/>
      <c r="U142" s="20"/>
      <c r="V142" s="19"/>
      <c r="W142" s="399"/>
      <c r="Y142" s="409">
        <f t="shared" si="37"/>
        <v>0</v>
      </c>
    </row>
    <row r="143" spans="1:25" s="13" customFormat="1" ht="14.25" hidden="1" customHeight="1">
      <c r="A143" s="466"/>
      <c r="B143" s="468"/>
      <c r="C143" s="474"/>
      <c r="D143" s="455"/>
      <c r="E143" s="458"/>
      <c r="F143" s="549"/>
      <c r="G143" s="458"/>
      <c r="H143" s="549"/>
      <c r="I143" s="458"/>
      <c r="J143" s="563"/>
      <c r="K143" s="79" t="s">
        <v>158</v>
      </c>
      <c r="L143" s="314">
        <v>0</v>
      </c>
      <c r="M143" s="79" t="s">
        <v>30</v>
      </c>
      <c r="N143" s="141">
        <v>0</v>
      </c>
      <c r="O143" s="248"/>
      <c r="P143" s="182"/>
      <c r="Q143" s="79"/>
      <c r="R143" s="142">
        <f>100-(P143-L143)*10</f>
        <v>100</v>
      </c>
      <c r="S143" s="255">
        <f t="shared" si="26"/>
        <v>0</v>
      </c>
      <c r="T143" s="182"/>
      <c r="U143" s="20"/>
      <c r="V143" s="19"/>
      <c r="W143" s="399"/>
      <c r="Y143" s="409">
        <f t="shared" si="37"/>
        <v>0</v>
      </c>
    </row>
    <row r="144" spans="1:25" s="30" customFormat="1" ht="21.95" customHeight="1">
      <c r="A144" s="466"/>
      <c r="B144" s="468"/>
      <c r="C144" s="473">
        <v>0.02</v>
      </c>
      <c r="D144" s="178"/>
      <c r="E144" s="154" t="s">
        <v>216</v>
      </c>
      <c r="F144" s="564" t="s">
        <v>79</v>
      </c>
      <c r="G144" s="565"/>
      <c r="H144" s="565"/>
      <c r="I144" s="565"/>
      <c r="J144" s="565"/>
      <c r="K144" s="565"/>
      <c r="L144" s="565"/>
      <c r="M144" s="566"/>
      <c r="N144" s="171"/>
      <c r="O144" s="249"/>
      <c r="P144" s="89"/>
      <c r="Q144" s="89"/>
      <c r="R144" s="89"/>
      <c r="S144" s="256"/>
      <c r="T144" s="89"/>
      <c r="U144" s="179"/>
      <c r="V144" s="180"/>
      <c r="W144" s="401"/>
      <c r="Y144" s="409">
        <f t="shared" si="37"/>
        <v>0</v>
      </c>
    </row>
    <row r="145" spans="1:25" s="30" customFormat="1" ht="61.5" customHeight="1">
      <c r="A145" s="466"/>
      <c r="B145" s="468"/>
      <c r="C145" s="557"/>
      <c r="D145" s="244">
        <v>1</v>
      </c>
      <c r="E145" s="183" t="s">
        <v>145</v>
      </c>
      <c r="F145" s="79" t="s">
        <v>146</v>
      </c>
      <c r="G145" s="183" t="s">
        <v>448</v>
      </c>
      <c r="H145" s="79" t="s">
        <v>146</v>
      </c>
      <c r="I145" s="183" t="s">
        <v>449</v>
      </c>
      <c r="J145" s="79" t="s">
        <v>289</v>
      </c>
      <c r="K145" s="177" t="s">
        <v>158</v>
      </c>
      <c r="L145" s="314">
        <v>0</v>
      </c>
      <c r="M145" s="177" t="s">
        <v>159</v>
      </c>
      <c r="N145" s="141">
        <v>1</v>
      </c>
      <c r="O145" s="248">
        <f>$A$9*$B$37*$C$144*$D$145*N145</f>
        <v>7.4800000000000005E-3</v>
      </c>
      <c r="P145" s="182">
        <v>0</v>
      </c>
      <c r="Q145" s="177"/>
      <c r="R145" s="142">
        <v>100</v>
      </c>
      <c r="S145" s="255">
        <f t="shared" si="26"/>
        <v>0.748</v>
      </c>
      <c r="T145" s="182">
        <v>0</v>
      </c>
      <c r="U145" s="389">
        <v>10</v>
      </c>
      <c r="V145" s="335">
        <f t="shared" ref="V145" si="38">100-U145*T145</f>
        <v>100</v>
      </c>
      <c r="W145" s="392">
        <f t="shared" ref="W145" si="39">V145*O145</f>
        <v>0.748</v>
      </c>
      <c r="Y145" s="409">
        <f t="shared" si="37"/>
        <v>0</v>
      </c>
    </row>
    <row r="146" spans="1:25" s="296" customFormat="1" ht="51.75" hidden="1" customHeight="1">
      <c r="A146" s="466"/>
      <c r="B146" s="468"/>
      <c r="C146" s="557"/>
      <c r="D146" s="286">
        <v>0</v>
      </c>
      <c r="E146" s="285" t="s">
        <v>147</v>
      </c>
      <c r="F146" s="289" t="s">
        <v>148</v>
      </c>
      <c r="G146" s="285" t="s">
        <v>450</v>
      </c>
      <c r="H146" s="289" t="s">
        <v>148</v>
      </c>
      <c r="I146" s="285" t="s">
        <v>451</v>
      </c>
      <c r="J146" s="289" t="s">
        <v>286</v>
      </c>
      <c r="K146" s="287" t="s">
        <v>158</v>
      </c>
      <c r="L146" s="316">
        <v>0</v>
      </c>
      <c r="M146" s="287" t="s">
        <v>159</v>
      </c>
      <c r="N146" s="290">
        <v>1</v>
      </c>
      <c r="O146" s="291">
        <f>$A$9*$B$37*$C$144*$D$146*N146</f>
        <v>0</v>
      </c>
      <c r="P146" s="306"/>
      <c r="Q146" s="287">
        <v>10</v>
      </c>
      <c r="R146" s="292">
        <f>100-(P146-L146)*Q146</f>
        <v>100</v>
      </c>
      <c r="S146" s="293">
        <f t="shared" si="26"/>
        <v>0</v>
      </c>
      <c r="T146" s="306"/>
      <c r="U146" s="294"/>
      <c r="V146" s="295"/>
      <c r="W146" s="403"/>
      <c r="Y146" s="409">
        <f t="shared" si="37"/>
        <v>0</v>
      </c>
    </row>
    <row r="147" spans="1:25" s="13" customFormat="1" ht="14.25" hidden="1" customHeight="1">
      <c r="A147" s="466"/>
      <c r="B147" s="468"/>
      <c r="C147" s="474"/>
      <c r="D147" s="244"/>
      <c r="E147" s="183" t="s">
        <v>80</v>
      </c>
      <c r="F147" s="79" t="s">
        <v>81</v>
      </c>
      <c r="G147" s="183" t="s">
        <v>452</v>
      </c>
      <c r="H147" s="79" t="s">
        <v>81</v>
      </c>
      <c r="I147" s="183" t="s">
        <v>336</v>
      </c>
      <c r="J147" s="79" t="s">
        <v>315</v>
      </c>
      <c r="K147" s="79" t="s">
        <v>158</v>
      </c>
      <c r="L147" s="314">
        <v>0</v>
      </c>
      <c r="M147" s="177" t="s">
        <v>159</v>
      </c>
      <c r="N147" s="141">
        <v>1</v>
      </c>
      <c r="O147" s="248">
        <f>$A$9*$B$37*$C$144*$D$147*N147</f>
        <v>0</v>
      </c>
      <c r="P147" s="182"/>
      <c r="Q147" s="177">
        <v>10</v>
      </c>
      <c r="R147" s="142">
        <f>100-(P147-L147)*Q147</f>
        <v>100</v>
      </c>
      <c r="S147" s="255">
        <f t="shared" si="26"/>
        <v>0</v>
      </c>
      <c r="T147" s="182"/>
      <c r="U147" s="20"/>
      <c r="V147" s="19"/>
      <c r="W147" s="399"/>
      <c r="Y147" s="409">
        <f t="shared" si="37"/>
        <v>0</v>
      </c>
    </row>
    <row r="148" spans="1:25" s="13" customFormat="1" ht="25.7" customHeight="1">
      <c r="A148" s="466"/>
      <c r="B148" s="468"/>
      <c r="C148" s="473">
        <v>7.0000000000000007E-2</v>
      </c>
      <c r="D148" s="138"/>
      <c r="E148" s="154" t="s">
        <v>205</v>
      </c>
      <c r="F148" s="573" t="s">
        <v>177</v>
      </c>
      <c r="G148" s="574"/>
      <c r="H148" s="574"/>
      <c r="I148" s="574"/>
      <c r="J148" s="574"/>
      <c r="K148" s="574"/>
      <c r="L148" s="574"/>
      <c r="M148" s="575"/>
      <c r="N148" s="184"/>
      <c r="O148" s="249"/>
      <c r="P148" s="179"/>
      <c r="Q148" s="179"/>
      <c r="R148" s="180"/>
      <c r="S148" s="256"/>
      <c r="T148" s="179"/>
      <c r="U148" s="176"/>
      <c r="V148" s="170"/>
      <c r="W148" s="400"/>
      <c r="Y148" s="409">
        <f t="shared" si="37"/>
        <v>0</v>
      </c>
    </row>
    <row r="149" spans="1:25" s="13" customFormat="1" ht="33.6" customHeight="1">
      <c r="A149" s="466"/>
      <c r="B149" s="468"/>
      <c r="C149" s="557"/>
      <c r="D149" s="244">
        <v>0.55000000000000004</v>
      </c>
      <c r="E149" s="3" t="s">
        <v>149</v>
      </c>
      <c r="F149" s="79" t="s">
        <v>483</v>
      </c>
      <c r="G149" s="3" t="s">
        <v>453</v>
      </c>
      <c r="H149" s="79" t="s">
        <v>483</v>
      </c>
      <c r="I149" s="247" t="s">
        <v>454</v>
      </c>
      <c r="J149" s="79" t="s">
        <v>484</v>
      </c>
      <c r="K149" s="340" t="s">
        <v>491</v>
      </c>
      <c r="L149" s="314">
        <v>1253</v>
      </c>
      <c r="M149" s="177" t="s">
        <v>159</v>
      </c>
      <c r="N149" s="141">
        <v>1</v>
      </c>
      <c r="O149" s="248">
        <f>$A$9*$B$37*$C$148*$D$149*N149</f>
        <v>1.4399000000000002E-2</v>
      </c>
      <c r="P149" s="182">
        <v>1440</v>
      </c>
      <c r="Q149" s="143">
        <f>P149/L149*100</f>
        <v>114.92418196328811</v>
      </c>
      <c r="R149" s="4">
        <f>IF((Q149-100)&gt;0,100,IF((100+(Q149-100)*10)&gt;30,(100+(Q149-100)*10),0))</f>
        <v>100</v>
      </c>
      <c r="S149" s="203">
        <f>R149*O149</f>
        <v>1.4399000000000002</v>
      </c>
      <c r="T149" s="182">
        <v>1440</v>
      </c>
      <c r="U149" s="143">
        <f>T149/L149*100</f>
        <v>114.92418196328811</v>
      </c>
      <c r="V149" s="4">
        <f>IF((U149-100)&gt;0,100,IF((100+(U149-100)*10)&gt;30,(100+(U149-100)*10),0))</f>
        <v>100</v>
      </c>
      <c r="W149" s="399">
        <f>V149*O149</f>
        <v>1.4399000000000002</v>
      </c>
      <c r="Y149" s="409">
        <f t="shared" si="37"/>
        <v>0</v>
      </c>
    </row>
    <row r="150" spans="1:25" s="13" customFormat="1" ht="36" hidden="1" customHeight="1">
      <c r="A150" s="466"/>
      <c r="B150" s="468"/>
      <c r="C150" s="557"/>
      <c r="D150" s="244">
        <v>0</v>
      </c>
      <c r="E150" s="3" t="s">
        <v>150</v>
      </c>
      <c r="F150" s="79" t="s">
        <v>151</v>
      </c>
      <c r="G150" s="3" t="s">
        <v>455</v>
      </c>
      <c r="H150" s="79" t="s">
        <v>151</v>
      </c>
      <c r="I150" s="247" t="s">
        <v>456</v>
      </c>
      <c r="J150" s="79" t="s">
        <v>287</v>
      </c>
      <c r="K150" s="177" t="s">
        <v>158</v>
      </c>
      <c r="L150" s="314">
        <v>0</v>
      </c>
      <c r="M150" s="177" t="s">
        <v>159</v>
      </c>
      <c r="N150" s="141">
        <v>1</v>
      </c>
      <c r="O150" s="248">
        <f>$A$9*$B$37*$C$148*$D$150*N150</f>
        <v>0</v>
      </c>
      <c r="P150" s="182">
        <v>0</v>
      </c>
      <c r="Q150" s="177"/>
      <c r="R150" s="142">
        <v>100</v>
      </c>
      <c r="S150" s="255">
        <f t="shared" si="26"/>
        <v>0</v>
      </c>
      <c r="T150" s="182">
        <v>0</v>
      </c>
      <c r="U150" s="389">
        <v>10</v>
      </c>
      <c r="V150" s="335">
        <f t="shared" ref="V150:V151" si="40">100-U150*T150</f>
        <v>100</v>
      </c>
      <c r="W150" s="392">
        <f t="shared" ref="W150:W151" si="41">V150*O150</f>
        <v>0</v>
      </c>
      <c r="Y150" s="409">
        <f t="shared" si="37"/>
        <v>0</v>
      </c>
    </row>
    <row r="151" spans="1:25" s="13" customFormat="1" ht="30">
      <c r="A151" s="466"/>
      <c r="B151" s="468"/>
      <c r="C151" s="474"/>
      <c r="D151" s="244">
        <v>0.45</v>
      </c>
      <c r="E151" s="3" t="s">
        <v>152</v>
      </c>
      <c r="F151" s="79" t="s">
        <v>153</v>
      </c>
      <c r="G151" s="3" t="s">
        <v>457</v>
      </c>
      <c r="H151" s="79" t="s">
        <v>153</v>
      </c>
      <c r="I151" s="247" t="s">
        <v>458</v>
      </c>
      <c r="J151" s="79" t="s">
        <v>288</v>
      </c>
      <c r="K151" s="177" t="s">
        <v>158</v>
      </c>
      <c r="L151" s="314">
        <v>0</v>
      </c>
      <c r="M151" s="177" t="s">
        <v>159</v>
      </c>
      <c r="N151" s="141">
        <v>1</v>
      </c>
      <c r="O151" s="248">
        <f>$A$9*$B$37*$C$148*$D$151*N151</f>
        <v>1.1781000000000002E-2</v>
      </c>
      <c r="P151" s="182">
        <v>0</v>
      </c>
      <c r="Q151" s="177"/>
      <c r="R151" s="142">
        <v>100</v>
      </c>
      <c r="S151" s="255">
        <f t="shared" si="26"/>
        <v>1.1781000000000001</v>
      </c>
      <c r="T151" s="182">
        <v>0</v>
      </c>
      <c r="U151" s="389">
        <v>10</v>
      </c>
      <c r="V151" s="335">
        <f t="shared" si="40"/>
        <v>100</v>
      </c>
      <c r="W151" s="392">
        <f t="shared" si="41"/>
        <v>1.1781000000000001</v>
      </c>
      <c r="Y151" s="409">
        <f t="shared" si="37"/>
        <v>0</v>
      </c>
    </row>
    <row r="152" spans="1:25" s="13" customFormat="1" ht="24.6" customHeight="1">
      <c r="A152" s="466"/>
      <c r="B152" s="468"/>
      <c r="C152" s="473">
        <v>0</v>
      </c>
      <c r="D152" s="138"/>
      <c r="E152" s="172" t="s">
        <v>206</v>
      </c>
      <c r="F152" s="564" t="s">
        <v>178</v>
      </c>
      <c r="G152" s="565"/>
      <c r="H152" s="565"/>
      <c r="I152" s="565"/>
      <c r="J152" s="565"/>
      <c r="K152" s="565"/>
      <c r="L152" s="565"/>
      <c r="M152" s="566"/>
      <c r="N152" s="184"/>
      <c r="O152" s="249"/>
      <c r="P152" s="176"/>
      <c r="Q152" s="176"/>
      <c r="R152" s="170"/>
      <c r="S152" s="256"/>
      <c r="T152" s="176"/>
      <c r="U152" s="176"/>
      <c r="V152" s="170"/>
      <c r="W152" s="400"/>
      <c r="Y152" s="409">
        <f t="shared" si="37"/>
        <v>0</v>
      </c>
    </row>
    <row r="153" spans="1:25" s="13" customFormat="1" ht="66.75" customHeight="1">
      <c r="A153" s="466"/>
      <c r="B153" s="468"/>
      <c r="C153" s="557"/>
      <c r="D153" s="360">
        <v>0.5</v>
      </c>
      <c r="E153" s="328" t="s">
        <v>82</v>
      </c>
      <c r="F153" s="328" t="s">
        <v>83</v>
      </c>
      <c r="G153" s="328" t="s">
        <v>459</v>
      </c>
      <c r="H153" s="328" t="s">
        <v>301</v>
      </c>
      <c r="I153" s="328" t="s">
        <v>460</v>
      </c>
      <c r="J153" s="357" t="s">
        <v>316</v>
      </c>
      <c r="K153" s="297" t="s">
        <v>318</v>
      </c>
      <c r="L153" s="316">
        <v>0</v>
      </c>
      <c r="M153" s="287" t="s">
        <v>159</v>
      </c>
      <c r="N153" s="290">
        <v>1</v>
      </c>
      <c r="O153" s="291">
        <f>$A$9*$B$37*$C$152*$D$153*N153</f>
        <v>0</v>
      </c>
      <c r="P153" s="306">
        <v>0</v>
      </c>
      <c r="Q153" s="288"/>
      <c r="R153" s="292">
        <v>100</v>
      </c>
      <c r="S153" s="293">
        <f t="shared" si="26"/>
        <v>0</v>
      </c>
      <c r="T153" s="306">
        <v>0</v>
      </c>
      <c r="U153" s="206">
        <v>50</v>
      </c>
      <c r="V153" s="4">
        <f>100-U153*T153</f>
        <v>100</v>
      </c>
      <c r="W153" s="399">
        <f>V153*O153</f>
        <v>0</v>
      </c>
      <c r="Y153" s="409">
        <f t="shared" si="37"/>
        <v>0</v>
      </c>
    </row>
    <row r="154" spans="1:25" s="13" customFormat="1" ht="41.25" customHeight="1">
      <c r="A154" s="466"/>
      <c r="B154" s="468"/>
      <c r="C154" s="557"/>
      <c r="D154" s="576">
        <v>0.5</v>
      </c>
      <c r="E154" s="578" t="s">
        <v>84</v>
      </c>
      <c r="F154" s="578" t="s">
        <v>85</v>
      </c>
      <c r="G154" s="578" t="s">
        <v>461</v>
      </c>
      <c r="H154" s="578" t="s">
        <v>300</v>
      </c>
      <c r="I154" s="578" t="s">
        <v>462</v>
      </c>
      <c r="J154" s="598" t="s">
        <v>317</v>
      </c>
      <c r="K154" s="361" t="s">
        <v>319</v>
      </c>
      <c r="L154" s="316" t="s">
        <v>492</v>
      </c>
      <c r="M154" s="287" t="s">
        <v>159</v>
      </c>
      <c r="N154" s="290">
        <v>1</v>
      </c>
      <c r="O154" s="291">
        <f>$A$9*$B$37*$C$152*$D$154*N154</f>
        <v>0</v>
      </c>
      <c r="P154" s="306">
        <v>0</v>
      </c>
      <c r="Q154" s="288"/>
      <c r="R154" s="292">
        <v>100</v>
      </c>
      <c r="S154" s="293">
        <f t="shared" si="26"/>
        <v>0</v>
      </c>
      <c r="T154" s="306">
        <v>0</v>
      </c>
      <c r="U154" s="337"/>
      <c r="V154" s="86">
        <f>IF(T154&gt;=70,100,0)</f>
        <v>0</v>
      </c>
      <c r="W154" s="399">
        <f>V154*O154</f>
        <v>0</v>
      </c>
      <c r="Y154" s="409">
        <f t="shared" si="37"/>
        <v>0</v>
      </c>
    </row>
    <row r="155" spans="1:25" s="13" customFormat="1" ht="14.25" hidden="1" customHeight="1">
      <c r="A155" s="466"/>
      <c r="B155" s="468"/>
      <c r="C155" s="474"/>
      <c r="D155" s="577"/>
      <c r="E155" s="579"/>
      <c r="F155" s="579"/>
      <c r="G155" s="579"/>
      <c r="H155" s="579"/>
      <c r="I155" s="579"/>
      <c r="J155" s="599"/>
      <c r="K155" s="361" t="s">
        <v>319</v>
      </c>
      <c r="L155" s="316">
        <v>0</v>
      </c>
      <c r="M155" s="287" t="s">
        <v>30</v>
      </c>
      <c r="N155" s="290">
        <v>0</v>
      </c>
      <c r="O155" s="291">
        <f>$A$9*$B$37*$C$152*$D$154*J155*N155</f>
        <v>0</v>
      </c>
      <c r="P155" s="306">
        <v>0</v>
      </c>
      <c r="Q155" s="362"/>
      <c r="R155" s="292">
        <f>100-(P155-L155)*10</f>
        <v>100</v>
      </c>
      <c r="S155" s="293">
        <f t="shared" si="26"/>
        <v>0</v>
      </c>
      <c r="T155" s="306">
        <v>0</v>
      </c>
      <c r="U155" s="20"/>
      <c r="V155" s="19"/>
      <c r="W155" s="399"/>
      <c r="Y155" s="409">
        <f t="shared" si="37"/>
        <v>0</v>
      </c>
    </row>
    <row r="156" spans="1:25" s="13" customFormat="1" ht="21" hidden="1" customHeight="1">
      <c r="A156" s="466"/>
      <c r="B156" s="468"/>
      <c r="C156" s="473">
        <v>0</v>
      </c>
      <c r="D156" s="138"/>
      <c r="E156" s="154" t="s">
        <v>207</v>
      </c>
      <c r="F156" s="586" t="s">
        <v>179</v>
      </c>
      <c r="G156" s="587"/>
      <c r="H156" s="587"/>
      <c r="I156" s="587"/>
      <c r="J156" s="587"/>
      <c r="K156" s="587"/>
      <c r="L156" s="587"/>
      <c r="M156" s="588"/>
      <c r="N156" s="184"/>
      <c r="O156" s="249"/>
      <c r="P156" s="176"/>
      <c r="Q156" s="176"/>
      <c r="R156" s="170"/>
      <c r="S156" s="256"/>
      <c r="T156" s="176"/>
      <c r="U156" s="176"/>
      <c r="V156" s="170"/>
      <c r="W156" s="400"/>
      <c r="Y156" s="409">
        <f t="shared" si="37"/>
        <v>0</v>
      </c>
    </row>
    <row r="157" spans="1:25" s="13" customFormat="1" ht="42" hidden="1" customHeight="1">
      <c r="A157" s="466"/>
      <c r="B157" s="469"/>
      <c r="C157" s="474"/>
      <c r="D157" s="244">
        <v>1</v>
      </c>
      <c r="E157" s="177" t="s">
        <v>86</v>
      </c>
      <c r="F157" s="79" t="s">
        <v>87</v>
      </c>
      <c r="G157" s="177" t="s">
        <v>464</v>
      </c>
      <c r="H157" s="79" t="s">
        <v>275</v>
      </c>
      <c r="I157" s="238" t="s">
        <v>465</v>
      </c>
      <c r="J157" s="181" t="s">
        <v>487</v>
      </c>
      <c r="K157" s="297" t="s">
        <v>319</v>
      </c>
      <c r="L157" s="314">
        <v>100</v>
      </c>
      <c r="M157" s="31" t="s">
        <v>159</v>
      </c>
      <c r="N157" s="141">
        <v>1</v>
      </c>
      <c r="O157" s="248">
        <f>$A$9*$B$37*$C$156*$D$157*N157</f>
        <v>0</v>
      </c>
      <c r="P157" s="306">
        <v>100</v>
      </c>
      <c r="Q157" s="177"/>
      <c r="R157" s="142">
        <f>100-(P157-L157)*Q157</f>
        <v>100</v>
      </c>
      <c r="S157" s="255">
        <f t="shared" si="26"/>
        <v>0</v>
      </c>
      <c r="T157" s="306">
        <v>100</v>
      </c>
      <c r="U157" s="20"/>
      <c r="V157" s="19"/>
      <c r="W157" s="399"/>
      <c r="Y157" s="409">
        <f t="shared" si="37"/>
        <v>0</v>
      </c>
    </row>
    <row r="158" spans="1:25" s="13" customFormat="1" ht="21.75" customHeight="1">
      <c r="A158" s="466"/>
      <c r="B158" s="279"/>
      <c r="C158" s="279"/>
      <c r="D158" s="279"/>
      <c r="E158" s="281"/>
      <c r="F158" s="212"/>
      <c r="G158" s="271"/>
      <c r="H158" s="212"/>
      <c r="I158" s="238"/>
      <c r="J158" s="280"/>
      <c r="K158" s="187"/>
      <c r="L158" s="318"/>
      <c r="M158" s="32"/>
      <c r="N158" s="237"/>
      <c r="O158" s="248"/>
      <c r="P158" s="182"/>
      <c r="Q158" s="177"/>
      <c r="R158" s="142"/>
      <c r="S158" s="255"/>
      <c r="T158" s="182"/>
      <c r="U158" s="20"/>
      <c r="V158" s="19"/>
      <c r="W158" s="399"/>
      <c r="Y158" s="409">
        <f t="shared" si="37"/>
        <v>0</v>
      </c>
    </row>
    <row r="159" spans="1:25" s="13" customFormat="1" ht="21" customHeight="1">
      <c r="A159" s="466"/>
      <c r="B159" s="467">
        <v>0.12</v>
      </c>
      <c r="C159" s="277"/>
      <c r="D159" s="88"/>
      <c r="E159" s="221" t="s">
        <v>486</v>
      </c>
      <c r="F159" s="470" t="s">
        <v>485</v>
      </c>
      <c r="G159" s="471"/>
      <c r="H159" s="471"/>
      <c r="I159" s="471"/>
      <c r="J159" s="471"/>
      <c r="K159" s="471"/>
      <c r="L159" s="471"/>
      <c r="M159" s="472"/>
      <c r="N159" s="272"/>
      <c r="O159" s="273"/>
      <c r="P159" s="182"/>
      <c r="Q159" s="274"/>
      <c r="R159" s="275"/>
      <c r="S159" s="278">
        <f>SUM(S160:S168)</f>
        <v>10.199999999999999</v>
      </c>
      <c r="T159" s="182"/>
      <c r="U159" s="276"/>
      <c r="V159" s="219"/>
      <c r="W159" s="398"/>
      <c r="Y159" s="409">
        <f t="shared" si="37"/>
        <v>-10.199999999999999</v>
      </c>
    </row>
    <row r="160" spans="1:25" s="13" customFormat="1" ht="84" customHeight="1">
      <c r="A160" s="466"/>
      <c r="B160" s="468"/>
      <c r="C160" s="83">
        <v>0.13</v>
      </c>
      <c r="D160" s="270">
        <v>1</v>
      </c>
      <c r="E160" s="148" t="s">
        <v>16</v>
      </c>
      <c r="F160" s="229" t="s">
        <v>48</v>
      </c>
      <c r="G160" s="229" t="s">
        <v>353</v>
      </c>
      <c r="H160" s="229" t="s">
        <v>48</v>
      </c>
      <c r="I160" s="229" t="s">
        <v>354</v>
      </c>
      <c r="J160" s="139" t="s">
        <v>254</v>
      </c>
      <c r="K160" s="284" t="s">
        <v>158</v>
      </c>
      <c r="L160" s="312">
        <v>0</v>
      </c>
      <c r="M160" s="150" t="s">
        <v>159</v>
      </c>
      <c r="N160" s="151">
        <v>1</v>
      </c>
      <c r="O160" s="248">
        <f>$A$9*$B$159*$C$160*$D$160*N160</f>
        <v>1.3259999999999999E-2</v>
      </c>
      <c r="P160" s="303">
        <v>0</v>
      </c>
      <c r="Q160" s="204"/>
      <c r="R160" s="142">
        <v>100</v>
      </c>
      <c r="S160" s="143">
        <f>R160*O160</f>
        <v>1.3259999999999998</v>
      </c>
      <c r="T160" s="303">
        <v>0</v>
      </c>
      <c r="U160" s="389">
        <v>10</v>
      </c>
      <c r="V160" s="335">
        <f t="shared" ref="V160:V163" si="42">100-U160*T160</f>
        <v>100</v>
      </c>
      <c r="W160" s="392">
        <f t="shared" ref="W160:W167" si="43">V160*O160</f>
        <v>1.3259999999999998</v>
      </c>
      <c r="Y160" s="409">
        <f t="shared" si="37"/>
        <v>0</v>
      </c>
    </row>
    <row r="161" spans="1:25" s="13" customFormat="1" ht="44.25" hidden="1" customHeight="1">
      <c r="A161" s="466"/>
      <c r="B161" s="468"/>
      <c r="C161" s="83">
        <v>0</v>
      </c>
      <c r="D161" s="268">
        <v>1</v>
      </c>
      <c r="E161" s="110" t="s">
        <v>62</v>
      </c>
      <c r="F161" s="106" t="s">
        <v>63</v>
      </c>
      <c r="G161" s="110" t="s">
        <v>384</v>
      </c>
      <c r="H161" s="106" t="s">
        <v>292</v>
      </c>
      <c r="I161" s="110" t="s">
        <v>385</v>
      </c>
      <c r="J161" s="139" t="s">
        <v>339</v>
      </c>
      <c r="K161" s="177" t="s">
        <v>158</v>
      </c>
      <c r="L161" s="314">
        <v>0</v>
      </c>
      <c r="M161" s="106" t="s">
        <v>159</v>
      </c>
      <c r="N161" s="141">
        <v>1</v>
      </c>
      <c r="O161" s="248">
        <f>$A$9*$B$159*$C$161*$D$161*N161</f>
        <v>0</v>
      </c>
      <c r="P161" s="182">
        <v>0</v>
      </c>
      <c r="Q161" s="177"/>
      <c r="R161" s="142">
        <v>100</v>
      </c>
      <c r="S161" s="143">
        <f t="shared" ref="S161:S168" si="44">R161*O161</f>
        <v>0</v>
      </c>
      <c r="T161" s="182">
        <v>0</v>
      </c>
      <c r="U161" s="389">
        <v>10</v>
      </c>
      <c r="V161" s="335">
        <f t="shared" si="42"/>
        <v>100</v>
      </c>
      <c r="W161" s="392">
        <f t="shared" si="43"/>
        <v>0</v>
      </c>
      <c r="Y161" s="409">
        <f t="shared" si="37"/>
        <v>0</v>
      </c>
    </row>
    <row r="162" spans="1:25" s="13" customFormat="1" ht="49.5" hidden="1" customHeight="1">
      <c r="A162" s="466"/>
      <c r="B162" s="468"/>
      <c r="C162" s="83">
        <v>0</v>
      </c>
      <c r="D162" s="270">
        <v>1</v>
      </c>
      <c r="E162" s="110" t="s">
        <v>64</v>
      </c>
      <c r="F162" s="106" t="s">
        <v>65</v>
      </c>
      <c r="G162" s="110" t="s">
        <v>386</v>
      </c>
      <c r="H162" s="106" t="s">
        <v>296</v>
      </c>
      <c r="I162" s="110" t="s">
        <v>387</v>
      </c>
      <c r="J162" s="139" t="s">
        <v>293</v>
      </c>
      <c r="K162" s="177" t="s">
        <v>158</v>
      </c>
      <c r="L162" s="314">
        <v>0</v>
      </c>
      <c r="M162" s="106" t="s">
        <v>159</v>
      </c>
      <c r="N162" s="141">
        <v>1</v>
      </c>
      <c r="O162" s="248">
        <f>$A$9*$B$159*$C$162*$D$162*N162</f>
        <v>0</v>
      </c>
      <c r="P162" s="182">
        <v>0</v>
      </c>
      <c r="Q162" s="177"/>
      <c r="R162" s="142">
        <v>100</v>
      </c>
      <c r="S162" s="143">
        <f t="shared" si="44"/>
        <v>0</v>
      </c>
      <c r="T162" s="182">
        <v>0</v>
      </c>
      <c r="U162" s="389">
        <v>10</v>
      </c>
      <c r="V162" s="335">
        <f t="shared" si="42"/>
        <v>100</v>
      </c>
      <c r="W162" s="392">
        <f t="shared" si="43"/>
        <v>0</v>
      </c>
      <c r="Y162" s="409">
        <f t="shared" si="37"/>
        <v>0</v>
      </c>
    </row>
    <row r="163" spans="1:25" s="13" customFormat="1" ht="39" customHeight="1">
      <c r="A163" s="466"/>
      <c r="B163" s="468"/>
      <c r="C163" s="83">
        <v>0.13</v>
      </c>
      <c r="D163" s="269">
        <v>1</v>
      </c>
      <c r="E163" s="110" t="s">
        <v>77</v>
      </c>
      <c r="F163" s="267" t="s">
        <v>78</v>
      </c>
      <c r="G163" s="110" t="s">
        <v>441</v>
      </c>
      <c r="H163" s="267" t="s">
        <v>78</v>
      </c>
      <c r="I163" s="110" t="s">
        <v>442</v>
      </c>
      <c r="J163" s="298" t="s">
        <v>295</v>
      </c>
      <c r="K163" s="177" t="s">
        <v>158</v>
      </c>
      <c r="L163" s="314">
        <v>0</v>
      </c>
      <c r="M163" s="177" t="s">
        <v>159</v>
      </c>
      <c r="N163" s="141">
        <v>1</v>
      </c>
      <c r="O163" s="248">
        <f>$A$9*$B$159*$C$163*$D$163*N163</f>
        <v>1.3259999999999999E-2</v>
      </c>
      <c r="P163" s="182">
        <v>0</v>
      </c>
      <c r="Q163" s="177"/>
      <c r="R163" s="142">
        <v>100</v>
      </c>
      <c r="S163" s="143">
        <f t="shared" si="44"/>
        <v>1.3259999999999998</v>
      </c>
      <c r="T163" s="182">
        <v>0</v>
      </c>
      <c r="U163" s="389">
        <v>10</v>
      </c>
      <c r="V163" s="335">
        <f t="shared" si="42"/>
        <v>100</v>
      </c>
      <c r="W163" s="392">
        <f t="shared" si="43"/>
        <v>1.3259999999999998</v>
      </c>
      <c r="Y163" s="409">
        <f t="shared" si="37"/>
        <v>0</v>
      </c>
    </row>
    <row r="164" spans="1:25" s="13" customFormat="1" ht="60">
      <c r="A164" s="466"/>
      <c r="B164" s="468"/>
      <c r="C164" s="473">
        <v>0.22</v>
      </c>
      <c r="D164" s="475">
        <v>1</v>
      </c>
      <c r="E164" s="476" t="s">
        <v>80</v>
      </c>
      <c r="F164" s="478" t="s">
        <v>81</v>
      </c>
      <c r="G164" s="480" t="s">
        <v>452</v>
      </c>
      <c r="H164" s="481" t="s">
        <v>81</v>
      </c>
      <c r="I164" s="265" t="s">
        <v>336</v>
      </c>
      <c r="J164" s="363" t="s">
        <v>493</v>
      </c>
      <c r="K164" s="364" t="s">
        <v>494</v>
      </c>
      <c r="L164" s="314">
        <v>23</v>
      </c>
      <c r="M164" s="177" t="s">
        <v>159</v>
      </c>
      <c r="N164" s="141">
        <v>0.5</v>
      </c>
      <c r="O164" s="248">
        <f>$A$9*$B$159*$C$164*$D$164*N164</f>
        <v>1.1219999999999999E-2</v>
      </c>
      <c r="P164" s="182">
        <v>23</v>
      </c>
      <c r="Q164" s="177"/>
      <c r="R164" s="142">
        <v>100</v>
      </c>
      <c r="S164" s="143">
        <f t="shared" si="44"/>
        <v>1.1219999999999999</v>
      </c>
      <c r="T164" s="182">
        <v>23</v>
      </c>
      <c r="U164" s="20">
        <f>T164-L164</f>
        <v>0</v>
      </c>
      <c r="V164" s="336">
        <f>100-U164*10</f>
        <v>100</v>
      </c>
      <c r="W164" s="399">
        <f t="shared" si="43"/>
        <v>1.1219999999999999</v>
      </c>
      <c r="Y164" s="409">
        <f t="shared" si="37"/>
        <v>0</v>
      </c>
    </row>
    <row r="165" spans="1:25" s="13" customFormat="1" ht="38.25" customHeight="1">
      <c r="A165" s="466"/>
      <c r="B165" s="468"/>
      <c r="C165" s="474"/>
      <c r="D165" s="475"/>
      <c r="E165" s="477"/>
      <c r="F165" s="479"/>
      <c r="G165" s="480"/>
      <c r="H165" s="481"/>
      <c r="I165" s="240" t="s">
        <v>335</v>
      </c>
      <c r="J165" s="365" t="s">
        <v>240</v>
      </c>
      <c r="K165" s="366" t="s">
        <v>158</v>
      </c>
      <c r="L165" s="314">
        <v>0</v>
      </c>
      <c r="M165" s="177" t="s">
        <v>159</v>
      </c>
      <c r="N165" s="237">
        <v>0.5</v>
      </c>
      <c r="O165" s="248">
        <f>$A$9*$B$159*$C$164*$D$164*N165</f>
        <v>1.1219999999999999E-2</v>
      </c>
      <c r="P165" s="182">
        <v>0</v>
      </c>
      <c r="Q165" s="177"/>
      <c r="R165" s="142">
        <v>100</v>
      </c>
      <c r="S165" s="143">
        <f t="shared" si="44"/>
        <v>1.1219999999999999</v>
      </c>
      <c r="T165" s="182">
        <v>0</v>
      </c>
      <c r="U165" s="389">
        <v>10</v>
      </c>
      <c r="V165" s="335">
        <f t="shared" ref="V165" si="45">100-U165*T165</f>
        <v>100</v>
      </c>
      <c r="W165" s="392">
        <f t="shared" si="43"/>
        <v>1.1219999999999999</v>
      </c>
      <c r="Y165" s="409">
        <f t="shared" si="37"/>
        <v>0</v>
      </c>
    </row>
    <row r="166" spans="1:25" s="13" customFormat="1" ht="63.75" customHeight="1">
      <c r="A166" s="466"/>
      <c r="B166" s="468"/>
      <c r="C166" s="83">
        <v>0.2</v>
      </c>
      <c r="D166" s="268">
        <v>1</v>
      </c>
      <c r="E166" s="106" t="s">
        <v>82</v>
      </c>
      <c r="F166" s="106" t="s">
        <v>83</v>
      </c>
      <c r="G166" s="106" t="s">
        <v>459</v>
      </c>
      <c r="H166" s="106" t="s">
        <v>301</v>
      </c>
      <c r="I166" s="368" t="s">
        <v>337</v>
      </c>
      <c r="J166" s="87" t="s">
        <v>241</v>
      </c>
      <c r="K166" s="367" t="s">
        <v>495</v>
      </c>
      <c r="L166" s="314">
        <v>1</v>
      </c>
      <c r="M166" s="31" t="s">
        <v>159</v>
      </c>
      <c r="N166" s="141">
        <v>1</v>
      </c>
      <c r="O166" s="248">
        <f>$A$9*$B$159*$C$166*$D$166*N166</f>
        <v>2.0400000000000001E-2</v>
      </c>
      <c r="P166" s="182">
        <v>1</v>
      </c>
      <c r="Q166" s="177"/>
      <c r="R166" s="142">
        <v>100</v>
      </c>
      <c r="S166" s="143">
        <f t="shared" si="44"/>
        <v>2.04</v>
      </c>
      <c r="T166" s="182">
        <v>1</v>
      </c>
      <c r="U166" s="20">
        <f>T166-L166</f>
        <v>0</v>
      </c>
      <c r="V166" s="336">
        <f>100-U166*100</f>
        <v>100</v>
      </c>
      <c r="W166" s="399">
        <f t="shared" si="43"/>
        <v>2.04</v>
      </c>
      <c r="Y166" s="409">
        <f t="shared" si="37"/>
        <v>0</v>
      </c>
    </row>
    <row r="167" spans="1:25" s="13" customFormat="1" ht="49.5" customHeight="1">
      <c r="A167" s="466"/>
      <c r="B167" s="468"/>
      <c r="C167" s="83">
        <v>0.2</v>
      </c>
      <c r="D167" s="268">
        <v>1</v>
      </c>
      <c r="E167" s="106" t="s">
        <v>84</v>
      </c>
      <c r="F167" s="106" t="s">
        <v>85</v>
      </c>
      <c r="G167" s="106" t="s">
        <v>461</v>
      </c>
      <c r="H167" s="106" t="s">
        <v>300</v>
      </c>
      <c r="I167" s="368" t="s">
        <v>463</v>
      </c>
      <c r="J167" s="87" t="s">
        <v>242</v>
      </c>
      <c r="K167" s="367" t="s">
        <v>495</v>
      </c>
      <c r="L167" s="314">
        <v>1</v>
      </c>
      <c r="M167" s="31" t="s">
        <v>159</v>
      </c>
      <c r="N167" s="141">
        <v>1</v>
      </c>
      <c r="O167" s="248">
        <f>$A$9*$B$159*$C$167*$D$167*N167</f>
        <v>2.0400000000000001E-2</v>
      </c>
      <c r="P167" s="182">
        <v>1</v>
      </c>
      <c r="Q167" s="177"/>
      <c r="R167" s="142">
        <v>100</v>
      </c>
      <c r="S167" s="143">
        <f t="shared" si="44"/>
        <v>2.04</v>
      </c>
      <c r="T167" s="182">
        <v>1</v>
      </c>
      <c r="U167" s="20">
        <f>T167-L167</f>
        <v>0</v>
      </c>
      <c r="V167" s="336">
        <f>100-U167*100</f>
        <v>100</v>
      </c>
      <c r="W167" s="399">
        <f t="shared" si="43"/>
        <v>2.04</v>
      </c>
      <c r="Y167" s="409">
        <f t="shared" si="37"/>
        <v>0</v>
      </c>
    </row>
    <row r="168" spans="1:25" s="13" customFormat="1" ht="40.5" customHeight="1">
      <c r="A168" s="466"/>
      <c r="B168" s="469"/>
      <c r="C168" s="83">
        <v>0.12</v>
      </c>
      <c r="D168" s="270">
        <v>1</v>
      </c>
      <c r="E168" s="177" t="s">
        <v>86</v>
      </c>
      <c r="F168" s="79" t="s">
        <v>87</v>
      </c>
      <c r="G168" s="177" t="s">
        <v>464</v>
      </c>
      <c r="H168" s="79" t="s">
        <v>275</v>
      </c>
      <c r="I168" s="177" t="s">
        <v>465</v>
      </c>
      <c r="J168" s="79" t="s">
        <v>299</v>
      </c>
      <c r="K168" s="283" t="s">
        <v>319</v>
      </c>
      <c r="L168" s="314">
        <v>100</v>
      </c>
      <c r="M168" s="31" t="s">
        <v>159</v>
      </c>
      <c r="N168" s="141">
        <v>1</v>
      </c>
      <c r="O168" s="248">
        <f>$A$9*$B$159*$C$168*$D$168*N168</f>
        <v>1.2239999999999999E-2</v>
      </c>
      <c r="P168" s="182">
        <v>95</v>
      </c>
      <c r="Q168" s="177"/>
      <c r="R168" s="142">
        <v>100</v>
      </c>
      <c r="S168" s="143">
        <f t="shared" si="44"/>
        <v>1.224</v>
      </c>
      <c r="T168" s="182">
        <v>99</v>
      </c>
      <c r="U168" s="20"/>
      <c r="V168" s="336">
        <v>100</v>
      </c>
      <c r="W168" s="399">
        <f>V168*O168</f>
        <v>1.224</v>
      </c>
      <c r="Y168" s="409">
        <f t="shared" si="37"/>
        <v>0</v>
      </c>
    </row>
    <row r="169" spans="1:25" s="13" customFormat="1">
      <c r="D169" s="215"/>
      <c r="E169" s="33"/>
      <c r="F169" s="33"/>
      <c r="G169" s="186"/>
      <c r="H169" s="21"/>
      <c r="I169" s="21"/>
      <c r="J169" s="21"/>
      <c r="K169" s="187"/>
      <c r="L169" s="318"/>
      <c r="M169" s="32"/>
      <c r="N169" s="188"/>
      <c r="O169" s="248"/>
      <c r="P169" s="176"/>
      <c r="Q169" s="20"/>
      <c r="R169" s="19"/>
      <c r="S169" s="258"/>
      <c r="T169" s="20"/>
      <c r="U169" s="20"/>
      <c r="V169" s="19"/>
      <c r="W169" s="399"/>
      <c r="Y169" s="409">
        <f t="shared" si="37"/>
        <v>0</v>
      </c>
    </row>
    <row r="170" spans="1:25" s="13" customFormat="1" ht="21" customHeight="1">
      <c r="A170" s="589"/>
      <c r="B170" s="589"/>
      <c r="C170" s="589"/>
      <c r="D170" s="590"/>
      <c r="E170" s="282" t="s">
        <v>180</v>
      </c>
      <c r="F170" s="591" t="s">
        <v>181</v>
      </c>
      <c r="G170" s="495"/>
      <c r="H170" s="495"/>
      <c r="I170" s="495"/>
      <c r="J170" s="495"/>
      <c r="K170" s="495"/>
      <c r="L170" s="495"/>
      <c r="M170" s="496"/>
      <c r="N170" s="189"/>
      <c r="O170" s="250"/>
      <c r="P170" s="176"/>
      <c r="Q170" s="190"/>
      <c r="R170" s="207"/>
      <c r="S170" s="259">
        <f>SUM(S171:S175)</f>
        <v>15</v>
      </c>
      <c r="T170" s="208"/>
      <c r="U170" s="190"/>
      <c r="V170" s="191"/>
      <c r="W170" s="404"/>
      <c r="Y170" s="409">
        <f t="shared" si="37"/>
        <v>-15</v>
      </c>
    </row>
    <row r="171" spans="1:25" s="13" customFormat="1" ht="42.75" customHeight="1">
      <c r="A171" s="580">
        <v>0.15</v>
      </c>
      <c r="B171" s="88">
        <v>0.7</v>
      </c>
      <c r="C171" s="83">
        <v>1</v>
      </c>
      <c r="D171" s="85">
        <v>1</v>
      </c>
      <c r="E171" s="109" t="s">
        <v>471</v>
      </c>
      <c r="F171" s="79" t="s">
        <v>182</v>
      </c>
      <c r="G171" s="109" t="s">
        <v>474</v>
      </c>
      <c r="H171" s="79" t="s">
        <v>182</v>
      </c>
      <c r="I171" s="109" t="s">
        <v>476</v>
      </c>
      <c r="J171" s="79" t="s">
        <v>182</v>
      </c>
      <c r="K171" s="185" t="s">
        <v>158</v>
      </c>
      <c r="L171" s="314">
        <v>0</v>
      </c>
      <c r="M171" s="31" t="s">
        <v>159</v>
      </c>
      <c r="N171" s="141">
        <v>1</v>
      </c>
      <c r="O171" s="248">
        <f>$A$171*$B$171*$C$171*$D$171*N171</f>
        <v>0.105</v>
      </c>
      <c r="P171" s="182">
        <v>0</v>
      </c>
      <c r="Q171" s="20"/>
      <c r="R171" s="142">
        <v>100</v>
      </c>
      <c r="S171" s="255">
        <f>$A$171*$B$171*$C$171*$D$171*N171*R171</f>
        <v>10.5</v>
      </c>
      <c r="T171" s="20"/>
      <c r="U171" s="20"/>
      <c r="V171" s="336">
        <v>100</v>
      </c>
      <c r="W171" s="399">
        <f>V171*O171</f>
        <v>10.5</v>
      </c>
      <c r="Y171" s="409">
        <f t="shared" si="37"/>
        <v>0</v>
      </c>
    </row>
    <row r="172" spans="1:25" s="13" customFormat="1" ht="41.25" customHeight="1">
      <c r="A172" s="581"/>
      <c r="B172" s="88">
        <v>0.3</v>
      </c>
      <c r="C172" s="83">
        <v>1</v>
      </c>
      <c r="D172" s="85">
        <v>1</v>
      </c>
      <c r="E172" s="145" t="s">
        <v>472</v>
      </c>
      <c r="F172" s="79" t="s">
        <v>183</v>
      </c>
      <c r="G172" s="145" t="s">
        <v>470</v>
      </c>
      <c r="H172" s="79" t="s">
        <v>183</v>
      </c>
      <c r="I172" s="145" t="s">
        <v>477</v>
      </c>
      <c r="J172" s="79" t="s">
        <v>183</v>
      </c>
      <c r="K172" s="185" t="s">
        <v>158</v>
      </c>
      <c r="L172" s="314">
        <v>0</v>
      </c>
      <c r="M172" s="31" t="s">
        <v>159</v>
      </c>
      <c r="N172" s="141">
        <v>1</v>
      </c>
      <c r="O172" s="248">
        <f>$A$171*$B$172*$C$172*$D$172*N172</f>
        <v>4.4999999999999998E-2</v>
      </c>
      <c r="P172" s="182">
        <v>0</v>
      </c>
      <c r="Q172" s="20"/>
      <c r="R172" s="142">
        <v>100</v>
      </c>
      <c r="S172" s="255">
        <f>$A$171*$B$172*$C$172*$D$172*N172*R172</f>
        <v>4.5</v>
      </c>
      <c r="T172" s="20"/>
      <c r="U172" s="20"/>
      <c r="V172" s="336">
        <v>100</v>
      </c>
      <c r="W172" s="399">
        <f>V172*O172</f>
        <v>4.5</v>
      </c>
      <c r="Y172" s="409">
        <f t="shared" si="37"/>
        <v>0</v>
      </c>
    </row>
    <row r="173" spans="1:25" s="13" customFormat="1" ht="18.600000000000001" customHeight="1">
      <c r="E173" s="192" t="s">
        <v>60</v>
      </c>
      <c r="F173" s="582" t="s">
        <v>184</v>
      </c>
      <c r="G173" s="583"/>
      <c r="H173" s="583"/>
      <c r="I173" s="583"/>
      <c r="J173" s="583"/>
      <c r="K173" s="583"/>
      <c r="L173" s="583"/>
      <c r="M173" s="584"/>
      <c r="N173" s="189"/>
      <c r="O173" s="189"/>
      <c r="P173" s="176"/>
      <c r="Q173" s="190"/>
      <c r="R173" s="191"/>
      <c r="S173" s="260"/>
      <c r="T173" s="190"/>
      <c r="U173" s="190"/>
      <c r="V173" s="191"/>
      <c r="W173" s="193"/>
      <c r="Y173" s="409">
        <f>W173-S173</f>
        <v>0</v>
      </c>
    </row>
    <row r="174" spans="1:25" s="13" customFormat="1" ht="62.25" customHeight="1">
      <c r="E174" s="109" t="s">
        <v>16</v>
      </c>
      <c r="F174" s="92" t="s">
        <v>276</v>
      </c>
      <c r="G174" s="109" t="s">
        <v>353</v>
      </c>
      <c r="H174" s="92" t="s">
        <v>276</v>
      </c>
      <c r="I174" s="109" t="s">
        <v>354</v>
      </c>
      <c r="J174" s="92" t="s">
        <v>276</v>
      </c>
      <c r="K174" s="185" t="s">
        <v>488</v>
      </c>
      <c r="L174" s="314">
        <v>0</v>
      </c>
      <c r="M174" s="31" t="s">
        <v>159</v>
      </c>
      <c r="N174" s="141">
        <v>1</v>
      </c>
      <c r="O174" s="141"/>
      <c r="P174" s="182">
        <v>0</v>
      </c>
      <c r="Q174" s="20"/>
      <c r="R174" s="17"/>
      <c r="S174" s="261">
        <v>0</v>
      </c>
      <c r="T174" s="20"/>
      <c r="U174" s="20"/>
      <c r="V174" s="92"/>
      <c r="W174" s="23"/>
      <c r="Y174" s="409">
        <f t="shared" ref="Y174:Y176" si="46">W174-S174</f>
        <v>0</v>
      </c>
    </row>
    <row r="175" spans="1:25" s="13" customFormat="1" ht="62.25" customHeight="1">
      <c r="E175" s="145" t="s">
        <v>473</v>
      </c>
      <c r="F175" s="92" t="s">
        <v>277</v>
      </c>
      <c r="G175" s="145" t="s">
        <v>475</v>
      </c>
      <c r="H175" s="92" t="s">
        <v>277</v>
      </c>
      <c r="I175" s="145" t="s">
        <v>478</v>
      </c>
      <c r="J175" s="92" t="s">
        <v>277</v>
      </c>
      <c r="K175" s="283" t="s">
        <v>488</v>
      </c>
      <c r="L175" s="314">
        <v>0</v>
      </c>
      <c r="M175" s="31" t="s">
        <v>159</v>
      </c>
      <c r="N175" s="141">
        <v>1</v>
      </c>
      <c r="O175" s="141"/>
      <c r="P175" s="182">
        <v>0</v>
      </c>
      <c r="Q175" s="20"/>
      <c r="R175" s="17"/>
      <c r="S175" s="261">
        <v>0</v>
      </c>
      <c r="T175" s="20"/>
      <c r="U175" s="20"/>
      <c r="V175" s="92"/>
      <c r="W175" s="23"/>
      <c r="Y175" s="409">
        <f t="shared" si="46"/>
        <v>0</v>
      </c>
    </row>
    <row r="176" spans="1:25" s="194" customFormat="1" ht="36.950000000000003" customHeight="1">
      <c r="E176" s="600" t="s">
        <v>185</v>
      </c>
      <c r="F176" s="601"/>
      <c r="G176" s="601"/>
      <c r="H176" s="601"/>
      <c r="I176" s="601"/>
      <c r="J176" s="601"/>
      <c r="K176" s="601"/>
      <c r="L176" s="601"/>
      <c r="M176" s="601"/>
      <c r="N176" s="601"/>
      <c r="O176" s="601"/>
      <c r="P176" s="601"/>
      <c r="Q176" s="601"/>
      <c r="R176" s="602"/>
      <c r="S176" s="197">
        <f>SUM(S10+S37+S159+S170)</f>
        <v>103.03680520000002</v>
      </c>
      <c r="T176" s="195"/>
      <c r="U176" s="195"/>
      <c r="V176" s="196"/>
      <c r="W176" s="197">
        <f>SUM(W12:W175)</f>
        <v>103.12656519999999</v>
      </c>
      <c r="Y176" s="409">
        <f t="shared" si="46"/>
        <v>8.9759999999969864E-2</v>
      </c>
    </row>
    <row r="177" spans="5:24">
      <c r="E177" s="595" t="s">
        <v>278</v>
      </c>
      <c r="F177" s="596"/>
      <c r="G177" s="596"/>
      <c r="H177" s="596"/>
      <c r="I177" s="596"/>
      <c r="J177" s="596"/>
      <c r="K177" s="596"/>
      <c r="L177" s="596"/>
      <c r="M177" s="596"/>
      <c r="N177" s="596"/>
      <c r="O177" s="596"/>
      <c r="P177" s="596"/>
      <c r="Q177" s="596"/>
      <c r="R177" s="597"/>
      <c r="S177" s="262" t="str">
        <f>IF(S176&gt;105,"A",IF(AND(S176&gt;100,S176&lt;=105),"B",IF(AND(S176&gt;=95,S176&lt;=100),"C",IF(AND(S176&gt;=90,S176&lt;95),"D",IF(S176&lt;90,"E",0)))))</f>
        <v>B</v>
      </c>
      <c r="T177" s="223"/>
      <c r="U177" s="223"/>
      <c r="V177" s="223"/>
      <c r="W177" s="223"/>
    </row>
    <row r="178" spans="5:24" ht="17.25" customHeight="1">
      <c r="E178" s="33"/>
      <c r="F178" s="33"/>
      <c r="G178" s="198"/>
      <c r="H178" s="105"/>
      <c r="I178" s="105"/>
      <c r="J178" s="105"/>
      <c r="K178" s="8"/>
      <c r="L178" s="320"/>
      <c r="M178" s="34"/>
      <c r="N178" s="199"/>
      <c r="O178" s="199"/>
      <c r="P178" s="101"/>
      <c r="Q178" s="101"/>
      <c r="R178" s="102"/>
    </row>
    <row r="179" spans="5:24" s="37" customFormat="1">
      <c r="E179" s="24"/>
      <c r="F179" s="24"/>
      <c r="G179" s="24"/>
      <c r="H179" s="78" t="s">
        <v>192</v>
      </c>
      <c r="I179" s="78"/>
      <c r="J179" s="78"/>
      <c r="K179" s="36"/>
      <c r="L179" s="30"/>
      <c r="N179" s="585" t="s">
        <v>193</v>
      </c>
      <c r="O179" s="585"/>
      <c r="P179" s="585"/>
      <c r="Q179" s="585"/>
      <c r="R179" s="585"/>
      <c r="S179" s="585"/>
      <c r="T179" s="585"/>
      <c r="U179" s="77"/>
      <c r="V179" s="30"/>
      <c r="W179" s="30"/>
      <c r="X179" s="30"/>
    </row>
    <row r="180" spans="5:24">
      <c r="E180" s="33"/>
      <c r="F180" s="33"/>
      <c r="G180" s="198"/>
      <c r="H180" s="105"/>
      <c r="I180" s="105"/>
      <c r="J180" s="105"/>
      <c r="K180" s="8"/>
      <c r="L180" s="320"/>
      <c r="M180" s="34"/>
      <c r="N180" s="199"/>
      <c r="O180" s="199"/>
      <c r="P180" s="101"/>
      <c r="Q180" s="101"/>
      <c r="R180" s="102"/>
    </row>
    <row r="181" spans="5:24">
      <c r="E181" s="33"/>
      <c r="F181" s="33"/>
      <c r="G181" s="198"/>
      <c r="H181" s="105"/>
      <c r="I181" s="105"/>
      <c r="J181" s="105"/>
      <c r="K181" s="8"/>
      <c r="L181" s="320"/>
      <c r="M181" s="34"/>
      <c r="N181" s="199"/>
      <c r="O181" s="199"/>
      <c r="P181" s="101"/>
      <c r="Q181" s="101"/>
      <c r="R181" s="102"/>
    </row>
    <row r="182" spans="5:24">
      <c r="L182" s="13"/>
      <c r="P182" s="103"/>
    </row>
    <row r="183" spans="5:24">
      <c r="L183" s="13"/>
      <c r="P183" s="103"/>
    </row>
    <row r="184" spans="5:24">
      <c r="L184" s="13"/>
      <c r="P184" s="103"/>
    </row>
    <row r="185" spans="5:24">
      <c r="L185" s="13"/>
      <c r="P185" s="103"/>
    </row>
    <row r="186" spans="5:24">
      <c r="L186" s="13"/>
      <c r="P186" s="103"/>
    </row>
    <row r="187" spans="5:24">
      <c r="L187" s="13"/>
      <c r="P187" s="103"/>
    </row>
    <row r="188" spans="5:24">
      <c r="L188" s="13"/>
      <c r="P188" s="103"/>
    </row>
    <row r="189" spans="5:24">
      <c r="L189" s="13"/>
      <c r="P189" s="103"/>
    </row>
    <row r="190" spans="5:24">
      <c r="L190" s="13"/>
      <c r="P190" s="103"/>
    </row>
    <row r="191" spans="5:24">
      <c r="L191" s="13"/>
      <c r="P191" s="103"/>
    </row>
    <row r="192" spans="5:24">
      <c r="L192" s="13"/>
      <c r="P192" s="103"/>
    </row>
    <row r="193" spans="12:16" s="93" customFormat="1">
      <c r="L193" s="13"/>
      <c r="M193" s="7"/>
      <c r="N193" s="123"/>
      <c r="O193" s="123"/>
      <c r="P193" s="103"/>
    </row>
    <row r="194" spans="12:16" s="93" customFormat="1">
      <c r="L194" s="13"/>
      <c r="M194" s="7"/>
      <c r="N194" s="123"/>
      <c r="O194" s="123"/>
      <c r="P194" s="103"/>
    </row>
    <row r="195" spans="12:16" s="93" customFormat="1">
      <c r="L195" s="13"/>
      <c r="M195" s="7"/>
      <c r="N195" s="123"/>
      <c r="O195" s="123"/>
      <c r="P195" s="103"/>
    </row>
    <row r="196" spans="12:16" s="93" customFormat="1">
      <c r="L196" s="13"/>
      <c r="M196" s="7"/>
      <c r="N196" s="123"/>
      <c r="O196" s="123"/>
      <c r="P196" s="103"/>
    </row>
    <row r="197" spans="12:16" s="93" customFormat="1">
      <c r="L197" s="13"/>
      <c r="M197" s="7"/>
      <c r="N197" s="123"/>
      <c r="O197" s="123"/>
      <c r="P197" s="103"/>
    </row>
    <row r="198" spans="12:16" s="93" customFormat="1">
      <c r="L198" s="13"/>
      <c r="M198" s="7"/>
      <c r="N198" s="123"/>
      <c r="O198" s="123"/>
      <c r="P198" s="103"/>
    </row>
    <row r="199" spans="12:16" s="93" customFormat="1">
      <c r="L199" s="13"/>
      <c r="M199" s="7"/>
      <c r="N199" s="123"/>
      <c r="O199" s="123"/>
      <c r="P199" s="103"/>
    </row>
    <row r="200" spans="12:16" s="93" customFormat="1">
      <c r="L200" s="13"/>
      <c r="M200" s="7"/>
      <c r="N200" s="123"/>
      <c r="O200" s="123"/>
      <c r="P200" s="103"/>
    </row>
    <row r="201" spans="12:16" s="93" customFormat="1">
      <c r="L201" s="13"/>
      <c r="M201" s="7"/>
      <c r="N201" s="123"/>
      <c r="O201" s="123"/>
      <c r="P201" s="103"/>
    </row>
    <row r="202" spans="12:16" s="93" customFormat="1">
      <c r="L202" s="13"/>
      <c r="M202" s="7"/>
      <c r="N202" s="123"/>
      <c r="O202" s="123"/>
      <c r="P202" s="103"/>
    </row>
    <row r="203" spans="12:16" s="93" customFormat="1">
      <c r="L203" s="13"/>
      <c r="M203" s="7"/>
      <c r="N203" s="123"/>
      <c r="O203" s="123"/>
      <c r="P203" s="103"/>
    </row>
    <row r="204" spans="12:16" s="93" customFormat="1">
      <c r="L204" s="13"/>
      <c r="M204" s="7"/>
      <c r="N204" s="123"/>
      <c r="O204" s="123"/>
      <c r="P204" s="103"/>
    </row>
    <row r="205" spans="12:16" s="93" customFormat="1">
      <c r="L205" s="13"/>
      <c r="M205" s="7"/>
      <c r="N205" s="123"/>
      <c r="O205" s="123"/>
      <c r="P205" s="103"/>
    </row>
    <row r="206" spans="12:16" s="93" customFormat="1">
      <c r="L206" s="13"/>
      <c r="M206" s="7"/>
      <c r="N206" s="123"/>
      <c r="O206" s="123"/>
      <c r="P206" s="103"/>
    </row>
    <row r="207" spans="12:16" s="93" customFormat="1">
      <c r="L207" s="13"/>
      <c r="M207" s="7"/>
      <c r="N207" s="123"/>
      <c r="O207" s="123"/>
      <c r="P207" s="103"/>
    </row>
    <row r="208" spans="12:16" s="93" customFormat="1">
      <c r="L208" s="13"/>
      <c r="M208" s="7"/>
      <c r="N208" s="123"/>
      <c r="O208" s="123"/>
      <c r="P208" s="103"/>
    </row>
    <row r="209" spans="12:16" s="93" customFormat="1">
      <c r="L209" s="13"/>
      <c r="M209" s="7"/>
      <c r="N209" s="123"/>
      <c r="O209" s="123"/>
      <c r="P209" s="103"/>
    </row>
    <row r="210" spans="12:16" s="93" customFormat="1">
      <c r="L210" s="13"/>
      <c r="M210" s="7"/>
      <c r="N210" s="123"/>
      <c r="O210" s="123"/>
      <c r="P210" s="103"/>
    </row>
    <row r="211" spans="12:16" s="93" customFormat="1">
      <c r="L211" s="13"/>
      <c r="M211" s="7"/>
      <c r="N211" s="123"/>
      <c r="O211" s="123"/>
      <c r="P211" s="103"/>
    </row>
    <row r="212" spans="12:16" s="93" customFormat="1">
      <c r="L212" s="13"/>
      <c r="M212" s="7"/>
      <c r="N212" s="123"/>
      <c r="O212" s="123"/>
      <c r="P212" s="103"/>
    </row>
    <row r="213" spans="12:16" s="93" customFormat="1">
      <c r="L213" s="13"/>
      <c r="M213" s="7"/>
      <c r="N213" s="123"/>
      <c r="O213" s="123"/>
      <c r="P213" s="103"/>
    </row>
    <row r="214" spans="12:16" s="93" customFormat="1">
      <c r="L214" s="13"/>
      <c r="M214" s="7"/>
      <c r="N214" s="123"/>
      <c r="O214" s="123"/>
      <c r="P214" s="103"/>
    </row>
    <row r="215" spans="12:16" s="93" customFormat="1">
      <c r="L215" s="13"/>
      <c r="M215" s="7"/>
      <c r="N215" s="123"/>
      <c r="O215" s="123"/>
      <c r="P215" s="103"/>
    </row>
    <row r="216" spans="12:16" s="93" customFormat="1">
      <c r="L216" s="13"/>
      <c r="M216" s="7"/>
      <c r="N216" s="123"/>
      <c r="O216" s="123"/>
      <c r="P216" s="103"/>
    </row>
    <row r="217" spans="12:16" s="93" customFormat="1">
      <c r="L217" s="13"/>
      <c r="M217" s="7"/>
      <c r="N217" s="123"/>
      <c r="O217" s="123"/>
      <c r="P217" s="103"/>
    </row>
    <row r="218" spans="12:16" s="93" customFormat="1">
      <c r="L218" s="13"/>
      <c r="M218" s="7"/>
      <c r="N218" s="123"/>
      <c r="O218" s="123"/>
      <c r="P218" s="103"/>
    </row>
    <row r="219" spans="12:16" s="93" customFormat="1">
      <c r="L219" s="13"/>
      <c r="M219" s="7"/>
      <c r="N219" s="123"/>
      <c r="O219" s="123"/>
      <c r="P219" s="103"/>
    </row>
    <row r="220" spans="12:16" s="93" customFormat="1">
      <c r="L220" s="13"/>
      <c r="M220" s="7"/>
      <c r="N220" s="123"/>
      <c r="O220" s="123"/>
      <c r="P220" s="103"/>
    </row>
    <row r="221" spans="12:16" s="93" customFormat="1">
      <c r="L221" s="13"/>
      <c r="M221" s="7"/>
      <c r="N221" s="123"/>
      <c r="O221" s="123"/>
      <c r="P221" s="103"/>
    </row>
    <row r="222" spans="12:16" s="93" customFormat="1">
      <c r="L222" s="13"/>
      <c r="M222" s="7"/>
      <c r="N222" s="123"/>
      <c r="O222" s="123"/>
      <c r="P222" s="103"/>
    </row>
    <row r="223" spans="12:16" s="93" customFormat="1">
      <c r="L223" s="13"/>
      <c r="M223" s="7"/>
      <c r="N223" s="123"/>
      <c r="O223" s="123"/>
      <c r="P223" s="103"/>
    </row>
    <row r="224" spans="12:16" s="93" customFormat="1">
      <c r="L224" s="13"/>
      <c r="M224" s="7"/>
      <c r="N224" s="123"/>
      <c r="O224" s="123"/>
      <c r="P224" s="103"/>
    </row>
    <row r="225" spans="12:16" s="93" customFormat="1">
      <c r="L225" s="13"/>
      <c r="M225" s="7"/>
      <c r="N225" s="123"/>
      <c r="O225" s="123"/>
      <c r="P225" s="103"/>
    </row>
    <row r="226" spans="12:16" s="93" customFormat="1">
      <c r="L226" s="13"/>
      <c r="M226" s="7"/>
      <c r="N226" s="123"/>
      <c r="O226" s="123"/>
      <c r="P226" s="103"/>
    </row>
    <row r="227" spans="12:16" s="93" customFormat="1">
      <c r="L227" s="13"/>
      <c r="M227" s="7"/>
      <c r="N227" s="123"/>
      <c r="O227" s="123"/>
      <c r="P227" s="103"/>
    </row>
    <row r="228" spans="12:16" s="93" customFormat="1">
      <c r="L228" s="13"/>
      <c r="M228" s="7"/>
      <c r="N228" s="123"/>
      <c r="O228" s="123"/>
      <c r="P228" s="103"/>
    </row>
    <row r="229" spans="12:16" s="93" customFormat="1">
      <c r="L229" s="13"/>
      <c r="M229" s="7"/>
      <c r="N229" s="123"/>
      <c r="O229" s="123"/>
      <c r="P229" s="103"/>
    </row>
    <row r="230" spans="12:16" s="93" customFormat="1">
      <c r="L230" s="13"/>
      <c r="M230" s="7"/>
      <c r="N230" s="123"/>
      <c r="O230" s="123"/>
      <c r="P230" s="103"/>
    </row>
    <row r="231" spans="12:16" s="93" customFormat="1">
      <c r="L231" s="13"/>
      <c r="M231" s="7"/>
      <c r="N231" s="123"/>
      <c r="O231" s="123"/>
      <c r="P231" s="103"/>
    </row>
    <row r="232" spans="12:16" s="93" customFormat="1">
      <c r="L232" s="13"/>
      <c r="M232" s="7"/>
      <c r="N232" s="123"/>
      <c r="O232" s="123"/>
      <c r="P232" s="103"/>
    </row>
    <row r="233" spans="12:16" s="93" customFormat="1">
      <c r="L233" s="13"/>
      <c r="M233" s="7"/>
      <c r="N233" s="123"/>
      <c r="O233" s="123"/>
      <c r="P233" s="103"/>
    </row>
    <row r="234" spans="12:16" s="93" customFormat="1">
      <c r="L234" s="13"/>
      <c r="M234" s="7"/>
      <c r="N234" s="123"/>
      <c r="O234" s="123"/>
      <c r="P234" s="103"/>
    </row>
    <row r="235" spans="12:16" s="93" customFormat="1">
      <c r="L235" s="13"/>
      <c r="M235" s="7"/>
      <c r="N235" s="123"/>
      <c r="O235" s="123"/>
      <c r="P235" s="103"/>
    </row>
    <row r="236" spans="12:16" s="93" customFormat="1">
      <c r="L236" s="13"/>
      <c r="M236" s="7"/>
      <c r="N236" s="123"/>
      <c r="O236" s="123"/>
      <c r="P236" s="103"/>
    </row>
    <row r="237" spans="12:16" s="93" customFormat="1">
      <c r="L237" s="13"/>
      <c r="M237" s="7"/>
      <c r="N237" s="123"/>
      <c r="O237" s="123"/>
      <c r="P237" s="103"/>
    </row>
    <row r="238" spans="12:16" s="93" customFormat="1">
      <c r="L238" s="13"/>
      <c r="M238" s="7"/>
      <c r="N238" s="123"/>
      <c r="O238" s="123"/>
      <c r="P238" s="103"/>
    </row>
    <row r="239" spans="12:16" s="93" customFormat="1">
      <c r="L239" s="13"/>
      <c r="M239" s="7"/>
      <c r="N239" s="123"/>
      <c r="O239" s="123"/>
      <c r="P239" s="103"/>
    </row>
    <row r="240" spans="12:16" s="93" customFormat="1">
      <c r="L240" s="13"/>
      <c r="M240" s="7"/>
      <c r="N240" s="123"/>
      <c r="O240" s="123"/>
      <c r="P240" s="103"/>
    </row>
    <row r="241" spans="12:16" s="93" customFormat="1">
      <c r="L241" s="13"/>
      <c r="M241" s="7"/>
      <c r="N241" s="123"/>
      <c r="O241" s="123"/>
      <c r="P241" s="103"/>
    </row>
    <row r="242" spans="12:16" s="93" customFormat="1">
      <c r="L242" s="13"/>
      <c r="M242" s="7"/>
      <c r="N242" s="123"/>
      <c r="O242" s="123"/>
      <c r="P242" s="103"/>
    </row>
    <row r="243" spans="12:16" s="93" customFormat="1">
      <c r="L243" s="13"/>
      <c r="M243" s="7"/>
      <c r="N243" s="123"/>
      <c r="O243" s="123"/>
      <c r="P243" s="103"/>
    </row>
    <row r="244" spans="12:16" s="93" customFormat="1">
      <c r="L244" s="13"/>
      <c r="M244" s="7"/>
      <c r="N244" s="123"/>
      <c r="O244" s="123"/>
      <c r="P244" s="103"/>
    </row>
    <row r="245" spans="12:16" s="93" customFormat="1">
      <c r="L245" s="13"/>
      <c r="M245" s="7"/>
      <c r="N245" s="123"/>
      <c r="O245" s="123"/>
      <c r="P245" s="103"/>
    </row>
    <row r="246" spans="12:16" s="93" customFormat="1">
      <c r="L246" s="13"/>
      <c r="M246" s="7"/>
      <c r="N246" s="123"/>
      <c r="O246" s="123"/>
      <c r="P246" s="103"/>
    </row>
    <row r="247" spans="12:16" s="93" customFormat="1">
      <c r="L247" s="13"/>
      <c r="M247" s="7"/>
      <c r="N247" s="123"/>
      <c r="O247" s="123"/>
      <c r="P247" s="103"/>
    </row>
    <row r="248" spans="12:16" s="93" customFormat="1">
      <c r="L248" s="13"/>
      <c r="M248" s="7"/>
      <c r="N248" s="123"/>
      <c r="O248" s="123"/>
      <c r="P248" s="103"/>
    </row>
    <row r="249" spans="12:16" s="93" customFormat="1">
      <c r="L249" s="13"/>
      <c r="M249" s="7"/>
      <c r="N249" s="123"/>
      <c r="O249" s="123"/>
      <c r="P249" s="103"/>
    </row>
    <row r="250" spans="12:16" s="93" customFormat="1">
      <c r="L250" s="13"/>
      <c r="M250" s="7"/>
      <c r="N250" s="123"/>
      <c r="O250" s="123"/>
      <c r="P250" s="103"/>
    </row>
    <row r="251" spans="12:16" s="93" customFormat="1">
      <c r="L251" s="13"/>
      <c r="M251" s="7"/>
      <c r="N251" s="123"/>
      <c r="O251" s="123"/>
      <c r="P251" s="103"/>
    </row>
    <row r="252" spans="12:16" s="93" customFormat="1">
      <c r="L252" s="13"/>
      <c r="M252" s="7"/>
      <c r="N252" s="123"/>
      <c r="O252" s="123"/>
      <c r="P252" s="103"/>
    </row>
    <row r="253" spans="12:16" s="93" customFormat="1">
      <c r="L253" s="13"/>
      <c r="M253" s="7"/>
      <c r="N253" s="123"/>
      <c r="O253" s="123"/>
      <c r="P253" s="103"/>
    </row>
    <row r="254" spans="12:16" s="93" customFormat="1">
      <c r="L254" s="13"/>
      <c r="M254" s="7"/>
      <c r="N254" s="123"/>
      <c r="O254" s="123"/>
      <c r="P254" s="103"/>
    </row>
    <row r="255" spans="12:16" s="93" customFormat="1">
      <c r="L255" s="13"/>
      <c r="M255" s="7"/>
      <c r="N255" s="123"/>
      <c r="O255" s="123"/>
      <c r="P255" s="103"/>
    </row>
    <row r="256" spans="12:16" s="93" customFormat="1">
      <c r="L256" s="13"/>
      <c r="M256" s="7"/>
      <c r="N256" s="123"/>
      <c r="O256" s="123"/>
      <c r="P256" s="103"/>
    </row>
    <row r="257" spans="12:16" s="93" customFormat="1">
      <c r="L257" s="13"/>
      <c r="M257" s="7"/>
      <c r="N257" s="123"/>
      <c r="O257" s="123"/>
      <c r="P257" s="103"/>
    </row>
    <row r="258" spans="12:16" s="93" customFormat="1">
      <c r="L258" s="13"/>
      <c r="M258" s="7"/>
      <c r="N258" s="123"/>
      <c r="O258" s="123"/>
      <c r="P258" s="103"/>
    </row>
    <row r="259" spans="12:16" s="93" customFormat="1">
      <c r="L259" s="13"/>
      <c r="M259" s="7"/>
      <c r="N259" s="123"/>
      <c r="O259" s="123"/>
      <c r="P259" s="103"/>
    </row>
    <row r="260" spans="12:16" s="93" customFormat="1">
      <c r="L260" s="13"/>
      <c r="M260" s="7"/>
      <c r="N260" s="123"/>
      <c r="O260" s="123"/>
      <c r="P260" s="103"/>
    </row>
    <row r="261" spans="12:16" s="93" customFormat="1">
      <c r="L261" s="13"/>
      <c r="M261" s="7"/>
      <c r="N261" s="123"/>
      <c r="O261" s="123"/>
      <c r="P261" s="103"/>
    </row>
    <row r="262" spans="12:16" s="93" customFormat="1">
      <c r="L262" s="13"/>
      <c r="M262" s="7"/>
      <c r="N262" s="123"/>
      <c r="O262" s="123"/>
      <c r="P262" s="103"/>
    </row>
    <row r="263" spans="12:16" s="93" customFormat="1">
      <c r="L263" s="13"/>
      <c r="M263" s="7"/>
      <c r="N263" s="123"/>
      <c r="O263" s="123"/>
      <c r="P263" s="103"/>
    </row>
    <row r="264" spans="12:16" s="93" customFormat="1">
      <c r="L264" s="13"/>
      <c r="M264" s="7"/>
      <c r="N264" s="123"/>
      <c r="O264" s="123"/>
      <c r="P264" s="103"/>
    </row>
    <row r="265" spans="12:16" s="93" customFormat="1">
      <c r="L265" s="13"/>
      <c r="M265" s="7"/>
      <c r="N265" s="123"/>
      <c r="O265" s="123"/>
      <c r="P265" s="103"/>
    </row>
    <row r="266" spans="12:16" s="93" customFormat="1">
      <c r="L266" s="13"/>
      <c r="M266" s="7"/>
      <c r="N266" s="123"/>
      <c r="O266" s="123"/>
      <c r="P266" s="103"/>
    </row>
    <row r="267" spans="12:16" s="93" customFormat="1">
      <c r="L267" s="13"/>
      <c r="M267" s="7"/>
      <c r="N267" s="123"/>
      <c r="O267" s="123"/>
      <c r="P267" s="103"/>
    </row>
    <row r="268" spans="12:16" s="93" customFormat="1">
      <c r="L268" s="13"/>
      <c r="M268" s="7"/>
      <c r="N268" s="123"/>
      <c r="O268" s="123"/>
      <c r="P268" s="103"/>
    </row>
    <row r="269" spans="12:16" s="93" customFormat="1">
      <c r="L269" s="13"/>
      <c r="M269" s="7"/>
      <c r="N269" s="123"/>
      <c r="O269" s="123"/>
      <c r="P269" s="103"/>
    </row>
    <row r="270" spans="12:16" s="93" customFormat="1">
      <c r="L270" s="13"/>
      <c r="M270" s="7"/>
      <c r="N270" s="123"/>
      <c r="O270" s="123"/>
      <c r="P270" s="103"/>
    </row>
    <row r="271" spans="12:16" s="93" customFormat="1">
      <c r="L271" s="13"/>
      <c r="M271" s="7"/>
      <c r="N271" s="123"/>
      <c r="O271" s="123"/>
      <c r="P271" s="103"/>
    </row>
    <row r="272" spans="12:16" s="93" customFormat="1">
      <c r="L272" s="13"/>
      <c r="M272" s="7"/>
      <c r="N272" s="123"/>
      <c r="O272" s="123"/>
      <c r="P272" s="103"/>
    </row>
    <row r="273" spans="12:16" s="93" customFormat="1">
      <c r="L273" s="13"/>
      <c r="M273" s="7"/>
      <c r="N273" s="123"/>
      <c r="O273" s="123"/>
      <c r="P273" s="103"/>
    </row>
    <row r="274" spans="12:16" s="93" customFormat="1">
      <c r="L274" s="13"/>
      <c r="M274" s="7"/>
      <c r="N274" s="123"/>
      <c r="O274" s="123"/>
      <c r="P274" s="103"/>
    </row>
    <row r="275" spans="12:16" s="93" customFormat="1">
      <c r="L275" s="13"/>
      <c r="M275" s="7"/>
      <c r="N275" s="123"/>
      <c r="O275" s="123"/>
      <c r="P275" s="103"/>
    </row>
    <row r="276" spans="12:16" s="93" customFormat="1">
      <c r="L276" s="13"/>
      <c r="M276" s="7"/>
      <c r="N276" s="123"/>
      <c r="O276" s="123"/>
      <c r="P276" s="103"/>
    </row>
    <row r="277" spans="12:16" s="93" customFormat="1">
      <c r="L277" s="13"/>
      <c r="M277" s="7"/>
      <c r="N277" s="123"/>
      <c r="O277" s="123"/>
      <c r="P277" s="103"/>
    </row>
    <row r="278" spans="12:16" s="93" customFormat="1">
      <c r="L278" s="13"/>
      <c r="M278" s="7"/>
      <c r="N278" s="123"/>
      <c r="O278" s="123"/>
      <c r="P278" s="103"/>
    </row>
    <row r="279" spans="12:16" s="93" customFormat="1">
      <c r="L279" s="13"/>
      <c r="M279" s="7"/>
      <c r="N279" s="123"/>
      <c r="O279" s="123"/>
      <c r="P279" s="103"/>
    </row>
    <row r="280" spans="12:16" s="93" customFormat="1">
      <c r="L280" s="13"/>
      <c r="M280" s="7"/>
      <c r="N280" s="123"/>
      <c r="O280" s="123"/>
      <c r="P280" s="103"/>
    </row>
    <row r="281" spans="12:16" s="93" customFormat="1">
      <c r="L281" s="13"/>
      <c r="M281" s="7"/>
      <c r="N281" s="123"/>
      <c r="O281" s="123"/>
      <c r="P281" s="103"/>
    </row>
    <row r="282" spans="12:16" s="93" customFormat="1">
      <c r="L282" s="13"/>
      <c r="M282" s="7"/>
      <c r="N282" s="123"/>
      <c r="O282" s="123"/>
      <c r="P282" s="103"/>
    </row>
    <row r="283" spans="12:16" s="93" customFormat="1">
      <c r="L283" s="13"/>
      <c r="M283" s="7"/>
      <c r="N283" s="123"/>
      <c r="O283" s="123"/>
      <c r="P283" s="103"/>
    </row>
    <row r="284" spans="12:16" s="93" customFormat="1">
      <c r="L284" s="13"/>
      <c r="M284" s="7"/>
      <c r="N284" s="123"/>
      <c r="O284" s="123"/>
      <c r="P284" s="103"/>
    </row>
    <row r="285" spans="12:16" s="93" customFormat="1">
      <c r="L285" s="13"/>
      <c r="M285" s="7"/>
      <c r="N285" s="123"/>
      <c r="O285" s="123"/>
      <c r="P285" s="103"/>
    </row>
    <row r="286" spans="12:16" s="93" customFormat="1">
      <c r="L286" s="13"/>
      <c r="M286" s="7"/>
      <c r="N286" s="123"/>
      <c r="O286" s="123"/>
      <c r="P286" s="103"/>
    </row>
    <row r="287" spans="12:16" s="93" customFormat="1">
      <c r="L287" s="13"/>
      <c r="M287" s="7"/>
      <c r="N287" s="123"/>
      <c r="O287" s="123"/>
      <c r="P287" s="103"/>
    </row>
    <row r="288" spans="12:16" s="93" customFormat="1">
      <c r="L288" s="13"/>
      <c r="M288" s="7"/>
      <c r="N288" s="123"/>
      <c r="O288" s="123"/>
      <c r="P288" s="103"/>
    </row>
    <row r="289" spans="12:16" s="93" customFormat="1">
      <c r="L289" s="13"/>
      <c r="M289" s="7"/>
      <c r="N289" s="123"/>
      <c r="O289" s="123"/>
      <c r="P289" s="103"/>
    </row>
    <row r="290" spans="12:16" s="93" customFormat="1">
      <c r="L290" s="13"/>
      <c r="M290" s="7"/>
      <c r="N290" s="123"/>
      <c r="O290" s="123"/>
      <c r="P290" s="103"/>
    </row>
    <row r="291" spans="12:16" s="93" customFormat="1">
      <c r="L291" s="13"/>
      <c r="M291" s="7"/>
      <c r="N291" s="123"/>
      <c r="O291" s="123"/>
      <c r="P291" s="103"/>
    </row>
    <row r="292" spans="12:16" s="93" customFormat="1">
      <c r="L292" s="13"/>
      <c r="M292" s="7"/>
      <c r="N292" s="123"/>
      <c r="O292" s="123"/>
      <c r="P292" s="103"/>
    </row>
    <row r="293" spans="12:16" s="93" customFormat="1">
      <c r="L293" s="13"/>
      <c r="M293" s="7"/>
      <c r="N293" s="123"/>
      <c r="O293" s="123"/>
      <c r="P293" s="103"/>
    </row>
    <row r="294" spans="12:16" s="93" customFormat="1">
      <c r="L294" s="13"/>
      <c r="M294" s="7"/>
      <c r="N294" s="123"/>
      <c r="O294" s="123"/>
      <c r="P294" s="103"/>
    </row>
    <row r="295" spans="12:16" s="93" customFormat="1">
      <c r="L295" s="13"/>
      <c r="M295" s="7"/>
      <c r="N295" s="123"/>
      <c r="O295" s="123"/>
      <c r="P295" s="103"/>
    </row>
    <row r="296" spans="12:16" s="93" customFormat="1">
      <c r="L296" s="13"/>
      <c r="M296" s="7"/>
      <c r="N296" s="123"/>
      <c r="O296" s="123"/>
      <c r="P296" s="103"/>
    </row>
    <row r="297" spans="12:16" s="93" customFormat="1">
      <c r="L297" s="13"/>
      <c r="M297" s="7"/>
      <c r="N297" s="123"/>
      <c r="O297" s="123"/>
      <c r="P297" s="103"/>
    </row>
    <row r="298" spans="12:16" s="93" customFormat="1">
      <c r="L298" s="13"/>
      <c r="M298" s="7"/>
      <c r="N298" s="123"/>
      <c r="O298" s="123"/>
      <c r="P298" s="103"/>
    </row>
    <row r="299" spans="12:16" s="93" customFormat="1">
      <c r="L299" s="13"/>
      <c r="M299" s="7"/>
      <c r="N299" s="123"/>
      <c r="O299" s="123"/>
      <c r="P299" s="103"/>
    </row>
    <row r="300" spans="12:16" s="93" customFormat="1">
      <c r="L300" s="13"/>
      <c r="M300" s="7"/>
      <c r="N300" s="123"/>
      <c r="O300" s="123"/>
      <c r="P300" s="103"/>
    </row>
    <row r="301" spans="12:16" s="93" customFormat="1">
      <c r="L301" s="13"/>
      <c r="M301" s="7"/>
      <c r="N301" s="123"/>
      <c r="O301" s="123"/>
      <c r="P301" s="103"/>
    </row>
    <row r="302" spans="12:16" s="93" customFormat="1">
      <c r="L302" s="13"/>
      <c r="M302" s="7"/>
      <c r="N302" s="123"/>
      <c r="O302" s="123"/>
      <c r="P302" s="103"/>
    </row>
    <row r="303" spans="12:16" s="93" customFormat="1">
      <c r="L303" s="13"/>
      <c r="M303" s="7"/>
      <c r="N303" s="123"/>
      <c r="O303" s="123"/>
      <c r="P303" s="103"/>
    </row>
    <row r="304" spans="12:16" s="93" customFormat="1">
      <c r="L304" s="13"/>
      <c r="M304" s="7"/>
      <c r="N304" s="123"/>
      <c r="O304" s="123"/>
      <c r="P304" s="103"/>
    </row>
    <row r="305" spans="12:16" s="93" customFormat="1">
      <c r="L305" s="13"/>
      <c r="M305" s="7"/>
      <c r="N305" s="123"/>
      <c r="O305" s="123"/>
      <c r="P305" s="103"/>
    </row>
    <row r="306" spans="12:16" s="93" customFormat="1">
      <c r="L306" s="13"/>
      <c r="M306" s="7"/>
      <c r="N306" s="123"/>
      <c r="O306" s="123"/>
      <c r="P306" s="103"/>
    </row>
    <row r="307" spans="12:16" s="93" customFormat="1">
      <c r="L307" s="13"/>
      <c r="M307" s="7"/>
      <c r="N307" s="123"/>
      <c r="O307" s="123"/>
      <c r="P307" s="103"/>
    </row>
    <row r="308" spans="12:16" s="93" customFormat="1">
      <c r="L308" s="13"/>
      <c r="M308" s="7"/>
      <c r="N308" s="123"/>
      <c r="O308" s="123"/>
      <c r="P308" s="103"/>
    </row>
    <row r="309" spans="12:16" s="93" customFormat="1">
      <c r="L309" s="13"/>
      <c r="M309" s="7"/>
      <c r="N309" s="123"/>
      <c r="O309" s="123"/>
      <c r="P309" s="103"/>
    </row>
    <row r="310" spans="12:16" s="93" customFormat="1">
      <c r="L310" s="13"/>
      <c r="M310" s="7"/>
      <c r="N310" s="123"/>
      <c r="O310" s="123"/>
      <c r="P310" s="103"/>
    </row>
    <row r="311" spans="12:16" s="93" customFormat="1">
      <c r="L311" s="13"/>
      <c r="M311" s="7"/>
      <c r="N311" s="123"/>
      <c r="O311" s="123"/>
      <c r="P311" s="103"/>
    </row>
    <row r="312" spans="12:16" s="93" customFormat="1">
      <c r="L312" s="13"/>
      <c r="M312" s="7"/>
      <c r="N312" s="123"/>
      <c r="O312" s="123"/>
      <c r="P312" s="103"/>
    </row>
    <row r="313" spans="12:16" s="93" customFormat="1">
      <c r="L313" s="13"/>
      <c r="M313" s="7"/>
      <c r="N313" s="123"/>
      <c r="O313" s="123"/>
      <c r="P313" s="103"/>
    </row>
    <row r="314" spans="12:16" s="93" customFormat="1">
      <c r="L314" s="13"/>
      <c r="M314" s="7"/>
      <c r="N314" s="123"/>
      <c r="O314" s="123"/>
      <c r="P314" s="103"/>
    </row>
    <row r="315" spans="12:16" s="93" customFormat="1">
      <c r="L315" s="13"/>
      <c r="M315" s="7"/>
      <c r="N315" s="123"/>
      <c r="O315" s="123"/>
      <c r="P315" s="103"/>
    </row>
    <row r="316" spans="12:16" s="93" customFormat="1">
      <c r="L316" s="13"/>
      <c r="M316" s="7"/>
      <c r="N316" s="123"/>
      <c r="O316" s="123"/>
      <c r="P316" s="103"/>
    </row>
    <row r="317" spans="12:16" s="93" customFormat="1">
      <c r="L317" s="13"/>
      <c r="M317" s="7"/>
      <c r="N317" s="123"/>
      <c r="O317" s="123"/>
      <c r="P317" s="103"/>
    </row>
    <row r="318" spans="12:16" s="93" customFormat="1">
      <c r="L318" s="13"/>
      <c r="M318" s="7"/>
      <c r="N318" s="123"/>
      <c r="O318" s="123"/>
      <c r="P318" s="103"/>
    </row>
    <row r="319" spans="12:16" s="93" customFormat="1">
      <c r="L319" s="13"/>
      <c r="M319" s="7"/>
      <c r="N319" s="123"/>
      <c r="O319" s="123"/>
      <c r="P319" s="103"/>
    </row>
    <row r="320" spans="12:16" s="93" customFormat="1">
      <c r="L320" s="13"/>
      <c r="M320" s="7"/>
      <c r="N320" s="123"/>
      <c r="O320" s="123"/>
      <c r="P320" s="103"/>
    </row>
    <row r="321" spans="12:16" s="93" customFormat="1">
      <c r="L321" s="13"/>
      <c r="M321" s="7"/>
      <c r="N321" s="123"/>
      <c r="O321" s="123"/>
      <c r="P321" s="103"/>
    </row>
    <row r="322" spans="12:16" s="93" customFormat="1">
      <c r="L322" s="13"/>
      <c r="M322" s="7"/>
      <c r="N322" s="123"/>
      <c r="O322" s="123"/>
      <c r="P322" s="103"/>
    </row>
    <row r="323" spans="12:16" s="93" customFormat="1">
      <c r="L323" s="13"/>
      <c r="M323" s="7"/>
      <c r="N323" s="123"/>
      <c r="O323" s="123"/>
      <c r="P323" s="103"/>
    </row>
    <row r="324" spans="12:16" s="93" customFormat="1">
      <c r="L324" s="13"/>
      <c r="M324" s="7"/>
      <c r="N324" s="123"/>
      <c r="O324" s="123"/>
      <c r="P324" s="103"/>
    </row>
    <row r="325" spans="12:16" s="93" customFormat="1">
      <c r="L325" s="13"/>
      <c r="M325" s="7"/>
      <c r="N325" s="123"/>
      <c r="O325" s="123"/>
      <c r="P325" s="103"/>
    </row>
    <row r="326" spans="12:16" s="93" customFormat="1">
      <c r="L326" s="13"/>
      <c r="M326" s="7"/>
      <c r="N326" s="123"/>
      <c r="O326" s="123"/>
      <c r="P326" s="103"/>
    </row>
    <row r="327" spans="12:16" s="93" customFormat="1">
      <c r="L327" s="13"/>
      <c r="M327" s="7"/>
      <c r="N327" s="123"/>
      <c r="O327" s="123"/>
      <c r="P327" s="103"/>
    </row>
    <row r="328" spans="12:16" s="93" customFormat="1">
      <c r="L328" s="13"/>
      <c r="M328" s="7"/>
      <c r="N328" s="123"/>
      <c r="O328" s="123"/>
      <c r="P328" s="103"/>
    </row>
    <row r="329" spans="12:16" s="93" customFormat="1">
      <c r="L329" s="13"/>
      <c r="M329" s="7"/>
      <c r="N329" s="123"/>
      <c r="O329" s="123"/>
      <c r="P329" s="103"/>
    </row>
    <row r="330" spans="12:16" s="93" customFormat="1">
      <c r="L330" s="13"/>
      <c r="M330" s="7"/>
      <c r="N330" s="123"/>
      <c r="O330" s="123"/>
      <c r="P330" s="103"/>
    </row>
    <row r="331" spans="12:16" s="93" customFormat="1">
      <c r="L331" s="13"/>
      <c r="M331" s="7"/>
      <c r="N331" s="123"/>
      <c r="O331" s="123"/>
      <c r="P331" s="103"/>
    </row>
    <row r="332" spans="12:16" s="93" customFormat="1">
      <c r="L332" s="13"/>
      <c r="M332" s="7"/>
      <c r="N332" s="123"/>
      <c r="O332" s="123"/>
      <c r="P332" s="103"/>
    </row>
    <row r="333" spans="12:16" s="93" customFormat="1">
      <c r="L333" s="13"/>
      <c r="M333" s="7"/>
      <c r="N333" s="123"/>
      <c r="O333" s="123"/>
      <c r="P333" s="103"/>
    </row>
    <row r="334" spans="12:16" s="93" customFormat="1">
      <c r="L334" s="13"/>
      <c r="M334" s="7"/>
      <c r="N334" s="123"/>
      <c r="O334" s="123"/>
      <c r="P334" s="103"/>
    </row>
    <row r="335" spans="12:16" s="93" customFormat="1">
      <c r="L335" s="13"/>
      <c r="M335" s="7"/>
      <c r="N335" s="123"/>
      <c r="O335" s="123"/>
      <c r="P335" s="103"/>
    </row>
    <row r="336" spans="12:16" s="93" customFormat="1">
      <c r="L336" s="13"/>
      <c r="M336" s="7"/>
      <c r="N336" s="123"/>
      <c r="O336" s="123"/>
      <c r="P336" s="103"/>
    </row>
    <row r="337" spans="12:16" s="93" customFormat="1">
      <c r="L337" s="13"/>
      <c r="M337" s="7"/>
      <c r="N337" s="123"/>
      <c r="O337" s="123"/>
      <c r="P337" s="103"/>
    </row>
    <row r="338" spans="12:16" s="93" customFormat="1">
      <c r="L338" s="13"/>
      <c r="M338" s="7"/>
      <c r="N338" s="123"/>
      <c r="O338" s="123"/>
      <c r="P338" s="103"/>
    </row>
    <row r="339" spans="12:16" s="93" customFormat="1">
      <c r="L339" s="13"/>
      <c r="M339" s="7"/>
      <c r="N339" s="123"/>
      <c r="O339" s="123"/>
      <c r="P339" s="103"/>
    </row>
    <row r="340" spans="12:16" s="93" customFormat="1">
      <c r="L340" s="13"/>
      <c r="M340" s="7"/>
      <c r="N340" s="123"/>
      <c r="O340" s="123"/>
      <c r="P340" s="103"/>
    </row>
    <row r="341" spans="12:16" s="93" customFormat="1">
      <c r="L341" s="13"/>
      <c r="M341" s="7"/>
      <c r="N341" s="123"/>
      <c r="O341" s="123"/>
      <c r="P341" s="103"/>
    </row>
    <row r="342" spans="12:16" s="93" customFormat="1">
      <c r="L342" s="13"/>
      <c r="M342" s="7"/>
      <c r="N342" s="123"/>
      <c r="O342" s="123"/>
      <c r="P342" s="103"/>
    </row>
    <row r="343" spans="12:16" s="93" customFormat="1">
      <c r="L343" s="13"/>
      <c r="M343" s="7"/>
      <c r="N343" s="123"/>
      <c r="O343" s="123"/>
      <c r="P343" s="103"/>
    </row>
    <row r="344" spans="12:16" s="93" customFormat="1">
      <c r="L344" s="13"/>
      <c r="M344" s="7"/>
      <c r="N344" s="123"/>
      <c r="O344" s="123"/>
      <c r="P344" s="103"/>
    </row>
    <row r="345" spans="12:16" s="93" customFormat="1">
      <c r="L345" s="13"/>
      <c r="M345" s="7"/>
      <c r="N345" s="123"/>
      <c r="O345" s="123"/>
      <c r="P345" s="103"/>
    </row>
    <row r="346" spans="12:16" s="93" customFormat="1">
      <c r="L346" s="13"/>
      <c r="M346" s="7"/>
      <c r="N346" s="123"/>
      <c r="O346" s="123"/>
      <c r="P346" s="103"/>
    </row>
    <row r="347" spans="12:16" s="93" customFormat="1">
      <c r="L347" s="13"/>
      <c r="M347" s="7"/>
      <c r="N347" s="123"/>
      <c r="O347" s="123"/>
      <c r="P347" s="103"/>
    </row>
    <row r="348" spans="12:16" s="93" customFormat="1">
      <c r="L348" s="13"/>
      <c r="M348" s="7"/>
      <c r="N348" s="123"/>
      <c r="O348" s="123"/>
      <c r="P348" s="103"/>
    </row>
    <row r="349" spans="12:16" s="93" customFormat="1">
      <c r="L349" s="13"/>
      <c r="M349" s="7"/>
      <c r="N349" s="123"/>
      <c r="O349" s="123"/>
      <c r="P349" s="103"/>
    </row>
    <row r="350" spans="12:16" s="93" customFormat="1">
      <c r="L350" s="13"/>
      <c r="M350" s="7"/>
      <c r="N350" s="123"/>
      <c r="O350" s="123"/>
      <c r="P350" s="103"/>
    </row>
    <row r="351" spans="12:16" s="93" customFormat="1">
      <c r="L351" s="13"/>
      <c r="M351" s="7"/>
      <c r="N351" s="123"/>
      <c r="O351" s="123"/>
      <c r="P351" s="103"/>
    </row>
    <row r="352" spans="12:16" s="93" customFormat="1">
      <c r="L352" s="13"/>
      <c r="M352" s="7"/>
      <c r="N352" s="123"/>
      <c r="O352" s="123"/>
      <c r="P352" s="103"/>
    </row>
    <row r="353" spans="12:16" s="93" customFormat="1">
      <c r="L353" s="13"/>
      <c r="M353" s="7"/>
      <c r="N353" s="123"/>
      <c r="O353" s="123"/>
      <c r="P353" s="103"/>
    </row>
    <row r="354" spans="12:16" s="93" customFormat="1">
      <c r="L354" s="13"/>
      <c r="M354" s="7"/>
      <c r="N354" s="123"/>
      <c r="O354" s="123"/>
      <c r="P354" s="103"/>
    </row>
    <row r="355" spans="12:16" s="93" customFormat="1">
      <c r="L355" s="13"/>
      <c r="M355" s="7"/>
      <c r="N355" s="123"/>
      <c r="O355" s="123"/>
      <c r="P355" s="103"/>
    </row>
    <row r="356" spans="12:16" s="93" customFormat="1">
      <c r="L356" s="13"/>
      <c r="M356" s="7"/>
      <c r="N356" s="123"/>
      <c r="O356" s="123"/>
      <c r="P356" s="103"/>
    </row>
    <row r="357" spans="12:16" s="93" customFormat="1">
      <c r="L357" s="13"/>
      <c r="M357" s="7"/>
      <c r="N357" s="123"/>
      <c r="O357" s="123"/>
      <c r="P357" s="103"/>
    </row>
    <row r="358" spans="12:16" s="93" customFormat="1">
      <c r="L358" s="13"/>
      <c r="M358" s="7"/>
      <c r="N358" s="123"/>
      <c r="O358" s="123"/>
      <c r="P358" s="103"/>
    </row>
    <row r="359" spans="12:16" s="93" customFormat="1">
      <c r="L359" s="13"/>
      <c r="M359" s="7"/>
      <c r="N359" s="123"/>
      <c r="O359" s="123"/>
      <c r="P359" s="103"/>
    </row>
    <row r="360" spans="12:16" s="93" customFormat="1">
      <c r="L360" s="13"/>
      <c r="M360" s="7"/>
      <c r="N360" s="123"/>
      <c r="O360" s="123"/>
      <c r="P360" s="103"/>
    </row>
    <row r="361" spans="12:16" s="93" customFormat="1">
      <c r="L361" s="13"/>
      <c r="M361" s="7"/>
      <c r="N361" s="123"/>
      <c r="O361" s="123"/>
      <c r="P361" s="103"/>
    </row>
    <row r="362" spans="12:16" s="93" customFormat="1">
      <c r="L362" s="13"/>
      <c r="M362" s="7"/>
      <c r="N362" s="123"/>
      <c r="O362" s="123"/>
      <c r="P362" s="103"/>
    </row>
    <row r="363" spans="12:16" s="93" customFormat="1">
      <c r="L363" s="13"/>
      <c r="M363" s="7"/>
      <c r="N363" s="123"/>
      <c r="O363" s="123"/>
      <c r="P363" s="103"/>
    </row>
    <row r="364" spans="12:16" s="93" customFormat="1">
      <c r="L364" s="13"/>
      <c r="M364" s="7"/>
      <c r="N364" s="123"/>
      <c r="O364" s="123"/>
      <c r="P364" s="103"/>
    </row>
    <row r="365" spans="12:16" s="93" customFormat="1">
      <c r="L365" s="13"/>
      <c r="M365" s="7"/>
      <c r="N365" s="123"/>
      <c r="O365" s="123"/>
      <c r="P365" s="103"/>
    </row>
    <row r="366" spans="12:16" s="93" customFormat="1">
      <c r="L366" s="13"/>
      <c r="M366" s="7"/>
      <c r="N366" s="123"/>
      <c r="O366" s="123"/>
      <c r="P366" s="103"/>
    </row>
    <row r="367" spans="12:16" s="93" customFormat="1">
      <c r="L367" s="13"/>
      <c r="M367" s="7"/>
      <c r="N367" s="123"/>
      <c r="O367" s="123"/>
      <c r="P367" s="103"/>
    </row>
    <row r="368" spans="12:16" s="93" customFormat="1">
      <c r="L368" s="13"/>
      <c r="M368" s="7"/>
      <c r="N368" s="123"/>
      <c r="O368" s="123"/>
      <c r="P368" s="103"/>
    </row>
    <row r="369" spans="12:16" s="93" customFormat="1">
      <c r="L369" s="13"/>
      <c r="M369" s="7"/>
      <c r="N369" s="123"/>
      <c r="O369" s="123"/>
      <c r="P369" s="103"/>
    </row>
    <row r="370" spans="12:16" s="93" customFormat="1">
      <c r="L370" s="13"/>
      <c r="M370" s="7"/>
      <c r="N370" s="123"/>
      <c r="O370" s="123"/>
      <c r="P370" s="103"/>
    </row>
    <row r="371" spans="12:16" s="93" customFormat="1">
      <c r="L371" s="13"/>
      <c r="M371" s="7"/>
      <c r="N371" s="123"/>
      <c r="O371" s="123"/>
      <c r="P371" s="103"/>
    </row>
    <row r="372" spans="12:16" s="93" customFormat="1">
      <c r="L372" s="13"/>
      <c r="M372" s="7"/>
      <c r="N372" s="123"/>
      <c r="O372" s="123"/>
      <c r="P372" s="103"/>
    </row>
    <row r="373" spans="12:16" s="93" customFormat="1">
      <c r="L373" s="13"/>
      <c r="M373" s="7"/>
      <c r="N373" s="123"/>
      <c r="O373" s="123"/>
      <c r="P373" s="103"/>
    </row>
    <row r="374" spans="12:16" s="93" customFormat="1">
      <c r="L374" s="13"/>
      <c r="M374" s="7"/>
      <c r="N374" s="123"/>
      <c r="O374" s="123"/>
      <c r="P374" s="103"/>
    </row>
    <row r="375" spans="12:16" s="93" customFormat="1">
      <c r="L375" s="13"/>
      <c r="M375" s="7"/>
      <c r="N375" s="123"/>
      <c r="O375" s="123"/>
      <c r="P375" s="103"/>
    </row>
    <row r="376" spans="12:16" s="93" customFormat="1">
      <c r="L376" s="13"/>
      <c r="M376" s="7"/>
      <c r="N376" s="123"/>
      <c r="O376" s="123"/>
      <c r="P376" s="103"/>
    </row>
    <row r="377" spans="12:16" s="93" customFormat="1">
      <c r="L377" s="13"/>
      <c r="M377" s="7"/>
      <c r="N377" s="123"/>
      <c r="O377" s="123"/>
      <c r="P377" s="103"/>
    </row>
    <row r="378" spans="12:16" s="93" customFormat="1">
      <c r="L378" s="13"/>
      <c r="M378" s="7"/>
      <c r="N378" s="123"/>
      <c r="O378" s="123"/>
      <c r="P378" s="103"/>
    </row>
    <row r="379" spans="12:16" s="93" customFormat="1">
      <c r="L379" s="13"/>
      <c r="M379" s="7"/>
      <c r="N379" s="123"/>
      <c r="O379" s="123"/>
      <c r="P379" s="103"/>
    </row>
    <row r="380" spans="12:16" s="93" customFormat="1">
      <c r="L380" s="13"/>
      <c r="M380" s="7"/>
      <c r="N380" s="123"/>
      <c r="O380" s="123"/>
      <c r="P380" s="103"/>
    </row>
    <row r="381" spans="12:16" s="93" customFormat="1">
      <c r="L381" s="13"/>
      <c r="M381" s="7"/>
      <c r="N381" s="123"/>
      <c r="O381" s="123"/>
      <c r="P381" s="103"/>
    </row>
    <row r="382" spans="12:16" s="93" customFormat="1">
      <c r="L382" s="13"/>
      <c r="M382" s="7"/>
      <c r="N382" s="123"/>
      <c r="O382" s="123"/>
      <c r="P382" s="103"/>
    </row>
    <row r="383" spans="12:16" s="93" customFormat="1">
      <c r="L383" s="13"/>
      <c r="M383" s="7"/>
      <c r="N383" s="123"/>
      <c r="O383" s="123"/>
      <c r="P383" s="103"/>
    </row>
    <row r="384" spans="12:16" s="93" customFormat="1">
      <c r="L384" s="13"/>
      <c r="M384" s="7"/>
      <c r="N384" s="123"/>
      <c r="O384" s="123"/>
      <c r="P384" s="103"/>
    </row>
    <row r="385" spans="12:16" s="93" customFormat="1">
      <c r="L385" s="13"/>
      <c r="M385" s="7"/>
      <c r="N385" s="123"/>
      <c r="O385" s="123"/>
      <c r="P385" s="103"/>
    </row>
    <row r="386" spans="12:16" s="93" customFormat="1">
      <c r="L386" s="13"/>
      <c r="M386" s="7"/>
      <c r="N386" s="123"/>
      <c r="O386" s="123"/>
      <c r="P386" s="103"/>
    </row>
    <row r="387" spans="12:16" s="93" customFormat="1">
      <c r="L387" s="13"/>
      <c r="M387" s="7"/>
      <c r="N387" s="123"/>
      <c r="O387" s="123"/>
      <c r="P387" s="103"/>
    </row>
    <row r="388" spans="12:16" s="93" customFormat="1">
      <c r="L388" s="13"/>
      <c r="M388" s="7"/>
      <c r="N388" s="123"/>
      <c r="O388" s="123"/>
      <c r="P388" s="103"/>
    </row>
    <row r="389" spans="12:16" s="93" customFormat="1">
      <c r="L389" s="13"/>
      <c r="M389" s="7"/>
      <c r="N389" s="123"/>
      <c r="O389" s="123"/>
      <c r="P389" s="103"/>
    </row>
    <row r="390" spans="12:16" s="93" customFormat="1">
      <c r="L390" s="13"/>
      <c r="M390" s="7"/>
      <c r="N390" s="123"/>
      <c r="O390" s="123"/>
      <c r="P390" s="103"/>
    </row>
    <row r="391" spans="12:16" s="93" customFormat="1">
      <c r="L391" s="13"/>
      <c r="M391" s="7"/>
      <c r="N391" s="123"/>
      <c r="O391" s="123"/>
      <c r="P391" s="103"/>
    </row>
    <row r="392" spans="12:16" s="93" customFormat="1">
      <c r="L392" s="13"/>
      <c r="M392" s="7"/>
      <c r="N392" s="123"/>
      <c r="O392" s="123"/>
      <c r="P392" s="103"/>
    </row>
    <row r="393" spans="12:16" s="93" customFormat="1">
      <c r="L393" s="13"/>
      <c r="M393" s="7"/>
      <c r="N393" s="123"/>
      <c r="O393" s="123"/>
      <c r="P393" s="103"/>
    </row>
    <row r="394" spans="12:16" s="93" customFormat="1">
      <c r="L394" s="13"/>
      <c r="M394" s="7"/>
      <c r="N394" s="123"/>
      <c r="O394" s="123"/>
      <c r="P394" s="103"/>
    </row>
    <row r="395" spans="12:16" s="93" customFormat="1">
      <c r="L395" s="13"/>
      <c r="M395" s="7"/>
      <c r="N395" s="123"/>
      <c r="O395" s="123"/>
      <c r="P395" s="103"/>
    </row>
    <row r="396" spans="12:16" s="93" customFormat="1">
      <c r="L396" s="13"/>
      <c r="M396" s="7"/>
      <c r="N396" s="123"/>
      <c r="O396" s="123"/>
      <c r="P396" s="103"/>
    </row>
    <row r="397" spans="12:16" s="93" customFormat="1">
      <c r="L397" s="13"/>
      <c r="M397" s="7"/>
      <c r="N397" s="123"/>
      <c r="O397" s="123"/>
      <c r="P397" s="103"/>
    </row>
    <row r="398" spans="12:16" s="93" customFormat="1">
      <c r="L398" s="13"/>
      <c r="M398" s="7"/>
      <c r="N398" s="123"/>
      <c r="O398" s="123"/>
      <c r="P398" s="103"/>
    </row>
    <row r="399" spans="12:16" s="93" customFormat="1">
      <c r="L399" s="13"/>
      <c r="M399" s="7"/>
      <c r="N399" s="123"/>
      <c r="O399" s="123"/>
      <c r="P399" s="103"/>
    </row>
    <row r="400" spans="12:16" s="93" customFormat="1">
      <c r="L400" s="13"/>
      <c r="M400" s="7"/>
      <c r="N400" s="123"/>
      <c r="O400" s="123"/>
      <c r="P400" s="307"/>
    </row>
    <row r="401" spans="12:12" s="93" customFormat="1">
      <c r="L401" s="13"/>
    </row>
    <row r="402" spans="12:12" s="93" customFormat="1">
      <c r="L402" s="13"/>
    </row>
    <row r="403" spans="12:12" s="93" customFormat="1">
      <c r="L403" s="13"/>
    </row>
    <row r="404" spans="12:12" s="93" customFormat="1">
      <c r="L404" s="13"/>
    </row>
    <row r="405" spans="12:12" s="93" customFormat="1">
      <c r="L405" s="13"/>
    </row>
  </sheetData>
  <mergeCells count="279">
    <mergeCell ref="G95:G97"/>
    <mergeCell ref="H95:H97"/>
    <mergeCell ref="I95:I97"/>
    <mergeCell ref="J95:J97"/>
    <mergeCell ref="G98:G102"/>
    <mergeCell ref="H98:H102"/>
    <mergeCell ref="I98:I102"/>
    <mergeCell ref="J98:J102"/>
    <mergeCell ref="E177:R177"/>
    <mergeCell ref="G154:G155"/>
    <mergeCell ref="H154:H155"/>
    <mergeCell ref="I154:I155"/>
    <mergeCell ref="J154:J155"/>
    <mergeCell ref="E154:E155"/>
    <mergeCell ref="E176:R176"/>
    <mergeCell ref="G110:G113"/>
    <mergeCell ref="H110:H113"/>
    <mergeCell ref="I110:I113"/>
    <mergeCell ref="J110:J113"/>
    <mergeCell ref="G136:G138"/>
    <mergeCell ref="H136:H138"/>
    <mergeCell ref="G104:G108"/>
    <mergeCell ref="H104:H108"/>
    <mergeCell ref="I104:I108"/>
    <mergeCell ref="G93:G94"/>
    <mergeCell ref="H93:H94"/>
    <mergeCell ref="I93:I94"/>
    <mergeCell ref="J93:J94"/>
    <mergeCell ref="G74:G77"/>
    <mergeCell ref="H74:H77"/>
    <mergeCell ref="I74:I77"/>
    <mergeCell ref="J74:J77"/>
    <mergeCell ref="G79:G82"/>
    <mergeCell ref="H79:H82"/>
    <mergeCell ref="I79:I82"/>
    <mergeCell ref="J79:J82"/>
    <mergeCell ref="F78:M78"/>
    <mergeCell ref="F93:F94"/>
    <mergeCell ref="H71:H73"/>
    <mergeCell ref="H60:H63"/>
    <mergeCell ref="I60:I63"/>
    <mergeCell ref="J60:J63"/>
    <mergeCell ref="G64:G67"/>
    <mergeCell ref="H64:H67"/>
    <mergeCell ref="I64:I67"/>
    <mergeCell ref="J64:J67"/>
    <mergeCell ref="G87:G92"/>
    <mergeCell ref="H87:H92"/>
    <mergeCell ref="I87:I92"/>
    <mergeCell ref="J87:J92"/>
    <mergeCell ref="G60:G63"/>
    <mergeCell ref="A171:A172"/>
    <mergeCell ref="F173:M173"/>
    <mergeCell ref="N179:T179"/>
    <mergeCell ref="G47:G49"/>
    <mergeCell ref="H47:H49"/>
    <mergeCell ref="I47:I49"/>
    <mergeCell ref="J47:J49"/>
    <mergeCell ref="G50:G52"/>
    <mergeCell ref="H50:H52"/>
    <mergeCell ref="I50:I52"/>
    <mergeCell ref="C156:C157"/>
    <mergeCell ref="F156:M156"/>
    <mergeCell ref="A170:D170"/>
    <mergeCell ref="F170:M170"/>
    <mergeCell ref="B37:B157"/>
    <mergeCell ref="F37:M37"/>
    <mergeCell ref="C144:C147"/>
    <mergeCell ref="G41:G44"/>
    <mergeCell ref="G68:G70"/>
    <mergeCell ref="H68:H70"/>
    <mergeCell ref="I68:I70"/>
    <mergeCell ref="J68:J70"/>
    <mergeCell ref="G71:G73"/>
    <mergeCell ref="C120:C122"/>
    <mergeCell ref="C78:C85"/>
    <mergeCell ref="H41:H44"/>
    <mergeCell ref="F144:M144"/>
    <mergeCell ref="C148:C151"/>
    <mergeCell ref="F148:M148"/>
    <mergeCell ref="C152:C155"/>
    <mergeCell ref="F152:M152"/>
    <mergeCell ref="D154:D155"/>
    <mergeCell ref="F154:F155"/>
    <mergeCell ref="C135:C143"/>
    <mergeCell ref="F135:M135"/>
    <mergeCell ref="D140:D143"/>
    <mergeCell ref="E140:E143"/>
    <mergeCell ref="F140:F143"/>
    <mergeCell ref="G140:G143"/>
    <mergeCell ref="H140:H143"/>
    <mergeCell ref="J136:J137"/>
    <mergeCell ref="I140:I143"/>
    <mergeCell ref="J140:J143"/>
    <mergeCell ref="C127:C128"/>
    <mergeCell ref="F127:M127"/>
    <mergeCell ref="I71:I73"/>
    <mergeCell ref="J71:J73"/>
    <mergeCell ref="C129:C134"/>
    <mergeCell ref="F129:M129"/>
    <mergeCell ref="H131:H134"/>
    <mergeCell ref="G131:G134"/>
    <mergeCell ref="E131:E134"/>
    <mergeCell ref="C123:C126"/>
    <mergeCell ref="F123:M123"/>
    <mergeCell ref="D124:D125"/>
    <mergeCell ref="E124:E125"/>
    <mergeCell ref="F124:F125"/>
    <mergeCell ref="G124:G125"/>
    <mergeCell ref="H124:H125"/>
    <mergeCell ref="I124:I125"/>
    <mergeCell ref="J124:J125"/>
    <mergeCell ref="I132:I134"/>
    <mergeCell ref="J132:J134"/>
    <mergeCell ref="F131:F132"/>
    <mergeCell ref="D131:D134"/>
    <mergeCell ref="F120:M120"/>
    <mergeCell ref="J114:J117"/>
    <mergeCell ref="G118:G119"/>
    <mergeCell ref="H118:H119"/>
    <mergeCell ref="I118:I119"/>
    <mergeCell ref="C103:C119"/>
    <mergeCell ref="F103:M103"/>
    <mergeCell ref="D104:D108"/>
    <mergeCell ref="E104:E108"/>
    <mergeCell ref="F104:F108"/>
    <mergeCell ref="D110:D113"/>
    <mergeCell ref="E110:E113"/>
    <mergeCell ref="F110:F113"/>
    <mergeCell ref="D114:D117"/>
    <mergeCell ref="E114:E117"/>
    <mergeCell ref="G114:G117"/>
    <mergeCell ref="H114:H117"/>
    <mergeCell ref="I114:I117"/>
    <mergeCell ref="J118:J119"/>
    <mergeCell ref="J104:J108"/>
    <mergeCell ref="F114:F117"/>
    <mergeCell ref="D118:D119"/>
    <mergeCell ref="E118:E119"/>
    <mergeCell ref="F118:F119"/>
    <mergeCell ref="D95:D97"/>
    <mergeCell ref="E95:E97"/>
    <mergeCell ref="F95:F97"/>
    <mergeCell ref="D98:D102"/>
    <mergeCell ref="E98:E102"/>
    <mergeCell ref="F98:F102"/>
    <mergeCell ref="D79:D82"/>
    <mergeCell ref="E79:E82"/>
    <mergeCell ref="F79:F82"/>
    <mergeCell ref="C86:C102"/>
    <mergeCell ref="F86:M86"/>
    <mergeCell ref="D87:D92"/>
    <mergeCell ref="E87:E92"/>
    <mergeCell ref="F87:F92"/>
    <mergeCell ref="D93:D94"/>
    <mergeCell ref="E93:E94"/>
    <mergeCell ref="F68:F70"/>
    <mergeCell ref="D71:D73"/>
    <mergeCell ref="E71:E73"/>
    <mergeCell ref="F71:F73"/>
    <mergeCell ref="D74:D77"/>
    <mergeCell ref="E74:E77"/>
    <mergeCell ref="F74:F77"/>
    <mergeCell ref="C59:C77"/>
    <mergeCell ref="F59:M59"/>
    <mergeCell ref="D60:D63"/>
    <mergeCell ref="E60:E63"/>
    <mergeCell ref="F60:F63"/>
    <mergeCell ref="D64:D67"/>
    <mergeCell ref="E64:E67"/>
    <mergeCell ref="F64:F67"/>
    <mergeCell ref="D68:D70"/>
    <mergeCell ref="E68:E70"/>
    <mergeCell ref="E45:E46"/>
    <mergeCell ref="D47:D49"/>
    <mergeCell ref="E47:E49"/>
    <mergeCell ref="F47:F49"/>
    <mergeCell ref="E50:E52"/>
    <mergeCell ref="C55:C58"/>
    <mergeCell ref="F55:M55"/>
    <mergeCell ref="I53:I54"/>
    <mergeCell ref="J53:J54"/>
    <mergeCell ref="H53:H54"/>
    <mergeCell ref="G53:G54"/>
    <mergeCell ref="C33:C35"/>
    <mergeCell ref="F33:M33"/>
    <mergeCell ref="E34:E35"/>
    <mergeCell ref="F34:F35"/>
    <mergeCell ref="G25:G26"/>
    <mergeCell ref="C39:C54"/>
    <mergeCell ref="F39:M39"/>
    <mergeCell ref="D41:D44"/>
    <mergeCell ref="J50:J52"/>
    <mergeCell ref="E41:E44"/>
    <mergeCell ref="F45:F46"/>
    <mergeCell ref="F50:F52"/>
    <mergeCell ref="D53:D54"/>
    <mergeCell ref="E53:E54"/>
    <mergeCell ref="F53:F54"/>
    <mergeCell ref="I41:I44"/>
    <mergeCell ref="J41:J44"/>
    <mergeCell ref="G45:G46"/>
    <mergeCell ref="H45:H46"/>
    <mergeCell ref="I45:I46"/>
    <mergeCell ref="J45:J46"/>
    <mergeCell ref="D50:D52"/>
    <mergeCell ref="F41:F44"/>
    <mergeCell ref="D45:D46"/>
    <mergeCell ref="D29:D32"/>
    <mergeCell ref="E29:E32"/>
    <mergeCell ref="F29:F32"/>
    <mergeCell ref="E14:E15"/>
    <mergeCell ref="F14:F15"/>
    <mergeCell ref="F16:M16"/>
    <mergeCell ref="G29:G31"/>
    <mergeCell ref="H29:H31"/>
    <mergeCell ref="H25:H26"/>
    <mergeCell ref="J29:J31"/>
    <mergeCell ref="F19:F21"/>
    <mergeCell ref="I29:I31"/>
    <mergeCell ref="D22:D23"/>
    <mergeCell ref="D12:D13"/>
    <mergeCell ref="E12:E13"/>
    <mergeCell ref="F12:F13"/>
    <mergeCell ref="D14:D15"/>
    <mergeCell ref="I18:K18"/>
    <mergeCell ref="E22:E23"/>
    <mergeCell ref="F22:F23"/>
    <mergeCell ref="D24:D27"/>
    <mergeCell ref="E24:E27"/>
    <mergeCell ref="F24:F27"/>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A3:A6"/>
    <mergeCell ref="B3:B6"/>
    <mergeCell ref="D136:D138"/>
    <mergeCell ref="E136:E138"/>
    <mergeCell ref="F136:F138"/>
    <mergeCell ref="C3:C6"/>
    <mergeCell ref="A9:A168"/>
    <mergeCell ref="B159:B168"/>
    <mergeCell ref="F159:M159"/>
    <mergeCell ref="C164:C165"/>
    <mergeCell ref="D164:D165"/>
    <mergeCell ref="E164:E165"/>
    <mergeCell ref="F164:F165"/>
    <mergeCell ref="G164:G165"/>
    <mergeCell ref="H164:H165"/>
    <mergeCell ref="D3:D6"/>
    <mergeCell ref="C18:C32"/>
    <mergeCell ref="F18:H18"/>
    <mergeCell ref="D19:D21"/>
    <mergeCell ref="E19:E21"/>
    <mergeCell ref="B9:D9"/>
    <mergeCell ref="F9:M9"/>
    <mergeCell ref="B10:B35"/>
    <mergeCell ref="F10:M10"/>
    <mergeCell ref="C11:C15"/>
    <mergeCell ref="F11:M11"/>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BSC DL TRAN YEN </vt:lpstr>
      <vt:lpstr> KPI GIAM DOC</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2018-10-17T02:11:18Z</dcterms:modified>
</cp:coreProperties>
</file>