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490" windowHeight="7755"/>
  </bookViews>
  <sheets>
    <sheet name=" KPI PGĐ KT" sheetId="31" r:id="rId1"/>
  </sheets>
  <definedNames>
    <definedName name="_Fill" localSheetId="0" hidden="1">#REF!</definedName>
    <definedName name="_Fill" hidden="1">#REF!</definedName>
    <definedName name="Company2013" localSheetId="0" hidden="1">#REF!</definedName>
    <definedName name="Company2013" hidden="1">#REF!</definedName>
    <definedName name="sdfs" hidden="1">#REF!</definedName>
    <definedName name="SFF" localSheetId="0" hidden="1">#REF!</definedName>
    <definedName name="SFF" hidden="1">#REF!</definedName>
  </definedNames>
  <calcPr calcId="144525"/>
</workbook>
</file>

<file path=xl/calcChain.xml><?xml version="1.0" encoding="utf-8"?>
<calcChain xmlns="http://schemas.openxmlformats.org/spreadsheetml/2006/main">
  <c r="Y14" i="31" l="1"/>
  <c r="Y15" i="31"/>
  <c r="Y16" i="31"/>
  <c r="Y17" i="31"/>
  <c r="Y18" i="31"/>
  <c r="Y19" i="31"/>
  <c r="Y20" i="31"/>
  <c r="Y21" i="31"/>
  <c r="Y22" i="31"/>
  <c r="Y23" i="31"/>
  <c r="Y24" i="31"/>
  <c r="Y25" i="31"/>
  <c r="Y26" i="31"/>
  <c r="Y27" i="31"/>
  <c r="Y28" i="31"/>
  <c r="Y29" i="31"/>
  <c r="Y30" i="31"/>
  <c r="Y31" i="31"/>
  <c r="Y32" i="31"/>
  <c r="Y33" i="31"/>
  <c r="Y34" i="31"/>
  <c r="Y35" i="31"/>
  <c r="Y36" i="31"/>
  <c r="Y37" i="31"/>
  <c r="Y38" i="31"/>
  <c r="Y39" i="31"/>
  <c r="Y40" i="31"/>
  <c r="Y41" i="31"/>
  <c r="Y42" i="31"/>
  <c r="Y43" i="31"/>
  <c r="Y44" i="31"/>
  <c r="Y45" i="31"/>
  <c r="Y46" i="31"/>
  <c r="Y47" i="31"/>
  <c r="Y48" i="31"/>
  <c r="Y49" i="31"/>
  <c r="Y50" i="31"/>
  <c r="Y51" i="31"/>
  <c r="Y52" i="31"/>
  <c r="Y53" i="31"/>
  <c r="Y54" i="31"/>
  <c r="Y55" i="31"/>
  <c r="Y56" i="31"/>
  <c r="Y57" i="31"/>
  <c r="Y58" i="31"/>
  <c r="Y59" i="31"/>
  <c r="Y60" i="31"/>
  <c r="Y61" i="31"/>
  <c r="Y62" i="31"/>
  <c r="Y63" i="31"/>
  <c r="Y64" i="31"/>
  <c r="Y65" i="31"/>
  <c r="Y66" i="31"/>
  <c r="Y67" i="31"/>
  <c r="Y68" i="31"/>
  <c r="Y69" i="31"/>
  <c r="Y70" i="31"/>
  <c r="Y71" i="31"/>
  <c r="Y72" i="31"/>
  <c r="Y73" i="31"/>
  <c r="Y74" i="31"/>
  <c r="Y75" i="31"/>
  <c r="Y76" i="31"/>
  <c r="Y77" i="31"/>
  <c r="Y78" i="31"/>
  <c r="Y79" i="31"/>
  <c r="Y80" i="31"/>
  <c r="Y81" i="31"/>
  <c r="Y82" i="31"/>
  <c r="Y83" i="31"/>
  <c r="Y84" i="31"/>
  <c r="Y85" i="31"/>
  <c r="Y86" i="31"/>
  <c r="Y87" i="31"/>
  <c r="Y88" i="31"/>
  <c r="Y89" i="31"/>
  <c r="Y90" i="31"/>
  <c r="Y91" i="31"/>
  <c r="Y92" i="31"/>
  <c r="Y93" i="31"/>
  <c r="Y94" i="31"/>
  <c r="Y95" i="31"/>
  <c r="Y96" i="31"/>
  <c r="Y97" i="31"/>
  <c r="Y98" i="31"/>
  <c r="Y99" i="31"/>
  <c r="Y100" i="31"/>
  <c r="Y101" i="31"/>
  <c r="Y102" i="31"/>
  <c r="Y103" i="31"/>
  <c r="Y104" i="31"/>
  <c r="Y105" i="31"/>
  <c r="Y106" i="31"/>
  <c r="Y107" i="31"/>
  <c r="Y108" i="31"/>
  <c r="Y109" i="31"/>
  <c r="Y110" i="31"/>
  <c r="Y111" i="31"/>
  <c r="Y112" i="31"/>
  <c r="Y113" i="31"/>
  <c r="Y114" i="31"/>
  <c r="Y115" i="31"/>
  <c r="Y116" i="31"/>
  <c r="Y117" i="31"/>
  <c r="Y118" i="31"/>
  <c r="Y119" i="31"/>
  <c r="Y120" i="31"/>
  <c r="Y121" i="31"/>
  <c r="Y122" i="31"/>
  <c r="Y123" i="31"/>
  <c r="Y124" i="31"/>
  <c r="Y125" i="31"/>
  <c r="Y126" i="31"/>
  <c r="Y127" i="31"/>
  <c r="Y128" i="31"/>
  <c r="Y129" i="31"/>
  <c r="Y130" i="31"/>
  <c r="Y131" i="31"/>
  <c r="Y132" i="31"/>
  <c r="Y133" i="31"/>
  <c r="Y134" i="31"/>
  <c r="Y135" i="31"/>
  <c r="Y136" i="31"/>
  <c r="Y137" i="31"/>
  <c r="Y138" i="31"/>
  <c r="Y139" i="31"/>
  <c r="Y140" i="31"/>
  <c r="Y141" i="31"/>
  <c r="Y142" i="31"/>
  <c r="Y143" i="31"/>
  <c r="Y144" i="31"/>
  <c r="Y145" i="31"/>
  <c r="Y146" i="31"/>
  <c r="Y147" i="31"/>
  <c r="Y148" i="31"/>
  <c r="Y149" i="31"/>
  <c r="Y150" i="31"/>
  <c r="Y151" i="31"/>
  <c r="Y152" i="31"/>
  <c r="Y153" i="31"/>
  <c r="Y154" i="31"/>
  <c r="Y155" i="31"/>
  <c r="Y156" i="31"/>
  <c r="Y157" i="31"/>
  <c r="Y158" i="31"/>
  <c r="Y159" i="31"/>
  <c r="Y160" i="31"/>
  <c r="Y161" i="31"/>
  <c r="Y162" i="31"/>
  <c r="Y163" i="31"/>
  <c r="Y164" i="31"/>
  <c r="Y165" i="31"/>
  <c r="Y166" i="31"/>
  <c r="Y167" i="31"/>
  <c r="Y168" i="31"/>
  <c r="Y169" i="31"/>
  <c r="Y170" i="31"/>
  <c r="Y171" i="31"/>
  <c r="Y13" i="31"/>
  <c r="W162" i="31" l="1"/>
  <c r="V161" i="31"/>
  <c r="W161" i="31" s="1"/>
  <c r="W160" i="31"/>
  <c r="V160" i="31"/>
  <c r="W159" i="31"/>
  <c r="V159" i="31"/>
  <c r="W158" i="31"/>
  <c r="V158" i="31"/>
  <c r="W157" i="31"/>
  <c r="V157" i="31"/>
  <c r="W156" i="31"/>
  <c r="V156" i="31"/>
  <c r="W155" i="31"/>
  <c r="V155" i="31"/>
  <c r="W154" i="31"/>
  <c r="V154" i="31"/>
  <c r="W144" i="31"/>
  <c r="V144" i="31"/>
  <c r="W136" i="31"/>
  <c r="V136" i="31"/>
  <c r="W121" i="31"/>
  <c r="V121" i="31"/>
  <c r="W120" i="31"/>
  <c r="V120" i="31"/>
  <c r="W119" i="31"/>
  <c r="V119" i="31"/>
  <c r="W117" i="31"/>
  <c r="V117" i="31"/>
  <c r="W115" i="31"/>
  <c r="V115" i="31"/>
  <c r="W114" i="31"/>
  <c r="V114" i="31"/>
  <c r="W113" i="31"/>
  <c r="V113" i="31"/>
  <c r="W112" i="31"/>
  <c r="V112" i="31"/>
  <c r="W111" i="31"/>
  <c r="V111" i="31"/>
  <c r="W110" i="31"/>
  <c r="V110" i="31"/>
  <c r="W109" i="31"/>
  <c r="V109" i="31"/>
  <c r="W108" i="31"/>
  <c r="V108" i="31"/>
  <c r="W107" i="31"/>
  <c r="V107" i="31"/>
  <c r="W106" i="31"/>
  <c r="V106" i="31"/>
  <c r="W100" i="31"/>
  <c r="V100" i="31"/>
  <c r="U97" i="31"/>
  <c r="V97" i="31" s="1"/>
  <c r="W97" i="31" s="1"/>
  <c r="V95" i="31"/>
  <c r="W95" i="31" s="1"/>
  <c r="V94" i="31"/>
  <c r="W94" i="31" s="1"/>
  <c r="V93" i="31"/>
  <c r="W93" i="31" s="1"/>
  <c r="V92" i="31"/>
  <c r="W92" i="31" s="1"/>
  <c r="V91" i="31"/>
  <c r="W91" i="31" s="1"/>
  <c r="V90" i="31"/>
  <c r="W90" i="31" s="1"/>
  <c r="V89" i="31"/>
  <c r="W89" i="31" s="1"/>
  <c r="V88" i="31"/>
  <c r="W88" i="31" s="1"/>
  <c r="V87" i="31"/>
  <c r="W87" i="31" s="1"/>
  <c r="V86" i="31"/>
  <c r="W86" i="31" s="1"/>
  <c r="V85" i="31"/>
  <c r="W85" i="31" s="1"/>
  <c r="V81" i="31"/>
  <c r="W81" i="31" s="1"/>
  <c r="V66" i="31"/>
  <c r="W66" i="31" s="1"/>
  <c r="V56" i="31"/>
  <c r="W56" i="31" s="1"/>
  <c r="V54" i="31"/>
  <c r="W54" i="31" s="1"/>
  <c r="V52" i="31"/>
  <c r="W52" i="31" s="1"/>
  <c r="V51" i="31"/>
  <c r="W51" i="31" s="1"/>
  <c r="V50" i="31"/>
  <c r="W50" i="31" s="1"/>
  <c r="V49" i="31"/>
  <c r="W49" i="31" s="1"/>
  <c r="V48" i="31"/>
  <c r="W48" i="31" s="1"/>
  <c r="V47" i="31"/>
  <c r="W47" i="31" s="1"/>
  <c r="V46" i="31"/>
  <c r="W46" i="31" s="1"/>
  <c r="V45" i="31"/>
  <c r="W45" i="31" s="1"/>
  <c r="V44" i="31"/>
  <c r="W44" i="31" s="1"/>
  <c r="V43" i="31"/>
  <c r="W43" i="31" s="1"/>
  <c r="V42" i="31"/>
  <c r="W42" i="31" s="1"/>
  <c r="V41" i="31"/>
  <c r="W41" i="31" s="1"/>
  <c r="V40" i="31"/>
  <c r="W40" i="31" s="1"/>
  <c r="V39" i="31"/>
  <c r="W39" i="31" s="1"/>
  <c r="V38" i="31"/>
  <c r="W38" i="31" s="1"/>
  <c r="V37" i="31"/>
  <c r="W37" i="31" s="1"/>
  <c r="V33" i="31"/>
  <c r="W33" i="31" s="1"/>
  <c r="U33" i="31"/>
  <c r="W30" i="31"/>
  <c r="V30" i="31"/>
  <c r="W29" i="31"/>
  <c r="V23" i="31"/>
  <c r="W23" i="31" s="1"/>
  <c r="U23" i="31"/>
  <c r="U20" i="31"/>
  <c r="V20" i="31" s="1"/>
  <c r="W20" i="31" s="1"/>
  <c r="U13" i="31"/>
  <c r="V13" i="31" s="1"/>
  <c r="W13" i="31" s="1"/>
  <c r="Q20" i="31" l="1"/>
  <c r="X165" i="31" l="1"/>
  <c r="X35" i="31"/>
  <c r="X51" i="31"/>
  <c r="X40" i="31"/>
  <c r="X39" i="31"/>
  <c r="X54" i="31"/>
  <c r="X81" i="31"/>
  <c r="X95" i="31"/>
  <c r="X85" i="31"/>
  <c r="X115" i="31"/>
  <c r="X111" i="31"/>
  <c r="X114" i="31"/>
  <c r="X113" i="31"/>
  <c r="X112" i="31"/>
  <c r="X106" i="31"/>
  <c r="X119" i="31"/>
  <c r="X136" i="31"/>
  <c r="X153" i="31"/>
  <c r="Q25" i="31"/>
  <c r="Q23" i="31"/>
  <c r="R23" i="31" s="1"/>
  <c r="R33" i="31"/>
  <c r="O37" i="31"/>
  <c r="R37" i="31"/>
  <c r="S37" i="31" l="1"/>
  <c r="Q14" i="31" l="1"/>
  <c r="R14" i="31"/>
  <c r="S14" i="31" s="1"/>
  <c r="Q15" i="31"/>
  <c r="R15" i="31" s="1"/>
  <c r="S15" i="31" s="1"/>
  <c r="R16" i="31"/>
  <c r="S16" i="31" s="1"/>
  <c r="R166" i="31" l="1"/>
  <c r="R165" i="31"/>
  <c r="R162" i="31"/>
  <c r="R161" i="31"/>
  <c r="R160" i="31"/>
  <c r="R159" i="31"/>
  <c r="R158" i="31"/>
  <c r="R157" i="31"/>
  <c r="R156" i="31"/>
  <c r="R155" i="31"/>
  <c r="R154" i="31"/>
  <c r="R151" i="31"/>
  <c r="R149" i="31"/>
  <c r="R148" i="31"/>
  <c r="R147" i="31"/>
  <c r="R146" i="31"/>
  <c r="R144" i="31"/>
  <c r="R143" i="31"/>
  <c r="S143" i="31" s="1"/>
  <c r="R142" i="31"/>
  <c r="S142" i="31" s="1"/>
  <c r="R141" i="31"/>
  <c r="S141" i="31" s="1"/>
  <c r="R139" i="31"/>
  <c r="R138" i="31"/>
  <c r="R137" i="31"/>
  <c r="S137" i="31" s="1"/>
  <c r="R136" i="31"/>
  <c r="R134" i="31"/>
  <c r="R133" i="31"/>
  <c r="R132" i="31"/>
  <c r="R131" i="31"/>
  <c r="S131" i="31" s="1"/>
  <c r="R130" i="31"/>
  <c r="S130" i="31" s="1"/>
  <c r="R129" i="31"/>
  <c r="R128" i="31"/>
  <c r="R126" i="31"/>
  <c r="R125" i="31"/>
  <c r="R124" i="31"/>
  <c r="S124" i="31" s="1"/>
  <c r="R115" i="31"/>
  <c r="R114" i="31"/>
  <c r="R113" i="31"/>
  <c r="R112" i="31"/>
  <c r="R111" i="31"/>
  <c r="R110" i="31"/>
  <c r="R109" i="31"/>
  <c r="R108" i="31"/>
  <c r="R107" i="31"/>
  <c r="R106" i="31"/>
  <c r="R100" i="31"/>
  <c r="R99" i="31"/>
  <c r="R98" i="31"/>
  <c r="R97" i="31"/>
  <c r="R96" i="31"/>
  <c r="R95" i="31"/>
  <c r="R94" i="31"/>
  <c r="R93" i="31"/>
  <c r="R92" i="31"/>
  <c r="R91" i="31"/>
  <c r="R90" i="31"/>
  <c r="R89" i="31"/>
  <c r="R88" i="31"/>
  <c r="R87" i="31"/>
  <c r="R86" i="31"/>
  <c r="R85" i="31"/>
  <c r="R51" i="31"/>
  <c r="R50" i="31"/>
  <c r="R49" i="31"/>
  <c r="R48" i="31"/>
  <c r="R47" i="31"/>
  <c r="R46" i="31"/>
  <c r="R45" i="31"/>
  <c r="R44" i="31"/>
  <c r="R43" i="31"/>
  <c r="R42" i="31"/>
  <c r="S42" i="31" s="1"/>
  <c r="R41" i="31"/>
  <c r="R40" i="31"/>
  <c r="R39" i="31"/>
  <c r="R38" i="31"/>
  <c r="S38" i="31" s="1"/>
  <c r="R30" i="31" l="1"/>
  <c r="R29" i="31"/>
  <c r="R25" i="31"/>
  <c r="R20" i="31"/>
  <c r="Q13" i="31"/>
  <c r="R13" i="31" s="1"/>
  <c r="C152" i="31" l="1"/>
  <c r="O162" i="31" l="1"/>
  <c r="O161" i="31"/>
  <c r="O160" i="31"/>
  <c r="O159" i="31"/>
  <c r="O158" i="31"/>
  <c r="O157" i="31"/>
  <c r="O156" i="31"/>
  <c r="O155" i="31"/>
  <c r="O154" i="31"/>
  <c r="O166" i="31"/>
  <c r="W166" i="31" s="1"/>
  <c r="O165" i="31"/>
  <c r="W165" i="31" s="1"/>
  <c r="O139" i="31"/>
  <c r="S139" i="31" s="1"/>
  <c r="O151" i="31"/>
  <c r="S151" i="31" s="1"/>
  <c r="O148" i="31"/>
  <c r="S148" i="31" s="1"/>
  <c r="O146" i="31"/>
  <c r="S146" i="31" s="1"/>
  <c r="O144" i="31"/>
  <c r="O138" i="31"/>
  <c r="S138" i="31" s="1"/>
  <c r="O136" i="31"/>
  <c r="O128" i="31"/>
  <c r="S128" i="31" s="1"/>
  <c r="O121" i="31"/>
  <c r="O119" i="31"/>
  <c r="O117" i="31"/>
  <c r="O115" i="31"/>
  <c r="O111" i="31"/>
  <c r="O106" i="31"/>
  <c r="O100" i="31"/>
  <c r="O97" i="31"/>
  <c r="O95" i="31"/>
  <c r="O94" i="31"/>
  <c r="O93" i="31"/>
  <c r="O92" i="31"/>
  <c r="O86" i="31"/>
  <c r="O85" i="31"/>
  <c r="O81" i="31"/>
  <c r="O149" i="31"/>
  <c r="S149" i="31" s="1"/>
  <c r="O147" i="31"/>
  <c r="S147" i="31" s="1"/>
  <c r="O134" i="31"/>
  <c r="S134" i="31" s="1"/>
  <c r="O133" i="31"/>
  <c r="S133" i="31" s="1"/>
  <c r="O132" i="31"/>
  <c r="S132" i="31" s="1"/>
  <c r="O129" i="31"/>
  <c r="S129" i="31" s="1"/>
  <c r="O126" i="31"/>
  <c r="S126" i="31" s="1"/>
  <c r="O125" i="31"/>
  <c r="S125" i="31" s="1"/>
  <c r="O120" i="31"/>
  <c r="O114" i="31"/>
  <c r="O113" i="31"/>
  <c r="O112" i="31"/>
  <c r="O110" i="31"/>
  <c r="O109" i="31"/>
  <c r="O108" i="31"/>
  <c r="O107" i="31"/>
  <c r="O104" i="31"/>
  <c r="O103" i="31"/>
  <c r="O102" i="31"/>
  <c r="O101" i="31"/>
  <c r="O99" i="31"/>
  <c r="S99" i="31" s="1"/>
  <c r="O98" i="31"/>
  <c r="O96" i="31"/>
  <c r="O91" i="31"/>
  <c r="O90" i="31"/>
  <c r="O89" i="31"/>
  <c r="O88" i="31"/>
  <c r="O87" i="31"/>
  <c r="O66" i="31"/>
  <c r="O56" i="31"/>
  <c r="O54" i="31"/>
  <c r="O51" i="31"/>
  <c r="O48" i="31"/>
  <c r="O45" i="31"/>
  <c r="O40" i="31"/>
  <c r="O39" i="31"/>
  <c r="O50" i="31"/>
  <c r="O49" i="31"/>
  <c r="O47" i="31"/>
  <c r="O46" i="31"/>
  <c r="O44" i="31"/>
  <c r="O43" i="31"/>
  <c r="O41" i="31"/>
  <c r="S32" i="31"/>
  <c r="O33" i="31"/>
  <c r="O30" i="31"/>
  <c r="O29" i="31"/>
  <c r="O28" i="31"/>
  <c r="O25" i="31"/>
  <c r="O23" i="31"/>
  <c r="O20" i="31"/>
  <c r="O13" i="31"/>
  <c r="R122" i="31"/>
  <c r="S122" i="31" s="1"/>
  <c r="R121" i="31"/>
  <c r="S121" i="31" s="1"/>
  <c r="R120" i="31"/>
  <c r="R119" i="31"/>
  <c r="R117" i="31"/>
  <c r="R104" i="31"/>
  <c r="R103" i="31"/>
  <c r="R102" i="31"/>
  <c r="R101" i="31"/>
  <c r="R83" i="31"/>
  <c r="S83" i="31" s="1"/>
  <c r="R82" i="31"/>
  <c r="S82" i="31" s="1"/>
  <c r="R81" i="31"/>
  <c r="R80" i="31"/>
  <c r="S80" i="31" s="1"/>
  <c r="R79" i="31"/>
  <c r="S79" i="31" s="1"/>
  <c r="R78" i="31"/>
  <c r="S78" i="31" s="1"/>
  <c r="R77" i="31"/>
  <c r="S77" i="31" s="1"/>
  <c r="R75" i="31"/>
  <c r="S75" i="31" s="1"/>
  <c r="R74" i="31"/>
  <c r="S74" i="31" s="1"/>
  <c r="R73" i="31"/>
  <c r="S73" i="31" s="1"/>
  <c r="R72" i="31"/>
  <c r="S72" i="31" s="1"/>
  <c r="R71" i="31"/>
  <c r="S71" i="31" s="1"/>
  <c r="R70" i="31"/>
  <c r="S70" i="31" s="1"/>
  <c r="R69" i="31"/>
  <c r="S69" i="31" s="1"/>
  <c r="R68" i="31"/>
  <c r="S68" i="31" s="1"/>
  <c r="R67" i="31"/>
  <c r="S67" i="31" s="1"/>
  <c r="R66" i="31"/>
  <c r="R65" i="31"/>
  <c r="S65" i="31" s="1"/>
  <c r="R64" i="31"/>
  <c r="S64" i="31" s="1"/>
  <c r="R63" i="31"/>
  <c r="S63" i="31" s="1"/>
  <c r="R62" i="31"/>
  <c r="S62" i="31" s="1"/>
  <c r="R61" i="31"/>
  <c r="S61" i="31" s="1"/>
  <c r="R60" i="31"/>
  <c r="S60" i="31" s="1"/>
  <c r="R59" i="31"/>
  <c r="S59" i="31" s="1"/>
  <c r="R58" i="31"/>
  <c r="S58" i="31" s="1"/>
  <c r="R56" i="31"/>
  <c r="R55" i="31"/>
  <c r="S55" i="31" s="1"/>
  <c r="R54" i="31"/>
  <c r="R52" i="31"/>
  <c r="S52" i="31" s="1"/>
  <c r="R28" i="31"/>
  <c r="R27" i="31"/>
  <c r="S27" i="31" s="1"/>
  <c r="R26" i="31"/>
  <c r="S26" i="31" s="1"/>
  <c r="Q24" i="31"/>
  <c r="R24" i="31" s="1"/>
  <c r="S24" i="31" s="1"/>
  <c r="R22" i="31"/>
  <c r="S22" i="31" s="1"/>
  <c r="R21" i="31"/>
  <c r="S21" i="31" s="1"/>
  <c r="Q12" i="31"/>
  <c r="R12" i="31" s="1"/>
  <c r="S12" i="31" s="1"/>
  <c r="S103" i="31" l="1"/>
  <c r="S81" i="31"/>
  <c r="S66" i="31"/>
  <c r="S104" i="31"/>
  <c r="S106" i="31"/>
  <c r="S165" i="31"/>
  <c r="S97" i="31"/>
  <c r="S136" i="31"/>
  <c r="S85" i="31"/>
  <c r="S144" i="31"/>
  <c r="S100" i="31"/>
  <c r="S154" i="31"/>
  <c r="S25" i="31"/>
  <c r="S29" i="31"/>
  <c r="S20" i="31"/>
  <c r="S23" i="31"/>
  <c r="S33" i="31"/>
  <c r="S30" i="31"/>
  <c r="S49" i="31"/>
  <c r="S51" i="31"/>
  <c r="S91" i="31"/>
  <c r="S112" i="31"/>
  <c r="S28" i="31"/>
  <c r="S117" i="31"/>
  <c r="S44" i="31"/>
  <c r="S50" i="31"/>
  <c r="S40" i="31"/>
  <c r="S88" i="31"/>
  <c r="S96" i="31"/>
  <c r="S108" i="31"/>
  <c r="S113" i="31"/>
  <c r="S94" i="31"/>
  <c r="S155" i="31"/>
  <c r="S159" i="31"/>
  <c r="S98" i="31"/>
  <c r="S114" i="31"/>
  <c r="S86" i="31"/>
  <c r="S95" i="31"/>
  <c r="S156" i="31"/>
  <c r="S160" i="31"/>
  <c r="S46" i="31"/>
  <c r="S45" i="31"/>
  <c r="S89" i="31"/>
  <c r="S109" i="31"/>
  <c r="S41" i="31"/>
  <c r="S47" i="31"/>
  <c r="S48" i="31"/>
  <c r="S90" i="31"/>
  <c r="S110" i="31"/>
  <c r="S92" i="31"/>
  <c r="S115" i="31"/>
  <c r="S166" i="31"/>
  <c r="S157" i="31"/>
  <c r="S161" i="31"/>
  <c r="S43" i="31"/>
  <c r="S39" i="31"/>
  <c r="S87" i="31"/>
  <c r="S107" i="31"/>
  <c r="S93" i="31"/>
  <c r="S111" i="31"/>
  <c r="S158" i="31"/>
  <c r="S162" i="31"/>
  <c r="S13" i="31"/>
  <c r="S101" i="31"/>
  <c r="S102" i="31"/>
  <c r="S56" i="31"/>
  <c r="S54" i="31"/>
  <c r="S119" i="31"/>
  <c r="S120" i="31"/>
  <c r="S35" i="31" l="1"/>
  <c r="S164" i="31"/>
  <c r="S153" i="31"/>
  <c r="S10" i="31"/>
  <c r="W171" i="31"/>
  <c r="S171" i="31" l="1"/>
  <c r="S172" i="31" s="1"/>
</calcChain>
</file>

<file path=xl/sharedStrings.xml><?xml version="1.0" encoding="utf-8"?>
<sst xmlns="http://schemas.openxmlformats.org/spreadsheetml/2006/main" count="830" uniqueCount="432">
  <si>
    <t>Kiểm soát chi phí hiệu quả</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</si>
  <si>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</si>
  <si>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</si>
  <si>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</si>
  <si>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</si>
  <si>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</si>
  <si>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</si>
  <si>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</si>
  <si>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</si>
  <si>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</si>
  <si>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</si>
  <si>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</si>
  <si>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</si>
  <si>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</si>
  <si>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</si>
  <si>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</si>
  <si>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</si>
  <si>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</si>
  <si>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</si>
  <si>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</si>
  <si>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</si>
  <si>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</si>
  <si>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</si>
  <si>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</si>
  <si>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</si>
  <si>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</si>
  <si>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</si>
  <si>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chung</t>
  </si>
  <si>
    <t>ĐVT</t>
  </si>
  <si>
    <t>%</t>
  </si>
  <si>
    <t>Quý</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</si>
  <si>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</si>
  <si>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</si>
  <si>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</si>
  <si>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</si>
  <si>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</si>
  <si>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</si>
  <si>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</si>
  <si>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</si>
  <si>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</si>
  <si>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</si>
  <si>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Cải thiện sự hài lòng của khách hàng về chất lượng điện, chất lượng dịch vụ và hình ảnh thương hiệu EVN  trách nhiệm &amp; minh bạch</t>
  </si>
  <si>
    <t>Tỷ lệ hóa đơn được thanh toán qua ngân hàng hoặc tổ chức trung gian</t>
  </si>
  <si>
    <t>Quản lý vận hành hệ thống CNTT</t>
  </si>
  <si>
    <t>I22</t>
  </si>
  <si>
    <t>Thay công tơ định kỳ/Kế hoạch</t>
  </si>
  <si>
    <t>Giá trị hàng tồn kho hàng quý</t>
  </si>
  <si>
    <t>C</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</si>
  <si>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</si>
  <si>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</si>
  <si>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</si>
  <si>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</si>
  <si>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</si>
  <si>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</si>
  <si>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</si>
  <si>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</si>
  <si>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LD.Tổ chức, lao động, tiền lương</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</si>
  <si>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</si>
  <si>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</si>
  <si>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</si>
  <si>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</si>
  <si>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</si>
  <si>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</si>
  <si>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</si>
  <si>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</si>
  <si>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</si>
  <si>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</si>
  <si>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</si>
  <si>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</si>
  <si>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</si>
  <si>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</si>
  <si>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</si>
  <si>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</si>
  <si>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</si>
  <si>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</si>
  <si>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</si>
  <si>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</si>
  <si>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</si>
  <si>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</si>
  <si>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</si>
  <si>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</si>
  <si>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</si>
  <si>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</si>
  <si>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</si>
  <si>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</si>
  <si>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</si>
  <si>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</si>
  <si>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</si>
  <si>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</si>
  <si>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</si>
  <si>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</si>
  <si>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</si>
  <si>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</si>
  <si>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</si>
  <si>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</si>
  <si>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</si>
  <si>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</si>
  <si>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</si>
  <si>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</si>
  <si>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</si>
  <si>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</si>
  <si>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</si>
  <si>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</si>
  <si>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</si>
  <si>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</si>
  <si>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</si>
  <si>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</si>
  <si>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</si>
  <si>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</si>
  <si>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</si>
  <si>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</si>
  <si>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</si>
  <si>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</si>
  <si>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</si>
  <si>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</si>
  <si>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</si>
  <si>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</si>
  <si>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</si>
  <si>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</si>
  <si>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</si>
  <si>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</si>
  <si>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</si>
  <si>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</si>
  <si>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</si>
  <si>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</si>
  <si>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</si>
  <si>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</si>
  <si>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</si>
  <si>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</si>
  <si>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</si>
  <si>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</si>
  <si>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</si>
  <si>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</si>
  <si>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</si>
  <si>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</si>
  <si>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</si>
  <si>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</si>
  <si>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</si>
  <si>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</si>
  <si>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</si>
  <si>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</si>
  <si>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</si>
  <si>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</si>
  <si>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</si>
  <si>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</si>
  <si>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</si>
  <si>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</si>
  <si>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</si>
  <si>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</si>
  <si>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</si>
  <si>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</si>
  <si>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</si>
  <si>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</si>
  <si>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</si>
  <si>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</si>
  <si>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</si>
  <si>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</si>
  <si>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</si>
  <si>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</si>
  <si>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</si>
  <si>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</si>
  <si>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</si>
  <si>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</si>
  <si>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</si>
  <si>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</si>
  <si>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</si>
  <si>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</si>
  <si>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</si>
  <si>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</si>
  <si>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</si>
  <si>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</si>
  <si>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</si>
  <si>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</si>
  <si>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</si>
  <si>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</si>
  <si>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</si>
  <si>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</si>
  <si>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</si>
  <si>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Nghiên cứu áp dụng công nghệ mới vào SXKD</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</si>
  <si>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</si>
  <si>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</si>
  <si>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</si>
  <si>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</si>
  <si>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</si>
  <si>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</si>
  <si>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</si>
  <si>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</si>
  <si>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</si>
  <si>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</si>
  <si>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</si>
  <si>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</si>
  <si>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</si>
  <si>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</si>
  <si>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</si>
  <si>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</si>
  <si>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</si>
  <si>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</si>
  <si>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</si>
  <si>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</si>
  <si>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</si>
  <si>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</si>
  <si>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HC7</t>
  </si>
  <si>
    <t>Giờ</t>
  </si>
  <si>
    <t>Thực hiện  ĐTXD theo kế hoạch</t>
  </si>
  <si>
    <t>Tiếp nhận, giải quyết yêu cầu  của khách hàng về các dịch vụ điện</t>
  </si>
  <si>
    <t>Ngày</t>
  </si>
  <si>
    <t>Đăng ký danh mục SCTX</t>
  </si>
  <si>
    <t>KH22</t>
  </si>
  <si>
    <t xml:space="preserve">Lập kế hoạch SCTX của Điện lực theo quý, năm </t>
  </si>
  <si>
    <t>KH23</t>
  </si>
  <si>
    <t>Thực hiện SCTX</t>
  </si>
  <si>
    <t>Nghiệm thu, quyết toán</t>
  </si>
  <si>
    <t>Đăng ký kế hoạch cắt điện công tác của Điện lực theo tuần, tháng, quý</t>
  </si>
  <si>
    <t>Thực hiện mua sắm vật tư theo phân cấp</t>
  </si>
  <si>
    <t>Quản lý kho bãi và nhập xuất vật tư cho các bộ phận</t>
  </si>
  <si>
    <t>Lập, thẩm định phương án kỹ thuật sửa chữa thường xuyên lưới điện; thiết bị điện theo phân cấp.</t>
  </si>
  <si>
    <t xml:space="preserve">Lập, cập nhật và quản lý hồ sơ lưới điện, thiết bị điện trung, hạ áp </t>
  </si>
  <si>
    <t>Lập và thực hiện công tác thí nghiệm định kỳ, khắc phục các tồn tại sau thí nghiệm</t>
  </si>
  <si>
    <t>KT14</t>
  </si>
  <si>
    <t>Thực hiện công tác chỉnh trang lưới điện</t>
  </si>
  <si>
    <t>KT15</t>
  </si>
  <si>
    <t>Quản lý, vận hành lưới điện trung, hạ áp</t>
  </si>
  <si>
    <t>Kiểm tra, giám sát hệ thống rơ le bảo vệ và điều khiển từ xa thuộc quản lý,  kịp thời phát hiện các hiện tượng bất thường, báo cáo và xử lý theo quy định.</t>
  </si>
  <si>
    <t>AT1.1</t>
  </si>
  <si>
    <t>Lập, triển khai thực hiện kế hoạch công tác ATVSLĐ</t>
  </si>
  <si>
    <t>AT15</t>
  </si>
  <si>
    <t>Quản lý trang thiết bị phòng cháy chữa cháy</t>
  </si>
  <si>
    <t>AT32</t>
  </si>
  <si>
    <t>AT33</t>
  </si>
  <si>
    <t>Tổ chức, thực hiện các hoạt động SXK</t>
  </si>
  <si>
    <t>Khai thác hiệu quả các phần mềm dùng chung được trang bị như Eoffice; Microsoft Office; visio</t>
  </si>
  <si>
    <t>Khai thác hiệu quả các phần mềm chuyên môn được trang bị</t>
  </si>
  <si>
    <t>Giải quyết khiếu nại tố cáo theo phân cấp</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</si>
  <si>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</si>
  <si>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</si>
  <si>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</si>
  <si>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</si>
  <si>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</si>
  <si>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</si>
  <si>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</si>
  <si>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</si>
  <si>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</si>
  <si>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</si>
  <si>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</si>
  <si>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</si>
  <si>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</si>
  <si>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</si>
  <si>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</si>
  <si>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</si>
  <si>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</si>
  <si>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</si>
  <si>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</si>
  <si>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</si>
  <si>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</si>
  <si>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</si>
  <si>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</si>
  <si>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</si>
  <si>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</si>
  <si>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</si>
  <si>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</si>
  <si>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</si>
  <si>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</si>
  <si>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</si>
  <si>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</si>
  <si>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</si>
  <si>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</si>
  <si>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</si>
  <si>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</si>
  <si>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</si>
  <si>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Thực hiện công tác soạn thảo, kiểm soát văn bản theo quy định</t>
  </si>
  <si>
    <t xml:space="preserve">Bộ phận: Phó Giám đốc </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</si>
  <si>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</si>
  <si>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</si>
  <si>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</si>
  <si>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</si>
  <si>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</si>
  <si>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</si>
  <si>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</si>
  <si>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</si>
  <si>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</si>
  <si>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</si>
  <si>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</si>
  <si>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</si>
  <si>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</si>
  <si>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</si>
  <si>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</si>
  <si>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</si>
  <si>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</si>
  <si>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</si>
  <si>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</si>
  <si>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</si>
  <si>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</si>
  <si>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</si>
  <si>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</si>
  <si>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Chỉ đạo thực hiện Quản lý trang thiết bị, dụng cụ an toàn phòng cháy chữa cháy.</t>
  </si>
  <si>
    <t>AT34</t>
  </si>
  <si>
    <t>Chỉ đạo, triển khai thực hiện phòng chống và khắc phục thiên tai</t>
  </si>
  <si>
    <t>Tham gia giải phóng mặt bằng, giám sát, nghiệm thu đóng điện</t>
  </si>
  <si>
    <t>a1</t>
  </si>
  <si>
    <t>a2</t>
  </si>
  <si>
    <t>a3</t>
  </si>
  <si>
    <t>a4</t>
  </si>
  <si>
    <t>G</t>
  </si>
  <si>
    <t>Gqđ=G*a</t>
  </si>
  <si>
    <t xml:space="preserve">Trọng số cấp 2 </t>
  </si>
  <si>
    <t xml:space="preserve">Trọng số cấp 3 </t>
  </si>
  <si>
    <t>a5</t>
  </si>
  <si>
    <t>CN3.1.2</t>
  </si>
  <si>
    <t>CN3.1.1</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</si>
  <si>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</si>
  <si>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</si>
  <si>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</si>
  <si>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</si>
  <si>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</si>
  <si>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</si>
  <si>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</si>
  <si>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</si>
  <si>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</si>
  <si>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</si>
  <si>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</si>
  <si>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</si>
  <si>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</si>
  <si>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</si>
  <si>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F2.1</t>
  </si>
  <si>
    <t>F2.2.1</t>
  </si>
  <si>
    <t>C1.1</t>
  </si>
  <si>
    <t>C1.1.1</t>
  </si>
  <si>
    <t>I1.1</t>
  </si>
  <si>
    <t>I1.1.1</t>
  </si>
  <si>
    <t>I2.1</t>
  </si>
  <si>
    <t>I2.1.1</t>
  </si>
  <si>
    <t>I3.1</t>
  </si>
  <si>
    <t>I3.1.1</t>
  </si>
  <si>
    <t>I4.1</t>
  </si>
  <si>
    <t>I4.1.1</t>
  </si>
  <si>
    <t>I5.1</t>
  </si>
  <si>
    <t>I5.1.1</t>
  </si>
  <si>
    <t>I5.2</t>
  </si>
  <si>
    <t>I5.2.1</t>
  </si>
  <si>
    <t>L2.2</t>
  </si>
  <si>
    <t>L2.2.1</t>
  </si>
  <si>
    <t>KH2.1</t>
  </si>
  <si>
    <t>KH2.1.1</t>
  </si>
  <si>
    <t>KH2.3</t>
  </si>
  <si>
    <t>KH2.3.1</t>
  </si>
  <si>
    <t>KH2.4</t>
  </si>
  <si>
    <t>KH2.4.1</t>
  </si>
  <si>
    <t>KH5.1</t>
  </si>
  <si>
    <t>KH5.1.1</t>
  </si>
  <si>
    <t>KH6.1</t>
  </si>
  <si>
    <t>KH6.1.1</t>
  </si>
  <si>
    <t>KH7.1</t>
  </si>
  <si>
    <t>KH7.1.1</t>
  </si>
  <si>
    <t>VT1.1</t>
  </si>
  <si>
    <t>VT1.1.1</t>
  </si>
  <si>
    <t>VT4.1</t>
  </si>
  <si>
    <t>VT4.1.1</t>
  </si>
  <si>
    <t>KD3.1</t>
  </si>
  <si>
    <t>KD3.1.1</t>
  </si>
  <si>
    <t>TC2.1</t>
  </si>
  <si>
    <t>TC2.1.1</t>
  </si>
  <si>
    <t>KT1.1</t>
  </si>
  <si>
    <t>KT1.1.1</t>
  </si>
  <si>
    <t>KT1.2.1</t>
  </si>
  <si>
    <t>KT1.3.1</t>
  </si>
  <si>
    <t>KT1.4.1</t>
  </si>
  <si>
    <t>KT1.5.1</t>
  </si>
  <si>
    <t>KT2.1</t>
  </si>
  <si>
    <t>KT2.1.1</t>
  </si>
  <si>
    <t>KT3.1</t>
  </si>
  <si>
    <t>KT3.1.1</t>
  </si>
  <si>
    <t>KT4.1.1</t>
  </si>
  <si>
    <t>AT1.1.1</t>
  </si>
  <si>
    <t>AT3.1</t>
  </si>
  <si>
    <t>AT3.1.1</t>
  </si>
  <si>
    <t>AT4.1</t>
  </si>
  <si>
    <t>AT4.1.1</t>
  </si>
  <si>
    <t>XD2.1</t>
  </si>
  <si>
    <t>XD2.1.1</t>
  </si>
  <si>
    <t>SC1.1</t>
  </si>
  <si>
    <t>SC1.1.1</t>
  </si>
  <si>
    <t>SC2.1</t>
  </si>
  <si>
    <t>SC2.1.1</t>
  </si>
  <si>
    <t>HC1.1</t>
  </si>
  <si>
    <t>HC1.1.1</t>
  </si>
  <si>
    <t>CN1.1</t>
  </si>
  <si>
    <t>CN1.1.1</t>
  </si>
  <si>
    <t>CN3.1</t>
  </si>
  <si>
    <t>KS6.1</t>
  </si>
  <si>
    <t>KS6.1.1</t>
  </si>
  <si>
    <t>QT1.1</t>
  </si>
  <si>
    <t>QT1.1.1</t>
  </si>
  <si>
    <t>QT2.1</t>
  </si>
  <si>
    <t>QT2.1.1</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</si>
  <si>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</si>
  <si>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</si>
  <si>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</si>
  <si>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</si>
  <si>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</si>
  <si>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</si>
  <si>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</si>
  <si>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</si>
  <si>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</si>
  <si>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</si>
  <si>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</si>
  <si>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</si>
  <si>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</si>
  <si>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</si>
  <si>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</si>
  <si>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</si>
  <si>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</si>
  <si>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</si>
  <si>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</si>
  <si>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</si>
  <si>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</si>
  <si>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</si>
  <si>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</si>
  <si>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</si>
  <si>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</si>
  <si>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</si>
  <si>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NHÓM CÁC CHỈ TIÊU CHUNG (KPI CHUNG)</t>
  </si>
  <si>
    <t>A.3</t>
  </si>
  <si>
    <t>Số lượng</t>
  </si>
  <si>
    <t>Số lượng công trình</t>
  </si>
  <si>
    <t>Số lần kiểm tra</t>
  </si>
  <si>
    <t xml:space="preserve"> Sản lượng điện thương phẩm</t>
  </si>
  <si>
    <t>Điểm</t>
  </si>
  <si>
    <t>ĐIỆN LỰC LỤC YÊN</t>
  </si>
  <si>
    <t>Đỗ Hoài Đức</t>
  </si>
  <si>
    <t>PGĐ: 01</t>
  </si>
  <si>
    <t>Viễn cảnh quy trình nội bộ</t>
  </si>
  <si>
    <t>Ngày 05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</si>
</sst>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0_);_(* \(#,##0.0\);_(* &quot;-&quot;??_);_(@_)"/>
    <numFmt numFmtId="174" formatCode="_(* #,##0.0_);_(* \(#,##0.0\);_(* &quot;-&quot;?_);_(@_)"/>
    <numFmt numFmtId="175" formatCode="0.0"/>
    <numFmt numFmtId="176" formatCode="0.0000%"/>
    <numFmt numFmtId="177" formatCode="0.000"/>
  </numFmts>
  <fonts count="52">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1"/>
      <color theme="1"/>
      <name val="Times New Roman"/>
      <family val="1"/>
    </font>
    <font>
      <b/>
      <i/>
      <sz val="12"/>
      <color theme="1"/>
      <name val="Times New Roman"/>
      <family val="1"/>
    </font>
    <font>
      <sz val="11"/>
      <color rgb="FFFF0000"/>
      <name val="Times New Roman"/>
      <family val="1"/>
      <charset val="163"/>
    </font>
    <font>
      <sz val="12"/>
      <name val="Times New Roman"/>
      <family val="1"/>
      <charset val="163"/>
    </font>
    <font>
      <sz val="11"/>
      <color rgb="FFFF0000"/>
      <name val="Times New Roman"/>
      <family val="1"/>
    </font>
    <font>
      <sz val="12"/>
      <color rgb="FFFF0000"/>
      <name val="Times New Roman"/>
      <family val="1"/>
    </font>
    <font>
      <sz val="12"/>
      <color rgb="FFFF0000"/>
      <name val="Tahoma"/>
      <family val="2"/>
    </font>
  </fonts>
  <fills count="15">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21"/>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63">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38" fillId="0" borderId="0" applyFont="0" applyFill="0" applyBorder="0" applyAlignment="0" applyProtection="0"/>
    <xf numFmtId="164" fontId="38"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6" fillId="0" borderId="0" applyBorder="0" applyProtection="0"/>
    <xf numFmtId="171" fontId="32"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6" fillId="0" borderId="0" applyBorder="0" applyProtection="0"/>
    <xf numFmtId="172" fontId="32"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5" fillId="0" borderId="0"/>
    <xf numFmtId="0" fontId="12" fillId="0" borderId="0"/>
    <xf numFmtId="0" fontId="31" fillId="0" borderId="0"/>
    <xf numFmtId="0" fontId="13" fillId="0" borderId="0">
      <alignment vertical="center"/>
    </xf>
    <xf numFmtId="9" fontId="8" fillId="0" borderId="0" applyBorder="0" applyProtection="0"/>
    <xf numFmtId="9" fontId="16" fillId="0" borderId="0" applyBorder="0" applyProtection="0"/>
    <xf numFmtId="9" fontId="8" fillId="0" borderId="0" applyBorder="0" applyProtection="0"/>
    <xf numFmtId="9" fontId="1" fillId="0" borderId="0" applyBorder="0" applyProtection="0"/>
    <xf numFmtId="9" fontId="32"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6" fillId="0" borderId="0" applyBorder="0" applyProtection="0"/>
    <xf numFmtId="9" fontId="32"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0"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0" fillId="0" borderId="0" applyNumberFormat="0" applyFill="0" applyBorder="0" applyAlignment="0" applyProtection="0"/>
    <xf numFmtId="0" fontId="4" fillId="0" borderId="0"/>
    <xf numFmtId="0" fontId="4" fillId="0" borderId="0"/>
    <xf numFmtId="0" fontId="4" fillId="0" borderId="0"/>
    <xf numFmtId="0" fontId="41" fillId="0" borderId="0"/>
    <xf numFmtId="0" fontId="42" fillId="0" borderId="0"/>
    <xf numFmtId="0" fontId="39" fillId="0" borderId="0"/>
    <xf numFmtId="0" fontId="39" fillId="0" borderId="0"/>
    <xf numFmtId="0" fontId="39" fillId="0" borderId="0"/>
    <xf numFmtId="0" fontId="7" fillId="0" borderId="0"/>
    <xf numFmtId="0" fontId="4" fillId="0" borderId="0"/>
    <xf numFmtId="0" fontId="43" fillId="0" borderId="0"/>
    <xf numFmtId="0" fontId="13" fillId="0" borderId="0">
      <alignment vertical="center"/>
    </xf>
    <xf numFmtId="0" fontId="4"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 fillId="0" borderId="0"/>
    <xf numFmtId="0" fontId="4" fillId="0" borderId="0"/>
    <xf numFmtId="0" fontId="4" fillId="0" borderId="0"/>
    <xf numFmtId="0" fontId="4" fillId="0" borderId="0"/>
    <xf numFmtId="0" fontId="7" fillId="0" borderId="0"/>
    <xf numFmtId="0" fontId="4" fillId="0" borderId="0"/>
    <xf numFmtId="0" fontId="43"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1" fontId="1" fillId="0" borderId="0" applyBorder="0" applyProtection="0"/>
    <xf numFmtId="171"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71">
    <xf numFmtId="0" fontId="0" fillId="0" borderId="0" xfId="0"/>
    <xf numFmtId="0" fontId="18" fillId="0" borderId="3" xfId="0" applyFont="1" applyFill="1" applyBorder="1" applyAlignment="1">
      <alignment horizontal="center" vertical="center" wrapText="1"/>
    </xf>
    <xf numFmtId="0" fontId="18" fillId="0" borderId="3" xfId="0" applyFont="1" applyBorder="1" applyAlignment="1">
      <alignment horizontal="center" vertical="center"/>
    </xf>
    <xf numFmtId="0" fontId="18" fillId="0" borderId="3"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18" fillId="0" borderId="3" xfId="0" applyNumberFormat="1" applyFont="1" applyFill="1" applyBorder="1" applyAlignment="1">
      <alignment vertical="center" wrapText="1"/>
    </xf>
    <xf numFmtId="0" fontId="18" fillId="0" borderId="0" xfId="0" applyFont="1" applyAlignment="1">
      <alignment horizontal="center" vertical="center"/>
    </xf>
    <xf numFmtId="0" fontId="18" fillId="0" borderId="3" xfId="0" applyFont="1" applyBorder="1" applyAlignment="1">
      <alignment horizontal="left" vertical="center" wrapText="1"/>
    </xf>
    <xf numFmtId="0" fontId="23" fillId="0" borderId="0" xfId="0" applyFont="1"/>
    <xf numFmtId="0" fontId="23" fillId="2" borderId="3" xfId="128" applyFont="1" applyFill="1" applyBorder="1" applyAlignment="1">
      <alignment horizontal="center" vertical="center" wrapText="1"/>
    </xf>
    <xf numFmtId="0" fontId="23" fillId="2" borderId="0" xfId="128"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 xfId="0" applyFont="1" applyFill="1" applyBorder="1" applyAlignment="1">
      <alignment horizontal="left" vertical="center" wrapText="1"/>
    </xf>
    <xf numFmtId="9" fontId="17" fillId="7" borderId="6" xfId="129" applyFont="1" applyFill="1" applyBorder="1" applyAlignment="1">
      <alignment horizontal="center" vertical="center" wrapText="1"/>
    </xf>
    <xf numFmtId="0" fontId="18" fillId="0" borderId="0" xfId="0" applyFont="1" applyFill="1"/>
    <xf numFmtId="0" fontId="18" fillId="2" borderId="3" xfId="89" applyFont="1" applyFill="1" applyBorder="1" applyAlignment="1">
      <alignment vertical="center" wrapText="1"/>
    </xf>
    <xf numFmtId="9" fontId="20" fillId="0" borderId="3" xfId="140" applyFont="1" applyFill="1" applyBorder="1" applyAlignment="1" applyProtection="1">
      <alignment horizontal="center" vertical="center" wrapText="1"/>
    </xf>
    <xf numFmtId="0" fontId="18" fillId="2" borderId="3" xfId="128" applyFont="1" applyFill="1" applyBorder="1" applyAlignment="1">
      <alignment horizontal="center" vertical="center" wrapText="1"/>
    </xf>
    <xf numFmtId="0" fontId="18" fillId="0" borderId="3" xfId="128" applyFont="1" applyFill="1" applyBorder="1" applyAlignment="1">
      <alignment horizontal="center" vertical="center" wrapText="1"/>
    </xf>
    <xf numFmtId="9" fontId="25" fillId="0" borderId="3" xfId="140" applyFont="1" applyFill="1" applyBorder="1" applyAlignment="1" applyProtection="1">
      <alignment horizontal="center" vertical="center" wrapText="1"/>
    </xf>
    <xf numFmtId="173" fontId="17" fillId="0" borderId="3" xfId="0" applyNumberFormat="1" applyFont="1" applyFill="1" applyBorder="1"/>
    <xf numFmtId="173" fontId="25" fillId="0" borderId="3" xfId="10" applyNumberFormat="1" applyFont="1" applyFill="1" applyBorder="1" applyAlignment="1" applyProtection="1">
      <alignment horizontal="center" vertical="center" wrapText="1"/>
    </xf>
    <xf numFmtId="0" fontId="21" fillId="0" borderId="3"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26" fillId="0" borderId="2" xfId="0" applyFont="1" applyFill="1" applyBorder="1" applyAlignment="1">
      <alignment vertical="center" wrapText="1"/>
    </xf>
    <xf numFmtId="0" fontId="17" fillId="8" borderId="3" xfId="0" applyFont="1" applyFill="1" applyBorder="1" applyAlignment="1">
      <alignment horizontal="center" vertical="center" wrapText="1"/>
    </xf>
    <xf numFmtId="173" fontId="27" fillId="0" borderId="3" xfId="10" applyNumberFormat="1" applyFont="1" applyFill="1" applyBorder="1" applyAlignment="1" applyProtection="1">
      <alignment horizontal="center" vertical="center" wrapText="1"/>
    </xf>
    <xf numFmtId="0" fontId="17" fillId="0" borderId="0" xfId="0" applyNumberFormat="1" applyFont="1" applyAlignment="1">
      <alignment horizontal="center"/>
    </xf>
    <xf numFmtId="0" fontId="22" fillId="0" borderId="3" xfId="0" applyFont="1" applyFill="1" applyBorder="1" applyAlignment="1">
      <alignment horizontal="center" vertical="center" wrapText="1"/>
    </xf>
    <xf numFmtId="9" fontId="17" fillId="8" borderId="7" xfId="0" applyNumberFormat="1" applyFont="1" applyFill="1" applyBorder="1" applyAlignment="1">
      <alignment horizontal="center" vertical="center" wrapText="1"/>
    </xf>
    <xf numFmtId="0" fontId="22" fillId="0" borderId="3" xfId="0" applyFont="1" applyFill="1" applyBorder="1" applyAlignment="1">
      <alignment vertical="center"/>
    </xf>
    <xf numFmtId="9" fontId="28" fillId="0" borderId="3" xfId="133" applyFont="1" applyFill="1" applyBorder="1" applyAlignment="1">
      <alignment horizontal="center" vertical="center" wrapText="1"/>
    </xf>
    <xf numFmtId="9" fontId="17" fillId="7" borderId="3" xfId="0" applyNumberFormat="1" applyFont="1" applyFill="1" applyBorder="1" applyAlignment="1">
      <alignment horizontal="center" vertical="center"/>
    </xf>
    <xf numFmtId="0" fontId="22" fillId="2" borderId="3" xfId="0" applyNumberFormat="1" applyFont="1" applyFill="1" applyBorder="1" applyAlignment="1">
      <alignment vertical="center" wrapText="1"/>
    </xf>
    <xf numFmtId="9" fontId="29" fillId="0" borderId="3" xfId="140" applyFont="1" applyFill="1" applyBorder="1" applyAlignment="1" applyProtection="1">
      <alignment horizontal="center" vertical="center" wrapText="1"/>
    </xf>
    <xf numFmtId="0" fontId="17" fillId="0" borderId="0" xfId="0" applyFont="1" applyFill="1"/>
    <xf numFmtId="0" fontId="24" fillId="0" borderId="3" xfId="0" applyFont="1" applyFill="1" applyBorder="1" applyAlignment="1">
      <alignment horizontal="center" vertical="center" wrapText="1"/>
    </xf>
    <xf numFmtId="0" fontId="24" fillId="0" borderId="8" xfId="0" applyFont="1" applyFill="1" applyBorder="1" applyAlignment="1">
      <alignment horizontal="center" vertical="center" wrapText="1"/>
    </xf>
    <xf numFmtId="0" fontId="22" fillId="0" borderId="0" xfId="0" applyFont="1" applyFill="1" applyBorder="1" applyAlignment="1">
      <alignment vertical="center"/>
    </xf>
    <xf numFmtId="0" fontId="24" fillId="2" borderId="0" xfId="0" applyFont="1" applyFill="1" applyBorder="1" applyAlignment="1">
      <alignment horizontal="center" vertical="center" wrapText="1"/>
    </xf>
    <xf numFmtId="0" fontId="22" fillId="0" borderId="0" xfId="0" applyNumberFormat="1" applyFont="1" applyAlignment="1"/>
    <xf numFmtId="0" fontId="17" fillId="0" borderId="0" xfId="0" applyFont="1"/>
    <xf numFmtId="2" fontId="18" fillId="0" borderId="3" xfId="133" applyNumberFormat="1" applyFont="1" applyFill="1" applyBorder="1" applyAlignment="1">
      <alignment horizontal="center" vertical="center" wrapText="1"/>
    </xf>
    <xf numFmtId="0" fontId="18" fillId="0" borderId="9" xfId="0" applyFont="1" applyFill="1" applyBorder="1" applyAlignment="1">
      <alignment horizontal="center" vertical="center" wrapText="1"/>
    </xf>
    <xf numFmtId="0" fontId="17" fillId="0" borderId="0" xfId="0" applyFont="1" applyFill="1" applyAlignment="1">
      <alignment horizontal="center"/>
    </xf>
    <xf numFmtId="0" fontId="17" fillId="0" borderId="0" xfId="0" applyFont="1" applyAlignment="1">
      <alignment horizontal="center"/>
    </xf>
    <xf numFmtId="0" fontId="23" fillId="0" borderId="3" xfId="0" applyFont="1" applyFill="1" applyBorder="1" applyAlignment="1">
      <alignment vertical="center"/>
    </xf>
    <xf numFmtId="0" fontId="23" fillId="0" borderId="3" xfId="0" applyFont="1" applyFill="1" applyBorder="1" applyAlignment="1">
      <alignment vertical="center" wrapText="1"/>
    </xf>
    <xf numFmtId="0" fontId="22" fillId="0" borderId="10" xfId="0" applyNumberFormat="1" applyFont="1" applyFill="1" applyBorder="1" applyAlignment="1">
      <alignment vertical="center" wrapText="1"/>
    </xf>
    <xf numFmtId="0" fontId="22" fillId="0" borderId="2" xfId="0" applyFont="1" applyFill="1" applyBorder="1" applyAlignment="1">
      <alignment vertical="center"/>
    </xf>
    <xf numFmtId="0" fontId="33" fillId="0" borderId="3" xfId="0" applyFont="1" applyFill="1" applyBorder="1" applyAlignment="1">
      <alignment horizontal="left" vertical="center" wrapText="1"/>
    </xf>
    <xf numFmtId="9" fontId="17" fillId="7" borderId="3" xfId="0" applyNumberFormat="1" applyFont="1" applyFill="1" applyBorder="1" applyAlignment="1">
      <alignment horizontal="center" vertical="center" textRotation="90"/>
    </xf>
    <xf numFmtId="0" fontId="23" fillId="0" borderId="3" xfId="0" applyFont="1" applyFill="1" applyBorder="1" applyAlignment="1">
      <alignment horizontal="center" vertical="center"/>
    </xf>
    <xf numFmtId="0" fontId="18" fillId="10" borderId="3" xfId="0" applyNumberFormat="1" applyFont="1" applyFill="1" applyBorder="1" applyAlignment="1">
      <alignment horizontal="center" vertical="center" wrapText="1"/>
    </xf>
    <xf numFmtId="0" fontId="18" fillId="10" borderId="3" xfId="0" applyNumberFormat="1" applyFont="1" applyFill="1" applyBorder="1" applyAlignment="1">
      <alignment vertical="center" wrapText="1"/>
    </xf>
    <xf numFmtId="9" fontId="17" fillId="11" borderId="3" xfId="0" applyNumberFormat="1" applyFont="1" applyFill="1" applyBorder="1" applyAlignment="1">
      <alignment horizontal="center" vertical="center" textRotation="90"/>
    </xf>
    <xf numFmtId="0" fontId="22" fillId="7" borderId="3" xfId="0" applyFont="1" applyFill="1" applyBorder="1" applyAlignment="1">
      <alignment vertical="center" wrapText="1"/>
    </xf>
    <xf numFmtId="0" fontId="18" fillId="0" borderId="4" xfId="0" applyFont="1" applyFill="1" applyBorder="1" applyAlignment="1">
      <alignment horizontal="center" vertical="center" wrapText="1"/>
    </xf>
    <xf numFmtId="0" fontId="18" fillId="0" borderId="3" xfId="0" applyFont="1" applyFill="1" applyBorder="1"/>
    <xf numFmtId="0" fontId="21" fillId="0" borderId="3" xfId="0" applyFont="1" applyFill="1" applyBorder="1" applyAlignment="1">
      <alignment horizontal="left" vertical="center" wrapText="1"/>
    </xf>
    <xf numFmtId="0" fontId="18" fillId="0" borderId="0" xfId="0" applyFont="1"/>
    <xf numFmtId="0" fontId="21" fillId="0" borderId="0" xfId="0" applyFont="1" applyFill="1" applyBorder="1" applyAlignment="1">
      <alignment horizontal="center" vertical="center"/>
    </xf>
    <xf numFmtId="0" fontId="21" fillId="0" borderId="0" xfId="0" applyFont="1" applyFill="1" applyBorder="1" applyAlignment="1">
      <alignment horizontal="left" vertical="center"/>
    </xf>
    <xf numFmtId="0" fontId="18" fillId="0" borderId="0" xfId="0" applyFont="1" applyFill="1" applyAlignment="1">
      <alignment horizontal="center"/>
    </xf>
    <xf numFmtId="0" fontId="18" fillId="0" borderId="0" xfId="0" applyFont="1" applyFill="1" applyAlignment="1">
      <alignment horizontal="left"/>
    </xf>
    <xf numFmtId="0" fontId="21" fillId="2" borderId="0" xfId="0" applyFont="1" applyFill="1" applyBorder="1" applyAlignment="1">
      <alignment horizontal="left" vertical="center" wrapText="1"/>
    </xf>
    <xf numFmtId="0" fontId="23" fillId="0" borderId="4" xfId="0" applyFont="1" applyFill="1" applyBorder="1" applyAlignment="1">
      <alignment horizontal="center" vertical="center" wrapText="1"/>
    </xf>
    <xf numFmtId="0" fontId="23" fillId="0" borderId="9" xfId="0" applyFont="1" applyFill="1" applyBorder="1" applyAlignment="1">
      <alignment horizontal="center" vertical="center"/>
    </xf>
    <xf numFmtId="0" fontId="23" fillId="0" borderId="11" xfId="0" applyFont="1" applyFill="1" applyBorder="1" applyAlignment="1">
      <alignment horizontal="center" vertical="center"/>
    </xf>
    <xf numFmtId="0" fontId="22" fillId="0" borderId="4" xfId="0" applyFont="1" applyFill="1" applyBorder="1" applyAlignment="1">
      <alignment horizontal="center" vertical="center"/>
    </xf>
    <xf numFmtId="0" fontId="22" fillId="0" borderId="11" xfId="0" applyFont="1" applyFill="1" applyBorder="1" applyAlignment="1">
      <alignment horizontal="center" vertical="center"/>
    </xf>
    <xf numFmtId="0" fontId="23" fillId="0" borderId="4" xfId="0" applyFont="1" applyFill="1" applyBorder="1" applyAlignment="1">
      <alignment horizontal="center" vertical="center"/>
    </xf>
    <xf numFmtId="0" fontId="17" fillId="0" borderId="0" xfId="0" applyFont="1" applyFill="1" applyAlignment="1">
      <alignment horizontal="center" vertical="center"/>
    </xf>
    <xf numFmtId="0" fontId="18" fillId="0" borderId="3" xfId="0" quotePrefix="1" applyFont="1" applyBorder="1" applyAlignment="1">
      <alignment horizontal="left" vertical="center" wrapText="1"/>
    </xf>
    <xf numFmtId="0" fontId="18" fillId="10" borderId="3" xfId="0" applyNumberFormat="1" applyFont="1" applyFill="1" applyBorder="1" applyAlignment="1">
      <alignment horizontal="left" vertical="center" wrapText="1"/>
    </xf>
    <xf numFmtId="0" fontId="44" fillId="10" borderId="3" xfId="0" applyNumberFormat="1" applyFont="1" applyFill="1" applyBorder="1" applyAlignment="1">
      <alignment vertical="center" wrapText="1"/>
    </xf>
    <xf numFmtId="0" fontId="44" fillId="10" borderId="3" xfId="0" quotePrefix="1" applyFont="1" applyFill="1" applyBorder="1" applyAlignment="1">
      <alignment horizontal="left" vertical="center" wrapText="1"/>
    </xf>
    <xf numFmtId="0" fontId="18" fillId="0" borderId="8" xfId="0" applyFont="1" applyBorder="1" applyAlignment="1">
      <alignment horizontal="center" vertical="center"/>
    </xf>
    <xf numFmtId="0" fontId="22" fillId="0" borderId="11" xfId="0" applyNumberFormat="1" applyFont="1" applyFill="1" applyBorder="1" applyAlignment="1">
      <alignment horizontal="center" vertical="center" wrapText="1"/>
    </xf>
    <xf numFmtId="0" fontId="18" fillId="0" borderId="0" xfId="0" applyFont="1" applyAlignment="1">
      <alignment horizontal="center"/>
    </xf>
    <xf numFmtId="0" fontId="22" fillId="0" borderId="10" xfId="0" applyNumberFormat="1" applyFont="1" applyFill="1" applyBorder="1" applyAlignment="1">
      <alignment horizontal="center" vertical="center" wrapText="1"/>
    </xf>
    <xf numFmtId="0" fontId="22" fillId="4" borderId="3" xfId="0" applyNumberFormat="1" applyFont="1" applyFill="1" applyBorder="1" applyAlignment="1">
      <alignment horizontal="center" vertical="center" wrapText="1"/>
    </xf>
    <xf numFmtId="0" fontId="17" fillId="8" borderId="3" xfId="0" applyFont="1" applyFill="1" applyBorder="1" applyAlignment="1">
      <alignment horizontal="left" vertical="center" wrapText="1"/>
    </xf>
    <xf numFmtId="0" fontId="18" fillId="5" borderId="0" xfId="0" applyFont="1" applyFill="1"/>
    <xf numFmtId="0" fontId="22" fillId="5" borderId="10" xfId="0" applyNumberFormat="1"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3" xfId="0" applyFont="1" applyFill="1" applyBorder="1" applyAlignment="1">
      <alignment horizontal="left" vertical="center" wrapText="1"/>
    </xf>
    <xf numFmtId="0" fontId="18" fillId="3" borderId="3" xfId="0" applyFont="1" applyFill="1" applyBorder="1"/>
    <xf numFmtId="0" fontId="22" fillId="3" borderId="5" xfId="0" applyFont="1" applyFill="1" applyBorder="1" applyAlignment="1">
      <alignment horizontal="center" vertical="center"/>
    </xf>
    <xf numFmtId="0" fontId="18" fillId="3" borderId="0" xfId="0" applyFont="1" applyFill="1"/>
    <xf numFmtId="0" fontId="23" fillId="0" borderId="4" xfId="0" applyFont="1" applyFill="1" applyBorder="1" applyAlignment="1">
      <alignment vertical="center" wrapText="1"/>
    </xf>
    <xf numFmtId="9" fontId="33" fillId="0" borderId="3" xfId="129" applyFont="1" applyFill="1" applyBorder="1" applyAlignment="1">
      <alignment horizontal="center" vertical="center" wrapText="1"/>
    </xf>
    <xf numFmtId="9" fontId="33" fillId="0" borderId="3" xfId="0" applyNumberFormat="1" applyFont="1" applyFill="1" applyBorder="1" applyAlignment="1">
      <alignment horizontal="center" vertical="center" wrapText="1"/>
    </xf>
    <xf numFmtId="0" fontId="33" fillId="0" borderId="3"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9" fontId="33" fillId="0" borderId="4" xfId="129" applyFont="1" applyFill="1" applyBorder="1" applyAlignment="1">
      <alignment horizontal="center" vertical="center" wrapText="1"/>
    </xf>
    <xf numFmtId="9" fontId="17" fillId="6" borderId="11" xfId="0" applyNumberFormat="1" applyFont="1" applyFill="1" applyBorder="1" applyAlignment="1">
      <alignment horizontal="center" vertical="center" textRotation="90"/>
    </xf>
    <xf numFmtId="0" fontId="22" fillId="0" borderId="3" xfId="0" applyFont="1" applyFill="1" applyBorder="1" applyAlignment="1">
      <alignment horizontal="center" vertical="center"/>
    </xf>
    <xf numFmtId="0" fontId="18" fillId="3" borderId="4" xfId="0" applyFont="1" applyFill="1" applyBorder="1"/>
    <xf numFmtId="0" fontId="22" fillId="2" borderId="3" xfId="0" applyNumberFormat="1" applyFont="1" applyFill="1" applyBorder="1" applyAlignment="1">
      <alignment horizontal="center" vertical="center" wrapText="1"/>
    </xf>
    <xf numFmtId="0" fontId="23" fillId="2" borderId="3" xfId="0" applyNumberFormat="1" applyFont="1" applyFill="1" applyBorder="1" applyAlignment="1">
      <alignment horizontal="center" vertical="center" wrapText="1"/>
    </xf>
    <xf numFmtId="0" fontId="23" fillId="2" borderId="3" xfId="0" applyFont="1" applyFill="1" applyBorder="1" applyAlignment="1">
      <alignment horizontal="center" vertical="center" wrapText="1"/>
    </xf>
    <xf numFmtId="9" fontId="33" fillId="0" borderId="3" xfId="133" applyFont="1" applyFill="1" applyBorder="1" applyAlignment="1">
      <alignment horizontal="center" vertical="center" wrapText="1"/>
    </xf>
    <xf numFmtId="0" fontId="22" fillId="3" borderId="3" xfId="0" applyFont="1" applyFill="1" applyBorder="1" applyAlignment="1">
      <alignment horizontal="center" vertical="center"/>
    </xf>
    <xf numFmtId="0" fontId="22" fillId="3" borderId="13" xfId="0" applyFont="1" applyFill="1" applyBorder="1" applyAlignment="1">
      <alignment vertical="center"/>
    </xf>
    <xf numFmtId="0" fontId="17" fillId="7" borderId="4" xfId="0" applyFont="1" applyFill="1" applyBorder="1" applyAlignment="1">
      <alignment horizontal="center" vertical="center" wrapText="1"/>
    </xf>
    <xf numFmtId="9" fontId="20" fillId="7" borderId="4" xfId="140" applyFont="1" applyFill="1" applyBorder="1" applyAlignment="1" applyProtection="1">
      <alignment horizontal="center" vertical="center" wrapText="1"/>
    </xf>
    <xf numFmtId="9" fontId="22" fillId="7" borderId="6" xfId="129" applyFont="1" applyFill="1" applyBorder="1" applyAlignment="1">
      <alignment horizontal="center" vertical="center" wrapText="1"/>
    </xf>
    <xf numFmtId="9" fontId="20" fillId="7" borderId="3" xfId="140" applyFont="1" applyFill="1" applyBorder="1" applyAlignment="1" applyProtection="1">
      <alignment horizontal="center" vertical="center" wrapText="1"/>
    </xf>
    <xf numFmtId="9" fontId="33" fillId="0" borderId="6" xfId="129" applyFont="1" applyFill="1" applyBorder="1" applyAlignment="1">
      <alignment horizontal="center" vertical="center" wrapText="1"/>
    </xf>
    <xf numFmtId="0" fontId="35" fillId="0" borderId="0" xfId="0" applyFont="1"/>
    <xf numFmtId="0" fontId="34" fillId="2" borderId="3" xfId="0" applyNumberFormat="1" applyFont="1" applyFill="1" applyBorder="1" applyAlignment="1">
      <alignment vertical="center" wrapText="1"/>
    </xf>
    <xf numFmtId="0" fontId="36" fillId="2" borderId="8" xfId="0" applyNumberFormat="1" applyFont="1" applyFill="1" applyBorder="1" applyAlignment="1">
      <alignment vertical="center" wrapText="1"/>
    </xf>
    <xf numFmtId="9" fontId="37" fillId="0" borderId="6" xfId="129" applyFont="1" applyFill="1" applyBorder="1" applyAlignment="1">
      <alignment horizontal="center" vertical="center" wrapText="1"/>
    </xf>
    <xf numFmtId="0" fontId="34" fillId="0" borderId="3" xfId="128" applyFont="1" applyFill="1" applyBorder="1" applyAlignment="1">
      <alignment horizontal="center" vertical="center" wrapText="1"/>
    </xf>
    <xf numFmtId="0" fontId="22" fillId="5" borderId="5" xfId="0" applyFont="1" applyFill="1" applyBorder="1" applyAlignment="1">
      <alignment horizontal="center" vertical="center" wrapText="1"/>
    </xf>
    <xf numFmtId="9" fontId="22" fillId="7" borderId="3" xfId="0" applyNumberFormat="1" applyFont="1" applyFill="1" applyBorder="1" applyAlignment="1">
      <alignment horizontal="center" vertical="center" wrapText="1"/>
    </xf>
    <xf numFmtId="0" fontId="18" fillId="7" borderId="3" xfId="0" applyFont="1" applyFill="1" applyBorder="1" applyAlignment="1">
      <alignment horizontal="center" vertical="center" wrapText="1"/>
    </xf>
    <xf numFmtId="9" fontId="25" fillId="7" borderId="3" xfId="140" applyFont="1" applyFill="1" applyBorder="1" applyAlignment="1" applyProtection="1">
      <alignment horizontal="center" vertical="center" wrapText="1"/>
    </xf>
    <xf numFmtId="9" fontId="22" fillId="7" borderId="6" xfId="0" applyNumberFormat="1" applyFont="1" applyFill="1" applyBorder="1" applyAlignment="1">
      <alignment horizontal="center" vertical="center" wrapText="1"/>
    </xf>
    <xf numFmtId="0" fontId="22" fillId="3" borderId="4" xfId="0" applyFont="1" applyFill="1" applyBorder="1" applyAlignment="1">
      <alignment horizontal="center" vertical="center"/>
    </xf>
    <xf numFmtId="9" fontId="33" fillId="7" borderId="3" xfId="0" applyNumberFormat="1" applyFont="1" applyFill="1" applyBorder="1" applyAlignment="1">
      <alignment horizontal="center" vertical="center" wrapText="1"/>
    </xf>
    <xf numFmtId="0" fontId="23" fillId="7" borderId="3" xfId="0" applyFont="1" applyFill="1" applyBorder="1" applyAlignment="1">
      <alignment vertical="center" wrapText="1"/>
    </xf>
    <xf numFmtId="0" fontId="33" fillId="7" borderId="3" xfId="0" applyNumberFormat="1" applyFont="1" applyFill="1" applyBorder="1" applyAlignment="1">
      <alignment horizontal="center" vertical="center" wrapText="1"/>
    </xf>
    <xf numFmtId="2" fontId="18" fillId="7" borderId="3" xfId="0" applyNumberFormat="1" applyFont="1" applyFill="1" applyBorder="1" applyAlignment="1">
      <alignment horizontal="center" vertical="center" wrapText="1"/>
    </xf>
    <xf numFmtId="0" fontId="21" fillId="7" borderId="3" xfId="0" applyFont="1" applyFill="1" applyBorder="1" applyAlignment="1">
      <alignment horizontal="center" vertical="center" wrapText="1"/>
    </xf>
    <xf numFmtId="0" fontId="23" fillId="0" borderId="3" xfId="0" applyFont="1" applyFill="1" applyBorder="1" applyAlignment="1">
      <alignment horizontal="center" vertical="center" wrapText="1"/>
    </xf>
    <xf numFmtId="0" fontId="17" fillId="3" borderId="0" xfId="0" applyFont="1" applyFill="1"/>
    <xf numFmtId="0" fontId="26" fillId="7" borderId="3" xfId="0" applyFont="1" applyFill="1" applyBorder="1" applyAlignment="1">
      <alignment horizontal="center" vertical="center" wrapText="1"/>
    </xf>
    <xf numFmtId="9" fontId="29" fillId="7" borderId="3" xfId="140" applyFont="1" applyFill="1" applyBorder="1" applyAlignment="1" applyProtection="1">
      <alignment horizontal="center" vertical="center" wrapText="1"/>
    </xf>
    <xf numFmtId="0" fontId="23" fillId="0" borderId="3" xfId="0" applyFont="1" applyFill="1" applyBorder="1" applyAlignment="1">
      <alignment horizontal="left" vertical="center" wrapText="1"/>
    </xf>
    <xf numFmtId="0" fontId="18" fillId="7" borderId="3" xfId="128" applyFont="1" applyFill="1" applyBorder="1" applyAlignment="1">
      <alignment horizontal="center" vertical="center" wrapText="1"/>
    </xf>
    <xf numFmtId="0" fontId="33" fillId="0" borderId="3" xfId="0" applyFont="1" applyFill="1" applyBorder="1" applyAlignment="1">
      <alignment horizontal="center" vertical="center"/>
    </xf>
    <xf numFmtId="9" fontId="37" fillId="7" borderId="6" xfId="129" applyNumberFormat="1" applyFont="1" applyFill="1" applyBorder="1" applyAlignment="1">
      <alignment horizontal="center" vertical="center" wrapText="1"/>
    </xf>
    <xf numFmtId="0" fontId="23" fillId="0" borderId="3" xfId="128" applyFont="1" applyFill="1" applyBorder="1" applyAlignment="1">
      <alignment horizontal="center" vertical="center" wrapText="1"/>
    </xf>
    <xf numFmtId="0" fontId="22" fillId="0" borderId="2" xfId="0" applyFont="1" applyFill="1" applyBorder="1" applyAlignment="1">
      <alignment horizontal="center" vertical="center"/>
    </xf>
    <xf numFmtId="0" fontId="23" fillId="0" borderId="2" xfId="128" applyFont="1" applyFill="1" applyBorder="1" applyAlignment="1">
      <alignment horizontal="center" vertical="center" wrapText="1"/>
    </xf>
    <xf numFmtId="10" fontId="37" fillId="0" borderId="6" xfId="129" applyNumberFormat="1" applyFont="1" applyFill="1" applyBorder="1" applyAlignment="1">
      <alignment horizontal="center" vertical="center" wrapText="1"/>
    </xf>
    <xf numFmtId="0" fontId="22" fillId="4" borderId="3" xfId="0" applyFont="1" applyFill="1" applyBorder="1" applyAlignment="1">
      <alignment horizontal="center" vertical="center" wrapText="1"/>
    </xf>
    <xf numFmtId="9" fontId="22" fillId="8" borderId="3" xfId="0" applyNumberFormat="1" applyFont="1" applyFill="1" applyBorder="1" applyAlignment="1">
      <alignment horizontal="center" vertical="center" wrapText="1"/>
    </xf>
    <xf numFmtId="0" fontId="21" fillId="8" borderId="3" xfId="0" applyFont="1" applyFill="1" applyBorder="1" applyAlignment="1">
      <alignment horizontal="center" vertical="center" wrapText="1"/>
    </xf>
    <xf numFmtId="9" fontId="25" fillId="8" borderId="3" xfId="140" applyFont="1" applyFill="1" applyBorder="1" applyAlignment="1" applyProtection="1">
      <alignment horizontal="center" vertical="center" wrapText="1"/>
    </xf>
    <xf numFmtId="0" fontId="22" fillId="4" borderId="9" xfId="0" applyFont="1" applyFill="1" applyBorder="1" applyAlignment="1">
      <alignment horizontal="center" vertical="center"/>
    </xf>
    <xf numFmtId="173" fontId="25" fillId="8" borderId="3" xfId="10" applyNumberFormat="1" applyFont="1" applyFill="1" applyBorder="1" applyAlignment="1" applyProtection="1">
      <alignment horizontal="center" vertical="center" wrapText="1"/>
    </xf>
    <xf numFmtId="0" fontId="21" fillId="2" borderId="5" xfId="0" applyFont="1" applyFill="1" applyBorder="1" applyAlignment="1">
      <alignment horizontal="left" vertical="center" wrapText="1"/>
    </xf>
    <xf numFmtId="0" fontId="26" fillId="0" borderId="0" xfId="0" applyFont="1" applyFill="1"/>
    <xf numFmtId="0" fontId="26" fillId="0" borderId="3" xfId="0" applyFont="1" applyFill="1" applyBorder="1" applyAlignment="1">
      <alignment horizontal="center" vertical="center"/>
    </xf>
    <xf numFmtId="0" fontId="26" fillId="0" borderId="3" xfId="0" applyFont="1" applyFill="1" applyBorder="1" applyAlignment="1">
      <alignment horizontal="left" vertical="center"/>
    </xf>
    <xf numFmtId="43" fontId="26" fillId="0" borderId="3" xfId="0" applyNumberFormat="1" applyFont="1" applyFill="1" applyBorder="1"/>
    <xf numFmtId="0" fontId="22" fillId="0" borderId="0" xfId="0" applyFont="1" applyFill="1" applyBorder="1" applyAlignment="1">
      <alignment horizontal="center" vertical="center"/>
    </xf>
    <xf numFmtId="9" fontId="17" fillId="0" borderId="0" xfId="0" applyNumberFormat="1" applyFont="1" applyFill="1" applyBorder="1" applyAlignment="1">
      <alignment horizontal="center" vertical="center" wrapText="1"/>
    </xf>
    <xf numFmtId="0" fontId="22" fillId="0" borderId="0" xfId="0" applyNumberFormat="1" applyFont="1" applyAlignment="1">
      <alignment horizontal="center"/>
    </xf>
    <xf numFmtId="0" fontId="18" fillId="0" borderId="0" xfId="0" applyFont="1" applyAlignment="1">
      <alignment horizontal="left"/>
    </xf>
    <xf numFmtId="0" fontId="17" fillId="3" borderId="9" xfId="0" applyFont="1" applyFill="1" applyBorder="1" applyAlignment="1">
      <alignment horizontal="center" vertical="center" textRotation="90"/>
    </xf>
    <xf numFmtId="1" fontId="33" fillId="0" borderId="3" xfId="129" applyNumberFormat="1" applyFont="1" applyFill="1" applyBorder="1" applyAlignment="1">
      <alignment horizontal="center" vertical="center" wrapText="1"/>
    </xf>
    <xf numFmtId="175" fontId="33" fillId="0" borderId="3" xfId="0" applyNumberFormat="1" applyFont="1" applyFill="1" applyBorder="1" applyAlignment="1">
      <alignment horizontal="center" vertical="center" wrapText="1"/>
    </xf>
    <xf numFmtId="1" fontId="33" fillId="0" borderId="3" xfId="0" applyNumberFormat="1" applyFont="1" applyFill="1" applyBorder="1" applyAlignment="1">
      <alignment horizontal="center" vertical="center" wrapText="1"/>
    </xf>
    <xf numFmtId="10" fontId="20" fillId="0" borderId="15" xfId="140" applyNumberFormat="1" applyFont="1" applyFill="1" applyBorder="1" applyAlignment="1" applyProtection="1">
      <alignment horizontal="center" vertical="center" wrapText="1"/>
    </xf>
    <xf numFmtId="1" fontId="18" fillId="0" borderId="3" xfId="0" applyNumberFormat="1" applyFont="1" applyFill="1" applyBorder="1" applyAlignment="1">
      <alignment horizontal="center" vertical="center" wrapText="1"/>
    </xf>
    <xf numFmtId="176" fontId="20" fillId="0" borderId="3" xfId="140" applyNumberFormat="1" applyFont="1" applyFill="1" applyBorder="1" applyAlignment="1" applyProtection="1">
      <alignment horizontal="center" vertical="center" wrapText="1"/>
    </xf>
    <xf numFmtId="0" fontId="18" fillId="0" borderId="4" xfId="0" applyNumberFormat="1" applyFont="1" applyFill="1" applyBorder="1" applyAlignment="1">
      <alignment vertical="center" wrapText="1"/>
    </xf>
    <xf numFmtId="0" fontId="23" fillId="0" borderId="4" xfId="0" applyFont="1" applyFill="1" applyBorder="1" applyAlignment="1">
      <alignment vertical="center"/>
    </xf>
    <xf numFmtId="0" fontId="23" fillId="0" borderId="5" xfId="0" applyFont="1" applyFill="1" applyBorder="1" applyAlignment="1">
      <alignment vertical="center" wrapText="1"/>
    </xf>
    <xf numFmtId="0" fontId="23" fillId="0" borderId="2" xfId="0" applyFont="1" applyFill="1" applyBorder="1" applyAlignment="1">
      <alignment vertical="center" wrapText="1"/>
    </xf>
    <xf numFmtId="9" fontId="17" fillId="6" borderId="3" xfId="0" applyNumberFormat="1" applyFont="1" applyFill="1" applyBorder="1" applyAlignment="1">
      <alignment vertical="center" textRotation="90"/>
    </xf>
    <xf numFmtId="173" fontId="26" fillId="0" borderId="3" xfId="8" applyNumberFormat="1" applyFont="1" applyFill="1" applyBorder="1" applyAlignment="1">
      <alignment horizontal="center" vertical="center"/>
    </xf>
    <xf numFmtId="0" fontId="18" fillId="0" borderId="8" xfId="0" applyFont="1" applyFill="1" applyBorder="1"/>
    <xf numFmtId="0" fontId="18" fillId="0" borderId="0" xfId="0" applyFont="1" applyFill="1" applyBorder="1"/>
    <xf numFmtId="9" fontId="22" fillId="11" borderId="3" xfId="0" applyNumberFormat="1"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11" borderId="3" xfId="0" applyFont="1" applyFill="1" applyBorder="1" applyAlignment="1">
      <alignment horizontal="left" vertical="center" wrapText="1"/>
    </xf>
    <xf numFmtId="2" fontId="19" fillId="11" borderId="3" xfId="0" applyNumberFormat="1" applyFont="1" applyFill="1" applyBorder="1" applyAlignment="1">
      <alignment horizontal="center" vertical="center" wrapText="1"/>
    </xf>
    <xf numFmtId="9" fontId="25" fillId="11" borderId="3" xfId="140" applyFont="1" applyFill="1" applyBorder="1" applyAlignment="1" applyProtection="1">
      <alignment horizontal="center" vertical="center" wrapText="1"/>
    </xf>
    <xf numFmtId="9" fontId="17" fillId="11" borderId="6" xfId="129"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3" xfId="0" applyFont="1" applyFill="1" applyBorder="1" applyAlignment="1">
      <alignment horizontal="left" vertical="center" wrapText="1"/>
    </xf>
    <xf numFmtId="174" fontId="26" fillId="13" borderId="3" xfId="0" applyNumberFormat="1" applyFont="1" applyFill="1" applyBorder="1" applyAlignment="1">
      <alignment horizontal="center" vertical="center"/>
    </xf>
    <xf numFmtId="0" fontId="18" fillId="13" borderId="3" xfId="0" applyFont="1" applyFill="1" applyBorder="1"/>
    <xf numFmtId="0" fontId="26" fillId="0" borderId="2" xfId="0" applyFont="1" applyFill="1" applyBorder="1" applyAlignment="1">
      <alignment horizontal="center" vertical="center" wrapText="1"/>
    </xf>
    <xf numFmtId="9" fontId="17" fillId="9" borderId="3" xfId="0" applyNumberFormat="1" applyFont="1" applyFill="1" applyBorder="1" applyAlignment="1">
      <alignment horizontal="center" vertical="center" textRotation="90"/>
    </xf>
    <xf numFmtId="0" fontId="23" fillId="0" borderId="9" xfId="0" applyFont="1" applyFill="1" applyBorder="1" applyAlignment="1">
      <alignment vertical="center"/>
    </xf>
    <xf numFmtId="0" fontId="23" fillId="0" borderId="9" xfId="0" applyFont="1" applyFill="1" applyBorder="1" applyAlignment="1">
      <alignment vertical="center" wrapText="1"/>
    </xf>
    <xf numFmtId="0" fontId="22" fillId="3" borderId="14" xfId="0" applyFont="1" applyFill="1" applyBorder="1" applyAlignment="1">
      <alignment horizontal="center" vertical="center"/>
    </xf>
    <xf numFmtId="0" fontId="34" fillId="2" borderId="3" xfId="0" applyNumberFormat="1" applyFont="1" applyFill="1" applyBorder="1" applyAlignment="1">
      <alignment horizontal="center" vertical="center" wrapText="1"/>
    </xf>
    <xf numFmtId="0" fontId="36" fillId="2" borderId="3" xfId="0" applyNumberFormat="1" applyFont="1" applyFill="1" applyBorder="1" applyAlignment="1">
      <alignment horizontal="center" vertical="center" wrapText="1"/>
    </xf>
    <xf numFmtId="0" fontId="18" fillId="0" borderId="3" xfId="0" quotePrefix="1" applyFont="1" applyBorder="1" applyAlignment="1">
      <alignment horizontal="center" vertical="center" wrapText="1"/>
    </xf>
    <xf numFmtId="9" fontId="17" fillId="6" borderId="9" xfId="0" applyNumberFormat="1" applyFont="1" applyFill="1" applyBorder="1" applyAlignment="1">
      <alignment vertical="center" textRotation="90"/>
    </xf>
    <xf numFmtId="0" fontId="33" fillId="0" borderId="9" xfId="0" applyFont="1" applyFill="1" applyBorder="1" applyAlignment="1">
      <alignment vertical="center" wrapText="1"/>
    </xf>
    <xf numFmtId="0" fontId="33" fillId="0" borderId="3" xfId="0" applyFont="1" applyFill="1" applyBorder="1" applyAlignment="1">
      <alignment vertical="center" wrapText="1"/>
    </xf>
    <xf numFmtId="0" fontId="21" fillId="2" borderId="5"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17" fillId="0" borderId="0" xfId="0" applyFont="1" applyAlignment="1">
      <alignment horizontal="center" vertical="center"/>
    </xf>
    <xf numFmtId="0" fontId="23" fillId="0" borderId="0" xfId="0" applyFont="1" applyAlignment="1">
      <alignment horizontal="center" vertical="center"/>
    </xf>
    <xf numFmtId="0" fontId="17" fillId="2"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9" fontId="33" fillId="0" borderId="6" xfId="0" applyNumberFormat="1" applyFont="1" applyFill="1" applyBorder="1" applyAlignment="1">
      <alignment horizontal="center" vertical="center" wrapText="1"/>
    </xf>
    <xf numFmtId="0" fontId="22" fillId="0" borderId="12" xfId="0" applyNumberFormat="1" applyFont="1" applyFill="1" applyBorder="1" applyAlignment="1">
      <alignment horizontal="center" vertical="center" wrapText="1"/>
    </xf>
    <xf numFmtId="0" fontId="45" fillId="0" borderId="3" xfId="112" applyFont="1" applyFill="1" applyBorder="1" applyAlignment="1">
      <alignment horizontal="left" vertical="center" wrapText="1"/>
    </xf>
    <xf numFmtId="0" fontId="23" fillId="0" borderId="3" xfId="0" quotePrefix="1" applyFont="1" applyFill="1" applyBorder="1" applyAlignment="1">
      <alignment horizontal="left" vertical="center" wrapText="1"/>
    </xf>
    <xf numFmtId="0" fontId="33" fillId="0" borderId="2" xfId="0" applyFont="1" applyFill="1" applyBorder="1" applyAlignment="1">
      <alignment horizontal="center" vertical="center"/>
    </xf>
    <xf numFmtId="9" fontId="17" fillId="9" borderId="3" xfId="0" applyNumberFormat="1" applyFont="1" applyFill="1" applyBorder="1" applyAlignment="1">
      <alignment horizontal="center" vertical="center" textRotation="90"/>
    </xf>
    <xf numFmtId="168" fontId="33" fillId="0" borderId="3" xfId="129" applyNumberFormat="1" applyFont="1" applyFill="1" applyBorder="1" applyAlignment="1">
      <alignment horizontal="center" vertical="center" wrapText="1"/>
    </xf>
    <xf numFmtId="168" fontId="33" fillId="7" borderId="3" xfId="129" applyNumberFormat="1" applyFont="1" applyFill="1" applyBorder="1" applyAlignment="1">
      <alignment horizontal="center" vertical="center" wrapText="1"/>
    </xf>
    <xf numFmtId="168" fontId="18" fillId="0" borderId="3" xfId="0" applyNumberFormat="1" applyFont="1" applyFill="1" applyBorder="1" applyAlignment="1">
      <alignment horizontal="center" vertical="center" wrapText="1"/>
    </xf>
    <xf numFmtId="168" fontId="18" fillId="7" borderId="3" xfId="0" applyNumberFormat="1" applyFont="1" applyFill="1" applyBorder="1" applyAlignment="1">
      <alignment horizontal="center" vertical="center" wrapText="1"/>
    </xf>
    <xf numFmtId="0" fontId="22" fillId="0" borderId="3" xfId="0" applyFont="1" applyFill="1" applyBorder="1" applyAlignment="1">
      <alignment vertical="center" wrapText="1"/>
    </xf>
    <xf numFmtId="0" fontId="17" fillId="0" borderId="3" xfId="0" applyFont="1" applyFill="1" applyBorder="1" applyAlignment="1">
      <alignment vertical="center" wrapText="1"/>
    </xf>
    <xf numFmtId="0" fontId="33" fillId="0" borderId="8" xfId="0" applyFont="1" applyFill="1" applyBorder="1" applyAlignment="1">
      <alignment horizontal="center" vertical="center"/>
    </xf>
    <xf numFmtId="168" fontId="22" fillId="11" borderId="3" xfId="0" applyNumberFormat="1" applyFont="1" applyFill="1" applyBorder="1" applyAlignment="1">
      <alignment horizontal="center" vertical="center" wrapText="1"/>
    </xf>
    <xf numFmtId="168" fontId="33" fillId="0" borderId="3" xfId="0" applyNumberFormat="1" applyFont="1" applyFill="1" applyBorder="1" applyAlignment="1">
      <alignment horizontal="center" vertical="center" wrapText="1"/>
    </xf>
    <xf numFmtId="168" fontId="33" fillId="7" borderId="3" xfId="0" applyNumberFormat="1" applyFont="1" applyFill="1" applyBorder="1" applyAlignment="1">
      <alignment horizontal="center" vertical="center" wrapText="1"/>
    </xf>
    <xf numFmtId="168" fontId="22" fillId="7" borderId="3" xfId="0" applyNumberFormat="1" applyFont="1" applyFill="1" applyBorder="1" applyAlignment="1">
      <alignment horizontal="center" vertical="center" wrapText="1"/>
    </xf>
    <xf numFmtId="168" fontId="37" fillId="0" borderId="6" xfId="129" applyNumberFormat="1" applyFont="1" applyFill="1" applyBorder="1" applyAlignment="1">
      <alignment horizontal="center" vertical="center" wrapText="1"/>
    </xf>
    <xf numFmtId="168" fontId="22" fillId="8" borderId="3" xfId="0" applyNumberFormat="1" applyFont="1" applyFill="1" applyBorder="1" applyAlignment="1">
      <alignment horizontal="center" vertical="center" wrapText="1"/>
    </xf>
    <xf numFmtId="0" fontId="17" fillId="3" borderId="11" xfId="0" applyFont="1" applyFill="1" applyBorder="1" applyAlignment="1">
      <alignment horizontal="center" vertical="center" textRotation="90"/>
    </xf>
    <xf numFmtId="9" fontId="17" fillId="9" borderId="4" xfId="0" applyNumberFormat="1" applyFont="1" applyFill="1" applyBorder="1" applyAlignment="1">
      <alignment horizontal="center" vertical="center" textRotation="90"/>
    </xf>
    <xf numFmtId="9" fontId="17" fillId="9" borderId="9" xfId="0" applyNumberFormat="1" applyFont="1" applyFill="1" applyBorder="1" applyAlignment="1">
      <alignment horizontal="center" vertical="center" textRotation="90"/>
    </xf>
    <xf numFmtId="0" fontId="23" fillId="0" borderId="6" xfId="0" applyFont="1" applyFill="1" applyBorder="1" applyAlignment="1">
      <alignment horizontal="center" vertical="center" wrapText="1"/>
    </xf>
    <xf numFmtId="9" fontId="17" fillId="9" borderId="3" xfId="0" applyNumberFormat="1" applyFont="1" applyFill="1" applyBorder="1" applyAlignment="1">
      <alignment horizontal="center" vertical="center" textRotation="90"/>
    </xf>
    <xf numFmtId="0" fontId="23" fillId="0" borderId="2" xfId="0" applyFont="1" applyFill="1" applyBorder="1" applyAlignment="1">
      <alignment horizontal="center" vertical="center" wrapText="1"/>
    </xf>
    <xf numFmtId="168" fontId="18" fillId="0" borderId="6" xfId="0" applyNumberFormat="1" applyFont="1" applyFill="1" applyBorder="1" applyAlignment="1">
      <alignment horizontal="center" vertical="center" wrapText="1"/>
    </xf>
    <xf numFmtId="9" fontId="33" fillId="11" borderId="6" xfId="0" applyNumberFormat="1" applyFont="1" applyFill="1" applyBorder="1" applyAlignment="1">
      <alignment horizontal="center" vertical="center" wrapText="1"/>
    </xf>
    <xf numFmtId="168" fontId="18" fillId="11" borderId="6" xfId="0" applyNumberFormat="1" applyFont="1" applyFill="1" applyBorder="1" applyAlignment="1">
      <alignment horizontal="center" vertical="center" wrapText="1"/>
    </xf>
    <xf numFmtId="0" fontId="23" fillId="11" borderId="3" xfId="0" applyFont="1" applyFill="1" applyBorder="1" applyAlignment="1">
      <alignment horizontal="center" vertical="center" wrapText="1"/>
    </xf>
    <xf numFmtId="0" fontId="33" fillId="11" borderId="3" xfId="0" applyNumberFormat="1" applyFont="1" applyFill="1" applyBorder="1" applyAlignment="1">
      <alignment horizontal="center" vertical="center" wrapText="1"/>
    </xf>
    <xf numFmtId="0" fontId="21" fillId="11" borderId="3" xfId="0" applyFont="1" applyFill="1" applyBorder="1" applyAlignment="1">
      <alignment horizontal="center" vertical="center" wrapText="1"/>
    </xf>
    <xf numFmtId="0" fontId="17" fillId="11" borderId="3" xfId="0" applyFont="1" applyFill="1" applyBorder="1" applyAlignment="1">
      <alignment horizontal="center" vertical="center" textRotation="90"/>
    </xf>
    <xf numFmtId="0" fontId="44" fillId="8" borderId="3" xfId="0" applyFont="1" applyFill="1" applyBorder="1" applyAlignment="1">
      <alignment horizontal="left" vertical="center" wrapText="1"/>
    </xf>
    <xf numFmtId="2" fontId="46" fillId="8" borderId="3" xfId="0" applyNumberFormat="1" applyFont="1" applyFill="1" applyBorder="1" applyAlignment="1">
      <alignment horizontal="center" vertical="center" wrapText="1"/>
    </xf>
    <xf numFmtId="2" fontId="17" fillId="11" borderId="3" xfId="0" applyNumberFormat="1" applyFont="1" applyFill="1" applyBorder="1" applyAlignment="1">
      <alignment horizontal="center" vertical="center" wrapText="1"/>
    </xf>
    <xf numFmtId="9" fontId="17" fillId="0" borderId="0" xfId="0" applyNumberFormat="1" applyFont="1" applyFill="1" applyBorder="1" applyAlignment="1">
      <alignment horizontal="center" vertical="center" textRotation="90"/>
    </xf>
    <xf numFmtId="0" fontId="17" fillId="3" borderId="3" xfId="0" applyFont="1" applyFill="1" applyBorder="1" applyAlignment="1">
      <alignment vertical="center" textRotation="90"/>
    </xf>
    <xf numFmtId="9" fontId="17" fillId="5" borderId="3" xfId="0" applyNumberFormat="1" applyFont="1" applyFill="1" applyBorder="1" applyAlignment="1">
      <alignment vertical="center" textRotation="90"/>
    </xf>
    <xf numFmtId="9" fontId="17" fillId="3" borderId="3" xfId="0" applyNumberFormat="1" applyFont="1" applyFill="1" applyBorder="1" applyAlignment="1">
      <alignment vertical="center" textRotation="90"/>
    </xf>
    <xf numFmtId="0" fontId="23" fillId="0" borderId="3" xfId="128" applyFont="1" applyFill="1" applyBorder="1" applyAlignment="1">
      <alignment horizontal="center" vertical="center" wrapText="1"/>
    </xf>
    <xf numFmtId="0" fontId="17" fillId="0" borderId="3" xfId="0" applyFont="1" applyFill="1" applyBorder="1" applyAlignment="1">
      <alignment horizontal="center" vertical="center" wrapText="1"/>
    </xf>
    <xf numFmtId="0" fontId="23" fillId="0" borderId="9" xfId="0" applyFont="1" applyFill="1" applyBorder="1" applyAlignment="1">
      <alignment horizontal="center" vertical="center"/>
    </xf>
    <xf numFmtId="0" fontId="47" fillId="0" borderId="3" xfId="0" applyFont="1" applyFill="1" applyBorder="1" applyAlignment="1">
      <alignment horizontal="center" vertical="center" wrapText="1"/>
    </xf>
    <xf numFmtId="0" fontId="18" fillId="0" borderId="4" xfId="0" applyNumberFormat="1"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7" borderId="4" xfId="0" applyFont="1" applyFill="1" applyBorder="1" applyAlignment="1">
      <alignment horizontal="center" vertical="center" wrapText="1"/>
    </xf>
    <xf numFmtId="0" fontId="18" fillId="7" borderId="3" xfId="94" applyFont="1" applyFill="1" applyBorder="1" applyAlignment="1">
      <alignment horizontal="center" vertical="center" wrapText="1"/>
    </xf>
    <xf numFmtId="0" fontId="34" fillId="7" borderId="3" xfId="128" applyFont="1" applyFill="1" applyBorder="1" applyAlignment="1">
      <alignment horizontal="center" vertical="center" wrapText="1"/>
    </xf>
    <xf numFmtId="0" fontId="17" fillId="14" borderId="3" xfId="0" applyFont="1" applyFill="1" applyBorder="1" applyAlignment="1">
      <alignment horizontal="center" vertical="center" wrapText="1"/>
    </xf>
    <xf numFmtId="0" fontId="23" fillId="14" borderId="4" xfId="0" applyFont="1" applyFill="1" applyBorder="1" applyAlignment="1">
      <alignment horizontal="center" vertical="center" wrapText="1"/>
    </xf>
    <xf numFmtId="0" fontId="18" fillId="14" borderId="3" xfId="0" applyFont="1" applyFill="1" applyBorder="1" applyAlignment="1">
      <alignment horizontal="center" vertical="center"/>
    </xf>
    <xf numFmtId="0" fontId="18" fillId="14" borderId="3" xfId="94" applyFont="1" applyFill="1" applyBorder="1" applyAlignment="1">
      <alignment horizontal="center" vertical="center" wrapText="1"/>
    </xf>
    <xf numFmtId="0" fontId="18" fillId="14" borderId="3" xfId="0" applyFont="1" applyFill="1" applyBorder="1" applyAlignment="1">
      <alignment horizontal="center" vertical="center" wrapText="1"/>
    </xf>
    <xf numFmtId="0" fontId="17" fillId="14" borderId="14" xfId="0" applyFont="1" applyFill="1" applyBorder="1" applyAlignment="1">
      <alignment vertical="center"/>
    </xf>
    <xf numFmtId="0" fontId="18" fillId="14" borderId="3" xfId="128" applyFont="1" applyFill="1" applyBorder="1" applyAlignment="1">
      <alignment horizontal="center" vertical="center" wrapText="1"/>
    </xf>
    <xf numFmtId="0" fontId="34" fillId="14" borderId="3" xfId="0" applyNumberFormat="1" applyFont="1" applyFill="1" applyBorder="1" applyAlignment="1">
      <alignment vertical="center" wrapText="1"/>
    </xf>
    <xf numFmtId="0" fontId="18" fillId="14" borderId="2" xfId="128" applyFont="1" applyFill="1" applyBorder="1" applyAlignment="1">
      <alignment horizontal="center" vertical="center" wrapText="1"/>
    </xf>
    <xf numFmtId="0" fontId="18" fillId="14" borderId="0" xfId="0" applyFont="1" applyFill="1"/>
    <xf numFmtId="0" fontId="18" fillId="0" borderId="0" xfId="128" applyFont="1" applyFill="1" applyBorder="1" applyAlignment="1">
      <alignment horizontal="center" vertical="center" wrapText="1"/>
    </xf>
    <xf numFmtId="4" fontId="18" fillId="14" borderId="3" xfId="8" applyNumberFormat="1" applyFont="1" applyFill="1" applyBorder="1" applyAlignment="1">
      <alignment horizontal="center" vertical="center" wrapText="1"/>
    </xf>
    <xf numFmtId="0" fontId="48" fillId="0" borderId="6" xfId="0" applyFont="1" applyFill="1" applyBorder="1" applyAlignment="1">
      <alignment horizontal="left" vertical="center" wrapText="1"/>
    </xf>
    <xf numFmtId="0" fontId="48" fillId="0" borderId="4" xfId="0" applyFont="1" applyFill="1" applyBorder="1" applyAlignment="1">
      <alignment horizontal="left" vertical="center" wrapText="1"/>
    </xf>
    <xf numFmtId="0" fontId="18" fillId="3" borderId="5" xfId="0" applyFont="1" applyFill="1" applyBorder="1" applyAlignment="1">
      <alignment horizontal="left"/>
    </xf>
    <xf numFmtId="0" fontId="22" fillId="3" borderId="3" xfId="0" applyFont="1" applyFill="1" applyBorder="1" applyAlignment="1">
      <alignment horizontal="left" vertical="center"/>
    </xf>
    <xf numFmtId="0" fontId="23" fillId="0" borderId="3" xfId="0" applyFont="1" applyFill="1" applyBorder="1" applyAlignment="1">
      <alignment horizontal="center" vertical="center" wrapText="1"/>
    </xf>
    <xf numFmtId="2" fontId="49" fillId="0" borderId="3" xfId="0" applyNumberFormat="1" applyFont="1" applyFill="1" applyBorder="1" applyAlignment="1">
      <alignment horizontal="center" vertical="center" wrapText="1"/>
    </xf>
    <xf numFmtId="0" fontId="47" fillId="0" borderId="3" xfId="0" applyNumberFormat="1" applyFont="1" applyFill="1" applyBorder="1" applyAlignment="1">
      <alignment horizontal="center" vertical="center" wrapText="1"/>
    </xf>
    <xf numFmtId="0" fontId="17" fillId="7" borderId="5" xfId="0" applyFont="1" applyFill="1" applyBorder="1" applyAlignment="1">
      <alignment horizontal="left" vertical="center"/>
    </xf>
    <xf numFmtId="0" fontId="17" fillId="7" borderId="2" xfId="0" applyFont="1" applyFill="1" applyBorder="1" applyAlignment="1">
      <alignment horizontal="left" vertical="center"/>
    </xf>
    <xf numFmtId="0" fontId="20" fillId="0" borderId="3" xfId="140" applyNumberFormat="1" applyFont="1" applyFill="1" applyBorder="1" applyAlignment="1" applyProtection="1">
      <alignment horizontal="center" vertical="center" wrapText="1"/>
    </xf>
    <xf numFmtId="0" fontId="25" fillId="0" borderId="3" xfId="140" applyNumberFormat="1" applyFont="1" applyFill="1" applyBorder="1" applyAlignment="1" applyProtection="1">
      <alignment horizontal="center" vertical="center" wrapText="1"/>
    </xf>
    <xf numFmtId="0" fontId="17" fillId="7" borderId="14" xfId="0" applyFont="1" applyFill="1" applyBorder="1" applyAlignment="1">
      <alignment horizontal="left" vertical="center"/>
    </xf>
    <xf numFmtId="0" fontId="17" fillId="7" borderId="13" xfId="0" applyFont="1" applyFill="1" applyBorder="1" applyAlignment="1">
      <alignment horizontal="left" vertical="center"/>
    </xf>
    <xf numFmtId="9" fontId="17" fillId="7" borderId="6" xfId="0" applyNumberFormat="1" applyFont="1" applyFill="1" applyBorder="1" applyAlignment="1">
      <alignment horizontal="center" vertical="center"/>
    </xf>
    <xf numFmtId="0" fontId="17" fillId="7" borderId="4" xfId="0" applyFont="1" applyFill="1" applyBorder="1" applyAlignment="1">
      <alignment horizontal="left" vertical="center" wrapText="1"/>
    </xf>
    <xf numFmtId="0" fontId="23" fillId="0" borderId="4" xfId="0" applyFont="1" applyFill="1" applyBorder="1" applyAlignment="1">
      <alignment horizontal="center" vertical="center" wrapText="1"/>
    </xf>
    <xf numFmtId="9" fontId="17" fillId="9" borderId="4" xfId="0" applyNumberFormat="1" applyFont="1" applyFill="1" applyBorder="1" applyAlignment="1">
      <alignment horizontal="center" vertical="center" textRotation="90"/>
    </xf>
    <xf numFmtId="0" fontId="23" fillId="0" borderId="4" xfId="0" applyFont="1" applyFill="1" applyBorder="1" applyAlignment="1">
      <alignment horizontal="center" vertical="center" wrapText="1"/>
    </xf>
    <xf numFmtId="9" fontId="17" fillId="9" borderId="3" xfId="0" applyNumberFormat="1" applyFont="1" applyFill="1" applyBorder="1" applyAlignment="1">
      <alignment horizontal="center" vertical="center" textRotation="90"/>
    </xf>
    <xf numFmtId="0" fontId="23" fillId="0" borderId="4" xfId="0" applyFont="1" applyFill="1" applyBorder="1" applyAlignment="1">
      <alignment horizontal="center" vertical="center"/>
    </xf>
    <xf numFmtId="0" fontId="23" fillId="0" borderId="4" xfId="0" applyFont="1" applyFill="1" applyBorder="1" applyAlignment="1">
      <alignment horizontal="left" vertical="center" wrapText="1"/>
    </xf>
    <xf numFmtId="0" fontId="49" fillId="0" borderId="3" xfId="0" applyNumberFormat="1" applyFont="1" applyFill="1" applyBorder="1" applyAlignment="1">
      <alignment horizontal="center" vertical="center" wrapText="1"/>
    </xf>
    <xf numFmtId="0" fontId="49" fillId="0" borderId="4" xfId="0" applyFont="1" applyFill="1" applyBorder="1" applyAlignment="1">
      <alignment horizontal="center" vertical="center"/>
    </xf>
    <xf numFmtId="0" fontId="49" fillId="0" borderId="3" xfId="0" applyFont="1" applyFill="1" applyBorder="1" applyAlignment="1">
      <alignment vertical="center" wrapText="1"/>
    </xf>
    <xf numFmtId="0" fontId="49" fillId="0" borderId="3" xfId="0" applyFont="1" applyFill="1" applyBorder="1" applyAlignment="1">
      <alignment horizontal="left" vertical="center" wrapText="1"/>
    </xf>
    <xf numFmtId="0" fontId="49" fillId="0" borderId="3" xfId="0" applyFont="1" applyFill="1" applyBorder="1" applyAlignment="1">
      <alignment horizontal="center" vertical="center"/>
    </xf>
    <xf numFmtId="0" fontId="50" fillId="14" borderId="3" xfId="94" applyFont="1" applyFill="1" applyBorder="1" applyAlignment="1">
      <alignment horizontal="center" vertical="center" wrapText="1"/>
    </xf>
    <xf numFmtId="0" fontId="49" fillId="0" borderId="4" xfId="0" applyFont="1" applyFill="1" applyBorder="1" applyAlignment="1">
      <alignment horizontal="center" vertical="center" wrapText="1"/>
    </xf>
    <xf numFmtId="9" fontId="49" fillId="0" borderId="3" xfId="129" applyFont="1" applyFill="1" applyBorder="1" applyAlignment="1">
      <alignment horizontal="center" vertical="center" wrapText="1"/>
    </xf>
    <xf numFmtId="168" fontId="49" fillId="0" borderId="3" xfId="129" applyNumberFormat="1" applyFont="1" applyFill="1" applyBorder="1" applyAlignment="1">
      <alignment horizontal="center" vertical="center" wrapText="1"/>
    </xf>
    <xf numFmtId="0" fontId="50" fillId="0" borderId="3" xfId="0" applyFont="1" applyFill="1" applyBorder="1" applyAlignment="1">
      <alignment horizontal="center" vertical="center" wrapText="1"/>
    </xf>
    <xf numFmtId="2" fontId="50" fillId="0" borderId="3" xfId="0" applyNumberFormat="1" applyFont="1" applyFill="1" applyBorder="1" applyAlignment="1">
      <alignment horizontal="center" vertical="center" wrapText="1"/>
    </xf>
    <xf numFmtId="0" fontId="50" fillId="0" borderId="0" xfId="0" applyFont="1" applyFill="1" applyBorder="1"/>
    <xf numFmtId="0" fontId="50" fillId="0" borderId="8" xfId="0" applyFont="1" applyFill="1" applyBorder="1"/>
    <xf numFmtId="0" fontId="50" fillId="0" borderId="3" xfId="0" applyFont="1" applyFill="1" applyBorder="1"/>
    <xf numFmtId="0" fontId="47" fillId="2" borderId="3" xfId="0" applyNumberFormat="1" applyFont="1" applyFill="1" applyBorder="1" applyAlignment="1">
      <alignment horizontal="center" vertical="center" wrapText="1"/>
    </xf>
    <xf numFmtId="0" fontId="47" fillId="0" borderId="3" xfId="0" applyFont="1" applyFill="1" applyBorder="1" applyAlignment="1">
      <alignment vertical="center" wrapText="1"/>
    </xf>
    <xf numFmtId="0" fontId="47" fillId="2" borderId="3" xfId="128" applyFont="1" applyFill="1" applyBorder="1" applyAlignment="1">
      <alignment horizontal="center" vertical="center" wrapText="1"/>
    </xf>
    <xf numFmtId="0" fontId="50" fillId="14" borderId="3" xfId="128" applyFont="1" applyFill="1" applyBorder="1" applyAlignment="1">
      <alignment horizontal="center" vertical="center" wrapText="1"/>
    </xf>
    <xf numFmtId="0" fontId="47" fillId="0" borderId="4" xfId="0" applyFont="1" applyFill="1" applyBorder="1" applyAlignment="1">
      <alignment horizontal="center" vertical="center" wrapText="1"/>
    </xf>
    <xf numFmtId="9" fontId="49" fillId="0" borderId="6" xfId="129" applyFont="1" applyFill="1" applyBorder="1" applyAlignment="1">
      <alignment horizontal="center" vertical="center" wrapText="1"/>
    </xf>
    <xf numFmtId="0" fontId="50" fillId="0" borderId="3" xfId="128" applyFont="1" applyFill="1" applyBorder="1" applyAlignment="1">
      <alignment horizontal="center" vertical="center" wrapText="1"/>
    </xf>
    <xf numFmtId="0" fontId="51" fillId="0" borderId="0" xfId="0" applyFont="1"/>
    <xf numFmtId="0" fontId="50" fillId="0" borderId="3" xfId="0" applyFont="1" applyBorder="1" applyAlignment="1">
      <alignment horizontal="center" vertical="center"/>
    </xf>
    <xf numFmtId="0" fontId="50" fillId="0" borderId="3" xfId="0" applyFont="1" applyBorder="1" applyAlignment="1">
      <alignment horizontal="justify" vertical="center"/>
    </xf>
    <xf numFmtId="0" fontId="50" fillId="0" borderId="3" xfId="0" applyFont="1" applyBorder="1" applyAlignment="1">
      <alignment horizontal="left" vertical="center"/>
    </xf>
    <xf numFmtId="0" fontId="49" fillId="0" borderId="3" xfId="0" applyFont="1" applyFill="1" applyBorder="1" applyAlignment="1">
      <alignment horizontal="center" vertical="center" wrapText="1"/>
    </xf>
    <xf numFmtId="9" fontId="49" fillId="0" borderId="3" xfId="0" applyNumberFormat="1" applyFont="1" applyFill="1" applyBorder="1" applyAlignment="1">
      <alignment horizontal="center" vertical="center" wrapText="1"/>
    </xf>
    <xf numFmtId="168" fontId="50" fillId="0" borderId="3" xfId="0" applyNumberFormat="1" applyFont="1" applyFill="1" applyBorder="1" applyAlignment="1">
      <alignment horizontal="center" vertical="center" wrapText="1"/>
    </xf>
    <xf numFmtId="0" fontId="50" fillId="0" borderId="0" xfId="0" applyFont="1" applyFill="1"/>
    <xf numFmtId="177" fontId="18" fillId="0" borderId="0" xfId="0" applyNumberFormat="1" applyFont="1" applyFill="1"/>
    <xf numFmtId="10" fontId="18" fillId="0" borderId="3" xfId="0" applyNumberFormat="1" applyFont="1" applyFill="1" applyBorder="1" applyAlignment="1">
      <alignment horizontal="center" vertical="center" wrapText="1"/>
    </xf>
    <xf numFmtId="10" fontId="18" fillId="7" borderId="3" xfId="0" applyNumberFormat="1" applyFont="1" applyFill="1" applyBorder="1" applyAlignment="1">
      <alignment horizontal="center" vertical="center" wrapText="1"/>
    </xf>
    <xf numFmtId="0" fontId="17" fillId="0" borderId="3" xfId="0" applyFont="1" applyFill="1" applyBorder="1" applyAlignment="1">
      <alignment horizontal="center" vertical="center" wrapText="1"/>
    </xf>
    <xf numFmtId="0" fontId="33" fillId="0" borderId="3" xfId="0" applyFont="1" applyFill="1" applyBorder="1" applyAlignment="1">
      <alignment horizontal="center" vertical="center" wrapText="1"/>
    </xf>
    <xf numFmtId="4" fontId="33" fillId="7" borderId="3" xfId="8" applyNumberFormat="1" applyFont="1" applyFill="1" applyBorder="1" applyAlignment="1">
      <alignment horizontal="center" vertical="center" wrapText="1"/>
    </xf>
    <xf numFmtId="0" fontId="33" fillId="7" borderId="3" xfId="94" applyFont="1" applyFill="1" applyBorder="1" applyAlignment="1">
      <alignment horizontal="center" vertical="center" wrapText="1"/>
    </xf>
    <xf numFmtId="0" fontId="23" fillId="7" borderId="3" xfId="94" applyFont="1" applyFill="1" applyBorder="1" applyAlignment="1">
      <alignment horizontal="center" vertical="center" wrapText="1"/>
    </xf>
    <xf numFmtId="0" fontId="33" fillId="7" borderId="3" xfId="0" applyFont="1" applyFill="1" applyBorder="1" applyAlignment="1">
      <alignment horizontal="center" vertical="center" wrapText="1"/>
    </xf>
    <xf numFmtId="4" fontId="33" fillId="0" borderId="3" xfId="8" applyNumberFormat="1" applyFont="1" applyFill="1" applyBorder="1" applyAlignment="1">
      <alignment horizontal="center" vertical="center" wrapText="1"/>
    </xf>
    <xf numFmtId="2" fontId="17" fillId="0" borderId="3" xfId="0" applyNumberFormat="1" applyFont="1" applyFill="1" applyBorder="1" applyAlignment="1">
      <alignment horizontal="left" vertical="center" wrapText="1"/>
    </xf>
    <xf numFmtId="2" fontId="18" fillId="7" borderId="3" xfId="0" applyNumberFormat="1" applyFont="1" applyFill="1" applyBorder="1"/>
    <xf numFmtId="2" fontId="20" fillId="0" borderId="3" xfId="10" applyNumberFormat="1" applyFont="1" applyFill="1" applyBorder="1" applyAlignment="1" applyProtection="1">
      <alignment horizontal="center" vertical="center" wrapText="1"/>
    </xf>
    <xf numFmtId="2" fontId="20" fillId="7" borderId="4" xfId="10" applyNumberFormat="1" applyFont="1" applyFill="1" applyBorder="1" applyAlignment="1" applyProtection="1">
      <alignment horizontal="center" vertical="center" wrapText="1"/>
    </xf>
    <xf numFmtId="0" fontId="33" fillId="10" borderId="3" xfId="94" applyFont="1" applyFill="1" applyBorder="1" applyAlignment="1">
      <alignment horizontal="center" vertical="center" wrapText="1"/>
    </xf>
    <xf numFmtId="0" fontId="33" fillId="0" borderId="3" xfId="94" applyFont="1" applyFill="1" applyBorder="1" applyAlignment="1">
      <alignment horizontal="center" vertical="center" wrapText="1"/>
    </xf>
    <xf numFmtId="0" fontId="23" fillId="10" borderId="3" xfId="94" applyFont="1" applyFill="1" applyBorder="1" applyAlignment="1">
      <alignment horizontal="center" vertical="center" wrapText="1"/>
    </xf>
    <xf numFmtId="2" fontId="20" fillId="7" borderId="3" xfId="10" applyNumberFormat="1" applyFont="1" applyFill="1" applyBorder="1" applyAlignment="1" applyProtection="1">
      <alignment horizontal="center" vertical="center" wrapText="1"/>
    </xf>
    <xf numFmtId="2" fontId="17" fillId="0" borderId="3" xfId="0" applyNumberFormat="1" applyFont="1" applyFill="1" applyBorder="1"/>
    <xf numFmtId="2" fontId="25" fillId="11" borderId="3" xfId="10" applyNumberFormat="1" applyFont="1" applyFill="1" applyBorder="1" applyAlignment="1" applyProtection="1">
      <alignment horizontal="center" vertical="center" wrapText="1"/>
    </xf>
    <xf numFmtId="2" fontId="25" fillId="7" borderId="3" xfId="10" applyNumberFormat="1" applyFont="1" applyFill="1" applyBorder="1" applyAlignment="1" applyProtection="1">
      <alignment horizontal="center" vertical="center" wrapText="1"/>
    </xf>
    <xf numFmtId="2" fontId="25" fillId="0" borderId="3" xfId="10" applyNumberFormat="1" applyFont="1" applyFill="1" applyBorder="1" applyAlignment="1" applyProtection="1">
      <alignment horizontal="center" vertical="center" wrapText="1"/>
    </xf>
    <xf numFmtId="2" fontId="29" fillId="7" borderId="3" xfId="10" applyNumberFormat="1" applyFont="1" applyFill="1" applyBorder="1" applyAlignment="1" applyProtection="1">
      <alignment horizontal="center" vertical="center" wrapText="1"/>
    </xf>
    <xf numFmtId="2" fontId="29" fillId="0" borderId="3" xfId="10" applyNumberFormat="1" applyFont="1" applyFill="1" applyBorder="1" applyAlignment="1" applyProtection="1">
      <alignment horizontal="center" vertical="center" wrapText="1"/>
    </xf>
    <xf numFmtId="2" fontId="17" fillId="8" borderId="3" xfId="0" applyNumberFormat="1" applyFont="1" applyFill="1" applyBorder="1"/>
    <xf numFmtId="2" fontId="18" fillId="0" borderId="0" xfId="0" applyNumberFormat="1" applyFont="1" applyFill="1"/>
    <xf numFmtId="9" fontId="17" fillId="7" borderId="4" xfId="0" applyNumberFormat="1" applyFont="1" applyFill="1" applyBorder="1" applyAlignment="1">
      <alignment horizontal="center" vertical="center" textRotation="90"/>
    </xf>
    <xf numFmtId="9" fontId="17" fillId="3" borderId="9" xfId="0" applyNumberFormat="1" applyFont="1" applyFill="1" applyBorder="1" applyAlignment="1">
      <alignment horizontal="center" vertical="center" textRotation="90"/>
    </xf>
    <xf numFmtId="9" fontId="17" fillId="7" borderId="11" xfId="0" applyNumberFormat="1" applyFont="1" applyFill="1" applyBorder="1" applyAlignment="1">
      <alignment horizontal="center" vertical="center" textRotation="90"/>
    </xf>
    <xf numFmtId="9" fontId="17" fillId="9" borderId="4" xfId="0" applyNumberFormat="1" applyFont="1" applyFill="1" applyBorder="1" applyAlignment="1">
      <alignment horizontal="center" vertical="center" textRotation="90"/>
    </xf>
    <xf numFmtId="9" fontId="17" fillId="9" borderId="11" xfId="0" applyNumberFormat="1" applyFont="1" applyFill="1" applyBorder="1" applyAlignment="1">
      <alignment horizontal="center" vertical="center" textRotation="90"/>
    </xf>
    <xf numFmtId="0" fontId="23" fillId="0" borderId="4" xfId="0" applyFont="1" applyFill="1" applyBorder="1" applyAlignment="1">
      <alignment horizontal="center" vertical="center" wrapText="1"/>
    </xf>
    <xf numFmtId="0" fontId="23" fillId="0" borderId="11" xfId="0" applyFont="1" applyFill="1" applyBorder="1" applyAlignment="1">
      <alignment horizontal="center" vertical="center" wrapText="1"/>
    </xf>
    <xf numFmtId="0" fontId="23" fillId="0" borderId="9" xfId="0" applyFont="1" applyFill="1" applyBorder="1" applyAlignment="1">
      <alignment horizontal="center" vertical="center" wrapText="1"/>
    </xf>
    <xf numFmtId="0" fontId="17" fillId="7" borderId="5" xfId="0" applyNumberFormat="1" applyFont="1" applyFill="1" applyBorder="1" applyAlignment="1">
      <alignment horizontal="left" vertical="center" wrapText="1"/>
    </xf>
    <xf numFmtId="0" fontId="17" fillId="7" borderId="2" xfId="0" applyNumberFormat="1" applyFont="1" applyFill="1" applyBorder="1" applyAlignment="1">
      <alignment horizontal="left" vertical="center" wrapText="1"/>
    </xf>
    <xf numFmtId="0" fontId="17" fillId="7" borderId="8" xfId="0" applyNumberFormat="1" applyFont="1" applyFill="1" applyBorder="1" applyAlignment="1">
      <alignment horizontal="left" vertical="center" wrapText="1"/>
    </xf>
    <xf numFmtId="9" fontId="17" fillId="9" borderId="9" xfId="0" applyNumberFormat="1" applyFont="1" applyFill="1" applyBorder="1" applyAlignment="1">
      <alignment horizontal="center" vertical="center" textRotation="90"/>
    </xf>
    <xf numFmtId="0" fontId="33" fillId="0" borderId="4" xfId="0" applyFont="1" applyFill="1" applyBorder="1" applyAlignment="1">
      <alignment horizontal="center" vertical="center"/>
    </xf>
    <xf numFmtId="0" fontId="33" fillId="0" borderId="11" xfId="0" applyFont="1" applyFill="1" applyBorder="1" applyAlignment="1">
      <alignment horizontal="center" vertical="center"/>
    </xf>
    <xf numFmtId="0" fontId="23" fillId="0" borderId="6"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33" fillId="0" borderId="3" xfId="0" applyFont="1" applyFill="1" applyBorder="1" applyAlignment="1">
      <alignment horizontal="center" vertical="center"/>
    </xf>
    <xf numFmtId="0" fontId="17" fillId="3" borderId="9" xfId="0" applyFont="1" applyFill="1" applyBorder="1" applyAlignment="1">
      <alignment horizontal="center" vertical="center" textRotation="90"/>
    </xf>
    <xf numFmtId="0" fontId="17" fillId="3" borderId="11" xfId="0" applyFont="1" applyFill="1" applyBorder="1" applyAlignment="1">
      <alignment horizontal="center" vertical="center" textRotation="90"/>
    </xf>
    <xf numFmtId="0" fontId="17" fillId="3" borderId="5"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8" xfId="0" applyFont="1" applyFill="1" applyBorder="1" applyAlignment="1">
      <alignment horizontal="left" vertical="center" wrapText="1"/>
    </xf>
    <xf numFmtId="0" fontId="23" fillId="0" borderId="3" xfId="0" applyFont="1" applyFill="1" applyBorder="1" applyAlignment="1">
      <alignment horizontal="center" vertical="center" wrapText="1"/>
    </xf>
    <xf numFmtId="0" fontId="17" fillId="0" borderId="0" xfId="0" applyFont="1" applyFill="1" applyAlignment="1">
      <alignment horizontal="center"/>
    </xf>
    <xf numFmtId="0" fontId="26" fillId="0" borderId="5"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22" fillId="13" borderId="5" xfId="0" applyFont="1" applyFill="1" applyBorder="1" applyAlignment="1">
      <alignment horizontal="center" vertical="center"/>
    </xf>
    <xf numFmtId="0" fontId="22" fillId="13" borderId="2" xfId="0" applyFont="1" applyFill="1" applyBorder="1" applyAlignment="1">
      <alignment horizontal="center" vertical="center"/>
    </xf>
    <xf numFmtId="0" fontId="22" fillId="13" borderId="8" xfId="0" applyFont="1" applyFill="1" applyBorder="1" applyAlignment="1">
      <alignment horizontal="center" vertical="center"/>
    </xf>
    <xf numFmtId="0" fontId="26" fillId="3" borderId="5" xfId="0" applyFont="1" applyFill="1" applyBorder="1" applyAlignment="1">
      <alignment horizontal="left" vertical="center" wrapText="1"/>
    </xf>
    <xf numFmtId="0" fontId="26" fillId="3" borderId="2" xfId="0" applyFont="1" applyFill="1" applyBorder="1" applyAlignment="1">
      <alignment horizontal="left" vertical="center" wrapText="1"/>
    </xf>
    <xf numFmtId="0" fontId="26" fillId="3" borderId="8" xfId="0" applyFont="1" applyFill="1" applyBorder="1" applyAlignment="1">
      <alignment horizontal="left" vertical="center" wrapText="1"/>
    </xf>
    <xf numFmtId="0" fontId="18" fillId="4" borderId="0" xfId="0" applyFont="1" applyFill="1" applyAlignment="1">
      <alignment horizontal="center"/>
    </xf>
    <xf numFmtId="0" fontId="18" fillId="4" borderId="16" xfId="0" applyFont="1" applyFill="1" applyBorder="1" applyAlignment="1">
      <alignment horizontal="center"/>
    </xf>
    <xf numFmtId="0" fontId="17" fillId="4" borderId="5" xfId="0" applyFont="1" applyFill="1" applyBorder="1" applyAlignment="1">
      <alignment horizontal="left" vertical="center" wrapText="1"/>
    </xf>
    <xf numFmtId="0" fontId="17" fillId="8" borderId="2" xfId="0" applyFont="1" applyFill="1" applyBorder="1" applyAlignment="1">
      <alignment horizontal="left" vertical="center" wrapText="1"/>
    </xf>
    <xf numFmtId="0" fontId="17" fillId="8" borderId="8" xfId="0" applyFont="1" applyFill="1" applyBorder="1" applyAlignment="1">
      <alignment horizontal="left" vertical="center" wrapText="1"/>
    </xf>
    <xf numFmtId="9" fontId="17" fillId="8" borderId="0" xfId="0" applyNumberFormat="1" applyFont="1" applyFill="1" applyAlignment="1">
      <alignment horizontal="center" vertical="center" textRotation="90"/>
    </xf>
    <xf numFmtId="0" fontId="17" fillId="4" borderId="0" xfId="0" applyFont="1" applyFill="1" applyAlignment="1">
      <alignment horizontal="center" vertical="center" textRotation="90"/>
    </xf>
    <xf numFmtId="0" fontId="26" fillId="8" borderId="5" xfId="0" applyFont="1" applyFill="1" applyBorder="1" applyAlignment="1">
      <alignment horizontal="left" vertical="center" wrapText="1"/>
    </xf>
    <xf numFmtId="0" fontId="26" fillId="8" borderId="2" xfId="0" applyFont="1" applyFill="1" applyBorder="1" applyAlignment="1">
      <alignment horizontal="left" vertical="center" wrapText="1"/>
    </xf>
    <xf numFmtId="0" fontId="26" fillId="8" borderId="8" xfId="0" applyFont="1" applyFill="1" applyBorder="1" applyAlignment="1">
      <alignment horizontal="left" vertical="center" wrapText="1"/>
    </xf>
    <xf numFmtId="9" fontId="17" fillId="5" borderId="4" xfId="0" applyNumberFormat="1" applyFont="1" applyFill="1" applyBorder="1" applyAlignment="1">
      <alignment horizontal="center" vertical="center" textRotation="90"/>
    </xf>
    <xf numFmtId="9" fontId="17" fillId="5" borderId="9" xfId="0" applyNumberFormat="1" applyFont="1" applyFill="1" applyBorder="1" applyAlignment="1">
      <alignment horizontal="center" vertical="center" textRotation="90"/>
    </xf>
    <xf numFmtId="9" fontId="17" fillId="5" borderId="11" xfId="0" applyNumberFormat="1" applyFont="1" applyFill="1" applyBorder="1" applyAlignment="1">
      <alignment horizontal="center" vertical="center" textRotation="90"/>
    </xf>
    <xf numFmtId="9" fontId="17" fillId="9" borderId="3" xfId="0" applyNumberFormat="1" applyFont="1" applyFill="1" applyBorder="1" applyAlignment="1">
      <alignment horizontal="center" vertical="center" textRotation="90"/>
    </xf>
    <xf numFmtId="9" fontId="17" fillId="12" borderId="14" xfId="0" applyNumberFormat="1" applyFont="1" applyFill="1" applyBorder="1" applyAlignment="1">
      <alignment horizontal="center" vertical="center" textRotation="90"/>
    </xf>
    <xf numFmtId="9" fontId="17" fillId="12" borderId="0" xfId="0" applyNumberFormat="1" applyFont="1" applyFill="1" applyBorder="1" applyAlignment="1">
      <alignment horizontal="center" vertical="center" textRotation="90"/>
    </xf>
    <xf numFmtId="0" fontId="26" fillId="11" borderId="5" xfId="0" applyFont="1" applyFill="1" applyBorder="1" applyAlignment="1">
      <alignment horizontal="left" vertical="center" wrapText="1"/>
    </xf>
    <xf numFmtId="0" fontId="26" fillId="11" borderId="2" xfId="0" applyFont="1" applyFill="1" applyBorder="1" applyAlignment="1">
      <alignment horizontal="left" vertical="center" wrapText="1"/>
    </xf>
    <xf numFmtId="0" fontId="26" fillId="11" borderId="8" xfId="0" applyFont="1" applyFill="1" applyBorder="1" applyAlignment="1">
      <alignment horizontal="left" vertical="center" wrapText="1"/>
    </xf>
    <xf numFmtId="0" fontId="17" fillId="11" borderId="5" xfId="0" applyFont="1" applyFill="1" applyBorder="1" applyAlignment="1">
      <alignment horizontal="left" vertical="center" wrapText="1"/>
    </xf>
    <xf numFmtId="0" fontId="17" fillId="11" borderId="2" xfId="0" applyFont="1" applyFill="1" applyBorder="1" applyAlignment="1">
      <alignment horizontal="left" vertical="center" wrapText="1"/>
    </xf>
    <xf numFmtId="0" fontId="17" fillId="11" borderId="8" xfId="0" applyFont="1" applyFill="1" applyBorder="1" applyAlignment="1">
      <alignment horizontal="left" vertical="center" wrapText="1"/>
    </xf>
    <xf numFmtId="0" fontId="23" fillId="0" borderId="4" xfId="0" applyFont="1" applyFill="1" applyBorder="1" applyAlignment="1">
      <alignment horizontal="center" vertical="center"/>
    </xf>
    <xf numFmtId="0" fontId="23" fillId="0" borderId="11" xfId="0" applyFont="1" applyFill="1" applyBorder="1" applyAlignment="1">
      <alignment horizontal="center" vertical="center"/>
    </xf>
    <xf numFmtId="0" fontId="23" fillId="0" borderId="9" xfId="0" applyFont="1" applyFill="1" applyBorder="1" applyAlignment="1">
      <alignment horizontal="center" vertical="center"/>
    </xf>
    <xf numFmtId="0" fontId="22" fillId="7" borderId="5"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22" fillId="7" borderId="8"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11" xfId="0" applyFont="1" applyFill="1" applyBorder="1" applyAlignment="1">
      <alignment horizontal="left" vertical="center" wrapText="1"/>
    </xf>
    <xf numFmtId="0" fontId="33" fillId="0" borderId="4" xfId="0" applyFont="1" applyFill="1" applyBorder="1" applyAlignment="1">
      <alignment horizontal="center" vertical="center" wrapText="1"/>
    </xf>
    <xf numFmtId="0" fontId="33" fillId="0" borderId="9" xfId="0" applyFont="1" applyFill="1" applyBorder="1" applyAlignment="1">
      <alignment horizontal="center" vertical="center" wrapText="1"/>
    </xf>
    <xf numFmtId="0" fontId="33" fillId="0" borderId="11" xfId="0" applyFont="1" applyFill="1" applyBorder="1" applyAlignment="1">
      <alignment horizontal="center" vertical="center" wrapText="1"/>
    </xf>
    <xf numFmtId="0" fontId="23" fillId="0" borderId="9" xfId="0" applyFont="1" applyFill="1" applyBorder="1" applyAlignment="1">
      <alignment horizontal="left" vertical="center" wrapText="1"/>
    </xf>
    <xf numFmtId="0" fontId="23" fillId="0" borderId="3" xfId="0" applyFont="1" applyFill="1" applyBorder="1" applyAlignment="1">
      <alignment horizontal="center" vertical="center"/>
    </xf>
    <xf numFmtId="0" fontId="23" fillId="0" borderId="3" xfId="0" applyFont="1" applyFill="1" applyBorder="1" applyAlignment="1">
      <alignment horizontal="left" vertical="center" wrapText="1"/>
    </xf>
    <xf numFmtId="0" fontId="17" fillId="7" borderId="5" xfId="0" applyFont="1" applyFill="1" applyBorder="1" applyAlignment="1">
      <alignment horizontal="left" vertical="center"/>
    </xf>
    <xf numFmtId="0" fontId="17" fillId="7" borderId="2" xfId="0" applyFont="1" applyFill="1" applyBorder="1" applyAlignment="1">
      <alignment horizontal="left" vertical="center"/>
    </xf>
    <xf numFmtId="0" fontId="22" fillId="0" borderId="9" xfId="0" applyFont="1" applyFill="1" applyBorder="1" applyAlignment="1">
      <alignment horizontal="center" vertical="center"/>
    </xf>
    <xf numFmtId="0" fontId="22" fillId="0" borderId="11" xfId="0" applyFont="1" applyFill="1" applyBorder="1" applyAlignment="1">
      <alignment horizontal="center" vertical="center"/>
    </xf>
    <xf numFmtId="0" fontId="33" fillId="0" borderId="4" xfId="0" applyFont="1" applyFill="1" applyBorder="1" applyAlignment="1">
      <alignment horizontal="left" vertical="center" wrapText="1"/>
    </xf>
    <xf numFmtId="0" fontId="33" fillId="0" borderId="9" xfId="0" applyFont="1" applyFill="1" applyBorder="1" applyAlignment="1">
      <alignment horizontal="left" vertical="center" wrapText="1"/>
    </xf>
    <xf numFmtId="0" fontId="33" fillId="0" borderId="11" xfId="0" applyFont="1" applyFill="1" applyBorder="1" applyAlignment="1">
      <alignment horizontal="left" vertical="center" wrapText="1"/>
    </xf>
    <xf numFmtId="9" fontId="17" fillId="3" borderId="4" xfId="129" applyFont="1" applyFill="1" applyBorder="1" applyAlignment="1">
      <alignment horizontal="center" vertical="center" textRotation="90" wrapText="1"/>
    </xf>
    <xf numFmtId="9" fontId="17" fillId="3" borderId="9" xfId="129" applyFont="1" applyFill="1" applyBorder="1" applyAlignment="1">
      <alignment horizontal="center" vertical="center" textRotation="90" wrapText="1"/>
    </xf>
    <xf numFmtId="9" fontId="17" fillId="3" borderId="11" xfId="129" applyFont="1" applyFill="1" applyBorder="1" applyAlignment="1">
      <alignment horizontal="center" vertical="center" textRotation="90" wrapText="1"/>
    </xf>
    <xf numFmtId="0" fontId="17" fillId="7" borderId="8" xfId="0" applyFont="1" applyFill="1" applyBorder="1" applyAlignment="1">
      <alignment horizontal="left" vertical="center"/>
    </xf>
    <xf numFmtId="0" fontId="17" fillId="6" borderId="11" xfId="0" applyFont="1" applyFill="1" applyBorder="1" applyAlignment="1">
      <alignment horizontal="center" vertical="center" textRotation="90"/>
    </xf>
    <xf numFmtId="0" fontId="22" fillId="0" borderId="16" xfId="0" applyFont="1" applyFill="1" applyBorder="1" applyAlignment="1">
      <alignment horizontal="center" vertical="center"/>
    </xf>
    <xf numFmtId="0" fontId="22" fillId="0" borderId="17" xfId="0" applyFont="1" applyFill="1" applyBorder="1" applyAlignment="1">
      <alignment horizontal="center" vertical="center"/>
    </xf>
    <xf numFmtId="0" fontId="33" fillId="2" borderId="4" xfId="0" applyNumberFormat="1" applyFont="1" applyFill="1" applyBorder="1" applyAlignment="1">
      <alignment horizontal="left" vertical="center" wrapText="1"/>
    </xf>
    <xf numFmtId="0" fontId="33" fillId="2" borderId="11" xfId="0" applyNumberFormat="1" applyFont="1" applyFill="1" applyBorder="1" applyAlignment="1">
      <alignment horizontal="left" vertical="center" wrapText="1"/>
    </xf>
    <xf numFmtId="0" fontId="22" fillId="0" borderId="3" xfId="0" applyFont="1" applyFill="1" applyBorder="1" applyAlignment="1">
      <alignment horizontal="center" vertical="center"/>
    </xf>
    <xf numFmtId="0" fontId="22" fillId="0" borderId="3"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22" fillId="4" borderId="5" xfId="0" applyNumberFormat="1" applyFont="1" applyFill="1" applyBorder="1" applyAlignment="1">
      <alignment horizontal="center" vertical="center" wrapText="1"/>
    </xf>
    <xf numFmtId="0" fontId="22" fillId="4" borderId="2" xfId="0" applyNumberFormat="1" applyFont="1" applyFill="1" applyBorder="1" applyAlignment="1">
      <alignment horizontal="center" vertical="center" wrapText="1"/>
    </xf>
    <xf numFmtId="0" fontId="22" fillId="4" borderId="8" xfId="0" applyNumberFormat="1" applyFont="1" applyFill="1" applyBorder="1" applyAlignment="1">
      <alignment horizontal="center" vertical="center" wrapText="1"/>
    </xf>
    <xf numFmtId="0" fontId="17" fillId="11" borderId="5" xfId="0" applyNumberFormat="1" applyFont="1" applyFill="1" applyBorder="1" applyAlignment="1">
      <alignment horizontal="left" vertical="center"/>
    </xf>
    <xf numFmtId="0" fontId="17" fillId="11" borderId="2" xfId="0" applyNumberFormat="1" applyFont="1" applyFill="1" applyBorder="1" applyAlignment="1">
      <alignment horizontal="left" vertical="center"/>
    </xf>
    <xf numFmtId="0" fontId="17" fillId="11" borderId="8" xfId="0" applyNumberFormat="1" applyFont="1" applyFill="1" applyBorder="1" applyAlignment="1">
      <alignment horizontal="left" vertical="center"/>
    </xf>
    <xf numFmtId="0" fontId="22" fillId="0" borderId="4" xfId="0" applyFont="1" applyFill="1" applyBorder="1" applyAlignment="1">
      <alignment horizontal="center" vertical="center"/>
    </xf>
    <xf numFmtId="0" fontId="23" fillId="0" borderId="4" xfId="0" applyFont="1" applyFill="1" applyBorder="1" applyAlignment="1">
      <alignment horizontal="left" vertical="center"/>
    </xf>
    <xf numFmtId="0" fontId="23" fillId="0" borderId="11" xfId="0" applyFont="1" applyFill="1" applyBorder="1" applyAlignment="1">
      <alignment horizontal="left" vertical="center"/>
    </xf>
    <xf numFmtId="0" fontId="22" fillId="0" borderId="4" xfId="0" applyNumberFormat="1" applyFont="1" applyFill="1" applyBorder="1" applyAlignment="1">
      <alignment horizontal="center" vertical="center" wrapText="1"/>
    </xf>
    <xf numFmtId="0" fontId="22" fillId="0" borderId="9" xfId="0" applyNumberFormat="1" applyFont="1" applyFill="1" applyBorder="1" applyAlignment="1">
      <alignment horizontal="center" vertical="center" wrapText="1"/>
    </xf>
    <xf numFmtId="0" fontId="22" fillId="0" borderId="11" xfId="0" applyNumberFormat="1" applyFont="1" applyFill="1" applyBorder="1" applyAlignment="1">
      <alignment horizontal="center" vertical="center" wrapText="1"/>
    </xf>
    <xf numFmtId="0" fontId="33" fillId="0" borderId="4" xfId="0" applyFont="1" applyFill="1" applyBorder="1" applyAlignment="1">
      <alignment horizontal="left" vertical="center"/>
    </xf>
    <xf numFmtId="0" fontId="33" fillId="0" borderId="11" xfId="0" applyFont="1" applyFill="1" applyBorder="1" applyAlignment="1">
      <alignment horizontal="left" vertical="center"/>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2" fillId="0" borderId="11"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22" fillId="0" borderId="13"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33" fillId="0" borderId="3"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7" fillId="2" borderId="5" xfId="82" applyFont="1" applyFill="1" applyBorder="1" applyAlignment="1" applyProtection="1">
      <alignment horizontal="left" vertical="center" wrapText="1"/>
    </xf>
    <xf numFmtId="0" fontId="17" fillId="2" borderId="8" xfId="82" applyFont="1" applyFill="1" applyBorder="1" applyAlignment="1" applyProtection="1">
      <alignment horizontal="left" vertical="center" wrapText="1"/>
    </xf>
    <xf numFmtId="0" fontId="17" fillId="0" borderId="5" xfId="0" applyFont="1" applyBorder="1" applyAlignment="1">
      <alignment horizontal="center" vertical="center"/>
    </xf>
    <xf numFmtId="0" fontId="17" fillId="0" borderId="2" xfId="0" applyFont="1" applyBorder="1" applyAlignment="1">
      <alignment horizontal="center" vertical="center"/>
    </xf>
    <xf numFmtId="0" fontId="17" fillId="0" borderId="8" xfId="0" applyFont="1" applyBorder="1" applyAlignment="1">
      <alignment horizontal="center" vertical="center"/>
    </xf>
    <xf numFmtId="0" fontId="17" fillId="2" borderId="6" xfId="82" applyFont="1" applyFill="1" applyBorder="1" applyAlignment="1" applyProtection="1">
      <alignment horizontal="center" vertical="center" wrapText="1"/>
    </xf>
    <xf numFmtId="0" fontId="17" fillId="2" borderId="14" xfId="82" applyFont="1" applyFill="1" applyBorder="1" applyAlignment="1" applyProtection="1">
      <alignment horizontal="center" vertical="center" wrapText="1"/>
    </xf>
    <xf numFmtId="0" fontId="17" fillId="2" borderId="13" xfId="82" applyFont="1" applyFill="1" applyBorder="1" applyAlignment="1" applyProtection="1">
      <alignment horizontal="center" vertical="center" wrapText="1"/>
    </xf>
    <xf numFmtId="0" fontId="17" fillId="2" borderId="10" xfId="82" applyFont="1" applyFill="1" applyBorder="1" applyAlignment="1" applyProtection="1">
      <alignment horizontal="center" vertical="center" wrapText="1"/>
    </xf>
    <xf numFmtId="0" fontId="17" fillId="2" borderId="12" xfId="82" applyFont="1" applyFill="1" applyBorder="1" applyAlignment="1" applyProtection="1">
      <alignment horizontal="center" vertical="center" wrapText="1"/>
    </xf>
    <xf numFmtId="0" fontId="17" fillId="2" borderId="17" xfId="82" applyFont="1" applyFill="1" applyBorder="1" applyAlignment="1" applyProtection="1">
      <alignment horizontal="center" vertical="center" wrapText="1"/>
    </xf>
  </cellXfs>
  <cellStyles count="163">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2_BSC-KPI P. KHKT - DL TRAN YEN 19-5-18" xfId="142"/>
    <cellStyle name="Excel Built-in Excel Built-in Excel Built-in Comma 7 2 3" xfId="44"/>
    <cellStyle name="Excel Built-in Excel Built-in Excel Built-in Comma 7 2_BSC-KPI P. KHKT - DL TRAN YEN 19-5-18" xfId="143"/>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2_BSC-KPI P. KHKT - DL TRAN YEN 19-5-18" xfId="144"/>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3_BSC-KPI P. KHKT - DL TRAN YEN 19-5-18" xfId="145"/>
    <cellStyle name="Excel Built-in Excel Built-in Excel Built-in Comma 8 4" xfId="53"/>
    <cellStyle name="Excel Built-in Excel Built-in Excel Built-in Comma 8_BSC-KPI P. KHKT - DL TRAN YEN 19-5-18" xfId="146"/>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 8 2_BSC-KPI P. KHKT - DL TRAN YEN 19-5-18" xfId="14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2_BSC-KPI P. KHKT - DL TRAN YEN 19-5-18" xfId="148"/>
    <cellStyle name="Excel Built-in Excel Built-in Excel Built-in Percent 3 2 2 3" xfId="63"/>
    <cellStyle name="Excel Built-in Excel Built-in Excel Built-in Percent 3 2 2_BSC-KPI P. KHKT - DL TRAN YEN 19-5-18" xfId="149"/>
    <cellStyle name="Excel Built-in Excel Built-in Excel Built-in Percent 3 2 3" xfId="64"/>
    <cellStyle name="Excel Built-in Excel Built-in Excel Built-in Percent 3 2_BSC-KPI P. KHKT - DL TRAN YEN 19-5-18" xfId="150"/>
    <cellStyle name="Excel Built-in Excel Built-in Excel Built-in Percent 5 2" xfId="65"/>
    <cellStyle name="Excel Built-in Excel Built-in Excel Built-in Percent 5 2 2" xfId="66"/>
    <cellStyle name="Excel Built-in Excel Built-in Excel Built-in Percent 5 2_BSC-KPI P. KHKT - DL TRAN YEN 19-5-18" xfId="151"/>
    <cellStyle name="Excel Built-in Excel Built-in Excel Built-in Percent 5 3" xfId="67"/>
    <cellStyle name="Excel Built-in Excel Built-in Excel Built-in Percent 5 3 2" xfId="68"/>
    <cellStyle name="Excel Built-in Excel Built-in Excel Built-in Percent 5 3_BSC-KPI P. KHKT - DL TRAN YEN 19-5-18" xfId="152"/>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2_BSC-KPI P. KHKT - DL TRAN YEN 19-5-18" xfId="153"/>
    <cellStyle name="Excel Built-in Excel Built-in Excel Built-in Percent 6 3" xfId="75"/>
    <cellStyle name="Excel Built-in Excel Built-in Excel Built-in Percent 6_BSC-KPI P. KHKT - DL TRAN YEN 19-5-18" xfId="154"/>
    <cellStyle name="Excel Built-in Normal" xfId="76"/>
    <cellStyle name="Excel Built-in Normal 2" xfId="77"/>
    <cellStyle name="Excel Built-in Normal 3" xfId="78"/>
    <cellStyle name="Excel Built-in Normal_BSC-KPI P. KHKT - DL TRAN YEN 19-5-18" xfId="155"/>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5_BSC-KPI P. KHKT - DL TRAN YEN 19-5-18" xfId="156"/>
    <cellStyle name="Normal 2 6" xfId="100"/>
    <cellStyle name="Normal 2 6 2" xfId="101"/>
    <cellStyle name="Normal 2 6_BSC-KPI P. KHKT - DL TRAN YEN 19-5-18" xfId="157"/>
    <cellStyle name="Normal 2 7" xfId="102"/>
    <cellStyle name="Normal 2 7 2" xfId="103"/>
    <cellStyle name="Normal 2 7_BSC-KPI P. KHKT - DL TRAN YEN 19-5-18" xfId="158"/>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2_BSC-KPI P. KHKT - DL TRAN YEN 19-5-18" xfId="159"/>
    <cellStyle name="Normal 7 3" xfId="115"/>
    <cellStyle name="Normal 7 3 2" xfId="116"/>
    <cellStyle name="Normal 7 3 3" xfId="117"/>
    <cellStyle name="Normal 7 3 4" xfId="118"/>
    <cellStyle name="Normal 7 3_BSC-KPI P. KHKT - DL TRAN YEN 19-5-18" xfId="160"/>
    <cellStyle name="Normal 7 4" xfId="119"/>
    <cellStyle name="Normal 7 5" xfId="120"/>
    <cellStyle name="Normal 7 5 2" xfId="121"/>
    <cellStyle name="Normal 7 5_BSC-KPI P. KHKT - DL TRAN YEN 19-5-18" xfId="161"/>
    <cellStyle name="Normal 7 6" xfId="122"/>
    <cellStyle name="Normal 7 7" xfId="123"/>
    <cellStyle name="Normal 7 8" xfId="124"/>
    <cellStyle name="Normal 7_BSC-KPI P. KHKT - DL TRAN YEN 19-5-18" xfId="162"/>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69"/>
  <sheetViews>
    <sheetView tabSelected="1" topLeftCell="A162" zoomScale="89" zoomScaleNormal="89" workbookViewId="0">
      <selection activeCell="X97" sqref="X97"/>
    </sheetView>
  </sheetViews>
  <sheetFormatPr defaultColWidth="8" defaultRowHeight="15.75"/>
  <cols>
    <col min="1" max="4" width="5" style="61" customWidth="1"/>
    <col min="5" max="5" width="5" style="41" hidden="1" customWidth="1"/>
    <col min="6" max="6" width="21.625" style="41" hidden="1" customWidth="1"/>
    <col min="7" max="7" width="6" style="152" hidden="1" customWidth="1"/>
    <col min="8" max="8" width="27" style="153" hidden="1" customWidth="1"/>
    <col min="9" max="9" width="8" style="153" customWidth="1"/>
    <col min="10" max="10" width="27.875" style="6" customWidth="1"/>
    <col min="11" max="11" width="9.625" style="193" customWidth="1"/>
    <col min="12" max="12" width="9.125" style="253" customWidth="1"/>
    <col min="13" max="13" width="7.25" style="8" customWidth="1"/>
    <col min="14" max="14" width="8.25" style="73" bestFit="1" customWidth="1"/>
    <col min="15" max="15" width="8.75" style="73" customWidth="1"/>
    <col min="16" max="17" width="7.625" style="64" customWidth="1"/>
    <col min="18" max="18" width="8.125" style="65" customWidth="1"/>
    <col min="19" max="19" width="8.625" style="15" customWidth="1"/>
    <col min="20" max="21" width="7.5" style="15" customWidth="1"/>
    <col min="22" max="22" width="10.25" style="15" customWidth="1"/>
    <col min="23" max="23" width="9.375" style="15" customWidth="1"/>
    <col min="24" max="16384" width="8" style="61"/>
  </cols>
  <sheetData>
    <row r="1" spans="1:58" ht="23.25" customHeight="1">
      <c r="A1" s="465" t="s">
        <v>167</v>
      </c>
      <c r="B1" s="466"/>
      <c r="C1" s="466"/>
      <c r="D1" s="466"/>
      <c r="E1" s="466"/>
      <c r="F1" s="466"/>
      <c r="G1" s="466"/>
      <c r="H1" s="467"/>
      <c r="I1" s="454" t="s">
        <v>427</v>
      </c>
      <c r="J1" s="455"/>
      <c r="K1" s="455"/>
      <c r="L1" s="455"/>
      <c r="M1" s="455"/>
      <c r="N1" s="455"/>
      <c r="O1" s="455"/>
      <c r="P1" s="455"/>
      <c r="Q1" s="455"/>
      <c r="R1" s="456"/>
      <c r="S1" s="457" t="s">
        <v>431</v>
      </c>
      <c r="T1" s="458"/>
      <c r="U1" s="458"/>
      <c r="V1" s="458"/>
      <c r="W1" s="459"/>
    </row>
    <row r="2" spans="1:58" ht="24" customHeight="1">
      <c r="A2" s="468"/>
      <c r="B2" s="469"/>
      <c r="C2" s="469"/>
      <c r="D2" s="469"/>
      <c r="E2" s="469"/>
      <c r="F2" s="469"/>
      <c r="G2" s="469"/>
      <c r="H2" s="470"/>
      <c r="I2" s="460" t="s">
        <v>270</v>
      </c>
      <c r="J2" s="461"/>
      <c r="K2" s="455" t="s">
        <v>428</v>
      </c>
      <c r="L2" s="455"/>
      <c r="M2" s="455"/>
      <c r="N2" s="456"/>
      <c r="O2" s="194"/>
      <c r="P2" s="462" t="s">
        <v>236</v>
      </c>
      <c r="Q2" s="463"/>
      <c r="R2" s="464"/>
      <c r="S2" s="457" t="s">
        <v>429</v>
      </c>
      <c r="T2" s="458"/>
      <c r="U2" s="458"/>
      <c r="V2" s="459"/>
      <c r="W2" s="78"/>
    </row>
    <row r="3" spans="1:58" s="15" customFormat="1" ht="29.25" customHeight="1">
      <c r="A3" s="419" t="s">
        <v>404</v>
      </c>
      <c r="B3" s="419" t="s">
        <v>304</v>
      </c>
      <c r="C3" s="419" t="s">
        <v>305</v>
      </c>
      <c r="D3" s="419" t="s">
        <v>405</v>
      </c>
      <c r="E3" s="431" t="s">
        <v>200</v>
      </c>
      <c r="F3" s="431" t="s">
        <v>196</v>
      </c>
      <c r="G3" s="431" t="s">
        <v>321</v>
      </c>
      <c r="H3" s="419" t="s">
        <v>237</v>
      </c>
      <c r="I3" s="418" t="s">
        <v>322</v>
      </c>
      <c r="J3" s="436" t="s">
        <v>139</v>
      </c>
      <c r="K3" s="447" t="s">
        <v>140</v>
      </c>
      <c r="L3" s="449"/>
      <c r="M3" s="450" t="s">
        <v>141</v>
      </c>
      <c r="N3" s="419" t="s">
        <v>407</v>
      </c>
      <c r="O3" s="419" t="s">
        <v>27</v>
      </c>
      <c r="P3" s="439" t="s">
        <v>142</v>
      </c>
      <c r="Q3" s="440"/>
      <c r="R3" s="440"/>
      <c r="S3" s="440"/>
      <c r="T3" s="440"/>
      <c r="U3" s="440"/>
      <c r="V3" s="440"/>
      <c r="W3" s="436"/>
    </row>
    <row r="4" spans="1:58" s="64" customFormat="1" ht="15.6" customHeight="1">
      <c r="A4" s="420"/>
      <c r="B4" s="420"/>
      <c r="C4" s="420"/>
      <c r="D4" s="420"/>
      <c r="E4" s="432"/>
      <c r="F4" s="432"/>
      <c r="G4" s="432"/>
      <c r="H4" s="420"/>
      <c r="I4" s="418"/>
      <c r="J4" s="437"/>
      <c r="K4" s="443" t="s">
        <v>133</v>
      </c>
      <c r="L4" s="419" t="s">
        <v>143</v>
      </c>
      <c r="M4" s="451"/>
      <c r="N4" s="420"/>
      <c r="O4" s="420"/>
      <c r="P4" s="441"/>
      <c r="Q4" s="442"/>
      <c r="R4" s="442"/>
      <c r="S4" s="442"/>
      <c r="T4" s="442"/>
      <c r="U4" s="442"/>
      <c r="V4" s="442"/>
      <c r="W4" s="438"/>
    </row>
    <row r="5" spans="1:58" s="15" customFormat="1" ht="27.6" customHeight="1">
      <c r="A5" s="420"/>
      <c r="B5" s="420"/>
      <c r="C5" s="420"/>
      <c r="D5" s="420"/>
      <c r="E5" s="432"/>
      <c r="F5" s="432"/>
      <c r="G5" s="432"/>
      <c r="H5" s="420"/>
      <c r="I5" s="418"/>
      <c r="J5" s="437"/>
      <c r="K5" s="444"/>
      <c r="L5" s="420"/>
      <c r="M5" s="451"/>
      <c r="N5" s="420"/>
      <c r="O5" s="420"/>
      <c r="P5" s="446" t="s">
        <v>238</v>
      </c>
      <c r="Q5" s="446"/>
      <c r="R5" s="446"/>
      <c r="S5" s="446"/>
      <c r="T5" s="447" t="s">
        <v>168</v>
      </c>
      <c r="U5" s="448"/>
      <c r="V5" s="448"/>
      <c r="W5" s="449"/>
    </row>
    <row r="6" spans="1:58" s="15" customFormat="1" ht="47.25">
      <c r="A6" s="421"/>
      <c r="B6" s="421"/>
      <c r="C6" s="421"/>
      <c r="D6" s="421"/>
      <c r="E6" s="433"/>
      <c r="F6" s="433"/>
      <c r="G6" s="433"/>
      <c r="H6" s="421"/>
      <c r="I6" s="418"/>
      <c r="J6" s="438"/>
      <c r="K6" s="445"/>
      <c r="L6" s="421"/>
      <c r="M6" s="452"/>
      <c r="N6" s="421"/>
      <c r="O6" s="421"/>
      <c r="P6" s="12" t="s">
        <v>144</v>
      </c>
      <c r="Q6" s="12" t="s">
        <v>239</v>
      </c>
      <c r="R6" s="13" t="s">
        <v>145</v>
      </c>
      <c r="S6" s="13" t="s">
        <v>146</v>
      </c>
      <c r="T6" s="13" t="s">
        <v>144</v>
      </c>
      <c r="U6" s="12" t="s">
        <v>239</v>
      </c>
      <c r="V6" s="13" t="s">
        <v>145</v>
      </c>
      <c r="W6" s="13" t="s">
        <v>146</v>
      </c>
    </row>
    <row r="7" spans="1:58" s="80" customFormat="1">
      <c r="A7" s="80">
        <v>1</v>
      </c>
      <c r="B7" s="80">
        <v>2</v>
      </c>
      <c r="C7" s="80">
        <v>3</v>
      </c>
      <c r="D7" s="80">
        <v>4</v>
      </c>
      <c r="E7" s="79">
        <v>5</v>
      </c>
      <c r="F7" s="49">
        <v>6</v>
      </c>
      <c r="G7" s="81">
        <v>7</v>
      </c>
      <c r="H7" s="11">
        <v>8</v>
      </c>
      <c r="I7" s="206"/>
      <c r="J7" s="207"/>
      <c r="K7" s="29">
        <v>9</v>
      </c>
      <c r="L7" s="236">
        <v>10</v>
      </c>
      <c r="M7" s="29">
        <v>11</v>
      </c>
      <c r="N7" s="12">
        <v>12</v>
      </c>
      <c r="O7" s="12"/>
      <c r="P7" s="12">
        <v>13</v>
      </c>
      <c r="Q7" s="12">
        <v>14</v>
      </c>
      <c r="R7" s="12">
        <v>15</v>
      </c>
      <c r="S7" s="12">
        <v>16</v>
      </c>
      <c r="T7" s="12">
        <v>17</v>
      </c>
      <c r="U7" s="12">
        <v>18</v>
      </c>
      <c r="V7" s="12">
        <v>19</v>
      </c>
      <c r="W7" s="12">
        <v>20</v>
      </c>
    </row>
    <row r="8" spans="1:58" s="80" customFormat="1" ht="73.5" customHeight="1">
      <c r="A8" s="2" t="s">
        <v>298</v>
      </c>
      <c r="B8" s="2" t="s">
        <v>299</v>
      </c>
      <c r="C8" s="2" t="s">
        <v>300</v>
      </c>
      <c r="D8" s="2" t="s">
        <v>301</v>
      </c>
      <c r="E8" s="79"/>
      <c r="F8" s="49"/>
      <c r="G8" s="197"/>
      <c r="H8" s="195"/>
      <c r="I8" s="195"/>
      <c r="J8" s="195"/>
      <c r="K8" s="29" t="s">
        <v>28</v>
      </c>
      <c r="L8" s="244" t="s">
        <v>182</v>
      </c>
      <c r="M8" s="29" t="s">
        <v>396</v>
      </c>
      <c r="N8" s="12" t="s">
        <v>306</v>
      </c>
      <c r="O8" s="12" t="s">
        <v>397</v>
      </c>
      <c r="P8" s="86" t="s">
        <v>398</v>
      </c>
      <c r="Q8" s="12" t="s">
        <v>399</v>
      </c>
      <c r="R8" s="12" t="s">
        <v>302</v>
      </c>
      <c r="S8" s="29" t="s">
        <v>303</v>
      </c>
      <c r="T8" s="12" t="s">
        <v>398</v>
      </c>
      <c r="U8" s="12" t="s">
        <v>399</v>
      </c>
      <c r="V8" s="12" t="s">
        <v>302</v>
      </c>
      <c r="W8" s="12" t="s">
        <v>303</v>
      </c>
    </row>
    <row r="9" spans="1:58" ht="23.25" customHeight="1">
      <c r="A9" s="379">
        <v>0.85</v>
      </c>
      <c r="B9" s="422"/>
      <c r="C9" s="423"/>
      <c r="D9" s="424"/>
      <c r="E9" s="82" t="s">
        <v>147</v>
      </c>
      <c r="F9" s="367" t="s">
        <v>197</v>
      </c>
      <c r="G9" s="368"/>
      <c r="H9" s="368"/>
      <c r="I9" s="368"/>
      <c r="J9" s="368"/>
      <c r="K9" s="368"/>
      <c r="L9" s="368"/>
      <c r="M9" s="369"/>
      <c r="N9" s="30"/>
      <c r="O9" s="30"/>
      <c r="P9" s="26"/>
      <c r="Q9" s="26"/>
      <c r="R9" s="83"/>
      <c r="S9" s="83"/>
      <c r="T9" s="83"/>
      <c r="U9" s="83"/>
      <c r="V9" s="83"/>
      <c r="W9" s="83"/>
    </row>
    <row r="10" spans="1:58" s="84" customFormat="1" ht="24.6" customHeight="1">
      <c r="A10" s="380"/>
      <c r="B10" s="375">
        <v>0.15</v>
      </c>
      <c r="E10" s="85" t="s">
        <v>148</v>
      </c>
      <c r="F10" s="425" t="s">
        <v>198</v>
      </c>
      <c r="G10" s="426"/>
      <c r="H10" s="426"/>
      <c r="I10" s="426"/>
      <c r="J10" s="426"/>
      <c r="K10" s="426"/>
      <c r="L10" s="426"/>
      <c r="M10" s="427"/>
      <c r="N10" s="174"/>
      <c r="O10" s="174"/>
      <c r="P10" s="86"/>
      <c r="Q10" s="175"/>
      <c r="R10" s="176"/>
      <c r="S10" s="172">
        <f>SUM(S12:S33)</f>
        <v>11.22</v>
      </c>
      <c r="T10" s="175"/>
      <c r="U10" s="175"/>
      <c r="V10" s="176"/>
      <c r="W10" s="176"/>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row>
    <row r="11" spans="1:58" s="90" customFormat="1" ht="21" customHeight="1">
      <c r="A11" s="380"/>
      <c r="B11" s="376"/>
      <c r="C11" s="408">
        <v>0.2</v>
      </c>
      <c r="D11" s="88"/>
      <c r="E11" s="89" t="s">
        <v>180</v>
      </c>
      <c r="F11" s="401" t="s">
        <v>199</v>
      </c>
      <c r="G11" s="402"/>
      <c r="H11" s="402"/>
      <c r="I11" s="402"/>
      <c r="J11" s="402"/>
      <c r="K11" s="402"/>
      <c r="L11" s="402"/>
      <c r="M11" s="411"/>
      <c r="N11" s="14"/>
      <c r="O11" s="14"/>
      <c r="P11" s="86"/>
      <c r="Q11" s="86"/>
      <c r="R11" s="87"/>
      <c r="S11" s="87"/>
      <c r="T11" s="86"/>
      <c r="U11" s="86"/>
      <c r="V11" s="87"/>
      <c r="W11" s="87"/>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row>
    <row r="12" spans="1:58" s="15" customFormat="1" ht="37.5" hidden="1" customHeight="1">
      <c r="A12" s="380"/>
      <c r="B12" s="376"/>
      <c r="C12" s="409"/>
      <c r="D12" s="343">
        <v>1</v>
      </c>
      <c r="E12" s="403" t="s">
        <v>14</v>
      </c>
      <c r="F12" s="429" t="s">
        <v>233</v>
      </c>
      <c r="G12" s="53" t="s">
        <v>15</v>
      </c>
      <c r="H12" s="91" t="s">
        <v>40</v>
      </c>
      <c r="I12" s="53" t="s">
        <v>15</v>
      </c>
      <c r="J12" s="67" t="s">
        <v>40</v>
      </c>
      <c r="K12" s="67" t="s">
        <v>234</v>
      </c>
      <c r="L12" s="245">
        <v>1655.17</v>
      </c>
      <c r="M12" s="67" t="s">
        <v>249</v>
      </c>
      <c r="N12" s="92">
        <v>0</v>
      </c>
      <c r="O12" s="96"/>
      <c r="P12" s="241">
        <v>1655.17</v>
      </c>
      <c r="Q12" s="157">
        <f>(P12-L12)</f>
        <v>0</v>
      </c>
      <c r="R12" s="94">
        <f>100+Q12*10</f>
        <v>100</v>
      </c>
      <c r="S12" s="95">
        <f>$A$9*$B$10*$C$11*$D$12*N12*R12</f>
        <v>0</v>
      </c>
      <c r="T12" s="309"/>
      <c r="U12" s="309"/>
      <c r="V12" s="13"/>
      <c r="W12" s="13"/>
    </row>
    <row r="13" spans="1:58" s="15" customFormat="1" ht="54.75" customHeight="1">
      <c r="A13" s="380"/>
      <c r="B13" s="376"/>
      <c r="C13" s="409"/>
      <c r="D13" s="412"/>
      <c r="E13" s="404"/>
      <c r="F13" s="430"/>
      <c r="G13" s="68" t="s">
        <v>323</v>
      </c>
      <c r="H13" s="91" t="s">
        <v>170</v>
      </c>
      <c r="I13" s="237" t="s">
        <v>324</v>
      </c>
      <c r="J13" s="91" t="s">
        <v>425</v>
      </c>
      <c r="K13" s="72" t="s">
        <v>408</v>
      </c>
      <c r="L13" s="255">
        <v>5.61</v>
      </c>
      <c r="M13" s="67" t="s">
        <v>137</v>
      </c>
      <c r="N13" s="96">
        <v>1</v>
      </c>
      <c r="O13" s="202">
        <f>$A$9*$B$10*$C$11*$D$12*N13</f>
        <v>2.5500000000000002E-2</v>
      </c>
      <c r="P13" s="311">
        <v>6.16</v>
      </c>
      <c r="Q13" s="261">
        <f>P13/L13*100</f>
        <v>109.80392156862744</v>
      </c>
      <c r="R13" s="262">
        <f>IF(AND((100+(Q13-100)*5)&gt;30,(100+(Q13-100)*5)&lt;=120),100+(Q13-100)*5,IF((100+(Q13-100)*5)&lt;30,0,120))</f>
        <v>120</v>
      </c>
      <c r="S13" s="95">
        <f>R13*O13</f>
        <v>3.06</v>
      </c>
      <c r="T13" s="315">
        <v>6.16</v>
      </c>
      <c r="U13" s="95">
        <f>(T13/L13)*100</f>
        <v>109.80392156862744</v>
      </c>
      <c r="V13" s="159">
        <f>IF(AND((100-(100-U13)*5)&gt;30,(100-(100-U13)*5)&lt;120),(100-(100-U13)*5),IF((100-(100-U13)*5)&gt;=120,120,0))</f>
        <v>120</v>
      </c>
      <c r="W13" s="95">
        <f t="shared" ref="W13" si="0">V13*O13</f>
        <v>3.06</v>
      </c>
      <c r="Y13" s="331">
        <f>W13-S13</f>
        <v>0</v>
      </c>
    </row>
    <row r="14" spans="1:58" s="15" customFormat="1" ht="39.75" hidden="1" customHeight="1">
      <c r="A14" s="380"/>
      <c r="B14" s="376"/>
      <c r="C14" s="409"/>
      <c r="D14" s="97">
        <v>0</v>
      </c>
      <c r="E14" s="98" t="s">
        <v>16</v>
      </c>
      <c r="F14" s="47" t="s">
        <v>0</v>
      </c>
      <c r="G14" s="53" t="s">
        <v>19</v>
      </c>
      <c r="H14" s="48" t="s">
        <v>38</v>
      </c>
      <c r="I14" s="53" t="s">
        <v>19</v>
      </c>
      <c r="J14" s="127" t="s">
        <v>38</v>
      </c>
      <c r="K14" s="67" t="s">
        <v>234</v>
      </c>
      <c r="L14" s="246">
        <v>478.09</v>
      </c>
      <c r="M14" s="67" t="s">
        <v>249</v>
      </c>
      <c r="N14" s="92">
        <v>0</v>
      </c>
      <c r="O14" s="202"/>
      <c r="P14" s="118"/>
      <c r="Q14" s="157">
        <f>(P14-L14)</f>
        <v>-478.09</v>
      </c>
      <c r="R14" s="94">
        <f>100-(P14-L14)*10</f>
        <v>4880.8999999999996</v>
      </c>
      <c r="S14" s="95">
        <f t="shared" ref="S14:S33" si="1">R14*O14</f>
        <v>0</v>
      </c>
      <c r="T14" s="118"/>
      <c r="U14" s="309"/>
      <c r="V14" s="13"/>
      <c r="W14" s="316"/>
      <c r="Y14" s="331">
        <f t="shared" ref="Y14:Y77" si="2">W14-S14</f>
        <v>0</v>
      </c>
    </row>
    <row r="15" spans="1:58" s="15" customFormat="1" ht="29.25" hidden="1" customHeight="1">
      <c r="A15" s="380"/>
      <c r="B15" s="376"/>
      <c r="C15" s="409"/>
      <c r="D15" s="335">
        <v>0</v>
      </c>
      <c r="E15" s="428" t="s">
        <v>17</v>
      </c>
      <c r="F15" s="429" t="s">
        <v>39</v>
      </c>
      <c r="G15" s="53" t="s">
        <v>20</v>
      </c>
      <c r="H15" s="48" t="s">
        <v>37</v>
      </c>
      <c r="I15" s="53" t="s">
        <v>20</v>
      </c>
      <c r="J15" s="127" t="s">
        <v>37</v>
      </c>
      <c r="K15" s="32" t="s">
        <v>29</v>
      </c>
      <c r="L15" s="246">
        <v>99.7</v>
      </c>
      <c r="M15" s="67" t="s">
        <v>249</v>
      </c>
      <c r="N15" s="92">
        <v>0</v>
      </c>
      <c r="O15" s="202"/>
      <c r="P15" s="118"/>
      <c r="Q15" s="157">
        <f>(P15-L15)</f>
        <v>-99.7</v>
      </c>
      <c r="R15" s="58">
        <f>100+Q15*100</f>
        <v>-9870</v>
      </c>
      <c r="S15" s="95">
        <f t="shared" si="1"/>
        <v>0</v>
      </c>
      <c r="T15" s="118"/>
      <c r="U15" s="309"/>
      <c r="V15" s="13"/>
      <c r="W15" s="316"/>
      <c r="Y15" s="331">
        <f t="shared" si="2"/>
        <v>0</v>
      </c>
    </row>
    <row r="16" spans="1:58" s="15" customFormat="1" ht="48.75" hidden="1" customHeight="1">
      <c r="A16" s="380"/>
      <c r="B16" s="376"/>
      <c r="C16" s="410"/>
      <c r="D16" s="336"/>
      <c r="E16" s="404"/>
      <c r="F16" s="430"/>
      <c r="G16" s="69" t="s">
        <v>21</v>
      </c>
      <c r="H16" s="48" t="s">
        <v>46</v>
      </c>
      <c r="I16" s="69" t="s">
        <v>21</v>
      </c>
      <c r="J16" s="127" t="s">
        <v>46</v>
      </c>
      <c r="K16" s="103" t="s">
        <v>240</v>
      </c>
      <c r="L16" s="247">
        <v>150</v>
      </c>
      <c r="M16" s="53" t="s">
        <v>137</v>
      </c>
      <c r="N16" s="92">
        <v>0</v>
      </c>
      <c r="O16" s="202"/>
      <c r="P16" s="118"/>
      <c r="Q16" s="155">
        <v>2</v>
      </c>
      <c r="R16" s="156">
        <f>100+(1-P16/L16)*100*Q16</f>
        <v>300</v>
      </c>
      <c r="S16" s="95">
        <f t="shared" si="1"/>
        <v>0</v>
      </c>
      <c r="T16" s="118"/>
      <c r="U16" s="309"/>
      <c r="V16" s="13"/>
      <c r="W16" s="316"/>
      <c r="Y16" s="331">
        <f t="shared" si="2"/>
        <v>0</v>
      </c>
    </row>
    <row r="17" spans="1:59">
      <c r="A17" s="380"/>
      <c r="B17" s="376"/>
      <c r="C17" s="99"/>
      <c r="D17" s="90"/>
      <c r="E17" s="89" t="s">
        <v>47</v>
      </c>
      <c r="F17" s="401" t="s">
        <v>235</v>
      </c>
      <c r="G17" s="402"/>
      <c r="H17" s="402"/>
      <c r="I17" s="402"/>
      <c r="J17" s="402"/>
      <c r="K17" s="402"/>
      <c r="L17" s="402"/>
      <c r="M17" s="411"/>
      <c r="N17" s="33"/>
      <c r="O17" s="203"/>
      <c r="P17" s="86"/>
      <c r="Q17" s="86"/>
      <c r="R17" s="87"/>
      <c r="S17" s="125"/>
      <c r="T17" s="86"/>
      <c r="U17" s="86"/>
      <c r="V17" s="87"/>
      <c r="W17" s="317"/>
      <c r="Y17" s="331">
        <f t="shared" si="2"/>
        <v>0</v>
      </c>
    </row>
    <row r="18" spans="1:59" hidden="1">
      <c r="A18" s="380"/>
      <c r="B18" s="376"/>
      <c r="C18" s="99"/>
      <c r="D18" s="90"/>
      <c r="E18" s="89"/>
      <c r="F18" s="263"/>
      <c r="G18" s="264"/>
      <c r="H18" s="264"/>
      <c r="I18" s="264"/>
      <c r="J18" s="264"/>
      <c r="K18" s="267"/>
      <c r="L18" s="267"/>
      <c r="M18" s="268"/>
      <c r="N18" s="269"/>
      <c r="O18" s="203"/>
      <c r="P18" s="106"/>
      <c r="Q18" s="106"/>
      <c r="R18" s="270"/>
      <c r="S18" s="125"/>
      <c r="T18" s="106"/>
      <c r="U18" s="44"/>
      <c r="V18" s="158"/>
      <c r="W18" s="318"/>
      <c r="Y18" s="331">
        <f t="shared" si="2"/>
        <v>0</v>
      </c>
    </row>
    <row r="19" spans="1:59" ht="21" customHeight="1">
      <c r="A19" s="380"/>
      <c r="B19" s="376"/>
      <c r="C19" s="408">
        <v>0.8</v>
      </c>
      <c r="D19" s="258"/>
      <c r="E19" s="259" t="s">
        <v>169</v>
      </c>
      <c r="F19" s="401" t="s">
        <v>134</v>
      </c>
      <c r="G19" s="402"/>
      <c r="H19" s="402"/>
      <c r="I19" s="402" t="s">
        <v>430</v>
      </c>
      <c r="J19" s="402"/>
      <c r="K19" s="183"/>
      <c r="L19" s="249"/>
      <c r="M19" s="105"/>
      <c r="N19" s="14"/>
      <c r="O19" s="203"/>
      <c r="P19" s="106"/>
      <c r="Q19" s="106"/>
      <c r="R19" s="107"/>
      <c r="S19" s="125"/>
      <c r="T19" s="106"/>
      <c r="U19" s="106"/>
      <c r="V19" s="107"/>
      <c r="W19" s="319"/>
      <c r="Y19" s="331">
        <f t="shared" si="2"/>
        <v>0</v>
      </c>
    </row>
    <row r="20" spans="1:59" s="59" customFormat="1" ht="37.700000000000003" customHeight="1">
      <c r="A20" s="380"/>
      <c r="B20" s="376"/>
      <c r="C20" s="409"/>
      <c r="D20" s="335">
        <v>0.25</v>
      </c>
      <c r="E20" s="403" t="s">
        <v>1</v>
      </c>
      <c r="F20" s="405" t="s">
        <v>2</v>
      </c>
      <c r="G20" s="53" t="s">
        <v>327</v>
      </c>
      <c r="H20" s="48" t="s">
        <v>9</v>
      </c>
      <c r="I20" s="53" t="s">
        <v>328</v>
      </c>
      <c r="J20" s="131" t="s">
        <v>9</v>
      </c>
      <c r="K20" s="43" t="s">
        <v>243</v>
      </c>
      <c r="L20" s="255">
        <v>73.48</v>
      </c>
      <c r="M20" s="271" t="s">
        <v>137</v>
      </c>
      <c r="N20" s="92">
        <v>1</v>
      </c>
      <c r="O20" s="202">
        <f>$A$9*$B$10*$C$19*$D$20*N20</f>
        <v>2.5500000000000002E-2</v>
      </c>
      <c r="P20" s="312">
        <v>49.77</v>
      </c>
      <c r="Q20" s="261">
        <f>P20/L20*100</f>
        <v>67.732716385410995</v>
      </c>
      <c r="R20" s="262">
        <f>IF(AND((100+(100-Q20)*1)&gt;30,(100+(100-Q20)*1))&lt;=120,(100+(100-Q20)*1),IF((100+(100-Q20)*1)&lt;30,0,120))</f>
        <v>120</v>
      </c>
      <c r="S20" s="95">
        <f t="shared" ref="S20" si="3">R20*O20</f>
        <v>3.06</v>
      </c>
      <c r="T20" s="320">
        <v>49.7</v>
      </c>
      <c r="U20" s="95">
        <f>T20/L20*100-100</f>
        <v>-32.362547632008713</v>
      </c>
      <c r="V20" s="95">
        <f>IF(AND((100-U20)&gt;30,(100-U20)&lt;120),(100-U20),IF((100-U20)&gt;=120,120,0))</f>
        <v>120</v>
      </c>
      <c r="W20" s="318">
        <f>V20*O20</f>
        <v>3.06</v>
      </c>
      <c r="X20" s="168"/>
      <c r="Y20" s="331">
        <f t="shared" si="2"/>
        <v>0</v>
      </c>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7"/>
    </row>
    <row r="21" spans="1:59" s="59" customFormat="1" ht="47.25" hidden="1" customHeight="1">
      <c r="A21" s="380"/>
      <c r="B21" s="376"/>
      <c r="C21" s="409"/>
      <c r="D21" s="343"/>
      <c r="E21" s="403"/>
      <c r="F21" s="406"/>
      <c r="G21" s="53" t="s">
        <v>22</v>
      </c>
      <c r="H21" s="48" t="s">
        <v>10</v>
      </c>
      <c r="I21" s="53" t="s">
        <v>22</v>
      </c>
      <c r="J21" s="127" t="s">
        <v>10</v>
      </c>
      <c r="K21" s="43" t="s">
        <v>244</v>
      </c>
      <c r="L21" s="247">
        <v>100</v>
      </c>
      <c r="M21" s="271" t="s">
        <v>137</v>
      </c>
      <c r="N21" s="92">
        <v>0</v>
      </c>
      <c r="O21" s="202"/>
      <c r="P21" s="242"/>
      <c r="Q21" s="1">
        <v>1</v>
      </c>
      <c r="R21" s="157">
        <f>100+(1-P21/L21)*100*Q21</f>
        <v>200</v>
      </c>
      <c r="S21" s="95">
        <f t="shared" si="1"/>
        <v>0</v>
      </c>
      <c r="T21" s="242"/>
      <c r="U21" s="309"/>
      <c r="V21" s="17"/>
      <c r="W21" s="318"/>
      <c r="X21" s="168"/>
      <c r="Y21" s="331">
        <f t="shared" si="2"/>
        <v>0</v>
      </c>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7"/>
    </row>
    <row r="22" spans="1:59" s="59" customFormat="1" ht="46.7" hidden="1" customHeight="1">
      <c r="A22" s="380"/>
      <c r="B22" s="376"/>
      <c r="C22" s="409"/>
      <c r="D22" s="336"/>
      <c r="E22" s="404"/>
      <c r="F22" s="407"/>
      <c r="G22" s="53" t="s">
        <v>23</v>
      </c>
      <c r="H22" s="48" t="s">
        <v>11</v>
      </c>
      <c r="I22" s="53" t="s">
        <v>23</v>
      </c>
      <c r="J22" s="127" t="s">
        <v>11</v>
      </c>
      <c r="K22" s="43" t="s">
        <v>244</v>
      </c>
      <c r="L22" s="247">
        <v>100</v>
      </c>
      <c r="M22" s="271" t="s">
        <v>137</v>
      </c>
      <c r="N22" s="92">
        <v>0</v>
      </c>
      <c r="O22" s="202"/>
      <c r="P22" s="242"/>
      <c r="Q22" s="1">
        <v>1</v>
      </c>
      <c r="R22" s="157">
        <f>100+(1-P22/L22)*100*Q22</f>
        <v>200</v>
      </c>
      <c r="S22" s="95">
        <f t="shared" si="1"/>
        <v>0</v>
      </c>
      <c r="T22" s="242"/>
      <c r="U22" s="309"/>
      <c r="V22" s="17"/>
      <c r="W22" s="318"/>
      <c r="X22" s="168"/>
      <c r="Y22" s="331">
        <f t="shared" si="2"/>
        <v>0</v>
      </c>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7"/>
    </row>
    <row r="23" spans="1:59" s="59" customFormat="1" ht="45.6" customHeight="1">
      <c r="A23" s="380"/>
      <c r="B23" s="376"/>
      <c r="C23" s="409"/>
      <c r="D23" s="335">
        <v>0.25</v>
      </c>
      <c r="E23" s="417" t="s">
        <v>3</v>
      </c>
      <c r="F23" s="395" t="s">
        <v>4</v>
      </c>
      <c r="G23" s="53" t="s">
        <v>329</v>
      </c>
      <c r="H23" s="48" t="s">
        <v>132</v>
      </c>
      <c r="I23" s="53" t="s">
        <v>330</v>
      </c>
      <c r="J23" s="131" t="s">
        <v>132</v>
      </c>
      <c r="K23" s="53" t="s">
        <v>29</v>
      </c>
      <c r="L23" s="247">
        <v>4.4800000000000004</v>
      </c>
      <c r="M23" s="271" t="s">
        <v>137</v>
      </c>
      <c r="N23" s="92">
        <v>1</v>
      </c>
      <c r="O23" s="202">
        <f>$A$9*$B$10*$C$19*$D$23*N23</f>
        <v>2.5500000000000002E-2</v>
      </c>
      <c r="P23" s="312">
        <v>5.88</v>
      </c>
      <c r="Q23" s="1">
        <f>P23-L23</f>
        <v>1.3999999999999995</v>
      </c>
      <c r="R23" s="277">
        <f>IF(AND((100-Q23*100)&gt;30,(100-Q23*100)&lt;=120),100-Q23*100,IF((100-Q23*100)&lt;30,0,120))</f>
        <v>0</v>
      </c>
      <c r="S23" s="95">
        <f t="shared" si="1"/>
        <v>0</v>
      </c>
      <c r="T23" s="321">
        <v>5.88</v>
      </c>
      <c r="U23" s="95">
        <f>T23-L23</f>
        <v>1.3999999999999995</v>
      </c>
      <c r="V23" s="159">
        <f>IF(AND((100-U23*100)&gt;30,(100-U23*100)&lt;120),(100-U23*100),IF((100-U23*100)&gt;=120,120,0))</f>
        <v>0</v>
      </c>
      <c r="W23" s="318">
        <f t="shared" ref="W23" si="4">V23*O23</f>
        <v>0</v>
      </c>
      <c r="X23" s="168"/>
      <c r="Y23" s="331">
        <f t="shared" si="2"/>
        <v>0</v>
      </c>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7"/>
    </row>
    <row r="24" spans="1:59" s="59" customFormat="1" ht="36" hidden="1" customHeight="1">
      <c r="A24" s="380"/>
      <c r="B24" s="376"/>
      <c r="C24" s="409"/>
      <c r="D24" s="336"/>
      <c r="E24" s="417"/>
      <c r="F24" s="397"/>
      <c r="G24" s="53" t="s">
        <v>44</v>
      </c>
      <c r="H24" s="48" t="s">
        <v>45</v>
      </c>
      <c r="I24" s="53" t="s">
        <v>44</v>
      </c>
      <c r="J24" s="127" t="s">
        <v>45</v>
      </c>
      <c r="K24" s="53" t="s">
        <v>29</v>
      </c>
      <c r="L24" s="247">
        <v>100</v>
      </c>
      <c r="M24" s="271" t="s">
        <v>137</v>
      </c>
      <c r="N24" s="92">
        <v>0</v>
      </c>
      <c r="O24" s="202"/>
      <c r="P24" s="242"/>
      <c r="Q24" s="1">
        <f>P24-L24</f>
        <v>-100</v>
      </c>
      <c r="R24" s="94">
        <f>100+Q24*2</f>
        <v>-100</v>
      </c>
      <c r="S24" s="95">
        <f t="shared" si="1"/>
        <v>0</v>
      </c>
      <c r="T24" s="242"/>
      <c r="U24" s="309"/>
      <c r="V24" s="160"/>
      <c r="W24" s="318"/>
      <c r="X24" s="168"/>
      <c r="Y24" s="331">
        <f t="shared" si="2"/>
        <v>0</v>
      </c>
      <c r="Z24" s="168"/>
      <c r="AA24" s="168"/>
      <c r="AB24" s="168"/>
      <c r="AC24" s="168"/>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8"/>
      <c r="AZ24" s="168"/>
      <c r="BA24" s="168"/>
      <c r="BB24" s="168"/>
      <c r="BC24" s="168"/>
      <c r="BD24" s="168"/>
      <c r="BE24" s="168"/>
      <c r="BF24" s="168"/>
      <c r="BG24" s="167"/>
    </row>
    <row r="25" spans="1:59" s="290" customFormat="1" ht="63" customHeight="1">
      <c r="A25" s="380"/>
      <c r="B25" s="376"/>
      <c r="C25" s="409"/>
      <c r="D25" s="378">
        <v>0</v>
      </c>
      <c r="E25" s="417" t="s">
        <v>12</v>
      </c>
      <c r="F25" s="453" t="s">
        <v>6</v>
      </c>
      <c r="G25" s="278" t="s">
        <v>331</v>
      </c>
      <c r="H25" s="279" t="s">
        <v>171</v>
      </c>
      <c r="I25" s="278" t="s">
        <v>332</v>
      </c>
      <c r="J25" s="280" t="s">
        <v>419</v>
      </c>
      <c r="K25" s="281" t="s">
        <v>205</v>
      </c>
      <c r="L25" s="282">
        <v>7</v>
      </c>
      <c r="M25" s="283" t="s">
        <v>137</v>
      </c>
      <c r="N25" s="284">
        <v>1</v>
      </c>
      <c r="O25" s="285">
        <f>$A$9*$B$10*$C$19*$D$25*N25</f>
        <v>0</v>
      </c>
      <c r="P25" s="313">
        <v>7</v>
      </c>
      <c r="Q25" s="286">
        <f>P25-L25</f>
        <v>0</v>
      </c>
      <c r="R25" s="277">
        <f>100-(P25-L25)*10*Q25</f>
        <v>100</v>
      </c>
      <c r="S25" s="287">
        <f t="shared" si="1"/>
        <v>0</v>
      </c>
      <c r="T25" s="322">
        <v>7</v>
      </c>
      <c r="U25" s="309"/>
      <c r="V25" s="17"/>
      <c r="W25" s="318"/>
      <c r="X25" s="288"/>
      <c r="Y25" s="331">
        <f t="shared" si="2"/>
        <v>0</v>
      </c>
      <c r="Z25" s="288"/>
      <c r="AA25" s="288"/>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c r="BC25" s="288"/>
      <c r="BD25" s="288"/>
      <c r="BE25" s="288"/>
      <c r="BF25" s="288"/>
      <c r="BG25" s="289"/>
    </row>
    <row r="26" spans="1:59" s="59" customFormat="1" ht="55.5" hidden="1" customHeight="1">
      <c r="A26" s="380"/>
      <c r="B26" s="376"/>
      <c r="C26" s="409"/>
      <c r="D26" s="378"/>
      <c r="E26" s="417"/>
      <c r="F26" s="453"/>
      <c r="G26" s="72" t="s">
        <v>25</v>
      </c>
      <c r="H26" s="48" t="s">
        <v>172</v>
      </c>
      <c r="I26" s="72" t="s">
        <v>25</v>
      </c>
      <c r="J26" s="127" t="s">
        <v>172</v>
      </c>
      <c r="K26" s="53" t="s">
        <v>205</v>
      </c>
      <c r="L26" s="247">
        <v>4.5</v>
      </c>
      <c r="M26" s="67" t="s">
        <v>137</v>
      </c>
      <c r="N26" s="92">
        <v>0</v>
      </c>
      <c r="O26" s="202"/>
      <c r="P26" s="242"/>
      <c r="Q26" s="1">
        <v>2</v>
      </c>
      <c r="R26" s="94">
        <f>100-(P26-L26)*10*Q26</f>
        <v>190</v>
      </c>
      <c r="S26" s="95">
        <f t="shared" si="1"/>
        <v>0</v>
      </c>
      <c r="T26" s="242"/>
      <c r="U26" s="309"/>
      <c r="V26" s="17"/>
      <c r="W26" s="318"/>
      <c r="X26" s="168"/>
      <c r="Y26" s="331">
        <f t="shared" si="2"/>
        <v>0</v>
      </c>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7"/>
    </row>
    <row r="27" spans="1:59" s="59" customFormat="1" ht="45" hidden="1" customHeight="1">
      <c r="A27" s="380"/>
      <c r="B27" s="376"/>
      <c r="C27" s="409"/>
      <c r="D27" s="378"/>
      <c r="E27" s="417"/>
      <c r="F27" s="453"/>
      <c r="G27" s="72" t="s">
        <v>32</v>
      </c>
      <c r="H27" s="91" t="s">
        <v>42</v>
      </c>
      <c r="I27" s="72" t="s">
        <v>32</v>
      </c>
      <c r="J27" s="67" t="s">
        <v>42</v>
      </c>
      <c r="K27" s="72" t="s">
        <v>29</v>
      </c>
      <c r="L27" s="247">
        <v>15</v>
      </c>
      <c r="M27" s="67" t="s">
        <v>137</v>
      </c>
      <c r="N27" s="92">
        <v>0</v>
      </c>
      <c r="O27" s="202"/>
      <c r="P27" s="242"/>
      <c r="Q27" s="12"/>
      <c r="R27" s="58">
        <f>100+(P27-L27)*10</f>
        <v>-50</v>
      </c>
      <c r="S27" s="95">
        <f t="shared" si="1"/>
        <v>0</v>
      </c>
      <c r="T27" s="242"/>
      <c r="U27" s="309"/>
      <c r="V27" s="17"/>
      <c r="W27" s="318"/>
      <c r="X27" s="168"/>
      <c r="Y27" s="331">
        <f t="shared" si="2"/>
        <v>0</v>
      </c>
      <c r="Z27" s="168"/>
      <c r="AA27" s="168"/>
      <c r="AB27" s="168"/>
      <c r="AC27" s="168"/>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7"/>
    </row>
    <row r="28" spans="1:59" s="59" customFormat="1" ht="44.25" hidden="1" customHeight="1">
      <c r="A28" s="380"/>
      <c r="B28" s="376"/>
      <c r="C28" s="409"/>
      <c r="D28" s="180">
        <v>0</v>
      </c>
      <c r="E28" s="98" t="s">
        <v>5</v>
      </c>
      <c r="F28" s="51" t="s">
        <v>8</v>
      </c>
      <c r="G28" s="53" t="s">
        <v>333</v>
      </c>
      <c r="H28" s="48" t="s">
        <v>178</v>
      </c>
      <c r="I28" s="53" t="s">
        <v>334</v>
      </c>
      <c r="J28" s="127" t="s">
        <v>178</v>
      </c>
      <c r="K28" s="127" t="s">
        <v>136</v>
      </c>
      <c r="L28" s="247">
        <v>0</v>
      </c>
      <c r="M28" s="67" t="s">
        <v>137</v>
      </c>
      <c r="N28" s="92">
        <v>1</v>
      </c>
      <c r="O28" s="202">
        <f>$A$9*$B$10*$C$19*$D$28*N28</f>
        <v>0</v>
      </c>
      <c r="P28" s="118"/>
      <c r="Q28" s="1">
        <v>10</v>
      </c>
      <c r="R28" s="94">
        <f>100-(P28-L28)*Q28</f>
        <v>100</v>
      </c>
      <c r="S28" s="95">
        <f t="shared" si="1"/>
        <v>0</v>
      </c>
      <c r="T28" s="118"/>
      <c r="U28" s="309"/>
      <c r="V28" s="17"/>
      <c r="W28" s="318"/>
      <c r="X28" s="168"/>
      <c r="Y28" s="331">
        <f t="shared" si="2"/>
        <v>0</v>
      </c>
      <c r="Z28" s="168"/>
      <c r="AA28" s="168"/>
      <c r="AB28" s="168"/>
      <c r="AC28" s="168"/>
      <c r="AD28" s="168"/>
      <c r="AE28" s="168"/>
      <c r="AF28" s="168"/>
      <c r="AG28" s="168"/>
      <c r="AH28" s="168"/>
      <c r="AI28" s="168"/>
      <c r="AJ28" s="168"/>
      <c r="AK28" s="168"/>
      <c r="AL28" s="168"/>
      <c r="AM28" s="168"/>
      <c r="AN28" s="168"/>
      <c r="AO28" s="168"/>
      <c r="AP28" s="168"/>
      <c r="AQ28" s="168"/>
      <c r="AR28" s="168"/>
      <c r="AS28" s="168"/>
      <c r="AT28" s="168"/>
      <c r="AU28" s="168"/>
      <c r="AV28" s="168"/>
      <c r="AW28" s="168"/>
      <c r="AX28" s="168"/>
      <c r="AY28" s="168"/>
      <c r="AZ28" s="168"/>
      <c r="BA28" s="168"/>
      <c r="BB28" s="168"/>
      <c r="BC28" s="168"/>
      <c r="BD28" s="168"/>
      <c r="BE28" s="168"/>
      <c r="BF28" s="168"/>
      <c r="BG28" s="167"/>
    </row>
    <row r="29" spans="1:59" s="59" customFormat="1" ht="32.25" customHeight="1">
      <c r="A29" s="380"/>
      <c r="B29" s="376"/>
      <c r="C29" s="409"/>
      <c r="D29" s="335">
        <v>0.5</v>
      </c>
      <c r="E29" s="403" t="s">
        <v>7</v>
      </c>
      <c r="F29" s="434" t="s">
        <v>33</v>
      </c>
      <c r="G29" s="72" t="s">
        <v>335</v>
      </c>
      <c r="H29" s="67" t="s">
        <v>35</v>
      </c>
      <c r="I29" s="72" t="s">
        <v>336</v>
      </c>
      <c r="J29" s="198" t="s">
        <v>309</v>
      </c>
      <c r="K29" s="53" t="s">
        <v>245</v>
      </c>
      <c r="L29" s="247">
        <v>0</v>
      </c>
      <c r="M29" s="67" t="s">
        <v>137</v>
      </c>
      <c r="N29" s="92">
        <v>0.5</v>
      </c>
      <c r="O29" s="202">
        <f>$A$9*$B$10*$C$19*$D$29*N29</f>
        <v>2.5500000000000002E-2</v>
      </c>
      <c r="P29" s="314">
        <v>0</v>
      </c>
      <c r="Q29" s="1">
        <v>20</v>
      </c>
      <c r="R29" s="94">
        <f>100-(P29-L29)*Q29</f>
        <v>100</v>
      </c>
      <c r="S29" s="95">
        <f t="shared" si="1"/>
        <v>2.5500000000000003</v>
      </c>
      <c r="T29" s="310">
        <v>0</v>
      </c>
      <c r="U29" s="309"/>
      <c r="V29" s="265">
        <v>100</v>
      </c>
      <c r="W29" s="318">
        <f t="shared" ref="W29:W30" si="5">V29*O29</f>
        <v>2.5500000000000003</v>
      </c>
      <c r="X29" s="168"/>
      <c r="Y29" s="331">
        <f t="shared" si="2"/>
        <v>0</v>
      </c>
      <c r="Z29" s="168"/>
      <c r="AA29" s="168"/>
      <c r="AB29" s="168"/>
      <c r="AC29" s="168"/>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168"/>
      <c r="AZ29" s="168"/>
      <c r="BA29" s="168"/>
      <c r="BB29" s="168"/>
      <c r="BC29" s="168"/>
      <c r="BD29" s="168"/>
      <c r="BE29" s="168"/>
      <c r="BF29" s="168"/>
      <c r="BG29" s="167"/>
    </row>
    <row r="30" spans="1:59" s="59" customFormat="1" ht="57.95" customHeight="1">
      <c r="A30" s="380"/>
      <c r="B30" s="376"/>
      <c r="C30" s="409"/>
      <c r="D30" s="336"/>
      <c r="E30" s="404"/>
      <c r="F30" s="435"/>
      <c r="G30" s="53" t="s">
        <v>337</v>
      </c>
      <c r="H30" s="48" t="s">
        <v>36</v>
      </c>
      <c r="I30" s="53" t="s">
        <v>338</v>
      </c>
      <c r="J30" s="131" t="s">
        <v>36</v>
      </c>
      <c r="K30" s="127" t="s">
        <v>136</v>
      </c>
      <c r="L30" s="247">
        <v>0</v>
      </c>
      <c r="M30" s="67" t="s">
        <v>137</v>
      </c>
      <c r="N30" s="92">
        <v>0.5</v>
      </c>
      <c r="O30" s="202">
        <f>$A$9*$B$10*$C$19*$D$29*N30</f>
        <v>2.5500000000000002E-2</v>
      </c>
      <c r="P30" s="314">
        <v>0</v>
      </c>
      <c r="Q30" s="1">
        <v>10</v>
      </c>
      <c r="R30" s="94">
        <f>100-(P30-L30)*Q30</f>
        <v>100</v>
      </c>
      <c r="S30" s="95">
        <f t="shared" si="1"/>
        <v>2.5500000000000003</v>
      </c>
      <c r="T30" s="310">
        <v>0</v>
      </c>
      <c r="U30" s="309">
        <v>10</v>
      </c>
      <c r="V30" s="265">
        <f>100-U30*T30</f>
        <v>100</v>
      </c>
      <c r="W30" s="318">
        <f t="shared" si="5"/>
        <v>2.5500000000000003</v>
      </c>
      <c r="X30" s="168"/>
      <c r="Y30" s="331">
        <f t="shared" si="2"/>
        <v>0</v>
      </c>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7"/>
    </row>
    <row r="31" spans="1:59" ht="15.75" customHeight="1">
      <c r="A31" s="380"/>
      <c r="B31" s="376"/>
      <c r="C31" s="408">
        <v>0</v>
      </c>
      <c r="D31" s="88"/>
      <c r="E31" s="89" t="s">
        <v>181</v>
      </c>
      <c r="F31" s="401" t="s">
        <v>135</v>
      </c>
      <c r="G31" s="402"/>
      <c r="H31" s="402"/>
      <c r="I31" s="402"/>
      <c r="J31" s="402"/>
      <c r="K31" s="402"/>
      <c r="L31" s="402"/>
      <c r="M31" s="411"/>
      <c r="N31" s="108"/>
      <c r="O31" s="203"/>
      <c r="P31" s="314"/>
      <c r="Q31" s="86"/>
      <c r="R31" s="109"/>
      <c r="S31" s="125"/>
      <c r="T31" s="86"/>
      <c r="U31" s="86"/>
      <c r="V31" s="109"/>
      <c r="W31" s="323"/>
      <c r="Y31" s="331">
        <f t="shared" si="2"/>
        <v>0</v>
      </c>
    </row>
    <row r="32" spans="1:59" s="111" customFormat="1" ht="30.6" hidden="1" customHeight="1">
      <c r="A32" s="380"/>
      <c r="B32" s="376"/>
      <c r="C32" s="409"/>
      <c r="D32" s="335">
        <v>1</v>
      </c>
      <c r="E32" s="413" t="s">
        <v>24</v>
      </c>
      <c r="F32" s="415" t="s">
        <v>43</v>
      </c>
      <c r="G32" s="101" t="s">
        <v>26</v>
      </c>
      <c r="H32" s="48" t="s">
        <v>13</v>
      </c>
      <c r="I32" s="48"/>
      <c r="J32" s="127"/>
      <c r="K32" s="9" t="s">
        <v>34</v>
      </c>
      <c r="L32" s="250"/>
      <c r="M32" s="67" t="s">
        <v>30</v>
      </c>
      <c r="N32" s="110">
        <v>0</v>
      </c>
      <c r="O32" s="202"/>
      <c r="P32" s="314">
        <v>0</v>
      </c>
      <c r="Q32" s="19"/>
      <c r="R32" s="17"/>
      <c r="S32" s="95">
        <f t="shared" si="1"/>
        <v>0</v>
      </c>
      <c r="T32" s="132"/>
      <c r="U32" s="19"/>
      <c r="V32" s="17"/>
      <c r="W32" s="318"/>
      <c r="Y32" s="331">
        <f t="shared" si="2"/>
        <v>0</v>
      </c>
    </row>
    <row r="33" spans="1:25" s="298" customFormat="1" ht="36" customHeight="1">
      <c r="A33" s="380"/>
      <c r="B33" s="377"/>
      <c r="C33" s="410"/>
      <c r="D33" s="412"/>
      <c r="E33" s="414"/>
      <c r="F33" s="416"/>
      <c r="G33" s="291" t="s">
        <v>339</v>
      </c>
      <c r="H33" s="292" t="s">
        <v>31</v>
      </c>
      <c r="I33" s="291" t="s">
        <v>340</v>
      </c>
      <c r="J33" s="238" t="s">
        <v>31</v>
      </c>
      <c r="K33" s="293" t="s">
        <v>202</v>
      </c>
      <c r="L33" s="294">
        <v>48</v>
      </c>
      <c r="M33" s="295" t="s">
        <v>249</v>
      </c>
      <c r="N33" s="296">
        <v>1</v>
      </c>
      <c r="O33" s="285">
        <f>$A$9*$B$10*$C$31*$D$32*N33</f>
        <v>0</v>
      </c>
      <c r="P33" s="132">
        <v>0</v>
      </c>
      <c r="Q33" s="297">
        <v>2</v>
      </c>
      <c r="R33" s="262">
        <f>IF(AND((100+(100-Q33)*1)&gt;30,(100+(100-Q33)*1))&lt;=120,(100+(100-Q33)*1),IF((100+(100-Q33)*1)&lt;30,0,100))</f>
        <v>100</v>
      </c>
      <c r="S33" s="287">
        <f t="shared" si="1"/>
        <v>0</v>
      </c>
      <c r="T33" s="19">
        <v>0</v>
      </c>
      <c r="U33" s="159">
        <f>T33-L33</f>
        <v>-48</v>
      </c>
      <c r="V33" s="159">
        <f>IF(AND((100-U33*2)&gt;30,(100-U33*2)&lt;120),(100-U33*2),IF((100-U33*2)&gt;=120,120,0))</f>
        <v>120</v>
      </c>
      <c r="W33" s="318">
        <f>V33*O33</f>
        <v>0</v>
      </c>
      <c r="Y33" s="331">
        <f t="shared" si="2"/>
        <v>0</v>
      </c>
    </row>
    <row r="34" spans="1:25" s="111" customFormat="1" ht="15.95" customHeight="1">
      <c r="A34" s="380"/>
      <c r="E34" s="34"/>
      <c r="F34" s="34"/>
      <c r="G34" s="100"/>
      <c r="H34" s="112"/>
      <c r="I34" s="112"/>
      <c r="J34" s="184"/>
      <c r="K34" s="185"/>
      <c r="L34" s="251"/>
      <c r="M34" s="113"/>
      <c r="N34" s="114"/>
      <c r="O34" s="202"/>
      <c r="P34" s="243"/>
      <c r="Q34" s="115"/>
      <c r="R34" s="20"/>
      <c r="S34" s="21"/>
      <c r="T34" s="243"/>
      <c r="U34" s="115"/>
      <c r="V34" s="20"/>
      <c r="W34" s="324"/>
      <c r="Y34" s="331">
        <f t="shared" si="2"/>
        <v>0</v>
      </c>
    </row>
    <row r="35" spans="1:25" ht="20.25" customHeight="1">
      <c r="A35" s="380"/>
      <c r="B35" s="375">
        <v>0.73</v>
      </c>
      <c r="C35" s="116"/>
      <c r="D35" s="116"/>
      <c r="E35" s="116" t="s">
        <v>150</v>
      </c>
      <c r="F35" s="384" t="s">
        <v>151</v>
      </c>
      <c r="G35" s="385"/>
      <c r="H35" s="385"/>
      <c r="I35" s="385"/>
      <c r="J35" s="385"/>
      <c r="K35" s="385"/>
      <c r="L35" s="385"/>
      <c r="M35" s="386"/>
      <c r="N35" s="169"/>
      <c r="O35" s="209"/>
      <c r="P35" s="118"/>
      <c r="Q35" s="170"/>
      <c r="R35" s="171"/>
      <c r="S35" s="172">
        <f>SUM(S37:S144)</f>
        <v>62.850444999999993</v>
      </c>
      <c r="T35" s="118"/>
      <c r="U35" s="170"/>
      <c r="V35" s="173"/>
      <c r="W35" s="325"/>
      <c r="X35" s="61">
        <f>85*0.73</f>
        <v>62.05</v>
      </c>
      <c r="Y35" s="331">
        <f t="shared" si="2"/>
        <v>-62.850444999999993</v>
      </c>
    </row>
    <row r="36" spans="1:25" s="64" customFormat="1" ht="21" customHeight="1">
      <c r="A36" s="380"/>
      <c r="B36" s="376"/>
      <c r="C36" s="332">
        <v>0.15</v>
      </c>
      <c r="D36" s="121"/>
      <c r="E36" s="121" t="s">
        <v>182</v>
      </c>
      <c r="F36" s="390" t="s">
        <v>152</v>
      </c>
      <c r="G36" s="391"/>
      <c r="H36" s="391"/>
      <c r="I36" s="391"/>
      <c r="J36" s="391"/>
      <c r="K36" s="391"/>
      <c r="L36" s="391"/>
      <c r="M36" s="392"/>
      <c r="N36" s="122"/>
      <c r="O36" s="211"/>
      <c r="P36" s="123"/>
      <c r="Q36" s="123"/>
      <c r="R36" s="124"/>
      <c r="S36" s="125"/>
      <c r="T36" s="123"/>
      <c r="U36" s="126"/>
      <c r="V36" s="119"/>
      <c r="W36" s="326"/>
      <c r="Y36" s="331">
        <f t="shared" si="2"/>
        <v>0</v>
      </c>
    </row>
    <row r="37" spans="1:25" s="305" customFormat="1" ht="30">
      <c r="A37" s="380"/>
      <c r="B37" s="376"/>
      <c r="C37" s="349"/>
      <c r="D37" s="335">
        <v>0.7</v>
      </c>
      <c r="E37" s="399" t="s">
        <v>70</v>
      </c>
      <c r="F37" s="354" t="s">
        <v>71</v>
      </c>
      <c r="G37" s="299" t="s">
        <v>341</v>
      </c>
      <c r="H37" s="300" t="s">
        <v>206</v>
      </c>
      <c r="I37" s="299" t="s">
        <v>342</v>
      </c>
      <c r="J37" s="301" t="s">
        <v>310</v>
      </c>
      <c r="K37" s="302" t="s">
        <v>136</v>
      </c>
      <c r="L37" s="294">
        <v>0</v>
      </c>
      <c r="M37" s="283" t="s">
        <v>137</v>
      </c>
      <c r="N37" s="303">
        <v>0</v>
      </c>
      <c r="O37" s="304">
        <f>$A$9*$B$35*$C$36*$D$37*N37</f>
        <v>0</v>
      </c>
      <c r="P37" s="132">
        <v>0</v>
      </c>
      <c r="Q37" s="302">
        <v>10</v>
      </c>
      <c r="R37" s="277">
        <f t="shared" ref="R37:R50" si="6">100-(P37-L37)*Q37</f>
        <v>100</v>
      </c>
      <c r="S37" s="287">
        <f t="shared" ref="S37:S51" si="7">R37*O37</f>
        <v>0</v>
      </c>
      <c r="T37" s="19">
        <v>0</v>
      </c>
      <c r="U37" s="309">
        <v>10</v>
      </c>
      <c r="V37" s="265">
        <f t="shared" ref="V37:V52" si="8">100-U37*T37</f>
        <v>100</v>
      </c>
      <c r="W37" s="318">
        <f t="shared" ref="W37:W52" si="9">V37*O37</f>
        <v>0</v>
      </c>
      <c r="Y37" s="331">
        <f t="shared" si="2"/>
        <v>0</v>
      </c>
    </row>
    <row r="38" spans="1:25" s="15" customFormat="1" ht="48.75" hidden="1" customHeight="1">
      <c r="A38" s="380"/>
      <c r="B38" s="376"/>
      <c r="C38" s="349"/>
      <c r="D38" s="343"/>
      <c r="E38" s="399"/>
      <c r="F38" s="354"/>
      <c r="G38" s="2" t="s">
        <v>207</v>
      </c>
      <c r="H38" s="74" t="s">
        <v>208</v>
      </c>
      <c r="I38" s="2" t="s">
        <v>209</v>
      </c>
      <c r="J38" s="186" t="s">
        <v>276</v>
      </c>
      <c r="K38" s="127" t="s">
        <v>136</v>
      </c>
      <c r="L38" s="250">
        <v>0</v>
      </c>
      <c r="M38" s="67" t="s">
        <v>137</v>
      </c>
      <c r="N38" s="93">
        <v>0</v>
      </c>
      <c r="O38" s="204"/>
      <c r="P38" s="132"/>
      <c r="Q38" s="260">
        <v>10</v>
      </c>
      <c r="R38" s="94">
        <f t="shared" si="6"/>
        <v>100</v>
      </c>
      <c r="S38" s="95">
        <f t="shared" si="7"/>
        <v>0</v>
      </c>
      <c r="T38" s="132"/>
      <c r="U38" s="309">
        <v>10</v>
      </c>
      <c r="V38" s="265">
        <f t="shared" si="8"/>
        <v>100</v>
      </c>
      <c r="W38" s="318">
        <f t="shared" si="9"/>
        <v>0</v>
      </c>
      <c r="Y38" s="331">
        <f t="shared" si="2"/>
        <v>0</v>
      </c>
    </row>
    <row r="39" spans="1:25" s="15" customFormat="1" ht="33" customHeight="1">
      <c r="A39" s="380"/>
      <c r="B39" s="376"/>
      <c r="C39" s="349"/>
      <c r="D39" s="343"/>
      <c r="E39" s="399"/>
      <c r="F39" s="354"/>
      <c r="G39" s="2" t="s">
        <v>343</v>
      </c>
      <c r="H39" s="74" t="s">
        <v>210</v>
      </c>
      <c r="I39" s="2" t="s">
        <v>346</v>
      </c>
      <c r="J39" s="7" t="s">
        <v>276</v>
      </c>
      <c r="K39" s="127" t="s">
        <v>136</v>
      </c>
      <c r="L39" s="250">
        <v>0</v>
      </c>
      <c r="M39" s="67" t="s">
        <v>249</v>
      </c>
      <c r="N39" s="93">
        <v>0.4</v>
      </c>
      <c r="O39" s="307">
        <f>$A$9*$B$35*$C$36*$D$37*N39</f>
        <v>2.6060999999999997E-2</v>
      </c>
      <c r="P39" s="132">
        <v>0</v>
      </c>
      <c r="Q39" s="260">
        <v>10</v>
      </c>
      <c r="R39" s="94">
        <f t="shared" si="6"/>
        <v>100</v>
      </c>
      <c r="S39" s="95">
        <f t="shared" si="7"/>
        <v>2.6060999999999996</v>
      </c>
      <c r="T39" s="19">
        <v>0</v>
      </c>
      <c r="U39" s="309">
        <v>10</v>
      </c>
      <c r="V39" s="265">
        <f t="shared" si="8"/>
        <v>100</v>
      </c>
      <c r="W39" s="318">
        <f t="shared" si="9"/>
        <v>2.6060999999999996</v>
      </c>
      <c r="X39" s="15">
        <f>85*0.73*0.15*0.7*0.4</f>
        <v>2.6060999999999996</v>
      </c>
      <c r="Y39" s="331">
        <f t="shared" si="2"/>
        <v>0</v>
      </c>
    </row>
    <row r="40" spans="1:25" s="15" customFormat="1" ht="30" customHeight="1">
      <c r="A40" s="380"/>
      <c r="B40" s="376"/>
      <c r="C40" s="349"/>
      <c r="D40" s="343"/>
      <c r="E40" s="399"/>
      <c r="F40" s="354"/>
      <c r="G40" s="2" t="s">
        <v>345</v>
      </c>
      <c r="H40" s="74" t="s">
        <v>211</v>
      </c>
      <c r="I40" s="2" t="s">
        <v>344</v>
      </c>
      <c r="J40" s="7" t="s">
        <v>311</v>
      </c>
      <c r="K40" s="127" t="s">
        <v>136</v>
      </c>
      <c r="L40" s="250">
        <v>0</v>
      </c>
      <c r="M40" s="67" t="s">
        <v>137</v>
      </c>
      <c r="N40" s="93">
        <v>0.6</v>
      </c>
      <c r="O40" s="307">
        <f>$A$9*$B$35*$C$36*$D$37*N40</f>
        <v>3.9091499999999994E-2</v>
      </c>
      <c r="P40" s="132">
        <v>0</v>
      </c>
      <c r="Q40" s="260">
        <v>10</v>
      </c>
      <c r="R40" s="94">
        <f t="shared" si="6"/>
        <v>100</v>
      </c>
      <c r="S40" s="95">
        <f t="shared" si="7"/>
        <v>3.9091499999999995</v>
      </c>
      <c r="T40" s="19">
        <v>0</v>
      </c>
      <c r="U40" s="309">
        <v>10</v>
      </c>
      <c r="V40" s="265">
        <f t="shared" si="8"/>
        <v>100</v>
      </c>
      <c r="W40" s="318">
        <f t="shared" si="9"/>
        <v>3.9091499999999995</v>
      </c>
      <c r="X40" s="15">
        <f>85*0.73*0.15*0.7*0.6</f>
        <v>3.9091499999999995</v>
      </c>
      <c r="Y40" s="331">
        <f t="shared" si="2"/>
        <v>0</v>
      </c>
    </row>
    <row r="41" spans="1:25" s="15" customFormat="1" ht="30" hidden="1" customHeight="1">
      <c r="A41" s="380"/>
      <c r="B41" s="376"/>
      <c r="C41" s="349"/>
      <c r="D41" s="187"/>
      <c r="E41" s="181"/>
      <c r="F41" s="182"/>
      <c r="G41" s="181"/>
      <c r="H41" s="182"/>
      <c r="I41" s="2"/>
      <c r="J41" s="186"/>
      <c r="K41" s="127" t="s">
        <v>136</v>
      </c>
      <c r="L41" s="250">
        <v>0</v>
      </c>
      <c r="M41" s="67" t="s">
        <v>137</v>
      </c>
      <c r="N41" s="93">
        <v>0</v>
      </c>
      <c r="O41" s="307">
        <f>$A$9*$B$35*$C$36*$D$37*J41*N41</f>
        <v>0</v>
      </c>
      <c r="P41" s="132"/>
      <c r="Q41" s="260">
        <v>10</v>
      </c>
      <c r="R41" s="94">
        <f t="shared" si="6"/>
        <v>100</v>
      </c>
      <c r="S41" s="95">
        <f t="shared" si="7"/>
        <v>0</v>
      </c>
      <c r="T41" s="132"/>
      <c r="U41" s="309">
        <v>10</v>
      </c>
      <c r="V41" s="265">
        <f t="shared" si="8"/>
        <v>100</v>
      </c>
      <c r="W41" s="318">
        <f t="shared" si="9"/>
        <v>0</v>
      </c>
      <c r="Y41" s="331">
        <f t="shared" si="2"/>
        <v>0</v>
      </c>
    </row>
    <row r="42" spans="1:25" s="15" customFormat="1" ht="30" hidden="1" customHeight="1">
      <c r="A42" s="380"/>
      <c r="B42" s="376"/>
      <c r="C42" s="349"/>
      <c r="D42" s="187"/>
      <c r="E42" s="181"/>
      <c r="F42" s="182"/>
      <c r="G42" s="181"/>
      <c r="H42" s="182"/>
      <c r="I42" s="399" t="s">
        <v>72</v>
      </c>
      <c r="J42" s="354" t="s">
        <v>246</v>
      </c>
      <c r="K42" s="127" t="s">
        <v>136</v>
      </c>
      <c r="L42" s="250">
        <v>0</v>
      </c>
      <c r="M42" s="67" t="s">
        <v>137</v>
      </c>
      <c r="N42" s="93">
        <v>0</v>
      </c>
      <c r="O42" s="307"/>
      <c r="P42" s="132"/>
      <c r="Q42" s="260">
        <v>10</v>
      </c>
      <c r="R42" s="94">
        <f t="shared" si="6"/>
        <v>100</v>
      </c>
      <c r="S42" s="95">
        <f t="shared" si="7"/>
        <v>0</v>
      </c>
      <c r="T42" s="132"/>
      <c r="U42" s="309">
        <v>10</v>
      </c>
      <c r="V42" s="265">
        <f t="shared" si="8"/>
        <v>100</v>
      </c>
      <c r="W42" s="318">
        <f t="shared" si="9"/>
        <v>0</v>
      </c>
      <c r="Y42" s="331">
        <f t="shared" si="2"/>
        <v>0</v>
      </c>
    </row>
    <row r="43" spans="1:25" s="15" customFormat="1" ht="30" hidden="1" customHeight="1">
      <c r="A43" s="380"/>
      <c r="B43" s="376"/>
      <c r="C43" s="349"/>
      <c r="D43" s="187"/>
      <c r="E43" s="181"/>
      <c r="F43" s="182"/>
      <c r="G43" s="181"/>
      <c r="H43" s="182"/>
      <c r="I43" s="399"/>
      <c r="J43" s="354"/>
      <c r="K43" s="127" t="s">
        <v>136</v>
      </c>
      <c r="L43" s="250">
        <v>0</v>
      </c>
      <c r="M43" s="67" t="s">
        <v>137</v>
      </c>
      <c r="N43" s="93"/>
      <c r="O43" s="307">
        <f>$A$9*$B$35*$C$36*$D$42*J43*N43</f>
        <v>0</v>
      </c>
      <c r="P43" s="132"/>
      <c r="Q43" s="260">
        <v>10</v>
      </c>
      <c r="R43" s="94">
        <f t="shared" si="6"/>
        <v>100</v>
      </c>
      <c r="S43" s="95">
        <f t="shared" si="7"/>
        <v>0</v>
      </c>
      <c r="T43" s="132"/>
      <c r="U43" s="309">
        <v>10</v>
      </c>
      <c r="V43" s="265">
        <f t="shared" si="8"/>
        <v>100</v>
      </c>
      <c r="W43" s="318">
        <f t="shared" si="9"/>
        <v>0</v>
      </c>
      <c r="Y43" s="331">
        <f t="shared" si="2"/>
        <v>0</v>
      </c>
    </row>
    <row r="44" spans="1:25" s="15" customFormat="1" ht="34.5" hidden="1" customHeight="1">
      <c r="A44" s="380"/>
      <c r="B44" s="376"/>
      <c r="C44" s="349"/>
      <c r="D44" s="187"/>
      <c r="E44" s="181"/>
      <c r="F44" s="182"/>
      <c r="G44" s="181"/>
      <c r="H44" s="182"/>
      <c r="I44" s="399"/>
      <c r="J44" s="354"/>
      <c r="K44" s="127" t="s">
        <v>136</v>
      </c>
      <c r="L44" s="250">
        <v>0</v>
      </c>
      <c r="M44" s="67" t="s">
        <v>137</v>
      </c>
      <c r="N44" s="93"/>
      <c r="O44" s="307">
        <f>$A$9*$B$35*$C$36*$D$42*J44*N44</f>
        <v>0</v>
      </c>
      <c r="P44" s="132"/>
      <c r="Q44" s="260">
        <v>10</v>
      </c>
      <c r="R44" s="94">
        <f t="shared" si="6"/>
        <v>100</v>
      </c>
      <c r="S44" s="95">
        <f t="shared" si="7"/>
        <v>0</v>
      </c>
      <c r="T44" s="132"/>
      <c r="U44" s="309">
        <v>10</v>
      </c>
      <c r="V44" s="265">
        <f t="shared" si="8"/>
        <v>100</v>
      </c>
      <c r="W44" s="318">
        <f t="shared" si="9"/>
        <v>0</v>
      </c>
      <c r="Y44" s="331">
        <f t="shared" si="2"/>
        <v>0</v>
      </c>
    </row>
    <row r="45" spans="1:25" s="15" customFormat="1" ht="47.25" hidden="1" customHeight="1">
      <c r="A45" s="380"/>
      <c r="B45" s="376"/>
      <c r="C45" s="349"/>
      <c r="D45" s="335"/>
      <c r="E45" s="387" t="s">
        <v>48</v>
      </c>
      <c r="F45" s="337" t="s">
        <v>49</v>
      </c>
      <c r="G45" s="387" t="s">
        <v>347</v>
      </c>
      <c r="H45" s="337" t="s">
        <v>267</v>
      </c>
      <c r="I45" s="387" t="s">
        <v>348</v>
      </c>
      <c r="J45" s="393" t="s">
        <v>312</v>
      </c>
      <c r="K45" s="127" t="s">
        <v>136</v>
      </c>
      <c r="L45" s="250">
        <v>0</v>
      </c>
      <c r="M45" s="67" t="s">
        <v>137</v>
      </c>
      <c r="N45" s="93">
        <v>1</v>
      </c>
      <c r="O45" s="307">
        <f>$A$9*$B$35*$C$36*$D$45*N45</f>
        <v>0</v>
      </c>
      <c r="P45" s="132"/>
      <c r="Q45" s="260">
        <v>10</v>
      </c>
      <c r="R45" s="94">
        <f t="shared" si="6"/>
        <v>100</v>
      </c>
      <c r="S45" s="95">
        <f t="shared" si="7"/>
        <v>0</v>
      </c>
      <c r="T45" s="132"/>
      <c r="U45" s="309">
        <v>10</v>
      </c>
      <c r="V45" s="265">
        <f t="shared" si="8"/>
        <v>100</v>
      </c>
      <c r="W45" s="318">
        <f t="shared" si="9"/>
        <v>0</v>
      </c>
      <c r="Y45" s="331">
        <f t="shared" si="2"/>
        <v>0</v>
      </c>
    </row>
    <row r="46" spans="1:25" s="15" customFormat="1" ht="34.5" hidden="1" customHeight="1">
      <c r="A46" s="380"/>
      <c r="B46" s="376"/>
      <c r="C46" s="349"/>
      <c r="D46" s="343"/>
      <c r="E46" s="389"/>
      <c r="F46" s="339"/>
      <c r="G46" s="389"/>
      <c r="H46" s="339"/>
      <c r="I46" s="389"/>
      <c r="J46" s="398"/>
      <c r="K46" s="127" t="s">
        <v>136</v>
      </c>
      <c r="L46" s="250">
        <v>0</v>
      </c>
      <c r="M46" s="67" t="s">
        <v>137</v>
      </c>
      <c r="N46" s="93">
        <v>0</v>
      </c>
      <c r="O46" s="307">
        <f>$A$9*$B$35*$C$36*$D$45*J46*N46</f>
        <v>0</v>
      </c>
      <c r="P46" s="132"/>
      <c r="Q46" s="260">
        <v>10</v>
      </c>
      <c r="R46" s="94">
        <f t="shared" si="6"/>
        <v>100</v>
      </c>
      <c r="S46" s="95">
        <f t="shared" si="7"/>
        <v>0</v>
      </c>
      <c r="T46" s="132"/>
      <c r="U46" s="309">
        <v>10</v>
      </c>
      <c r="V46" s="265">
        <f t="shared" si="8"/>
        <v>100</v>
      </c>
      <c r="W46" s="318">
        <f t="shared" si="9"/>
        <v>0</v>
      </c>
      <c r="Y46" s="331">
        <f t="shared" si="2"/>
        <v>0</v>
      </c>
    </row>
    <row r="47" spans="1:25" s="15" customFormat="1" ht="33" hidden="1" customHeight="1">
      <c r="A47" s="380"/>
      <c r="B47" s="376"/>
      <c r="C47" s="349"/>
      <c r="D47" s="336"/>
      <c r="E47" s="388"/>
      <c r="F47" s="338"/>
      <c r="G47" s="388"/>
      <c r="H47" s="338"/>
      <c r="I47" s="388"/>
      <c r="J47" s="394"/>
      <c r="K47" s="127" t="s">
        <v>136</v>
      </c>
      <c r="L47" s="250">
        <v>0</v>
      </c>
      <c r="M47" s="67" t="s">
        <v>137</v>
      </c>
      <c r="N47" s="93">
        <v>0</v>
      </c>
      <c r="O47" s="307">
        <f>$A$9*$B$35*$C$36*$D$45*J47*N47</f>
        <v>0</v>
      </c>
      <c r="P47" s="132"/>
      <c r="Q47" s="260">
        <v>10</v>
      </c>
      <c r="R47" s="94">
        <f t="shared" si="6"/>
        <v>100</v>
      </c>
      <c r="S47" s="95">
        <f t="shared" si="7"/>
        <v>0</v>
      </c>
      <c r="T47" s="132"/>
      <c r="U47" s="309">
        <v>10</v>
      </c>
      <c r="V47" s="265">
        <f t="shared" si="8"/>
        <v>100</v>
      </c>
      <c r="W47" s="318">
        <f t="shared" si="9"/>
        <v>0</v>
      </c>
      <c r="Y47" s="331">
        <f t="shared" si="2"/>
        <v>0</v>
      </c>
    </row>
    <row r="48" spans="1:25" s="15" customFormat="1" ht="51" hidden="1" customHeight="1">
      <c r="A48" s="380"/>
      <c r="B48" s="376"/>
      <c r="C48" s="349"/>
      <c r="D48" s="335"/>
      <c r="E48" s="387" t="s">
        <v>50</v>
      </c>
      <c r="F48" s="337" t="s">
        <v>51</v>
      </c>
      <c r="G48" s="387" t="s">
        <v>349</v>
      </c>
      <c r="H48" s="337" t="s">
        <v>271</v>
      </c>
      <c r="I48" s="387" t="s">
        <v>350</v>
      </c>
      <c r="J48" s="393" t="s">
        <v>268</v>
      </c>
      <c r="K48" s="127" t="s">
        <v>136</v>
      </c>
      <c r="L48" s="250">
        <v>0</v>
      </c>
      <c r="M48" s="67" t="s">
        <v>137</v>
      </c>
      <c r="N48" s="93">
        <v>1</v>
      </c>
      <c r="O48" s="307">
        <f>$A$9*$B$35*$C$36*$D$48*N48</f>
        <v>0</v>
      </c>
      <c r="P48" s="132"/>
      <c r="Q48" s="260">
        <v>10</v>
      </c>
      <c r="R48" s="94">
        <f t="shared" si="6"/>
        <v>100</v>
      </c>
      <c r="S48" s="95">
        <f t="shared" si="7"/>
        <v>0</v>
      </c>
      <c r="T48" s="132"/>
      <c r="U48" s="309">
        <v>10</v>
      </c>
      <c r="V48" s="265">
        <f t="shared" si="8"/>
        <v>100</v>
      </c>
      <c r="W48" s="318">
        <f t="shared" si="9"/>
        <v>0</v>
      </c>
      <c r="Y48" s="331">
        <f t="shared" si="2"/>
        <v>0</v>
      </c>
    </row>
    <row r="49" spans="1:25" s="15" customFormat="1" ht="33" hidden="1" customHeight="1">
      <c r="A49" s="380"/>
      <c r="B49" s="376"/>
      <c r="C49" s="349"/>
      <c r="D49" s="343"/>
      <c r="E49" s="389"/>
      <c r="F49" s="339"/>
      <c r="G49" s="389"/>
      <c r="H49" s="339"/>
      <c r="I49" s="389"/>
      <c r="J49" s="398"/>
      <c r="K49" s="127" t="s">
        <v>136</v>
      </c>
      <c r="L49" s="250">
        <v>0</v>
      </c>
      <c r="M49" s="67" t="s">
        <v>137</v>
      </c>
      <c r="N49" s="93">
        <v>0</v>
      </c>
      <c r="O49" s="307">
        <f>$A$9*$B$35*$C$36*$D$48*J49*N49</f>
        <v>0</v>
      </c>
      <c r="P49" s="132"/>
      <c r="Q49" s="260">
        <v>10</v>
      </c>
      <c r="R49" s="94">
        <f t="shared" si="6"/>
        <v>100</v>
      </c>
      <c r="S49" s="95">
        <f t="shared" si="7"/>
        <v>0</v>
      </c>
      <c r="T49" s="132"/>
      <c r="U49" s="309">
        <v>10</v>
      </c>
      <c r="V49" s="265">
        <f t="shared" si="8"/>
        <v>100</v>
      </c>
      <c r="W49" s="318">
        <f t="shared" si="9"/>
        <v>0</v>
      </c>
      <c r="Y49" s="331">
        <f t="shared" si="2"/>
        <v>0</v>
      </c>
    </row>
    <row r="50" spans="1:25" s="15" customFormat="1" ht="45" hidden="1" customHeight="1">
      <c r="A50" s="380"/>
      <c r="B50" s="376"/>
      <c r="C50" s="349"/>
      <c r="D50" s="336"/>
      <c r="E50" s="388"/>
      <c r="F50" s="338"/>
      <c r="G50" s="388"/>
      <c r="H50" s="338"/>
      <c r="I50" s="388"/>
      <c r="J50" s="394"/>
      <c r="K50" s="127" t="s">
        <v>136</v>
      </c>
      <c r="L50" s="250">
        <v>0</v>
      </c>
      <c r="M50" s="67" t="s">
        <v>137</v>
      </c>
      <c r="N50" s="93">
        <v>0</v>
      </c>
      <c r="O50" s="307">
        <f>$A$9*$B$35*$C$36*$D$48*J50*N50</f>
        <v>0</v>
      </c>
      <c r="P50" s="132"/>
      <c r="Q50" s="260">
        <v>10</v>
      </c>
      <c r="R50" s="94">
        <f t="shared" si="6"/>
        <v>100</v>
      </c>
      <c r="S50" s="95">
        <f t="shared" si="7"/>
        <v>0</v>
      </c>
      <c r="T50" s="132"/>
      <c r="U50" s="309">
        <v>10</v>
      </c>
      <c r="V50" s="265">
        <f t="shared" si="8"/>
        <v>100</v>
      </c>
      <c r="W50" s="318">
        <f t="shared" si="9"/>
        <v>0</v>
      </c>
      <c r="Y50" s="331">
        <f t="shared" si="2"/>
        <v>0</v>
      </c>
    </row>
    <row r="51" spans="1:25" s="15" customFormat="1" ht="45" customHeight="1">
      <c r="A51" s="380"/>
      <c r="B51" s="376"/>
      <c r="C51" s="349"/>
      <c r="D51" s="335">
        <v>0.3</v>
      </c>
      <c r="E51" s="387" t="s">
        <v>73</v>
      </c>
      <c r="F51" s="337" t="s">
        <v>74</v>
      </c>
      <c r="G51" s="387" t="s">
        <v>351</v>
      </c>
      <c r="H51" s="337" t="s">
        <v>212</v>
      </c>
      <c r="I51" s="387" t="s">
        <v>352</v>
      </c>
      <c r="J51" s="393" t="s">
        <v>277</v>
      </c>
      <c r="K51" s="127" t="s">
        <v>136</v>
      </c>
      <c r="L51" s="250">
        <v>0</v>
      </c>
      <c r="M51" s="67" t="s">
        <v>137</v>
      </c>
      <c r="N51" s="93">
        <v>1</v>
      </c>
      <c r="O51" s="307">
        <f>$A$9*$B$35*$C$36*$D$51*N51</f>
        <v>2.7922499999999996E-2</v>
      </c>
      <c r="P51" s="132">
        <v>0</v>
      </c>
      <c r="Q51" s="260">
        <v>10</v>
      </c>
      <c r="R51" s="94">
        <f>100-(P51-L51)*Q51</f>
        <v>100</v>
      </c>
      <c r="S51" s="95">
        <f t="shared" si="7"/>
        <v>2.7922499999999997</v>
      </c>
      <c r="T51" s="19">
        <v>0</v>
      </c>
      <c r="U51" s="309">
        <v>10</v>
      </c>
      <c r="V51" s="265">
        <f t="shared" si="8"/>
        <v>100</v>
      </c>
      <c r="W51" s="318">
        <f t="shared" si="9"/>
        <v>2.7922499999999997</v>
      </c>
      <c r="X51" s="15">
        <f>85*0.73*0.15*0.3</f>
        <v>2.7922499999999997</v>
      </c>
      <c r="Y51" s="331">
        <f t="shared" si="2"/>
        <v>0</v>
      </c>
    </row>
    <row r="52" spans="1:25" s="15" customFormat="1" ht="33" hidden="1" customHeight="1">
      <c r="A52" s="380"/>
      <c r="B52" s="376"/>
      <c r="C52" s="350"/>
      <c r="D52" s="336"/>
      <c r="E52" s="388"/>
      <c r="F52" s="338"/>
      <c r="G52" s="388"/>
      <c r="H52" s="338"/>
      <c r="I52" s="388"/>
      <c r="J52" s="394"/>
      <c r="K52" s="127" t="s">
        <v>136</v>
      </c>
      <c r="L52" s="250">
        <v>0</v>
      </c>
      <c r="M52" s="48" t="s">
        <v>149</v>
      </c>
      <c r="N52" s="93">
        <v>0</v>
      </c>
      <c r="O52" s="210"/>
      <c r="P52" s="132"/>
      <c r="Q52" s="48"/>
      <c r="R52" s="94">
        <f>100-(P52-L52)*10</f>
        <v>100</v>
      </c>
      <c r="S52" s="95">
        <f>$A$9*$B$35*$C$36*$D$51*N52*R52</f>
        <v>0</v>
      </c>
      <c r="T52" s="132"/>
      <c r="U52" s="309">
        <v>10</v>
      </c>
      <c r="V52" s="265">
        <f t="shared" si="8"/>
        <v>100</v>
      </c>
      <c r="W52" s="318">
        <f t="shared" si="9"/>
        <v>0</v>
      </c>
      <c r="Y52" s="331">
        <f t="shared" si="2"/>
        <v>0</v>
      </c>
    </row>
    <row r="53" spans="1:25" s="15" customFormat="1" ht="24" customHeight="1">
      <c r="A53" s="380"/>
      <c r="B53" s="376"/>
      <c r="C53" s="332">
        <v>0.05</v>
      </c>
      <c r="D53" s="90"/>
      <c r="E53" s="104" t="s">
        <v>189</v>
      </c>
      <c r="F53" s="390" t="s">
        <v>52</v>
      </c>
      <c r="G53" s="391"/>
      <c r="H53" s="391"/>
      <c r="I53" s="391"/>
      <c r="J53" s="391"/>
      <c r="K53" s="391"/>
      <c r="L53" s="391"/>
      <c r="M53" s="392"/>
      <c r="N53" s="117"/>
      <c r="O53" s="212"/>
      <c r="P53" s="123"/>
      <c r="Q53" s="123"/>
      <c r="R53" s="123"/>
      <c r="S53" s="123"/>
      <c r="T53" s="123"/>
      <c r="U53" s="126"/>
      <c r="V53" s="119"/>
      <c r="W53" s="326"/>
      <c r="Y53" s="331">
        <f t="shared" si="2"/>
        <v>0</v>
      </c>
    </row>
    <row r="54" spans="1:25" s="15" customFormat="1" ht="77.25" customHeight="1">
      <c r="A54" s="380"/>
      <c r="B54" s="376"/>
      <c r="C54" s="333"/>
      <c r="D54" s="274">
        <v>1</v>
      </c>
      <c r="E54" s="54" t="s">
        <v>75</v>
      </c>
      <c r="F54" s="55" t="s">
        <v>76</v>
      </c>
      <c r="G54" s="54" t="s">
        <v>353</v>
      </c>
      <c r="H54" s="55" t="s">
        <v>213</v>
      </c>
      <c r="I54" s="54" t="s">
        <v>354</v>
      </c>
      <c r="J54" s="75" t="s">
        <v>313</v>
      </c>
      <c r="K54" s="127" t="s">
        <v>136</v>
      </c>
      <c r="L54" s="250">
        <v>0</v>
      </c>
      <c r="M54" s="127" t="s">
        <v>137</v>
      </c>
      <c r="N54" s="93">
        <v>1</v>
      </c>
      <c r="O54" s="204">
        <f>$A$9*$B$35*$C$53*$D$54*N54</f>
        <v>3.1024999999999997E-2</v>
      </c>
      <c r="P54" s="132">
        <v>0</v>
      </c>
      <c r="Q54" s="127">
        <v>10</v>
      </c>
      <c r="R54" s="94">
        <f>100-(P54-L54)*Q54</f>
        <v>100</v>
      </c>
      <c r="S54" s="95">
        <f>R54*O54</f>
        <v>3.1024999999999996</v>
      </c>
      <c r="T54" s="19">
        <v>0</v>
      </c>
      <c r="U54" s="309">
        <v>10</v>
      </c>
      <c r="V54" s="265">
        <f>100-U54*T54</f>
        <v>100</v>
      </c>
      <c r="W54" s="318">
        <f t="shared" ref="W54" si="10">V54*O54</f>
        <v>3.1024999999999996</v>
      </c>
      <c r="X54" s="15">
        <f>85*0.73*0.05</f>
        <v>3.1025</v>
      </c>
      <c r="Y54" s="331">
        <f t="shared" si="2"/>
        <v>0</v>
      </c>
    </row>
    <row r="55" spans="1:25" s="15" customFormat="1" ht="55.5" hidden="1" customHeight="1">
      <c r="A55" s="380"/>
      <c r="B55" s="376"/>
      <c r="C55" s="333"/>
      <c r="D55" s="165">
        <v>0</v>
      </c>
      <c r="E55" s="54" t="s">
        <v>77</v>
      </c>
      <c r="F55" s="55" t="s">
        <v>78</v>
      </c>
      <c r="G55" s="54" t="s">
        <v>77</v>
      </c>
      <c r="H55" s="55" t="s">
        <v>214</v>
      </c>
      <c r="I55" s="54" t="s">
        <v>77</v>
      </c>
      <c r="J55" s="54" t="s">
        <v>257</v>
      </c>
      <c r="K55" s="127" t="s">
        <v>136</v>
      </c>
      <c r="L55" s="250">
        <v>0</v>
      </c>
      <c r="M55" s="127" t="s">
        <v>137</v>
      </c>
      <c r="N55" s="93">
        <v>0</v>
      </c>
      <c r="O55" s="204"/>
      <c r="P55" s="132"/>
      <c r="Q55" s="127">
        <v>10</v>
      </c>
      <c r="R55" s="94">
        <f>100-(P55-L55)*Q55</f>
        <v>100</v>
      </c>
      <c r="S55" s="95">
        <f t="shared" ref="S55:S104" si="11">R55*O55</f>
        <v>0</v>
      </c>
      <c r="T55" s="132"/>
      <c r="U55" s="23"/>
      <c r="V55" s="20"/>
      <c r="W55" s="327"/>
      <c r="Y55" s="331">
        <f t="shared" si="2"/>
        <v>0</v>
      </c>
    </row>
    <row r="56" spans="1:25" s="15" customFormat="1" ht="52.7" hidden="1" customHeight="1">
      <c r="A56" s="380"/>
      <c r="B56" s="376"/>
      <c r="C56" s="350"/>
      <c r="D56" s="165">
        <v>0</v>
      </c>
      <c r="E56" s="162" t="s">
        <v>79</v>
      </c>
      <c r="F56" s="161" t="s">
        <v>80</v>
      </c>
      <c r="G56" s="72" t="s">
        <v>355</v>
      </c>
      <c r="H56" s="161" t="s">
        <v>278</v>
      </c>
      <c r="I56" s="72" t="s">
        <v>356</v>
      </c>
      <c r="J56" s="239" t="s">
        <v>314</v>
      </c>
      <c r="K56" s="238" t="s">
        <v>423</v>
      </c>
      <c r="L56" s="250">
        <v>1</v>
      </c>
      <c r="M56" s="127" t="s">
        <v>137</v>
      </c>
      <c r="N56" s="93">
        <v>1</v>
      </c>
      <c r="O56" s="204">
        <f>$A$9*$B$35*$C$53*$D$56*N56</f>
        <v>0</v>
      </c>
      <c r="P56" s="132"/>
      <c r="Q56" s="127">
        <v>10</v>
      </c>
      <c r="R56" s="94">
        <f>100-(P56-L56)*Q56</f>
        <v>110</v>
      </c>
      <c r="S56" s="95">
        <f t="shared" si="11"/>
        <v>0</v>
      </c>
      <c r="T56" s="132"/>
      <c r="U56" s="309">
        <v>10</v>
      </c>
      <c r="V56" s="265">
        <f>100-U56*T56</f>
        <v>100</v>
      </c>
      <c r="W56" s="318">
        <f t="shared" ref="W56" si="12">V56*O56</f>
        <v>0</v>
      </c>
      <c r="Y56" s="331">
        <f t="shared" si="2"/>
        <v>0</v>
      </c>
    </row>
    <row r="57" spans="1:25" s="36" customFormat="1" ht="24" customHeight="1">
      <c r="A57" s="380"/>
      <c r="B57" s="376"/>
      <c r="C57" s="332">
        <v>0</v>
      </c>
      <c r="D57" s="128"/>
      <c r="E57" s="104" t="s">
        <v>190</v>
      </c>
      <c r="F57" s="340" t="s">
        <v>53</v>
      </c>
      <c r="G57" s="341"/>
      <c r="H57" s="341"/>
      <c r="I57" s="341"/>
      <c r="J57" s="341"/>
      <c r="K57" s="341"/>
      <c r="L57" s="341"/>
      <c r="M57" s="342"/>
      <c r="N57" s="117"/>
      <c r="O57" s="212"/>
      <c r="P57" s="57"/>
      <c r="Q57" s="57"/>
      <c r="R57" s="57"/>
      <c r="S57" s="125"/>
      <c r="T57" s="57"/>
      <c r="U57" s="129"/>
      <c r="V57" s="130"/>
      <c r="W57" s="328"/>
      <c r="Y57" s="331">
        <f t="shared" si="2"/>
        <v>0</v>
      </c>
    </row>
    <row r="58" spans="1:25" s="15" customFormat="1" ht="32.25" hidden="1" customHeight="1">
      <c r="A58" s="380"/>
      <c r="B58" s="376"/>
      <c r="C58" s="349"/>
      <c r="D58" s="335">
        <v>0</v>
      </c>
      <c r="E58" s="387" t="s">
        <v>81</v>
      </c>
      <c r="F58" s="337" t="s">
        <v>82</v>
      </c>
      <c r="G58" s="387" t="s">
        <v>81</v>
      </c>
      <c r="H58" s="337" t="s">
        <v>82</v>
      </c>
      <c r="I58" s="387" t="s">
        <v>81</v>
      </c>
      <c r="J58" s="337" t="s">
        <v>247</v>
      </c>
      <c r="K58" s="127" t="s">
        <v>136</v>
      </c>
      <c r="L58" s="250">
        <v>0</v>
      </c>
      <c r="M58" s="67" t="s">
        <v>249</v>
      </c>
      <c r="N58" s="93">
        <v>0</v>
      </c>
      <c r="O58" s="210"/>
      <c r="P58" s="132"/>
      <c r="Q58" s="127">
        <v>10</v>
      </c>
      <c r="R58" s="94">
        <f>100-(P58-L58)*Q58</f>
        <v>100</v>
      </c>
      <c r="S58" s="95">
        <f t="shared" si="11"/>
        <v>0</v>
      </c>
      <c r="T58" s="132"/>
      <c r="U58" s="23"/>
      <c r="V58" s="20"/>
      <c r="W58" s="327"/>
      <c r="Y58" s="331">
        <f t="shared" si="2"/>
        <v>0</v>
      </c>
    </row>
    <row r="59" spans="1:25" s="15" customFormat="1" ht="32.25" hidden="1" customHeight="1">
      <c r="A59" s="380"/>
      <c r="B59" s="376"/>
      <c r="C59" s="349"/>
      <c r="D59" s="343"/>
      <c r="E59" s="389"/>
      <c r="F59" s="339"/>
      <c r="G59" s="389"/>
      <c r="H59" s="339"/>
      <c r="I59" s="389"/>
      <c r="J59" s="339"/>
      <c r="K59" s="127" t="s">
        <v>136</v>
      </c>
      <c r="L59" s="250">
        <v>0</v>
      </c>
      <c r="M59" s="67" t="s">
        <v>249</v>
      </c>
      <c r="N59" s="93">
        <v>0</v>
      </c>
      <c r="O59" s="210"/>
      <c r="P59" s="132"/>
      <c r="Q59" s="127">
        <v>10</v>
      </c>
      <c r="R59" s="94">
        <f>100-(P59-L59)*Q59</f>
        <v>100</v>
      </c>
      <c r="S59" s="95">
        <f t="shared" si="11"/>
        <v>0</v>
      </c>
      <c r="T59" s="132"/>
      <c r="U59" s="23"/>
      <c r="V59" s="20"/>
      <c r="W59" s="327"/>
      <c r="Y59" s="331">
        <f t="shared" si="2"/>
        <v>0</v>
      </c>
    </row>
    <row r="60" spans="1:25" s="15" customFormat="1" ht="32.25" hidden="1" customHeight="1">
      <c r="A60" s="380"/>
      <c r="B60" s="376"/>
      <c r="C60" s="349"/>
      <c r="D60" s="343"/>
      <c r="E60" s="389"/>
      <c r="F60" s="339"/>
      <c r="G60" s="389"/>
      <c r="H60" s="339"/>
      <c r="I60" s="389"/>
      <c r="J60" s="339"/>
      <c r="K60" s="127" t="s">
        <v>136</v>
      </c>
      <c r="L60" s="250">
        <v>0</v>
      </c>
      <c r="M60" s="67" t="s">
        <v>249</v>
      </c>
      <c r="N60" s="93">
        <v>0</v>
      </c>
      <c r="O60" s="210"/>
      <c r="P60" s="132"/>
      <c r="Q60" s="127">
        <v>10</v>
      </c>
      <c r="R60" s="94">
        <f>100-(P60-L60)*Q60</f>
        <v>100</v>
      </c>
      <c r="S60" s="95">
        <f t="shared" si="11"/>
        <v>0</v>
      </c>
      <c r="T60" s="132"/>
      <c r="U60" s="23"/>
      <c r="V60" s="20"/>
      <c r="W60" s="327"/>
      <c r="Y60" s="331">
        <f t="shared" si="2"/>
        <v>0</v>
      </c>
    </row>
    <row r="61" spans="1:25" s="15" customFormat="1" ht="25.5" hidden="1" customHeight="1">
      <c r="A61" s="380"/>
      <c r="B61" s="376"/>
      <c r="C61" s="349"/>
      <c r="D61" s="343"/>
      <c r="E61" s="389"/>
      <c r="F61" s="339"/>
      <c r="G61" s="389"/>
      <c r="H61" s="339"/>
      <c r="I61" s="389"/>
      <c r="J61" s="339"/>
      <c r="K61" s="127" t="s">
        <v>136</v>
      </c>
      <c r="L61" s="250">
        <v>0</v>
      </c>
      <c r="M61" s="67" t="s">
        <v>249</v>
      </c>
      <c r="N61" s="93">
        <v>0</v>
      </c>
      <c r="O61" s="210"/>
      <c r="P61" s="132"/>
      <c r="Q61" s="127">
        <v>10</v>
      </c>
      <c r="R61" s="94">
        <f>100-(P61-L61)*Q61</f>
        <v>100</v>
      </c>
      <c r="S61" s="95">
        <f t="shared" si="11"/>
        <v>0</v>
      </c>
      <c r="T61" s="132"/>
      <c r="U61" s="23"/>
      <c r="V61" s="20"/>
      <c r="W61" s="327"/>
      <c r="Y61" s="331">
        <f t="shared" si="2"/>
        <v>0</v>
      </c>
    </row>
    <row r="62" spans="1:25" s="15" customFormat="1" ht="33" hidden="1" customHeight="1">
      <c r="A62" s="380"/>
      <c r="B62" s="376"/>
      <c r="C62" s="349"/>
      <c r="D62" s="335">
        <v>0</v>
      </c>
      <c r="E62" s="387" t="s">
        <v>83</v>
      </c>
      <c r="F62" s="337" t="s">
        <v>84</v>
      </c>
      <c r="G62" s="387" t="s">
        <v>83</v>
      </c>
      <c r="H62" s="337" t="s">
        <v>84</v>
      </c>
      <c r="I62" s="387" t="s">
        <v>83</v>
      </c>
      <c r="J62" s="337" t="s">
        <v>248</v>
      </c>
      <c r="K62" s="127" t="s">
        <v>136</v>
      </c>
      <c r="L62" s="250">
        <v>0</v>
      </c>
      <c r="M62" s="67" t="s">
        <v>249</v>
      </c>
      <c r="N62" s="93">
        <v>0</v>
      </c>
      <c r="O62" s="210"/>
      <c r="P62" s="132"/>
      <c r="Q62" s="127">
        <v>10</v>
      </c>
      <c r="R62" s="94">
        <f>100-(P62-L62)*Q62</f>
        <v>100</v>
      </c>
      <c r="S62" s="95">
        <f t="shared" si="11"/>
        <v>0</v>
      </c>
      <c r="T62" s="132"/>
      <c r="U62" s="23"/>
      <c r="V62" s="20"/>
      <c r="W62" s="327"/>
      <c r="Y62" s="331">
        <f t="shared" si="2"/>
        <v>0</v>
      </c>
    </row>
    <row r="63" spans="1:25" s="15" customFormat="1" ht="33" hidden="1" customHeight="1">
      <c r="A63" s="380"/>
      <c r="B63" s="376"/>
      <c r="C63" s="349"/>
      <c r="D63" s="343"/>
      <c r="E63" s="389"/>
      <c r="F63" s="339"/>
      <c r="G63" s="389"/>
      <c r="H63" s="339"/>
      <c r="I63" s="389"/>
      <c r="J63" s="339"/>
      <c r="K63" s="127" t="s">
        <v>136</v>
      </c>
      <c r="L63" s="250">
        <v>0</v>
      </c>
      <c r="M63" s="67" t="s">
        <v>249</v>
      </c>
      <c r="N63" s="93">
        <v>0</v>
      </c>
      <c r="O63" s="210"/>
      <c r="P63" s="132"/>
      <c r="Q63" s="127">
        <v>10</v>
      </c>
      <c r="R63" s="94">
        <f t="shared" ref="R63:R72" si="13">100-(P63-L63)*Q63</f>
        <v>100</v>
      </c>
      <c r="S63" s="95">
        <f t="shared" si="11"/>
        <v>0</v>
      </c>
      <c r="T63" s="132"/>
      <c r="U63" s="23"/>
      <c r="V63" s="20"/>
      <c r="W63" s="327"/>
      <c r="Y63" s="331">
        <f t="shared" si="2"/>
        <v>0</v>
      </c>
    </row>
    <row r="64" spans="1:25" s="15" customFormat="1" ht="33" hidden="1" customHeight="1">
      <c r="A64" s="380"/>
      <c r="B64" s="376"/>
      <c r="C64" s="349"/>
      <c r="D64" s="343"/>
      <c r="E64" s="389"/>
      <c r="F64" s="339"/>
      <c r="G64" s="389"/>
      <c r="H64" s="339"/>
      <c r="I64" s="389"/>
      <c r="J64" s="339"/>
      <c r="K64" s="127" t="s">
        <v>136</v>
      </c>
      <c r="L64" s="250">
        <v>0</v>
      </c>
      <c r="M64" s="67" t="s">
        <v>249</v>
      </c>
      <c r="N64" s="93">
        <v>0</v>
      </c>
      <c r="O64" s="210"/>
      <c r="P64" s="132"/>
      <c r="Q64" s="127">
        <v>10</v>
      </c>
      <c r="R64" s="94">
        <f t="shared" si="13"/>
        <v>100</v>
      </c>
      <c r="S64" s="95">
        <f t="shared" si="11"/>
        <v>0</v>
      </c>
      <c r="T64" s="132"/>
      <c r="U64" s="23"/>
      <c r="V64" s="20"/>
      <c r="W64" s="327"/>
      <c r="Y64" s="331">
        <f t="shared" si="2"/>
        <v>0</v>
      </c>
    </row>
    <row r="65" spans="1:25" s="15" customFormat="1" ht="33" hidden="1" customHeight="1">
      <c r="A65" s="380"/>
      <c r="B65" s="376"/>
      <c r="C65" s="349"/>
      <c r="D65" s="336"/>
      <c r="E65" s="388"/>
      <c r="F65" s="338"/>
      <c r="G65" s="388"/>
      <c r="H65" s="338"/>
      <c r="I65" s="388"/>
      <c r="J65" s="338"/>
      <c r="K65" s="127" t="s">
        <v>136</v>
      </c>
      <c r="L65" s="250">
        <v>0</v>
      </c>
      <c r="M65" s="67" t="s">
        <v>249</v>
      </c>
      <c r="N65" s="93">
        <v>0</v>
      </c>
      <c r="O65" s="210"/>
      <c r="P65" s="132"/>
      <c r="Q65" s="127">
        <v>10</v>
      </c>
      <c r="R65" s="94">
        <f t="shared" si="13"/>
        <v>100</v>
      </c>
      <c r="S65" s="95">
        <f t="shared" si="11"/>
        <v>0</v>
      </c>
      <c r="T65" s="132"/>
      <c r="U65" s="23"/>
      <c r="V65" s="20"/>
      <c r="W65" s="327"/>
      <c r="Y65" s="331">
        <f t="shared" si="2"/>
        <v>0</v>
      </c>
    </row>
    <row r="66" spans="1:25" s="15" customFormat="1" ht="80.25" hidden="1" customHeight="1">
      <c r="A66" s="380"/>
      <c r="B66" s="376"/>
      <c r="C66" s="349"/>
      <c r="D66" s="335">
        <v>1</v>
      </c>
      <c r="E66" s="387" t="s">
        <v>85</v>
      </c>
      <c r="F66" s="337" t="s">
        <v>204</v>
      </c>
      <c r="G66" s="387" t="s">
        <v>357</v>
      </c>
      <c r="H66" s="337" t="s">
        <v>204</v>
      </c>
      <c r="I66" s="387" t="s">
        <v>358</v>
      </c>
      <c r="J66" s="393" t="s">
        <v>279</v>
      </c>
      <c r="K66" s="127" t="s">
        <v>136</v>
      </c>
      <c r="L66" s="250">
        <v>0</v>
      </c>
      <c r="M66" s="67" t="s">
        <v>249</v>
      </c>
      <c r="N66" s="93">
        <v>1</v>
      </c>
      <c r="O66" s="204">
        <f>$A$9*$B$35*$C$57*$D$66*N66</f>
        <v>0</v>
      </c>
      <c r="P66" s="132"/>
      <c r="Q66" s="127">
        <v>10</v>
      </c>
      <c r="R66" s="94">
        <f t="shared" si="13"/>
        <v>100</v>
      </c>
      <c r="S66" s="95">
        <f t="shared" si="11"/>
        <v>0</v>
      </c>
      <c r="T66" s="132"/>
      <c r="U66" s="309">
        <v>10</v>
      </c>
      <c r="V66" s="265">
        <f>100-U66*T66</f>
        <v>100</v>
      </c>
      <c r="W66" s="318">
        <f t="shared" ref="W66" si="14">V66*O66</f>
        <v>0</v>
      </c>
      <c r="Y66" s="331">
        <f t="shared" si="2"/>
        <v>0</v>
      </c>
    </row>
    <row r="67" spans="1:25" s="15" customFormat="1" ht="48.75" hidden="1" customHeight="1">
      <c r="A67" s="380"/>
      <c r="B67" s="376"/>
      <c r="C67" s="349"/>
      <c r="D67" s="343"/>
      <c r="E67" s="389"/>
      <c r="F67" s="339"/>
      <c r="G67" s="389"/>
      <c r="H67" s="339"/>
      <c r="I67" s="389"/>
      <c r="J67" s="398"/>
      <c r="K67" s="127" t="s">
        <v>136</v>
      </c>
      <c r="L67" s="250">
        <v>0</v>
      </c>
      <c r="M67" s="67" t="s">
        <v>249</v>
      </c>
      <c r="N67" s="93">
        <v>0</v>
      </c>
      <c r="O67" s="204"/>
      <c r="P67" s="132"/>
      <c r="Q67" s="127">
        <v>10</v>
      </c>
      <c r="R67" s="94">
        <f t="shared" si="13"/>
        <v>100</v>
      </c>
      <c r="S67" s="95">
        <f t="shared" si="11"/>
        <v>0</v>
      </c>
      <c r="T67" s="132"/>
      <c r="U67" s="23"/>
      <c r="V67" s="20"/>
      <c r="W67" s="327"/>
      <c r="Y67" s="331">
        <f t="shared" si="2"/>
        <v>0</v>
      </c>
    </row>
    <row r="68" spans="1:25" s="15" customFormat="1" ht="47.25" hidden="1" customHeight="1">
      <c r="A68" s="380"/>
      <c r="B68" s="376"/>
      <c r="C68" s="349"/>
      <c r="D68" s="336"/>
      <c r="E68" s="388"/>
      <c r="F68" s="338"/>
      <c r="G68" s="388"/>
      <c r="H68" s="338"/>
      <c r="I68" s="388"/>
      <c r="J68" s="394"/>
      <c r="K68" s="127" t="s">
        <v>136</v>
      </c>
      <c r="L68" s="250">
        <v>0</v>
      </c>
      <c r="M68" s="67" t="s">
        <v>249</v>
      </c>
      <c r="N68" s="93">
        <v>0</v>
      </c>
      <c r="O68" s="204"/>
      <c r="P68" s="132"/>
      <c r="Q68" s="127">
        <v>10</v>
      </c>
      <c r="R68" s="94">
        <f t="shared" si="13"/>
        <v>100</v>
      </c>
      <c r="S68" s="95">
        <f t="shared" si="11"/>
        <v>0</v>
      </c>
      <c r="T68" s="132"/>
      <c r="U68" s="23"/>
      <c r="V68" s="20"/>
      <c r="W68" s="327"/>
      <c r="Y68" s="331">
        <f t="shared" si="2"/>
        <v>0</v>
      </c>
    </row>
    <row r="69" spans="1:25" s="15" customFormat="1" ht="47.25" hidden="1" customHeight="1">
      <c r="A69" s="380"/>
      <c r="B69" s="376"/>
      <c r="C69" s="349"/>
      <c r="D69" s="335">
        <v>0</v>
      </c>
      <c r="E69" s="387" t="s">
        <v>86</v>
      </c>
      <c r="F69" s="337" t="s">
        <v>87</v>
      </c>
      <c r="G69" s="387" t="s">
        <v>86</v>
      </c>
      <c r="H69" s="337" t="s">
        <v>87</v>
      </c>
      <c r="I69" s="387" t="s">
        <v>86</v>
      </c>
      <c r="J69" s="337" t="s">
        <v>250</v>
      </c>
      <c r="K69" s="127" t="s">
        <v>136</v>
      </c>
      <c r="L69" s="250">
        <v>0</v>
      </c>
      <c r="M69" s="67" t="s">
        <v>249</v>
      </c>
      <c r="N69" s="93">
        <v>0</v>
      </c>
      <c r="O69" s="204"/>
      <c r="P69" s="132"/>
      <c r="Q69" s="127">
        <v>10</v>
      </c>
      <c r="R69" s="94">
        <f t="shared" si="13"/>
        <v>100</v>
      </c>
      <c r="S69" s="95">
        <f t="shared" si="11"/>
        <v>0</v>
      </c>
      <c r="T69" s="132"/>
      <c r="U69" s="23"/>
      <c r="V69" s="20"/>
      <c r="W69" s="327"/>
      <c r="Y69" s="331">
        <f t="shared" si="2"/>
        <v>0</v>
      </c>
    </row>
    <row r="70" spans="1:25" s="15" customFormat="1" ht="47.25" hidden="1" customHeight="1">
      <c r="A70" s="380"/>
      <c r="B70" s="376"/>
      <c r="C70" s="349"/>
      <c r="D70" s="343"/>
      <c r="E70" s="389"/>
      <c r="F70" s="339"/>
      <c r="G70" s="389"/>
      <c r="H70" s="339"/>
      <c r="I70" s="389"/>
      <c r="J70" s="339"/>
      <c r="K70" s="127" t="s">
        <v>136</v>
      </c>
      <c r="L70" s="250">
        <v>0</v>
      </c>
      <c r="M70" s="67" t="s">
        <v>249</v>
      </c>
      <c r="N70" s="93">
        <v>0</v>
      </c>
      <c r="O70" s="204"/>
      <c r="P70" s="132"/>
      <c r="Q70" s="127">
        <v>10</v>
      </c>
      <c r="R70" s="94">
        <f t="shared" si="13"/>
        <v>100</v>
      </c>
      <c r="S70" s="95">
        <f t="shared" si="11"/>
        <v>0</v>
      </c>
      <c r="T70" s="132"/>
      <c r="U70" s="23"/>
      <c r="V70" s="20"/>
      <c r="W70" s="327"/>
      <c r="Y70" s="331">
        <f t="shared" si="2"/>
        <v>0</v>
      </c>
    </row>
    <row r="71" spans="1:25" s="15" customFormat="1" ht="44.25" hidden="1" customHeight="1">
      <c r="A71" s="380"/>
      <c r="B71" s="376"/>
      <c r="C71" s="349"/>
      <c r="D71" s="336"/>
      <c r="E71" s="388"/>
      <c r="F71" s="338"/>
      <c r="G71" s="388"/>
      <c r="H71" s="338"/>
      <c r="I71" s="388"/>
      <c r="J71" s="338"/>
      <c r="K71" s="127" t="s">
        <v>136</v>
      </c>
      <c r="L71" s="250">
        <v>0</v>
      </c>
      <c r="M71" s="67" t="s">
        <v>249</v>
      </c>
      <c r="N71" s="93">
        <v>0</v>
      </c>
      <c r="O71" s="204"/>
      <c r="P71" s="132"/>
      <c r="Q71" s="127">
        <v>10</v>
      </c>
      <c r="R71" s="94">
        <f t="shared" si="13"/>
        <v>100</v>
      </c>
      <c r="S71" s="95">
        <f t="shared" si="11"/>
        <v>0</v>
      </c>
      <c r="T71" s="132"/>
      <c r="U71" s="23"/>
      <c r="V71" s="20"/>
      <c r="W71" s="327"/>
      <c r="Y71" s="331">
        <f t="shared" si="2"/>
        <v>0</v>
      </c>
    </row>
    <row r="72" spans="1:25" s="15" customFormat="1" ht="46.5" hidden="1" customHeight="1">
      <c r="A72" s="380"/>
      <c r="B72" s="376"/>
      <c r="C72" s="349"/>
      <c r="D72" s="335">
        <v>0</v>
      </c>
      <c r="E72" s="387" t="s">
        <v>88</v>
      </c>
      <c r="F72" s="337" t="s">
        <v>89</v>
      </c>
      <c r="G72" s="387" t="s">
        <v>88</v>
      </c>
      <c r="H72" s="337" t="s">
        <v>89</v>
      </c>
      <c r="I72" s="387" t="s">
        <v>88</v>
      </c>
      <c r="J72" s="337" t="s">
        <v>251</v>
      </c>
      <c r="K72" s="127" t="s">
        <v>136</v>
      </c>
      <c r="L72" s="250">
        <v>0</v>
      </c>
      <c r="M72" s="67" t="s">
        <v>249</v>
      </c>
      <c r="N72" s="93">
        <v>0</v>
      </c>
      <c r="O72" s="204"/>
      <c r="P72" s="132"/>
      <c r="Q72" s="127">
        <v>10</v>
      </c>
      <c r="R72" s="94">
        <f t="shared" si="13"/>
        <v>100</v>
      </c>
      <c r="S72" s="95">
        <f t="shared" si="11"/>
        <v>0</v>
      </c>
      <c r="T72" s="132"/>
      <c r="U72" s="23"/>
      <c r="V72" s="20"/>
      <c r="W72" s="327"/>
      <c r="Y72" s="331">
        <f t="shared" si="2"/>
        <v>0</v>
      </c>
    </row>
    <row r="73" spans="1:25" s="15" customFormat="1" ht="46.5" hidden="1" customHeight="1">
      <c r="A73" s="380"/>
      <c r="B73" s="376"/>
      <c r="C73" s="349"/>
      <c r="D73" s="343"/>
      <c r="E73" s="389"/>
      <c r="F73" s="339"/>
      <c r="G73" s="389"/>
      <c r="H73" s="339"/>
      <c r="I73" s="389"/>
      <c r="J73" s="339"/>
      <c r="K73" s="127" t="s">
        <v>136</v>
      </c>
      <c r="L73" s="250">
        <v>0</v>
      </c>
      <c r="M73" s="131" t="s">
        <v>30</v>
      </c>
      <c r="N73" s="93">
        <v>0</v>
      </c>
      <c r="O73" s="204"/>
      <c r="P73" s="132"/>
      <c r="Q73" s="48"/>
      <c r="R73" s="94">
        <f>100-(P73-L73)*10</f>
        <v>100</v>
      </c>
      <c r="S73" s="95">
        <f t="shared" si="11"/>
        <v>0</v>
      </c>
      <c r="T73" s="132"/>
      <c r="U73" s="23"/>
      <c r="V73" s="20"/>
      <c r="W73" s="327"/>
      <c r="Y73" s="331">
        <f t="shared" si="2"/>
        <v>0</v>
      </c>
    </row>
    <row r="74" spans="1:25" s="15" customFormat="1" ht="46.5" hidden="1" customHeight="1">
      <c r="A74" s="380"/>
      <c r="B74" s="376"/>
      <c r="C74" s="349"/>
      <c r="D74" s="343"/>
      <c r="E74" s="389"/>
      <c r="F74" s="339"/>
      <c r="G74" s="389"/>
      <c r="H74" s="339"/>
      <c r="I74" s="389"/>
      <c r="J74" s="339"/>
      <c r="K74" s="127" t="s">
        <v>136</v>
      </c>
      <c r="L74" s="250">
        <v>0</v>
      </c>
      <c r="M74" s="131" t="s">
        <v>30</v>
      </c>
      <c r="N74" s="93">
        <v>0</v>
      </c>
      <c r="O74" s="204"/>
      <c r="P74" s="132"/>
      <c r="Q74" s="48"/>
      <c r="R74" s="94">
        <f>100-(P74-L74)*10</f>
        <v>100</v>
      </c>
      <c r="S74" s="95">
        <f t="shared" si="11"/>
        <v>0</v>
      </c>
      <c r="T74" s="132"/>
      <c r="U74" s="23"/>
      <c r="V74" s="20"/>
      <c r="W74" s="327"/>
      <c r="Y74" s="331">
        <f t="shared" si="2"/>
        <v>0</v>
      </c>
    </row>
    <row r="75" spans="1:25" s="15" customFormat="1" ht="29.25" hidden="1" customHeight="1">
      <c r="A75" s="380"/>
      <c r="B75" s="376"/>
      <c r="C75" s="349"/>
      <c r="D75" s="336"/>
      <c r="E75" s="388"/>
      <c r="F75" s="338"/>
      <c r="G75" s="388"/>
      <c r="H75" s="338"/>
      <c r="I75" s="388"/>
      <c r="J75" s="338"/>
      <c r="K75" s="127" t="s">
        <v>136</v>
      </c>
      <c r="L75" s="250">
        <v>0</v>
      </c>
      <c r="M75" s="131" t="s">
        <v>30</v>
      </c>
      <c r="N75" s="93">
        <v>0</v>
      </c>
      <c r="O75" s="204"/>
      <c r="P75" s="132"/>
      <c r="Q75" s="48"/>
      <c r="R75" s="94">
        <f>100-(P75-L75)*10</f>
        <v>100</v>
      </c>
      <c r="S75" s="95">
        <f t="shared" si="11"/>
        <v>0</v>
      </c>
      <c r="T75" s="132"/>
      <c r="U75" s="23"/>
      <c r="V75" s="20"/>
      <c r="W75" s="327"/>
      <c r="Y75" s="331">
        <f t="shared" si="2"/>
        <v>0</v>
      </c>
    </row>
    <row r="76" spans="1:25" s="15" customFormat="1" ht="21.95" customHeight="1">
      <c r="A76" s="380"/>
      <c r="B76" s="376"/>
      <c r="C76" s="332">
        <v>0.03</v>
      </c>
      <c r="D76" s="90"/>
      <c r="E76" s="104" t="s">
        <v>191</v>
      </c>
      <c r="F76" s="390" t="s">
        <v>54</v>
      </c>
      <c r="G76" s="391"/>
      <c r="H76" s="391"/>
      <c r="I76" s="391"/>
      <c r="J76" s="391"/>
      <c r="K76" s="391"/>
      <c r="L76" s="391"/>
      <c r="M76" s="392"/>
      <c r="N76" s="117"/>
      <c r="O76" s="205"/>
      <c r="P76" s="123"/>
      <c r="Q76" s="123"/>
      <c r="R76" s="123"/>
      <c r="S76" s="125"/>
      <c r="T76" s="123"/>
      <c r="U76" s="126"/>
      <c r="V76" s="119"/>
      <c r="W76" s="326"/>
      <c r="Y76" s="331">
        <f t="shared" si="2"/>
        <v>0</v>
      </c>
    </row>
    <row r="77" spans="1:25" s="15" customFormat="1" ht="84" hidden="1" customHeight="1">
      <c r="A77" s="380"/>
      <c r="B77" s="376"/>
      <c r="C77" s="349"/>
      <c r="D77" s="335">
        <v>0</v>
      </c>
      <c r="E77" s="387" t="s">
        <v>90</v>
      </c>
      <c r="F77" s="337" t="s">
        <v>91</v>
      </c>
      <c r="G77" s="387" t="s">
        <v>90</v>
      </c>
      <c r="H77" s="337" t="s">
        <v>91</v>
      </c>
      <c r="I77" s="387" t="s">
        <v>90</v>
      </c>
      <c r="J77" s="337" t="s">
        <v>252</v>
      </c>
      <c r="K77" s="127" t="s">
        <v>136</v>
      </c>
      <c r="L77" s="250">
        <v>0</v>
      </c>
      <c r="M77" s="67" t="s">
        <v>249</v>
      </c>
      <c r="N77" s="93">
        <v>0</v>
      </c>
      <c r="O77" s="204"/>
      <c r="P77" s="132"/>
      <c r="Q77" s="127">
        <v>10</v>
      </c>
      <c r="R77" s="94">
        <f t="shared" ref="R77:R83" si="15">100-(P77-L77)*Q77</f>
        <v>100</v>
      </c>
      <c r="S77" s="95">
        <f t="shared" si="11"/>
        <v>0</v>
      </c>
      <c r="T77" s="132"/>
      <c r="U77" s="23"/>
      <c r="V77" s="20"/>
      <c r="W77" s="327"/>
      <c r="Y77" s="331">
        <f t="shared" si="2"/>
        <v>0</v>
      </c>
    </row>
    <row r="78" spans="1:25" s="15" customFormat="1" ht="66.75" hidden="1" customHeight="1">
      <c r="A78" s="380"/>
      <c r="B78" s="376"/>
      <c r="C78" s="349"/>
      <c r="D78" s="343"/>
      <c r="E78" s="389"/>
      <c r="F78" s="339"/>
      <c r="G78" s="389"/>
      <c r="H78" s="339"/>
      <c r="I78" s="389"/>
      <c r="J78" s="339"/>
      <c r="K78" s="127" t="s">
        <v>136</v>
      </c>
      <c r="L78" s="250">
        <v>0</v>
      </c>
      <c r="M78" s="67" t="s">
        <v>249</v>
      </c>
      <c r="N78" s="93">
        <v>0</v>
      </c>
      <c r="O78" s="204"/>
      <c r="P78" s="132"/>
      <c r="Q78" s="127">
        <v>10</v>
      </c>
      <c r="R78" s="94">
        <f t="shared" si="15"/>
        <v>100</v>
      </c>
      <c r="S78" s="95">
        <f t="shared" si="11"/>
        <v>0</v>
      </c>
      <c r="T78" s="132"/>
      <c r="U78" s="23"/>
      <c r="V78" s="20"/>
      <c r="W78" s="327"/>
      <c r="Y78" s="331">
        <f t="shared" ref="Y78:Y141" si="16">W78-S78</f>
        <v>0</v>
      </c>
    </row>
    <row r="79" spans="1:25" s="15" customFormat="1" ht="42.75" hidden="1" customHeight="1">
      <c r="A79" s="380"/>
      <c r="B79" s="376"/>
      <c r="C79" s="349"/>
      <c r="D79" s="343"/>
      <c r="E79" s="389"/>
      <c r="F79" s="339"/>
      <c r="G79" s="389"/>
      <c r="H79" s="339"/>
      <c r="I79" s="389"/>
      <c r="J79" s="339"/>
      <c r="K79" s="127" t="s">
        <v>136</v>
      </c>
      <c r="L79" s="250">
        <v>0</v>
      </c>
      <c r="M79" s="67" t="s">
        <v>249</v>
      </c>
      <c r="N79" s="93">
        <v>0</v>
      </c>
      <c r="O79" s="204"/>
      <c r="P79" s="132"/>
      <c r="Q79" s="127">
        <v>10</v>
      </c>
      <c r="R79" s="94">
        <f t="shared" si="15"/>
        <v>100</v>
      </c>
      <c r="S79" s="95">
        <f t="shared" si="11"/>
        <v>0</v>
      </c>
      <c r="T79" s="132"/>
      <c r="U79" s="23"/>
      <c r="V79" s="20"/>
      <c r="W79" s="327"/>
      <c r="Y79" s="331">
        <f t="shared" si="16"/>
        <v>0</v>
      </c>
    </row>
    <row r="80" spans="1:25" s="15" customFormat="1" ht="43.5" hidden="1" customHeight="1">
      <c r="A80" s="380"/>
      <c r="B80" s="376"/>
      <c r="C80" s="349"/>
      <c r="D80" s="336"/>
      <c r="E80" s="388"/>
      <c r="F80" s="338"/>
      <c r="G80" s="388"/>
      <c r="H80" s="338"/>
      <c r="I80" s="388"/>
      <c r="J80" s="338"/>
      <c r="K80" s="127" t="s">
        <v>136</v>
      </c>
      <c r="L80" s="250">
        <v>0</v>
      </c>
      <c r="M80" s="67" t="s">
        <v>249</v>
      </c>
      <c r="N80" s="93">
        <v>0</v>
      </c>
      <c r="O80" s="204"/>
      <c r="P80" s="132"/>
      <c r="Q80" s="127">
        <v>10</v>
      </c>
      <c r="R80" s="94">
        <f t="shared" si="15"/>
        <v>100</v>
      </c>
      <c r="S80" s="95">
        <f t="shared" si="11"/>
        <v>0</v>
      </c>
      <c r="T80" s="132"/>
      <c r="U80" s="23"/>
      <c r="V80" s="20"/>
      <c r="W80" s="327"/>
      <c r="Y80" s="331">
        <f t="shared" si="16"/>
        <v>0</v>
      </c>
    </row>
    <row r="81" spans="1:25" s="15" customFormat="1" ht="81.75" customHeight="1">
      <c r="A81" s="380"/>
      <c r="B81" s="376"/>
      <c r="C81" s="350"/>
      <c r="D81" s="180">
        <v>1</v>
      </c>
      <c r="E81" s="53" t="s">
        <v>92</v>
      </c>
      <c r="F81" s="48" t="s">
        <v>93</v>
      </c>
      <c r="G81" s="53" t="s">
        <v>359</v>
      </c>
      <c r="H81" s="48" t="s">
        <v>93</v>
      </c>
      <c r="I81" s="53" t="s">
        <v>360</v>
      </c>
      <c r="J81" s="393" t="s">
        <v>280</v>
      </c>
      <c r="K81" s="127" t="s">
        <v>136</v>
      </c>
      <c r="L81" s="250">
        <v>0</v>
      </c>
      <c r="M81" s="67" t="s">
        <v>249</v>
      </c>
      <c r="N81" s="93">
        <v>1</v>
      </c>
      <c r="O81" s="204">
        <f>$A$9*$B$35*$C$76*$D$81*N81</f>
        <v>1.8614999999999996E-2</v>
      </c>
      <c r="P81" s="132">
        <v>0</v>
      </c>
      <c r="Q81" s="127">
        <v>10</v>
      </c>
      <c r="R81" s="94">
        <f t="shared" si="15"/>
        <v>100</v>
      </c>
      <c r="S81" s="95">
        <f t="shared" si="11"/>
        <v>1.8614999999999997</v>
      </c>
      <c r="T81" s="19">
        <v>0</v>
      </c>
      <c r="U81" s="309">
        <v>10</v>
      </c>
      <c r="V81" s="265">
        <f>100-U81*T81</f>
        <v>100</v>
      </c>
      <c r="W81" s="318">
        <f t="shared" ref="W81" si="17">V81*O81</f>
        <v>1.8614999999999997</v>
      </c>
      <c r="X81" s="15">
        <f>85*0.73*0.03</f>
        <v>1.8614999999999999</v>
      </c>
      <c r="Y81" s="331">
        <f t="shared" si="16"/>
        <v>0</v>
      </c>
    </row>
    <row r="82" spans="1:25" s="15" customFormat="1" ht="45" hidden="1" customHeight="1">
      <c r="A82" s="380"/>
      <c r="B82" s="376"/>
      <c r="C82" s="154"/>
      <c r="D82" s="180">
        <v>0</v>
      </c>
      <c r="E82" s="53" t="s">
        <v>94</v>
      </c>
      <c r="F82" s="163" t="s">
        <v>95</v>
      </c>
      <c r="G82" s="53" t="s">
        <v>94</v>
      </c>
      <c r="H82" s="164" t="s">
        <v>95</v>
      </c>
      <c r="I82" s="53" t="s">
        <v>94</v>
      </c>
      <c r="J82" s="398" t="s">
        <v>258</v>
      </c>
      <c r="K82" s="127" t="s">
        <v>136</v>
      </c>
      <c r="L82" s="250">
        <v>0</v>
      </c>
      <c r="M82" s="67" t="s">
        <v>249</v>
      </c>
      <c r="N82" s="93">
        <v>0</v>
      </c>
      <c r="O82" s="204"/>
      <c r="P82" s="132"/>
      <c r="Q82" s="127">
        <v>10</v>
      </c>
      <c r="R82" s="94">
        <f t="shared" si="15"/>
        <v>100</v>
      </c>
      <c r="S82" s="95">
        <f t="shared" si="11"/>
        <v>0</v>
      </c>
      <c r="T82" s="132"/>
      <c r="U82" s="23"/>
      <c r="V82" s="20"/>
      <c r="W82" s="327"/>
      <c r="Y82" s="331">
        <f t="shared" si="16"/>
        <v>0</v>
      </c>
    </row>
    <row r="83" spans="1:25" s="15" customFormat="1" ht="45" hidden="1" customHeight="1">
      <c r="A83" s="380"/>
      <c r="B83" s="376"/>
      <c r="C83" s="154"/>
      <c r="D83" s="180">
        <v>0</v>
      </c>
      <c r="E83" s="53" t="s">
        <v>96</v>
      </c>
      <c r="F83" s="5" t="s">
        <v>97</v>
      </c>
      <c r="G83" s="53" t="s">
        <v>96</v>
      </c>
      <c r="H83" s="5" t="s">
        <v>97</v>
      </c>
      <c r="I83" s="53" t="s">
        <v>96</v>
      </c>
      <c r="J83" s="394" t="s">
        <v>259</v>
      </c>
      <c r="K83" s="127" t="s">
        <v>136</v>
      </c>
      <c r="L83" s="250">
        <v>0</v>
      </c>
      <c r="M83" s="67" t="s">
        <v>249</v>
      </c>
      <c r="N83" s="93">
        <v>0</v>
      </c>
      <c r="O83" s="204"/>
      <c r="P83" s="132"/>
      <c r="Q83" s="127">
        <v>10</v>
      </c>
      <c r="R83" s="94">
        <f t="shared" si="15"/>
        <v>100</v>
      </c>
      <c r="S83" s="95">
        <f t="shared" si="11"/>
        <v>0</v>
      </c>
      <c r="T83" s="132"/>
      <c r="U83" s="23"/>
      <c r="V83" s="20"/>
      <c r="W83" s="327"/>
      <c r="Y83" s="331">
        <f t="shared" si="16"/>
        <v>0</v>
      </c>
    </row>
    <row r="84" spans="1:25" s="15" customFormat="1" ht="27" customHeight="1">
      <c r="A84" s="380"/>
      <c r="B84" s="376"/>
      <c r="C84" s="332">
        <v>0.43</v>
      </c>
      <c r="D84" s="90"/>
      <c r="E84" s="104" t="s">
        <v>192</v>
      </c>
      <c r="F84" s="390" t="s">
        <v>55</v>
      </c>
      <c r="G84" s="391"/>
      <c r="H84" s="391"/>
      <c r="I84" s="391"/>
      <c r="J84" s="391"/>
      <c r="K84" s="391"/>
      <c r="L84" s="391"/>
      <c r="M84" s="392"/>
      <c r="N84" s="117"/>
      <c r="O84" s="205"/>
      <c r="P84" s="123"/>
      <c r="Q84" s="123"/>
      <c r="R84" s="123"/>
      <c r="S84" s="125"/>
      <c r="T84" s="123"/>
      <c r="U84" s="126"/>
      <c r="V84" s="119"/>
      <c r="W84" s="326"/>
      <c r="Y84" s="331">
        <f t="shared" si="16"/>
        <v>0</v>
      </c>
    </row>
    <row r="85" spans="1:25" s="15" customFormat="1" ht="59.25" customHeight="1">
      <c r="A85" s="380"/>
      <c r="B85" s="376"/>
      <c r="C85" s="333"/>
      <c r="D85" s="343">
        <v>0.4</v>
      </c>
      <c r="E85" s="387" t="s">
        <v>98</v>
      </c>
      <c r="F85" s="395" t="s">
        <v>99</v>
      </c>
      <c r="G85" s="4" t="s">
        <v>361</v>
      </c>
      <c r="H85" s="7" t="s">
        <v>215</v>
      </c>
      <c r="I85" s="69" t="s">
        <v>362</v>
      </c>
      <c r="J85" s="7" t="s">
        <v>281</v>
      </c>
      <c r="K85" s="127" t="s">
        <v>136</v>
      </c>
      <c r="L85" s="250">
        <v>0</v>
      </c>
      <c r="M85" s="127" t="s">
        <v>137</v>
      </c>
      <c r="N85" s="93">
        <v>0.25</v>
      </c>
      <c r="O85" s="204">
        <f>$A$9*$B$35*$C$84*$D$85*N85</f>
        <v>2.6681499999999997E-2</v>
      </c>
      <c r="P85" s="132">
        <v>0</v>
      </c>
      <c r="Q85" s="260">
        <v>10</v>
      </c>
      <c r="R85" s="94">
        <f>100-(P85-L85)*Q85</f>
        <v>100</v>
      </c>
      <c r="S85" s="95">
        <f t="shared" ref="S85:S100" si="18">R85*O85</f>
        <v>2.6681499999999998</v>
      </c>
      <c r="T85" s="19">
        <v>0</v>
      </c>
      <c r="U85" s="309">
        <v>10</v>
      </c>
      <c r="V85" s="265">
        <f t="shared" ref="V85:V95" si="19">100-U85*T85</f>
        <v>100</v>
      </c>
      <c r="W85" s="318">
        <f t="shared" ref="W85:W95" si="20">V85*O85</f>
        <v>2.6681499999999998</v>
      </c>
      <c r="X85" s="15">
        <f>85*0.73*0.4*0.4*0.25</f>
        <v>2.4820000000000002</v>
      </c>
      <c r="Y85" s="331">
        <f t="shared" si="16"/>
        <v>0</v>
      </c>
    </row>
    <row r="86" spans="1:25" s="15" customFormat="1" ht="30" customHeight="1">
      <c r="A86" s="380"/>
      <c r="B86" s="376"/>
      <c r="C86" s="349"/>
      <c r="D86" s="343"/>
      <c r="E86" s="389"/>
      <c r="F86" s="396"/>
      <c r="G86" s="53" t="s">
        <v>409</v>
      </c>
      <c r="H86" s="188" t="s">
        <v>216</v>
      </c>
      <c r="I86" s="69" t="s">
        <v>363</v>
      </c>
      <c r="J86" s="7" t="s">
        <v>282</v>
      </c>
      <c r="K86" s="127" t="s">
        <v>136</v>
      </c>
      <c r="L86" s="250">
        <v>0</v>
      </c>
      <c r="M86" s="127" t="s">
        <v>137</v>
      </c>
      <c r="N86" s="93">
        <v>0.25</v>
      </c>
      <c r="O86" s="204">
        <f>$A$9*$B$35*$C$84*$D$85*N86</f>
        <v>2.6681499999999997E-2</v>
      </c>
      <c r="P86" s="132">
        <v>0</v>
      </c>
      <c r="Q86" s="260">
        <v>10</v>
      </c>
      <c r="R86" s="94">
        <f t="shared" ref="R86:R100" si="21">100-(P86-L86)*Q86</f>
        <v>100</v>
      </c>
      <c r="S86" s="95">
        <f t="shared" si="18"/>
        <v>2.6681499999999998</v>
      </c>
      <c r="T86" s="19">
        <v>0</v>
      </c>
      <c r="U86" s="309">
        <v>10</v>
      </c>
      <c r="V86" s="265">
        <f t="shared" si="19"/>
        <v>100</v>
      </c>
      <c r="W86" s="318">
        <f t="shared" si="20"/>
        <v>2.6681499999999998</v>
      </c>
      <c r="Y86" s="331">
        <f t="shared" si="16"/>
        <v>0</v>
      </c>
    </row>
    <row r="87" spans="1:25" s="15" customFormat="1" ht="37.5" hidden="1" customHeight="1">
      <c r="A87" s="380"/>
      <c r="B87" s="376"/>
      <c r="C87" s="349"/>
      <c r="D87" s="343"/>
      <c r="E87" s="389"/>
      <c r="F87" s="396"/>
      <c r="G87" s="53"/>
      <c r="H87" s="188"/>
      <c r="I87" s="69" t="s">
        <v>218</v>
      </c>
      <c r="J87" s="4"/>
      <c r="K87" s="127" t="s">
        <v>136</v>
      </c>
      <c r="L87" s="250">
        <v>0</v>
      </c>
      <c r="M87" s="127" t="s">
        <v>137</v>
      </c>
      <c r="N87" s="93">
        <v>0</v>
      </c>
      <c r="O87" s="204">
        <f>$A$9*$B$35*$C$84*$D$85*J87*N87</f>
        <v>0</v>
      </c>
      <c r="P87" s="132"/>
      <c r="Q87" s="260">
        <v>10</v>
      </c>
      <c r="R87" s="94">
        <f t="shared" si="21"/>
        <v>100</v>
      </c>
      <c r="S87" s="95">
        <f t="shared" si="18"/>
        <v>0</v>
      </c>
      <c r="T87" s="132"/>
      <c r="U87" s="309">
        <v>10</v>
      </c>
      <c r="V87" s="265">
        <f t="shared" si="19"/>
        <v>100</v>
      </c>
      <c r="W87" s="318">
        <f t="shared" si="20"/>
        <v>0</v>
      </c>
      <c r="Y87" s="331">
        <f t="shared" si="16"/>
        <v>0</v>
      </c>
    </row>
    <row r="88" spans="1:25" s="15" customFormat="1" ht="37.5" hidden="1" customHeight="1">
      <c r="A88" s="380"/>
      <c r="B88" s="376"/>
      <c r="C88" s="349"/>
      <c r="D88" s="343"/>
      <c r="E88" s="389"/>
      <c r="F88" s="396"/>
      <c r="G88" s="53"/>
      <c r="H88" s="188"/>
      <c r="I88" s="69" t="s">
        <v>220</v>
      </c>
      <c r="J88" s="4"/>
      <c r="K88" s="127" t="s">
        <v>136</v>
      </c>
      <c r="L88" s="250">
        <v>0</v>
      </c>
      <c r="M88" s="127" t="s">
        <v>137</v>
      </c>
      <c r="N88" s="93">
        <v>0</v>
      </c>
      <c r="O88" s="204">
        <f>$A$9*$B$35*$C$84*$D$85*J88*N88</f>
        <v>0</v>
      </c>
      <c r="P88" s="132"/>
      <c r="Q88" s="260">
        <v>10</v>
      </c>
      <c r="R88" s="94">
        <f t="shared" si="21"/>
        <v>100</v>
      </c>
      <c r="S88" s="95">
        <f t="shared" si="18"/>
        <v>0</v>
      </c>
      <c r="T88" s="132"/>
      <c r="U88" s="309">
        <v>10</v>
      </c>
      <c r="V88" s="265">
        <f t="shared" si="19"/>
        <v>100</v>
      </c>
      <c r="W88" s="318">
        <f t="shared" si="20"/>
        <v>0</v>
      </c>
      <c r="Y88" s="331">
        <f t="shared" si="16"/>
        <v>0</v>
      </c>
    </row>
    <row r="89" spans="1:25" s="15" customFormat="1" ht="37.5" hidden="1" customHeight="1">
      <c r="A89" s="380"/>
      <c r="B89" s="376"/>
      <c r="C89" s="349"/>
      <c r="D89" s="343"/>
      <c r="E89" s="389"/>
      <c r="F89" s="396"/>
      <c r="G89" s="53"/>
      <c r="H89" s="188"/>
      <c r="I89" s="69" t="s">
        <v>283</v>
      </c>
      <c r="J89" s="4"/>
      <c r="K89" s="127" t="s">
        <v>136</v>
      </c>
      <c r="L89" s="250">
        <v>0</v>
      </c>
      <c r="M89" s="127" t="s">
        <v>137</v>
      </c>
      <c r="N89" s="93">
        <v>0</v>
      </c>
      <c r="O89" s="204">
        <f>$A$9*$B$35*$C$84*$D$85*J89*N89</f>
        <v>0</v>
      </c>
      <c r="P89" s="132"/>
      <c r="Q89" s="260">
        <v>10</v>
      </c>
      <c r="R89" s="94">
        <f t="shared" si="21"/>
        <v>100</v>
      </c>
      <c r="S89" s="95">
        <f t="shared" si="18"/>
        <v>0</v>
      </c>
      <c r="T89" s="132"/>
      <c r="U89" s="309">
        <v>10</v>
      </c>
      <c r="V89" s="265">
        <f t="shared" si="19"/>
        <v>100</v>
      </c>
      <c r="W89" s="318">
        <f t="shared" si="20"/>
        <v>0</v>
      </c>
      <c r="Y89" s="331">
        <f t="shared" si="16"/>
        <v>0</v>
      </c>
    </row>
    <row r="90" spans="1:25" s="15" customFormat="1" ht="37.5" hidden="1" customHeight="1">
      <c r="A90" s="380"/>
      <c r="B90" s="376"/>
      <c r="C90" s="349"/>
      <c r="D90" s="343"/>
      <c r="E90" s="389"/>
      <c r="F90" s="396"/>
      <c r="G90" s="53"/>
      <c r="H90" s="188"/>
      <c r="I90" s="69" t="s">
        <v>284</v>
      </c>
      <c r="J90" s="4"/>
      <c r="K90" s="127" t="s">
        <v>136</v>
      </c>
      <c r="L90" s="250">
        <v>0</v>
      </c>
      <c r="M90" s="127" t="s">
        <v>137</v>
      </c>
      <c r="N90" s="93">
        <v>0</v>
      </c>
      <c r="O90" s="204">
        <f>$A$9*$B$35*$C$84*$D$85*J90*N90</f>
        <v>0</v>
      </c>
      <c r="P90" s="132"/>
      <c r="Q90" s="260">
        <v>10</v>
      </c>
      <c r="R90" s="94">
        <f t="shared" si="21"/>
        <v>100</v>
      </c>
      <c r="S90" s="95">
        <f t="shared" si="18"/>
        <v>0</v>
      </c>
      <c r="T90" s="132"/>
      <c r="U90" s="309">
        <v>10</v>
      </c>
      <c r="V90" s="265">
        <f t="shared" si="19"/>
        <v>100</v>
      </c>
      <c r="W90" s="318">
        <f t="shared" si="20"/>
        <v>0</v>
      </c>
      <c r="Y90" s="331">
        <f t="shared" si="16"/>
        <v>0</v>
      </c>
    </row>
    <row r="91" spans="1:25" s="15" customFormat="1" ht="45" hidden="1" customHeight="1">
      <c r="A91" s="380"/>
      <c r="B91" s="376"/>
      <c r="C91" s="349"/>
      <c r="D91" s="343"/>
      <c r="E91" s="389"/>
      <c r="F91" s="396"/>
      <c r="G91" s="53"/>
      <c r="H91" s="188"/>
      <c r="I91" s="69" t="s">
        <v>285</v>
      </c>
      <c r="J91" s="4"/>
      <c r="K91" s="127" t="s">
        <v>136</v>
      </c>
      <c r="L91" s="250">
        <v>0</v>
      </c>
      <c r="M91" s="127" t="s">
        <v>137</v>
      </c>
      <c r="N91" s="93"/>
      <c r="O91" s="204">
        <f>$A$9*$B$35*$C$84*$D$85*J91*N91</f>
        <v>0</v>
      </c>
      <c r="P91" s="132"/>
      <c r="Q91" s="260">
        <v>10</v>
      </c>
      <c r="R91" s="94">
        <f t="shared" si="21"/>
        <v>100</v>
      </c>
      <c r="S91" s="95">
        <f t="shared" si="18"/>
        <v>0</v>
      </c>
      <c r="T91" s="132"/>
      <c r="U91" s="309">
        <v>10</v>
      </c>
      <c r="V91" s="265">
        <f t="shared" si="19"/>
        <v>100</v>
      </c>
      <c r="W91" s="318">
        <f t="shared" si="20"/>
        <v>0</v>
      </c>
      <c r="Y91" s="331">
        <f t="shared" si="16"/>
        <v>0</v>
      </c>
    </row>
    <row r="92" spans="1:25" s="15" customFormat="1" ht="51" customHeight="1">
      <c r="A92" s="380"/>
      <c r="B92" s="376"/>
      <c r="C92" s="349"/>
      <c r="D92" s="343"/>
      <c r="E92" s="389"/>
      <c r="F92" s="396"/>
      <c r="G92" s="53" t="s">
        <v>410</v>
      </c>
      <c r="H92" s="189" t="s">
        <v>217</v>
      </c>
      <c r="I92" s="69" t="s">
        <v>364</v>
      </c>
      <c r="J92" s="7" t="s">
        <v>286</v>
      </c>
      <c r="K92" s="127" t="s">
        <v>136</v>
      </c>
      <c r="L92" s="250">
        <v>0</v>
      </c>
      <c r="M92" s="127" t="s">
        <v>137</v>
      </c>
      <c r="N92" s="93">
        <v>0.25</v>
      </c>
      <c r="O92" s="204">
        <f>$A$9*$B$35*$C$84*$D$85*N92</f>
        <v>2.6681499999999997E-2</v>
      </c>
      <c r="P92" s="132">
        <v>0</v>
      </c>
      <c r="Q92" s="260">
        <v>10</v>
      </c>
      <c r="R92" s="94">
        <f t="shared" si="21"/>
        <v>100</v>
      </c>
      <c r="S92" s="95">
        <f t="shared" si="18"/>
        <v>2.6681499999999998</v>
      </c>
      <c r="T92" s="19">
        <v>0</v>
      </c>
      <c r="U92" s="309">
        <v>10</v>
      </c>
      <c r="V92" s="265">
        <f t="shared" si="19"/>
        <v>100</v>
      </c>
      <c r="W92" s="318">
        <f t="shared" si="20"/>
        <v>2.6681499999999998</v>
      </c>
      <c r="Y92" s="331">
        <f t="shared" si="16"/>
        <v>0</v>
      </c>
    </row>
    <row r="93" spans="1:25" s="15" customFormat="1" ht="45.75" hidden="1" customHeight="1">
      <c r="A93" s="380"/>
      <c r="B93" s="376"/>
      <c r="C93" s="349"/>
      <c r="D93" s="343"/>
      <c r="E93" s="389"/>
      <c r="F93" s="396"/>
      <c r="G93" s="53" t="s">
        <v>412</v>
      </c>
      <c r="H93" s="189" t="s">
        <v>219</v>
      </c>
      <c r="I93" s="69" t="s">
        <v>365</v>
      </c>
      <c r="J93" s="7" t="s">
        <v>315</v>
      </c>
      <c r="K93" s="127" t="s">
        <v>136</v>
      </c>
      <c r="L93" s="250">
        <v>0</v>
      </c>
      <c r="M93" s="127" t="s">
        <v>137</v>
      </c>
      <c r="N93" s="93">
        <v>0</v>
      </c>
      <c r="O93" s="204">
        <f>$A$9*$B$35*$C$84*$D$85*N93</f>
        <v>0</v>
      </c>
      <c r="P93" s="132"/>
      <c r="Q93" s="260">
        <v>10</v>
      </c>
      <c r="R93" s="94">
        <f t="shared" si="21"/>
        <v>100</v>
      </c>
      <c r="S93" s="95">
        <f t="shared" si="18"/>
        <v>0</v>
      </c>
      <c r="T93" s="132"/>
      <c r="U93" s="309">
        <v>10</v>
      </c>
      <c r="V93" s="265">
        <f t="shared" si="19"/>
        <v>100</v>
      </c>
      <c r="W93" s="318">
        <f t="shared" si="20"/>
        <v>0</v>
      </c>
      <c r="Y93" s="331">
        <f t="shared" si="16"/>
        <v>0</v>
      </c>
    </row>
    <row r="94" spans="1:25" s="15" customFormat="1" ht="48" customHeight="1">
      <c r="A94" s="380"/>
      <c r="B94" s="376"/>
      <c r="C94" s="349"/>
      <c r="D94" s="336"/>
      <c r="E94" s="388"/>
      <c r="F94" s="397"/>
      <c r="G94" s="53" t="s">
        <v>411</v>
      </c>
      <c r="H94" s="189" t="s">
        <v>221</v>
      </c>
      <c r="I94" s="69" t="s">
        <v>366</v>
      </c>
      <c r="J94" s="7" t="s">
        <v>287</v>
      </c>
      <c r="K94" s="127" t="s">
        <v>136</v>
      </c>
      <c r="L94" s="250">
        <v>2</v>
      </c>
      <c r="M94" s="127" t="s">
        <v>137</v>
      </c>
      <c r="N94" s="93">
        <v>0.25</v>
      </c>
      <c r="O94" s="204">
        <f>$A$9*$B$35*$C$84*$D$85*N94</f>
        <v>2.6681499999999997E-2</v>
      </c>
      <c r="P94" s="132">
        <v>0</v>
      </c>
      <c r="Q94" s="260">
        <v>10</v>
      </c>
      <c r="R94" s="94">
        <f t="shared" si="21"/>
        <v>120</v>
      </c>
      <c r="S94" s="95">
        <f t="shared" si="18"/>
        <v>3.2017799999999994</v>
      </c>
      <c r="T94" s="19">
        <v>0</v>
      </c>
      <c r="U94" s="309">
        <v>10</v>
      </c>
      <c r="V94" s="265">
        <f t="shared" si="19"/>
        <v>100</v>
      </c>
      <c r="W94" s="318">
        <f t="shared" si="20"/>
        <v>2.6681499999999998</v>
      </c>
      <c r="Y94" s="331">
        <f t="shared" si="16"/>
        <v>-0.5336299999999996</v>
      </c>
    </row>
    <row r="95" spans="1:25" s="15" customFormat="1" ht="37.5" customHeight="1">
      <c r="A95" s="380"/>
      <c r="B95" s="376"/>
      <c r="C95" s="349"/>
      <c r="D95" s="335">
        <v>0.25</v>
      </c>
      <c r="E95" s="387" t="s">
        <v>100</v>
      </c>
      <c r="F95" s="337" t="s">
        <v>101</v>
      </c>
      <c r="G95" s="387" t="s">
        <v>367</v>
      </c>
      <c r="H95" s="354" t="s">
        <v>101</v>
      </c>
      <c r="I95" s="387" t="s">
        <v>368</v>
      </c>
      <c r="J95" s="393" t="s">
        <v>288</v>
      </c>
      <c r="K95" s="127" t="s">
        <v>136</v>
      </c>
      <c r="L95" s="250">
        <v>0</v>
      </c>
      <c r="M95" s="127" t="s">
        <v>137</v>
      </c>
      <c r="N95" s="93">
        <v>1</v>
      </c>
      <c r="O95" s="204">
        <f>$A$9*$B$35*$C$84*$D$95*N95</f>
        <v>6.6703749999999992E-2</v>
      </c>
      <c r="P95" s="132">
        <v>0</v>
      </c>
      <c r="Q95" s="260">
        <v>10</v>
      </c>
      <c r="R95" s="94">
        <f t="shared" si="21"/>
        <v>100</v>
      </c>
      <c r="S95" s="95">
        <f t="shared" si="18"/>
        <v>6.6703749999999991</v>
      </c>
      <c r="T95" s="19">
        <v>0</v>
      </c>
      <c r="U95" s="309">
        <v>10</v>
      </c>
      <c r="V95" s="265">
        <f t="shared" si="19"/>
        <v>100</v>
      </c>
      <c r="W95" s="318">
        <f t="shared" si="20"/>
        <v>6.6703749999999991</v>
      </c>
      <c r="X95" s="15">
        <f>85*0.73*0.4*0.25*1</f>
        <v>6.2050000000000001</v>
      </c>
      <c r="Y95" s="331">
        <f t="shared" si="16"/>
        <v>0</v>
      </c>
    </row>
    <row r="96" spans="1:25" s="15" customFormat="1" ht="37.5" hidden="1" customHeight="1">
      <c r="A96" s="380"/>
      <c r="B96" s="376"/>
      <c r="C96" s="349"/>
      <c r="D96" s="343"/>
      <c r="E96" s="389"/>
      <c r="F96" s="339"/>
      <c r="G96" s="389"/>
      <c r="H96" s="354"/>
      <c r="I96" s="388"/>
      <c r="J96" s="394"/>
      <c r="K96" s="127" t="s">
        <v>136</v>
      </c>
      <c r="L96" s="250">
        <v>0</v>
      </c>
      <c r="M96" s="127" t="s">
        <v>137</v>
      </c>
      <c r="N96" s="93">
        <v>0</v>
      </c>
      <c r="O96" s="204">
        <f>$A$9*$B$35*$C$84*$D$95*J96*N96</f>
        <v>0</v>
      </c>
      <c r="P96" s="132"/>
      <c r="Q96" s="260">
        <v>10</v>
      </c>
      <c r="R96" s="94">
        <f t="shared" si="21"/>
        <v>100</v>
      </c>
      <c r="S96" s="95">
        <f t="shared" si="18"/>
        <v>0</v>
      </c>
      <c r="T96" s="132"/>
      <c r="U96" s="23"/>
      <c r="V96" s="20"/>
      <c r="W96" s="327"/>
      <c r="Y96" s="331">
        <f t="shared" si="16"/>
        <v>0</v>
      </c>
    </row>
    <row r="97" spans="1:25" s="15" customFormat="1" ht="82.5" customHeight="1">
      <c r="A97" s="380"/>
      <c r="B97" s="376"/>
      <c r="C97" s="349"/>
      <c r="D97" s="335">
        <v>0.1</v>
      </c>
      <c r="E97" s="387" t="s">
        <v>102</v>
      </c>
      <c r="F97" s="337" t="s">
        <v>103</v>
      </c>
      <c r="G97" s="387" t="s">
        <v>369</v>
      </c>
      <c r="H97" s="337" t="s">
        <v>222</v>
      </c>
      <c r="I97" s="387" t="s">
        <v>370</v>
      </c>
      <c r="J97" s="393" t="s">
        <v>316</v>
      </c>
      <c r="K97" s="238" t="s">
        <v>424</v>
      </c>
      <c r="L97" s="250">
        <v>1</v>
      </c>
      <c r="M97" s="127" t="s">
        <v>137</v>
      </c>
      <c r="N97" s="93">
        <v>1</v>
      </c>
      <c r="O97" s="204">
        <f>$A$9*$B$35*$C$84*$D$97*N97</f>
        <v>2.6681499999999997E-2</v>
      </c>
      <c r="P97" s="132">
        <v>0</v>
      </c>
      <c r="Q97" s="260">
        <v>10</v>
      </c>
      <c r="R97" s="94">
        <f t="shared" si="21"/>
        <v>110</v>
      </c>
      <c r="S97" s="95">
        <f t="shared" si="18"/>
        <v>2.9349649999999996</v>
      </c>
      <c r="T97" s="19">
        <v>1</v>
      </c>
      <c r="U97" s="309">
        <f>T97-L97</f>
        <v>0</v>
      </c>
      <c r="V97" s="265">
        <f>100-U97*10</f>
        <v>100</v>
      </c>
      <c r="W97" s="318">
        <f t="shared" ref="W97" si="22">V97*O97</f>
        <v>2.6681499999999998</v>
      </c>
      <c r="Y97" s="331">
        <f t="shared" si="16"/>
        <v>-0.2668149999999998</v>
      </c>
    </row>
    <row r="98" spans="1:25" s="15" customFormat="1" ht="33.950000000000003" hidden="1" customHeight="1">
      <c r="A98" s="380"/>
      <c r="B98" s="376"/>
      <c r="C98" s="349"/>
      <c r="D98" s="343"/>
      <c r="E98" s="389"/>
      <c r="F98" s="339"/>
      <c r="G98" s="389"/>
      <c r="H98" s="339"/>
      <c r="I98" s="389"/>
      <c r="J98" s="398"/>
      <c r="K98" s="127" t="s">
        <v>136</v>
      </c>
      <c r="L98" s="250">
        <v>0</v>
      </c>
      <c r="M98" s="127" t="s">
        <v>137</v>
      </c>
      <c r="N98" s="93">
        <v>0</v>
      </c>
      <c r="O98" s="204">
        <f>$A$9*$B$35*$C$84*$D$97*J98*N98</f>
        <v>0</v>
      </c>
      <c r="P98" s="132"/>
      <c r="Q98" s="260">
        <v>10</v>
      </c>
      <c r="R98" s="94">
        <f t="shared" si="21"/>
        <v>100</v>
      </c>
      <c r="S98" s="95">
        <f t="shared" si="18"/>
        <v>0</v>
      </c>
      <c r="T98" s="132"/>
      <c r="U98" s="23"/>
      <c r="V98" s="20"/>
      <c r="W98" s="327"/>
      <c r="Y98" s="331">
        <f t="shared" si="16"/>
        <v>0</v>
      </c>
    </row>
    <row r="99" spans="1:25" s="15" customFormat="1" ht="51" hidden="1" customHeight="1">
      <c r="A99" s="380"/>
      <c r="B99" s="376"/>
      <c r="C99" s="349"/>
      <c r="D99" s="336"/>
      <c r="E99" s="388"/>
      <c r="F99" s="338"/>
      <c r="G99" s="388"/>
      <c r="H99" s="338"/>
      <c r="I99" s="388"/>
      <c r="J99" s="394"/>
      <c r="K99" s="127" t="s">
        <v>136</v>
      </c>
      <c r="L99" s="250">
        <v>0</v>
      </c>
      <c r="M99" s="127" t="s">
        <v>137</v>
      </c>
      <c r="N99" s="93">
        <v>0</v>
      </c>
      <c r="O99" s="204">
        <f>$A$9*$B$35*$C$84*$D$97*J99*N99</f>
        <v>0</v>
      </c>
      <c r="P99" s="132"/>
      <c r="Q99" s="260">
        <v>10</v>
      </c>
      <c r="R99" s="94">
        <f t="shared" si="21"/>
        <v>100</v>
      </c>
      <c r="S99" s="95">
        <f t="shared" si="18"/>
        <v>0</v>
      </c>
      <c r="T99" s="132"/>
      <c r="U99" s="23"/>
      <c r="V99" s="20"/>
      <c r="W99" s="327"/>
      <c r="Y99" s="331">
        <f t="shared" si="16"/>
        <v>0</v>
      </c>
    </row>
    <row r="100" spans="1:25" s="15" customFormat="1" ht="38.25" customHeight="1">
      <c r="A100" s="380"/>
      <c r="B100" s="376"/>
      <c r="C100" s="349"/>
      <c r="D100" s="335">
        <v>0.25</v>
      </c>
      <c r="E100" s="387" t="s">
        <v>104</v>
      </c>
      <c r="F100" s="337" t="s">
        <v>105</v>
      </c>
      <c r="G100" s="387" t="s">
        <v>406</v>
      </c>
      <c r="H100" s="337" t="s">
        <v>105</v>
      </c>
      <c r="I100" s="387" t="s">
        <v>371</v>
      </c>
      <c r="J100" s="393" t="s">
        <v>289</v>
      </c>
      <c r="K100" s="127" t="s">
        <v>136</v>
      </c>
      <c r="L100" s="250">
        <v>0</v>
      </c>
      <c r="M100" s="127" t="s">
        <v>137</v>
      </c>
      <c r="N100" s="93">
        <v>1</v>
      </c>
      <c r="O100" s="204">
        <f>$A$9*$B$35*$C$84*$D$100*N100</f>
        <v>6.6703749999999992E-2</v>
      </c>
      <c r="P100" s="132">
        <v>0</v>
      </c>
      <c r="Q100" s="260">
        <v>10</v>
      </c>
      <c r="R100" s="94">
        <f t="shared" si="21"/>
        <v>100</v>
      </c>
      <c r="S100" s="95">
        <f t="shared" si="18"/>
        <v>6.6703749999999991</v>
      </c>
      <c r="T100" s="19">
        <v>0</v>
      </c>
      <c r="U100" s="309">
        <v>10</v>
      </c>
      <c r="V100" s="265">
        <f t="shared" ref="V100" si="23">100-U100*T100</f>
        <v>100</v>
      </c>
      <c r="W100" s="318">
        <f t="shared" ref="W100" si="24">V100*O100</f>
        <v>6.6703749999999991</v>
      </c>
      <c r="Y100" s="331">
        <f t="shared" si="16"/>
        <v>0</v>
      </c>
    </row>
    <row r="101" spans="1:25" s="15" customFormat="1" ht="34.5" hidden="1" customHeight="1">
      <c r="A101" s="380"/>
      <c r="B101" s="376"/>
      <c r="C101" s="349"/>
      <c r="D101" s="343"/>
      <c r="E101" s="389"/>
      <c r="F101" s="339"/>
      <c r="G101" s="389"/>
      <c r="H101" s="339"/>
      <c r="I101" s="389"/>
      <c r="J101" s="398"/>
      <c r="K101" s="127" t="s">
        <v>136</v>
      </c>
      <c r="L101" s="250">
        <v>0</v>
      </c>
      <c r="M101" s="127" t="s">
        <v>30</v>
      </c>
      <c r="N101" s="93">
        <v>0</v>
      </c>
      <c r="O101" s="204">
        <f>$A$9*$B$35*$C$84*$D$100*J101*N101</f>
        <v>0</v>
      </c>
      <c r="P101" s="132"/>
      <c r="Q101" s="48"/>
      <c r="R101" s="94">
        <f>100-(P101-L101)*10</f>
        <v>100</v>
      </c>
      <c r="S101" s="95">
        <f t="shared" si="11"/>
        <v>0</v>
      </c>
      <c r="T101" s="132"/>
      <c r="U101" s="23"/>
      <c r="V101" s="20"/>
      <c r="W101" s="327"/>
      <c r="Y101" s="331">
        <f t="shared" si="16"/>
        <v>0</v>
      </c>
    </row>
    <row r="102" spans="1:25" s="15" customFormat="1" ht="34.5" hidden="1" customHeight="1">
      <c r="A102" s="380"/>
      <c r="B102" s="376"/>
      <c r="C102" s="349"/>
      <c r="D102" s="343"/>
      <c r="E102" s="389"/>
      <c r="F102" s="339"/>
      <c r="G102" s="389"/>
      <c r="H102" s="339"/>
      <c r="I102" s="389"/>
      <c r="J102" s="398"/>
      <c r="K102" s="127" t="s">
        <v>136</v>
      </c>
      <c r="L102" s="250">
        <v>0</v>
      </c>
      <c r="M102" s="127" t="s">
        <v>30</v>
      </c>
      <c r="N102" s="93">
        <v>0</v>
      </c>
      <c r="O102" s="204">
        <f>$A$9*$B$35*$C$84*$D$100*J102*N102</f>
        <v>0</v>
      </c>
      <c r="P102" s="132"/>
      <c r="Q102" s="48"/>
      <c r="R102" s="94">
        <f>100-(P102-L102)*10</f>
        <v>100</v>
      </c>
      <c r="S102" s="95">
        <f t="shared" si="11"/>
        <v>0</v>
      </c>
      <c r="T102" s="132"/>
      <c r="U102" s="23"/>
      <c r="V102" s="20"/>
      <c r="W102" s="327"/>
      <c r="Y102" s="331">
        <f t="shared" si="16"/>
        <v>0</v>
      </c>
    </row>
    <row r="103" spans="1:25" s="15" customFormat="1" ht="34.5" hidden="1" customHeight="1">
      <c r="A103" s="380"/>
      <c r="B103" s="376"/>
      <c r="C103" s="349"/>
      <c r="D103" s="343"/>
      <c r="E103" s="389"/>
      <c r="F103" s="339"/>
      <c r="G103" s="389"/>
      <c r="H103" s="339"/>
      <c r="I103" s="389"/>
      <c r="J103" s="398"/>
      <c r="K103" s="127" t="s">
        <v>136</v>
      </c>
      <c r="L103" s="250">
        <v>0</v>
      </c>
      <c r="M103" s="127" t="s">
        <v>30</v>
      </c>
      <c r="N103" s="93">
        <v>0</v>
      </c>
      <c r="O103" s="204">
        <f>$A$9*$B$35*$C$84*$D$100*J103*N103</f>
        <v>0</v>
      </c>
      <c r="P103" s="132"/>
      <c r="Q103" s="48"/>
      <c r="R103" s="94">
        <f>100-(P103-L103)*10</f>
        <v>100</v>
      </c>
      <c r="S103" s="95">
        <f t="shared" si="11"/>
        <v>0</v>
      </c>
      <c r="T103" s="132"/>
      <c r="U103" s="23"/>
      <c r="V103" s="20"/>
      <c r="W103" s="327"/>
      <c r="Y103" s="331">
        <f t="shared" si="16"/>
        <v>0</v>
      </c>
    </row>
    <row r="104" spans="1:25" s="15" customFormat="1" ht="28.5" hidden="1" customHeight="1">
      <c r="A104" s="380"/>
      <c r="B104" s="376"/>
      <c r="C104" s="349"/>
      <c r="D104" s="336"/>
      <c r="E104" s="388"/>
      <c r="F104" s="338"/>
      <c r="G104" s="388"/>
      <c r="H104" s="338"/>
      <c r="I104" s="388"/>
      <c r="J104" s="394"/>
      <c r="K104" s="127" t="s">
        <v>136</v>
      </c>
      <c r="L104" s="250">
        <v>0</v>
      </c>
      <c r="M104" s="127" t="s">
        <v>30</v>
      </c>
      <c r="N104" s="93">
        <v>0</v>
      </c>
      <c r="O104" s="204">
        <f>$A$9*$B$35*$C$84*$D$100*J104*N104</f>
        <v>0</v>
      </c>
      <c r="P104" s="132"/>
      <c r="Q104" s="48"/>
      <c r="R104" s="94">
        <f>100-(P104-L104)*10</f>
        <v>100</v>
      </c>
      <c r="S104" s="95">
        <f t="shared" si="11"/>
        <v>0</v>
      </c>
      <c r="T104" s="132"/>
      <c r="U104" s="23"/>
      <c r="V104" s="20"/>
      <c r="W104" s="327"/>
      <c r="Y104" s="331">
        <f t="shared" si="16"/>
        <v>0</v>
      </c>
    </row>
    <row r="105" spans="1:25" s="36" customFormat="1" ht="18.95" customHeight="1">
      <c r="A105" s="380"/>
      <c r="B105" s="376"/>
      <c r="C105" s="332">
        <v>0.23</v>
      </c>
      <c r="D105" s="128"/>
      <c r="E105" s="104" t="s">
        <v>183</v>
      </c>
      <c r="F105" s="390" t="s">
        <v>153</v>
      </c>
      <c r="G105" s="391"/>
      <c r="H105" s="391"/>
      <c r="I105" s="391"/>
      <c r="J105" s="391"/>
      <c r="K105" s="391"/>
      <c r="L105" s="391"/>
      <c r="M105" s="392"/>
      <c r="N105" s="117"/>
      <c r="O105" s="205"/>
      <c r="P105" s="57"/>
      <c r="Q105" s="57"/>
      <c r="R105" s="57"/>
      <c r="S105" s="125"/>
      <c r="T105" s="57"/>
      <c r="U105" s="129"/>
      <c r="V105" s="130"/>
      <c r="W105" s="328"/>
      <c r="Y105" s="331">
        <f t="shared" si="16"/>
        <v>0</v>
      </c>
    </row>
    <row r="106" spans="1:25" s="15" customFormat="1" ht="42.75" customHeight="1">
      <c r="A106" s="380"/>
      <c r="B106" s="376"/>
      <c r="C106" s="349"/>
      <c r="D106" s="335">
        <v>0.5</v>
      </c>
      <c r="E106" s="387" t="s">
        <v>106</v>
      </c>
      <c r="F106" s="337" t="s">
        <v>107</v>
      </c>
      <c r="G106" s="47" t="s">
        <v>223</v>
      </c>
      <c r="H106" s="48" t="s">
        <v>224</v>
      </c>
      <c r="I106" s="69" t="s">
        <v>372</v>
      </c>
      <c r="J106" s="337" t="s">
        <v>290</v>
      </c>
      <c r="K106" s="127" t="s">
        <v>136</v>
      </c>
      <c r="L106" s="250">
        <v>0</v>
      </c>
      <c r="M106" s="127" t="s">
        <v>137</v>
      </c>
      <c r="N106" s="93">
        <v>1</v>
      </c>
      <c r="O106" s="307">
        <f>$A$9*$B$35*$C$105*$D$106*N106</f>
        <v>7.135749999999999E-2</v>
      </c>
      <c r="P106" s="132">
        <v>0</v>
      </c>
      <c r="Q106" s="260">
        <v>10</v>
      </c>
      <c r="R106" s="94">
        <f t="shared" ref="R106:R115" si="25">100-(P106-L106)*Q106</f>
        <v>100</v>
      </c>
      <c r="S106" s="95">
        <f t="shared" ref="S106:S115" si="26">R106*O106</f>
        <v>7.1357499999999989</v>
      </c>
      <c r="T106" s="19">
        <v>0</v>
      </c>
      <c r="U106" s="309">
        <v>10</v>
      </c>
      <c r="V106" s="265">
        <f t="shared" ref="V106:V115" si="27">100-U106*T106</f>
        <v>100</v>
      </c>
      <c r="W106" s="318">
        <f t="shared" ref="W106:W115" si="28">V106*O106</f>
        <v>7.1357499999999989</v>
      </c>
      <c r="X106" s="15">
        <f>85*0.73*0.23*0.5*1</f>
        <v>7.1357499999999998</v>
      </c>
      <c r="Y106" s="331">
        <f t="shared" si="16"/>
        <v>0</v>
      </c>
    </row>
    <row r="107" spans="1:25" s="15" customFormat="1" ht="42.75" hidden="1" customHeight="1">
      <c r="A107" s="380"/>
      <c r="B107" s="376"/>
      <c r="C107" s="349"/>
      <c r="D107" s="343"/>
      <c r="E107" s="389"/>
      <c r="F107" s="339"/>
      <c r="G107" s="47" t="s">
        <v>291</v>
      </c>
      <c r="H107" s="48"/>
      <c r="I107" s="69"/>
      <c r="J107" s="339"/>
      <c r="K107" s="127" t="s">
        <v>136</v>
      </c>
      <c r="L107" s="250">
        <v>0</v>
      </c>
      <c r="M107" s="127" t="s">
        <v>137</v>
      </c>
      <c r="N107" s="93">
        <v>0</v>
      </c>
      <c r="O107" s="307">
        <f>$A$9*$B$35*$C$105*$D$106*J107*N107</f>
        <v>0</v>
      </c>
      <c r="P107" s="132"/>
      <c r="Q107" s="260">
        <v>10</v>
      </c>
      <c r="R107" s="94">
        <f t="shared" si="25"/>
        <v>100</v>
      </c>
      <c r="S107" s="95">
        <f t="shared" si="26"/>
        <v>0</v>
      </c>
      <c r="T107" s="132"/>
      <c r="U107" s="309">
        <v>10</v>
      </c>
      <c r="V107" s="265">
        <f t="shared" si="27"/>
        <v>100</v>
      </c>
      <c r="W107" s="318">
        <f t="shared" si="28"/>
        <v>0</v>
      </c>
      <c r="Y107" s="331">
        <f t="shared" si="16"/>
        <v>0</v>
      </c>
    </row>
    <row r="108" spans="1:25" s="15" customFormat="1" ht="42.75" hidden="1" customHeight="1">
      <c r="A108" s="380"/>
      <c r="B108" s="376"/>
      <c r="C108" s="349"/>
      <c r="D108" s="343"/>
      <c r="E108" s="389"/>
      <c r="F108" s="339"/>
      <c r="G108" s="47" t="s">
        <v>292</v>
      </c>
      <c r="H108" s="48"/>
      <c r="I108" s="69"/>
      <c r="J108" s="339"/>
      <c r="K108" s="127" t="s">
        <v>136</v>
      </c>
      <c r="L108" s="250">
        <v>0</v>
      </c>
      <c r="M108" s="127" t="s">
        <v>137</v>
      </c>
      <c r="N108" s="93">
        <v>0</v>
      </c>
      <c r="O108" s="307">
        <f>$A$9*$B$35*$C$105*$D$106*J108*N108</f>
        <v>0</v>
      </c>
      <c r="P108" s="132"/>
      <c r="Q108" s="260">
        <v>10</v>
      </c>
      <c r="R108" s="94">
        <f t="shared" si="25"/>
        <v>100</v>
      </c>
      <c r="S108" s="95">
        <f t="shared" si="26"/>
        <v>0</v>
      </c>
      <c r="T108" s="132"/>
      <c r="U108" s="309">
        <v>10</v>
      </c>
      <c r="V108" s="265">
        <f t="shared" si="27"/>
        <v>100</v>
      </c>
      <c r="W108" s="318">
        <f t="shared" si="28"/>
        <v>0</v>
      </c>
      <c r="Y108" s="331">
        <f t="shared" si="16"/>
        <v>0</v>
      </c>
    </row>
    <row r="109" spans="1:25" s="15" customFormat="1" ht="42.75" hidden="1" customHeight="1">
      <c r="A109" s="380"/>
      <c r="B109" s="376"/>
      <c r="C109" s="349"/>
      <c r="D109" s="343"/>
      <c r="E109" s="389"/>
      <c r="F109" s="339"/>
      <c r="G109" s="47" t="s">
        <v>293</v>
      </c>
      <c r="H109" s="48"/>
      <c r="I109" s="69"/>
      <c r="J109" s="339"/>
      <c r="K109" s="127" t="s">
        <v>136</v>
      </c>
      <c r="L109" s="250">
        <v>0</v>
      </c>
      <c r="M109" s="127" t="s">
        <v>137</v>
      </c>
      <c r="N109" s="93">
        <v>0</v>
      </c>
      <c r="O109" s="307">
        <f>$A$9*$B$35*$C$105*$D$106*J109*N109</f>
        <v>0</v>
      </c>
      <c r="P109" s="132"/>
      <c r="Q109" s="260">
        <v>10</v>
      </c>
      <c r="R109" s="94">
        <f t="shared" si="25"/>
        <v>100</v>
      </c>
      <c r="S109" s="95">
        <f t="shared" si="26"/>
        <v>0</v>
      </c>
      <c r="T109" s="132"/>
      <c r="U109" s="309">
        <v>10</v>
      </c>
      <c r="V109" s="265">
        <f t="shared" si="27"/>
        <v>100</v>
      </c>
      <c r="W109" s="318">
        <f t="shared" si="28"/>
        <v>0</v>
      </c>
      <c r="Y109" s="331">
        <f t="shared" si="16"/>
        <v>0</v>
      </c>
    </row>
    <row r="110" spans="1:25" s="15" customFormat="1" ht="42.75" hidden="1" customHeight="1">
      <c r="A110" s="380"/>
      <c r="B110" s="376"/>
      <c r="C110" s="349"/>
      <c r="D110" s="343"/>
      <c r="E110" s="389"/>
      <c r="F110" s="339"/>
      <c r="G110" s="47" t="s">
        <v>225</v>
      </c>
      <c r="H110" s="48"/>
      <c r="I110" s="69"/>
      <c r="J110" s="338"/>
      <c r="K110" s="127" t="s">
        <v>136</v>
      </c>
      <c r="L110" s="250">
        <v>0</v>
      </c>
      <c r="M110" s="127" t="s">
        <v>137</v>
      </c>
      <c r="N110" s="93">
        <v>0</v>
      </c>
      <c r="O110" s="307">
        <f>$A$9*$B$35*$C$105*$D$106*J110*N110</f>
        <v>0</v>
      </c>
      <c r="P110" s="132"/>
      <c r="Q110" s="260">
        <v>10</v>
      </c>
      <c r="R110" s="94">
        <f t="shared" si="25"/>
        <v>100</v>
      </c>
      <c r="S110" s="95">
        <f t="shared" si="26"/>
        <v>0</v>
      </c>
      <c r="T110" s="132"/>
      <c r="U110" s="309">
        <v>10</v>
      </c>
      <c r="V110" s="265">
        <f t="shared" si="27"/>
        <v>100</v>
      </c>
      <c r="W110" s="318">
        <f t="shared" si="28"/>
        <v>0</v>
      </c>
      <c r="Y110" s="331">
        <f t="shared" si="16"/>
        <v>0</v>
      </c>
    </row>
    <row r="111" spans="1:25" s="15" customFormat="1" ht="52.5" customHeight="1">
      <c r="A111" s="380"/>
      <c r="B111" s="376"/>
      <c r="C111" s="349"/>
      <c r="D111" s="335">
        <v>0.3</v>
      </c>
      <c r="E111" s="387" t="s">
        <v>108</v>
      </c>
      <c r="F111" s="337" t="s">
        <v>109</v>
      </c>
      <c r="G111" s="53" t="s">
        <v>373</v>
      </c>
      <c r="H111" s="354" t="s">
        <v>226</v>
      </c>
      <c r="I111" s="399" t="s">
        <v>374</v>
      </c>
      <c r="J111" s="400" t="s">
        <v>294</v>
      </c>
      <c r="K111" s="127" t="s">
        <v>136</v>
      </c>
      <c r="L111" s="250">
        <v>0</v>
      </c>
      <c r="M111" s="127" t="s">
        <v>137</v>
      </c>
      <c r="N111" s="93">
        <v>1</v>
      </c>
      <c r="O111" s="307">
        <f>$A$9*$B$35*$C$105*$D$111*N111</f>
        <v>4.2814499999999991E-2</v>
      </c>
      <c r="P111" s="132">
        <v>0</v>
      </c>
      <c r="Q111" s="260">
        <v>10</v>
      </c>
      <c r="R111" s="94">
        <f t="shared" si="25"/>
        <v>100</v>
      </c>
      <c r="S111" s="95">
        <f t="shared" si="26"/>
        <v>4.2814499999999995</v>
      </c>
      <c r="T111" s="19">
        <v>0</v>
      </c>
      <c r="U111" s="309">
        <v>10</v>
      </c>
      <c r="V111" s="265">
        <f t="shared" si="27"/>
        <v>100</v>
      </c>
      <c r="W111" s="318">
        <f t="shared" si="28"/>
        <v>4.2814499999999995</v>
      </c>
      <c r="X111" s="15">
        <f>85*0.73*0.23*0.3*1</f>
        <v>4.2814499999999995</v>
      </c>
      <c r="Y111" s="331">
        <f t="shared" si="16"/>
        <v>0</v>
      </c>
    </row>
    <row r="112" spans="1:25" s="15" customFormat="1" ht="38.25" hidden="1" customHeight="1">
      <c r="A112" s="380"/>
      <c r="B112" s="376"/>
      <c r="C112" s="349"/>
      <c r="D112" s="343"/>
      <c r="E112" s="389"/>
      <c r="F112" s="339"/>
      <c r="G112" s="53" t="s">
        <v>227</v>
      </c>
      <c r="H112" s="354"/>
      <c r="I112" s="399"/>
      <c r="J112" s="400"/>
      <c r="K112" s="127" t="s">
        <v>136</v>
      </c>
      <c r="L112" s="250">
        <v>0</v>
      </c>
      <c r="M112" s="127" t="s">
        <v>137</v>
      </c>
      <c r="N112" s="93">
        <v>0</v>
      </c>
      <c r="O112" s="307">
        <f>$A$9*$B$35*$C$105*$D$111*J112*N112</f>
        <v>0</v>
      </c>
      <c r="P112" s="132"/>
      <c r="Q112" s="260">
        <v>10</v>
      </c>
      <c r="R112" s="94">
        <f t="shared" si="25"/>
        <v>100</v>
      </c>
      <c r="S112" s="95">
        <f t="shared" si="26"/>
        <v>0</v>
      </c>
      <c r="T112" s="132"/>
      <c r="U112" s="309">
        <v>10</v>
      </c>
      <c r="V112" s="265">
        <f t="shared" si="27"/>
        <v>100</v>
      </c>
      <c r="W112" s="318">
        <f t="shared" si="28"/>
        <v>0</v>
      </c>
      <c r="X112" s="15">
        <f t="shared" ref="X112:X114" si="29">85*0.73*0.23*0.5*1</f>
        <v>7.1357499999999998</v>
      </c>
      <c r="Y112" s="331">
        <f t="shared" si="16"/>
        <v>0</v>
      </c>
    </row>
    <row r="113" spans="1:25" s="15" customFormat="1" ht="38.25" hidden="1" customHeight="1">
      <c r="A113" s="380"/>
      <c r="B113" s="376"/>
      <c r="C113" s="349"/>
      <c r="D113" s="343"/>
      <c r="E113" s="389"/>
      <c r="F113" s="339"/>
      <c r="G113" s="53" t="s">
        <v>228</v>
      </c>
      <c r="H113" s="354"/>
      <c r="I113" s="399"/>
      <c r="J113" s="400"/>
      <c r="K113" s="127" t="s">
        <v>136</v>
      </c>
      <c r="L113" s="250">
        <v>0</v>
      </c>
      <c r="M113" s="127" t="s">
        <v>137</v>
      </c>
      <c r="N113" s="93">
        <v>0</v>
      </c>
      <c r="O113" s="307">
        <f>$A$9*$B$35*$C$105*$D$111*J113*N113</f>
        <v>0</v>
      </c>
      <c r="P113" s="132"/>
      <c r="Q113" s="260">
        <v>10</v>
      </c>
      <c r="R113" s="94">
        <f t="shared" si="25"/>
        <v>100</v>
      </c>
      <c r="S113" s="95">
        <f t="shared" si="26"/>
        <v>0</v>
      </c>
      <c r="T113" s="132"/>
      <c r="U113" s="309">
        <v>10</v>
      </c>
      <c r="V113" s="265">
        <f t="shared" si="27"/>
        <v>100</v>
      </c>
      <c r="W113" s="318">
        <f t="shared" si="28"/>
        <v>0</v>
      </c>
      <c r="X113" s="15">
        <f t="shared" si="29"/>
        <v>7.1357499999999998</v>
      </c>
      <c r="Y113" s="331">
        <f t="shared" si="16"/>
        <v>0</v>
      </c>
    </row>
    <row r="114" spans="1:25" s="15" customFormat="1" ht="38.25" hidden="1" customHeight="1">
      <c r="A114" s="380"/>
      <c r="B114" s="376"/>
      <c r="C114" s="349"/>
      <c r="D114" s="343"/>
      <c r="E114" s="389"/>
      <c r="F114" s="339"/>
      <c r="G114" s="53" t="s">
        <v>295</v>
      </c>
      <c r="H114" s="354"/>
      <c r="I114" s="399"/>
      <c r="J114" s="400"/>
      <c r="K114" s="127" t="s">
        <v>136</v>
      </c>
      <c r="L114" s="250">
        <v>0</v>
      </c>
      <c r="M114" s="127" t="s">
        <v>137</v>
      </c>
      <c r="N114" s="93">
        <v>0</v>
      </c>
      <c r="O114" s="307">
        <f>$A$9*$B$35*$C$105*$D$111*J114*N114</f>
        <v>0</v>
      </c>
      <c r="P114" s="132"/>
      <c r="Q114" s="260">
        <v>10</v>
      </c>
      <c r="R114" s="94">
        <f t="shared" si="25"/>
        <v>100</v>
      </c>
      <c r="S114" s="95">
        <f t="shared" si="26"/>
        <v>0</v>
      </c>
      <c r="T114" s="132"/>
      <c r="U114" s="309">
        <v>10</v>
      </c>
      <c r="V114" s="265">
        <f t="shared" si="27"/>
        <v>100</v>
      </c>
      <c r="W114" s="318">
        <f t="shared" si="28"/>
        <v>0</v>
      </c>
      <c r="X114" s="15">
        <f t="shared" si="29"/>
        <v>7.1357499999999998</v>
      </c>
      <c r="Y114" s="331">
        <f t="shared" si="16"/>
        <v>0</v>
      </c>
    </row>
    <row r="115" spans="1:25" s="15" customFormat="1" ht="47.25" customHeight="1">
      <c r="A115" s="380"/>
      <c r="B115" s="376"/>
      <c r="C115" s="349"/>
      <c r="D115" s="272">
        <v>0.2</v>
      </c>
      <c r="E115" s="275" t="s">
        <v>110</v>
      </c>
      <c r="F115" s="273" t="s">
        <v>111</v>
      </c>
      <c r="G115" s="275" t="s">
        <v>375</v>
      </c>
      <c r="H115" s="273" t="s">
        <v>111</v>
      </c>
      <c r="I115" s="275" t="s">
        <v>376</v>
      </c>
      <c r="J115" s="276" t="s">
        <v>296</v>
      </c>
      <c r="K115" s="127" t="s">
        <v>136</v>
      </c>
      <c r="L115" s="250">
        <v>0</v>
      </c>
      <c r="M115" s="127" t="s">
        <v>137</v>
      </c>
      <c r="N115" s="93">
        <v>1</v>
      </c>
      <c r="O115" s="307">
        <f>$A$9*$B$35*$C$105*$D$115*N115</f>
        <v>2.8542999999999999E-2</v>
      </c>
      <c r="P115" s="132">
        <v>0</v>
      </c>
      <c r="Q115" s="260">
        <v>10</v>
      </c>
      <c r="R115" s="94">
        <f t="shared" si="25"/>
        <v>100</v>
      </c>
      <c r="S115" s="95">
        <f t="shared" si="26"/>
        <v>2.8542999999999998</v>
      </c>
      <c r="T115" s="19">
        <v>0</v>
      </c>
      <c r="U115" s="309">
        <v>10</v>
      </c>
      <c r="V115" s="265">
        <f t="shared" si="27"/>
        <v>100</v>
      </c>
      <c r="W115" s="318">
        <f t="shared" si="28"/>
        <v>2.8542999999999998</v>
      </c>
      <c r="X115" s="15">
        <f>85*0.73*0.23*0.2*1</f>
        <v>2.8543000000000003</v>
      </c>
      <c r="Y115" s="331">
        <f t="shared" si="16"/>
        <v>0</v>
      </c>
    </row>
    <row r="116" spans="1:25" s="36" customFormat="1" ht="30.75" customHeight="1">
      <c r="A116" s="380"/>
      <c r="B116" s="376"/>
      <c r="C116" s="332">
        <v>0</v>
      </c>
      <c r="D116" s="128"/>
      <c r="E116" s="104" t="s">
        <v>193</v>
      </c>
      <c r="F116" s="390" t="s">
        <v>173</v>
      </c>
      <c r="G116" s="391"/>
      <c r="H116" s="391"/>
      <c r="I116" s="391"/>
      <c r="J116" s="391"/>
      <c r="K116" s="391"/>
      <c r="L116" s="391"/>
      <c r="M116" s="392"/>
      <c r="N116" s="117"/>
      <c r="O116" s="205"/>
      <c r="P116" s="132"/>
      <c r="Q116" s="57"/>
      <c r="R116" s="57"/>
      <c r="S116" s="125"/>
      <c r="T116" s="132"/>
      <c r="U116" s="129"/>
      <c r="V116" s="130"/>
      <c r="W116" s="328"/>
      <c r="Y116" s="331">
        <f t="shared" si="16"/>
        <v>0</v>
      </c>
    </row>
    <row r="117" spans="1:25" s="15" customFormat="1" ht="36.75" hidden="1" customHeight="1">
      <c r="A117" s="380"/>
      <c r="B117" s="376"/>
      <c r="C117" s="349"/>
      <c r="D117" s="180">
        <v>0</v>
      </c>
      <c r="E117" s="53" t="s">
        <v>112</v>
      </c>
      <c r="F117" s="127" t="s">
        <v>203</v>
      </c>
      <c r="G117" s="53" t="s">
        <v>377</v>
      </c>
      <c r="H117" s="127" t="s">
        <v>203</v>
      </c>
      <c r="I117" s="53" t="s">
        <v>378</v>
      </c>
      <c r="J117" s="131" t="s">
        <v>297</v>
      </c>
      <c r="K117" s="127" t="s">
        <v>136</v>
      </c>
      <c r="L117" s="250">
        <v>0</v>
      </c>
      <c r="M117" s="127" t="s">
        <v>137</v>
      </c>
      <c r="N117" s="93">
        <v>0</v>
      </c>
      <c r="O117" s="204">
        <f>$A$9*$B$35*$C$116*$D$117*N117</f>
        <v>0</v>
      </c>
      <c r="P117" s="132"/>
      <c r="Q117" s="127">
        <v>10</v>
      </c>
      <c r="R117" s="94">
        <f>100-(P117-L117)*Q117</f>
        <v>100</v>
      </c>
      <c r="S117" s="95">
        <f t="shared" ref="S117:S122" si="30">R117*O117</f>
        <v>0</v>
      </c>
      <c r="T117" s="132"/>
      <c r="U117" s="309">
        <v>10</v>
      </c>
      <c r="V117" s="265">
        <f t="shared" ref="V117" si="31">100-U117*T117</f>
        <v>100</v>
      </c>
      <c r="W117" s="318">
        <f t="shared" ref="W117" si="32">V117*O117</f>
        <v>0</v>
      </c>
      <c r="Y117" s="331">
        <f t="shared" si="16"/>
        <v>0</v>
      </c>
    </row>
    <row r="118" spans="1:25" s="15" customFormat="1">
      <c r="A118" s="380"/>
      <c r="B118" s="376"/>
      <c r="C118" s="332">
        <v>0.08</v>
      </c>
      <c r="D118" s="90"/>
      <c r="E118" s="104" t="s">
        <v>194</v>
      </c>
      <c r="F118" s="390" t="s">
        <v>174</v>
      </c>
      <c r="G118" s="391"/>
      <c r="H118" s="391"/>
      <c r="I118" s="391"/>
      <c r="J118" s="391"/>
      <c r="K118" s="391"/>
      <c r="L118" s="391"/>
      <c r="M118" s="392"/>
      <c r="N118" s="122"/>
      <c r="O118" s="205"/>
      <c r="P118" s="132"/>
      <c r="Q118" s="123"/>
      <c r="R118" s="123"/>
      <c r="S118" s="125"/>
      <c r="T118" s="132"/>
      <c r="U118" s="126"/>
      <c r="V118" s="119"/>
      <c r="W118" s="326"/>
      <c r="Y118" s="331">
        <f t="shared" si="16"/>
        <v>0</v>
      </c>
    </row>
    <row r="119" spans="1:25" s="15" customFormat="1" ht="37.5" customHeight="1">
      <c r="A119" s="380"/>
      <c r="B119" s="376"/>
      <c r="C119" s="349"/>
      <c r="D119" s="335">
        <v>0.5</v>
      </c>
      <c r="E119" s="387" t="s">
        <v>113</v>
      </c>
      <c r="F119" s="337" t="s">
        <v>114</v>
      </c>
      <c r="G119" s="387" t="s">
        <v>379</v>
      </c>
      <c r="H119" s="337" t="s">
        <v>114</v>
      </c>
      <c r="I119" s="387" t="s">
        <v>380</v>
      </c>
      <c r="J119" s="393" t="s">
        <v>317</v>
      </c>
      <c r="K119" s="127" t="s">
        <v>136</v>
      </c>
      <c r="L119" s="250">
        <v>0</v>
      </c>
      <c r="M119" s="127" t="s">
        <v>137</v>
      </c>
      <c r="N119" s="93">
        <v>1</v>
      </c>
      <c r="O119" s="307">
        <f>$A$9*$B$35*$C$118*$D$119*N119</f>
        <v>2.4819999999999998E-2</v>
      </c>
      <c r="P119" s="132">
        <v>0</v>
      </c>
      <c r="Q119" s="127">
        <v>10</v>
      </c>
      <c r="R119" s="94">
        <f>100-(P119-L119)*Q119</f>
        <v>100</v>
      </c>
      <c r="S119" s="95">
        <f t="shared" si="30"/>
        <v>2.4819999999999998</v>
      </c>
      <c r="T119" s="19">
        <v>0</v>
      </c>
      <c r="U119" s="309">
        <v>10</v>
      </c>
      <c r="V119" s="265">
        <f t="shared" ref="V119:V121" si="33">100-U119*T119</f>
        <v>100</v>
      </c>
      <c r="W119" s="318">
        <f t="shared" ref="W119:W121" si="34">V119*O119</f>
        <v>2.4819999999999998</v>
      </c>
      <c r="X119" s="15">
        <f>85*0.73*0.08*0.5*0.5</f>
        <v>1.2409999999999999</v>
      </c>
      <c r="Y119" s="331">
        <f t="shared" si="16"/>
        <v>0</v>
      </c>
    </row>
    <row r="120" spans="1:25" s="15" customFormat="1" ht="27.75" hidden="1" customHeight="1">
      <c r="A120" s="380"/>
      <c r="B120" s="376"/>
      <c r="C120" s="349"/>
      <c r="D120" s="336"/>
      <c r="E120" s="388"/>
      <c r="F120" s="338"/>
      <c r="G120" s="388"/>
      <c r="H120" s="338"/>
      <c r="I120" s="388"/>
      <c r="J120" s="394"/>
      <c r="K120" s="127" t="s">
        <v>136</v>
      </c>
      <c r="L120" s="250">
        <v>0</v>
      </c>
      <c r="M120" s="127" t="s">
        <v>137</v>
      </c>
      <c r="N120" s="93">
        <v>0</v>
      </c>
      <c r="O120" s="307">
        <f>$A$9*$B$35*$C$118*$D$119*J120*N120</f>
        <v>0</v>
      </c>
      <c r="P120" s="132"/>
      <c r="Q120" s="127">
        <v>10</v>
      </c>
      <c r="R120" s="94">
        <f>100-(P120-L120)*Q120</f>
        <v>100</v>
      </c>
      <c r="S120" s="95">
        <f t="shared" si="30"/>
        <v>0</v>
      </c>
      <c r="T120" s="132"/>
      <c r="U120" s="309">
        <v>10</v>
      </c>
      <c r="V120" s="265">
        <f t="shared" si="33"/>
        <v>100</v>
      </c>
      <c r="W120" s="318">
        <f t="shared" si="34"/>
        <v>0</v>
      </c>
      <c r="Y120" s="331">
        <f t="shared" si="16"/>
        <v>0</v>
      </c>
    </row>
    <row r="121" spans="1:25" s="15" customFormat="1" ht="36" customHeight="1">
      <c r="A121" s="380"/>
      <c r="B121" s="376"/>
      <c r="C121" s="349"/>
      <c r="D121" s="180">
        <v>0.5</v>
      </c>
      <c r="E121" s="53" t="s">
        <v>115</v>
      </c>
      <c r="F121" s="3" t="s">
        <v>179</v>
      </c>
      <c r="G121" s="53" t="s">
        <v>381</v>
      </c>
      <c r="H121" s="3" t="s">
        <v>179</v>
      </c>
      <c r="I121" s="53" t="s">
        <v>382</v>
      </c>
      <c r="J121" s="131" t="s">
        <v>297</v>
      </c>
      <c r="K121" s="127" t="s">
        <v>136</v>
      </c>
      <c r="L121" s="250">
        <v>0</v>
      </c>
      <c r="M121" s="127" t="s">
        <v>137</v>
      </c>
      <c r="N121" s="93">
        <v>1</v>
      </c>
      <c r="O121" s="307">
        <f>$A$9*$B$35*$C$118*$D$121*N121</f>
        <v>2.4819999999999998E-2</v>
      </c>
      <c r="P121" s="132">
        <v>0</v>
      </c>
      <c r="Q121" s="127">
        <v>10</v>
      </c>
      <c r="R121" s="94">
        <f>100-(P121-L121)*Q121</f>
        <v>100</v>
      </c>
      <c r="S121" s="95">
        <f t="shared" si="30"/>
        <v>2.4819999999999998</v>
      </c>
      <c r="T121" s="19">
        <v>0</v>
      </c>
      <c r="U121" s="309">
        <v>10</v>
      </c>
      <c r="V121" s="265">
        <f t="shared" si="33"/>
        <v>100</v>
      </c>
      <c r="W121" s="318">
        <f t="shared" si="34"/>
        <v>2.4819999999999998</v>
      </c>
      <c r="Y121" s="331">
        <f t="shared" si="16"/>
        <v>0</v>
      </c>
    </row>
    <row r="122" spans="1:25" s="15" customFormat="1" ht="45" hidden="1" customHeight="1">
      <c r="A122" s="380"/>
      <c r="B122" s="376"/>
      <c r="C122" s="215"/>
      <c r="D122" s="201">
        <v>0</v>
      </c>
      <c r="E122" s="53" t="s">
        <v>116</v>
      </c>
      <c r="F122" s="127" t="s">
        <v>229</v>
      </c>
      <c r="G122" s="53" t="s">
        <v>116</v>
      </c>
      <c r="H122" s="127" t="s">
        <v>229</v>
      </c>
      <c r="I122" s="53" t="s">
        <v>116</v>
      </c>
      <c r="J122" s="127" t="s">
        <v>229</v>
      </c>
      <c r="K122" s="127" t="s">
        <v>136</v>
      </c>
      <c r="L122" s="250">
        <v>0</v>
      </c>
      <c r="M122" s="127" t="s">
        <v>138</v>
      </c>
      <c r="N122" s="93">
        <v>0</v>
      </c>
      <c r="O122" s="205"/>
      <c r="P122" s="132"/>
      <c r="Q122" s="127">
        <v>10</v>
      </c>
      <c r="R122" s="94">
        <f>100-(P122-L122)*Q122</f>
        <v>100</v>
      </c>
      <c r="S122" s="125">
        <f t="shared" si="30"/>
        <v>0</v>
      </c>
      <c r="T122" s="132"/>
      <c r="U122" s="23"/>
      <c r="V122" s="20"/>
      <c r="W122" s="327"/>
      <c r="Y122" s="331">
        <f t="shared" si="16"/>
        <v>0</v>
      </c>
    </row>
    <row r="123" spans="1:25" s="15" customFormat="1" ht="23.25" customHeight="1">
      <c r="A123" s="380"/>
      <c r="B123" s="376"/>
      <c r="C123" s="332">
        <v>0</v>
      </c>
      <c r="D123" s="88"/>
      <c r="E123" s="104" t="s">
        <v>184</v>
      </c>
      <c r="F123" s="390" t="s">
        <v>56</v>
      </c>
      <c r="G123" s="391"/>
      <c r="H123" s="391"/>
      <c r="I123" s="391"/>
      <c r="J123" s="391"/>
      <c r="K123" s="391"/>
      <c r="L123" s="391"/>
      <c r="M123" s="392"/>
      <c r="N123" s="117"/>
      <c r="O123" s="205"/>
      <c r="P123" s="123"/>
      <c r="Q123" s="123"/>
      <c r="R123" s="123"/>
      <c r="S123" s="125"/>
      <c r="T123" s="123"/>
      <c r="U123" s="126"/>
      <c r="V123" s="119"/>
      <c r="W123" s="326"/>
      <c r="Y123" s="331">
        <f t="shared" si="16"/>
        <v>0</v>
      </c>
    </row>
    <row r="124" spans="1:25" s="15" customFormat="1" ht="39.75" hidden="1" customHeight="1">
      <c r="A124" s="380"/>
      <c r="B124" s="376"/>
      <c r="C124" s="349"/>
      <c r="D124" s="335">
        <v>0</v>
      </c>
      <c r="E124" s="387" t="s">
        <v>57</v>
      </c>
      <c r="F124" s="337" t="s">
        <v>58</v>
      </c>
      <c r="G124" s="387" t="s">
        <v>57</v>
      </c>
      <c r="H124" s="337" t="s">
        <v>58</v>
      </c>
      <c r="I124" s="387" t="s">
        <v>57</v>
      </c>
      <c r="J124" s="337" t="s">
        <v>260</v>
      </c>
      <c r="K124" s="127" t="s">
        <v>136</v>
      </c>
      <c r="L124" s="250">
        <v>0</v>
      </c>
      <c r="M124" s="127" t="s">
        <v>137</v>
      </c>
      <c r="N124" s="93">
        <v>0</v>
      </c>
      <c r="O124" s="204"/>
      <c r="P124" s="132"/>
      <c r="Q124" s="260">
        <v>10</v>
      </c>
      <c r="R124" s="94">
        <f>100-(P124-L124)*Q124</f>
        <v>100</v>
      </c>
      <c r="S124" s="95">
        <f t="shared" ref="S124:S151" si="35">R124*O124</f>
        <v>0</v>
      </c>
      <c r="T124" s="132"/>
      <c r="U124" s="23"/>
      <c r="V124" s="20"/>
      <c r="W124" s="327"/>
      <c r="Y124" s="331">
        <f t="shared" si="16"/>
        <v>0</v>
      </c>
    </row>
    <row r="125" spans="1:25" s="15" customFormat="1" ht="51.75" hidden="1" customHeight="1">
      <c r="A125" s="380"/>
      <c r="B125" s="376"/>
      <c r="C125" s="349"/>
      <c r="D125" s="343"/>
      <c r="E125" s="389"/>
      <c r="F125" s="339"/>
      <c r="G125" s="389"/>
      <c r="H125" s="339"/>
      <c r="I125" s="389"/>
      <c r="J125" s="339"/>
      <c r="K125" s="127" t="s">
        <v>136</v>
      </c>
      <c r="L125" s="250">
        <v>0</v>
      </c>
      <c r="M125" s="48" t="s">
        <v>30</v>
      </c>
      <c r="N125" s="93">
        <v>0</v>
      </c>
      <c r="O125" s="204">
        <f>$A$9*$B$35*$C$123*$D$124*J125*N125</f>
        <v>0</v>
      </c>
      <c r="P125" s="132"/>
      <c r="Q125" s="48"/>
      <c r="R125" s="94">
        <f>100-(P125-L125)*10</f>
        <v>100</v>
      </c>
      <c r="S125" s="95">
        <f t="shared" si="35"/>
        <v>0</v>
      </c>
      <c r="T125" s="132"/>
      <c r="U125" s="23"/>
      <c r="V125" s="20"/>
      <c r="W125" s="327"/>
      <c r="Y125" s="331">
        <f t="shared" si="16"/>
        <v>0</v>
      </c>
    </row>
    <row r="126" spans="1:25" s="15" customFormat="1" ht="30.95" hidden="1" customHeight="1">
      <c r="A126" s="380"/>
      <c r="B126" s="376"/>
      <c r="C126" s="350"/>
      <c r="D126" s="336"/>
      <c r="E126" s="388"/>
      <c r="F126" s="338"/>
      <c r="G126" s="388"/>
      <c r="H126" s="338"/>
      <c r="I126" s="388"/>
      <c r="J126" s="338"/>
      <c r="K126" s="127" t="s">
        <v>136</v>
      </c>
      <c r="L126" s="250">
        <v>0</v>
      </c>
      <c r="M126" s="48" t="s">
        <v>30</v>
      </c>
      <c r="N126" s="93">
        <v>0</v>
      </c>
      <c r="O126" s="204">
        <f>$A$9*$B$35*$C$123*$D$124*J126*N126</f>
        <v>0</v>
      </c>
      <c r="P126" s="132"/>
      <c r="Q126" s="48"/>
      <c r="R126" s="94">
        <f>100-(P126-L126)*10</f>
        <v>100</v>
      </c>
      <c r="S126" s="95">
        <f t="shared" si="35"/>
        <v>0</v>
      </c>
      <c r="T126" s="132"/>
      <c r="U126" s="23"/>
      <c r="V126" s="20"/>
      <c r="W126" s="327"/>
      <c r="Y126" s="331">
        <f t="shared" si="16"/>
        <v>0</v>
      </c>
    </row>
    <row r="127" spans="1:25" s="15" customFormat="1" ht="21.6" customHeight="1">
      <c r="A127" s="380"/>
      <c r="B127" s="376"/>
      <c r="C127" s="332"/>
      <c r="D127" s="90"/>
      <c r="E127" s="104" t="s">
        <v>185</v>
      </c>
      <c r="F127" s="340" t="s">
        <v>154</v>
      </c>
      <c r="G127" s="341"/>
      <c r="H127" s="341"/>
      <c r="I127" s="341"/>
      <c r="J127" s="341"/>
      <c r="K127" s="341"/>
      <c r="L127" s="341"/>
      <c r="M127" s="342"/>
      <c r="N127" s="117"/>
      <c r="O127" s="205"/>
      <c r="P127" s="123"/>
      <c r="Q127" s="123"/>
      <c r="R127" s="123"/>
      <c r="S127" s="125"/>
      <c r="T127" s="123"/>
      <c r="U127" s="126"/>
      <c r="V127" s="119"/>
      <c r="W127" s="326"/>
      <c r="Y127" s="331">
        <f t="shared" si="16"/>
        <v>0</v>
      </c>
    </row>
    <row r="128" spans="1:25" s="15" customFormat="1" ht="54" hidden="1" customHeight="1">
      <c r="A128" s="380"/>
      <c r="B128" s="376"/>
      <c r="C128" s="333"/>
      <c r="D128" s="343">
        <v>1</v>
      </c>
      <c r="E128" s="387" t="s">
        <v>59</v>
      </c>
      <c r="F128" s="346" t="s">
        <v>60</v>
      </c>
      <c r="G128" s="387" t="s">
        <v>383</v>
      </c>
      <c r="H128" s="346" t="s">
        <v>60</v>
      </c>
      <c r="I128" s="387" t="s">
        <v>384</v>
      </c>
      <c r="J128" s="346" t="s">
        <v>269</v>
      </c>
      <c r="K128" s="127" t="s">
        <v>136</v>
      </c>
      <c r="L128" s="250">
        <v>0</v>
      </c>
      <c r="M128" s="127" t="s">
        <v>137</v>
      </c>
      <c r="N128" s="93">
        <v>1</v>
      </c>
      <c r="O128" s="204">
        <f>$A$9*$B$35*$C$127*$D$128*N128</f>
        <v>0</v>
      </c>
      <c r="P128" s="132"/>
      <c r="Q128" s="260">
        <v>10</v>
      </c>
      <c r="R128" s="94">
        <f>100-(P128-L128)*Q128</f>
        <v>100</v>
      </c>
      <c r="S128" s="95">
        <f t="shared" si="35"/>
        <v>0</v>
      </c>
      <c r="T128" s="132"/>
      <c r="U128" s="23"/>
      <c r="V128" s="20"/>
      <c r="W128" s="327"/>
      <c r="Y128" s="331">
        <f t="shared" si="16"/>
        <v>0</v>
      </c>
    </row>
    <row r="129" spans="1:25" s="15" customFormat="1" ht="33" hidden="1" customHeight="1">
      <c r="A129" s="380"/>
      <c r="B129" s="376"/>
      <c r="C129" s="349"/>
      <c r="D129" s="336"/>
      <c r="E129" s="388"/>
      <c r="F129" s="347"/>
      <c r="G129" s="388"/>
      <c r="H129" s="347"/>
      <c r="I129" s="388"/>
      <c r="J129" s="347"/>
      <c r="K129" s="127" t="s">
        <v>136</v>
      </c>
      <c r="L129" s="250">
        <v>0</v>
      </c>
      <c r="M129" s="127" t="s">
        <v>137</v>
      </c>
      <c r="N129" s="93">
        <v>0</v>
      </c>
      <c r="O129" s="204">
        <f>$A$9*$B$35*$C$127*$D$128*J129*N129</f>
        <v>0</v>
      </c>
      <c r="P129" s="132"/>
      <c r="Q129" s="260">
        <v>10</v>
      </c>
      <c r="R129" s="94">
        <f>100-(P129-L129)*Q129</f>
        <v>100</v>
      </c>
      <c r="S129" s="95">
        <f t="shared" si="35"/>
        <v>0</v>
      </c>
      <c r="T129" s="132"/>
      <c r="U129" s="23"/>
      <c r="V129" s="20"/>
      <c r="W129" s="327"/>
      <c r="Y129" s="331">
        <f t="shared" si="16"/>
        <v>0</v>
      </c>
    </row>
    <row r="130" spans="1:25" s="15" customFormat="1" ht="30" hidden="1" customHeight="1">
      <c r="A130" s="380"/>
      <c r="B130" s="376"/>
      <c r="C130" s="349"/>
      <c r="D130" s="180">
        <v>0</v>
      </c>
      <c r="E130" s="53" t="s">
        <v>117</v>
      </c>
      <c r="F130" s="127" t="s">
        <v>118</v>
      </c>
      <c r="G130" s="53" t="s">
        <v>117</v>
      </c>
      <c r="H130" s="127" t="s">
        <v>118</v>
      </c>
      <c r="I130" s="53" t="s">
        <v>117</v>
      </c>
      <c r="J130" s="127" t="s">
        <v>261</v>
      </c>
      <c r="K130" s="127" t="s">
        <v>136</v>
      </c>
      <c r="L130" s="250">
        <v>0</v>
      </c>
      <c r="M130" s="127" t="s">
        <v>137</v>
      </c>
      <c r="N130" s="93">
        <v>0</v>
      </c>
      <c r="O130" s="204"/>
      <c r="P130" s="132"/>
      <c r="Q130" s="260">
        <v>10</v>
      </c>
      <c r="R130" s="94">
        <f>100-(P130-L130)*Q130</f>
        <v>100</v>
      </c>
      <c r="S130" s="95">
        <f t="shared" si="35"/>
        <v>0</v>
      </c>
      <c r="T130" s="132"/>
      <c r="U130" s="23"/>
      <c r="V130" s="20"/>
      <c r="W130" s="327"/>
      <c r="Y130" s="331">
        <f t="shared" si="16"/>
        <v>0</v>
      </c>
    </row>
    <row r="131" spans="1:25" s="15" customFormat="1" ht="30" hidden="1" customHeight="1">
      <c r="A131" s="380"/>
      <c r="B131" s="376"/>
      <c r="C131" s="349"/>
      <c r="D131" s="335">
        <v>0</v>
      </c>
      <c r="E131" s="387" t="s">
        <v>201</v>
      </c>
      <c r="F131" s="337" t="s">
        <v>119</v>
      </c>
      <c r="G131" s="387" t="s">
        <v>201</v>
      </c>
      <c r="H131" s="337" t="s">
        <v>119</v>
      </c>
      <c r="I131" s="387" t="s">
        <v>201</v>
      </c>
      <c r="J131" s="337" t="s">
        <v>262</v>
      </c>
      <c r="K131" s="127" t="s">
        <v>136</v>
      </c>
      <c r="L131" s="250">
        <v>0</v>
      </c>
      <c r="M131" s="127" t="s">
        <v>137</v>
      </c>
      <c r="N131" s="93">
        <v>0</v>
      </c>
      <c r="O131" s="204"/>
      <c r="P131" s="132"/>
      <c r="Q131" s="260">
        <v>10</v>
      </c>
      <c r="R131" s="94">
        <f>100-(P131-L131)*Q131</f>
        <v>100</v>
      </c>
      <c r="S131" s="95">
        <f t="shared" si="35"/>
        <v>0</v>
      </c>
      <c r="T131" s="132"/>
      <c r="U131" s="23"/>
      <c r="V131" s="20"/>
      <c r="W131" s="327"/>
      <c r="Y131" s="331">
        <f t="shared" si="16"/>
        <v>0</v>
      </c>
    </row>
    <row r="132" spans="1:25" s="15" customFormat="1" ht="30" hidden="1" customHeight="1">
      <c r="A132" s="380"/>
      <c r="B132" s="376"/>
      <c r="C132" s="349"/>
      <c r="D132" s="343"/>
      <c r="E132" s="389"/>
      <c r="F132" s="339"/>
      <c r="G132" s="389"/>
      <c r="H132" s="339"/>
      <c r="I132" s="389"/>
      <c r="J132" s="339"/>
      <c r="K132" s="127" t="s">
        <v>136</v>
      </c>
      <c r="L132" s="250">
        <v>0</v>
      </c>
      <c r="M132" s="48" t="s">
        <v>30</v>
      </c>
      <c r="N132" s="93">
        <v>0</v>
      </c>
      <c r="O132" s="204">
        <f>$A$9*$B$35*$C$127*$D$131*J132*N132</f>
        <v>0</v>
      </c>
      <c r="P132" s="132"/>
      <c r="Q132" s="48"/>
      <c r="R132" s="94">
        <f>100-(P132-L132)*10</f>
        <v>100</v>
      </c>
      <c r="S132" s="95">
        <f t="shared" si="35"/>
        <v>0</v>
      </c>
      <c r="T132" s="132"/>
      <c r="U132" s="23"/>
      <c r="V132" s="20"/>
      <c r="W132" s="327"/>
      <c r="Y132" s="331">
        <f t="shared" si="16"/>
        <v>0</v>
      </c>
    </row>
    <row r="133" spans="1:25" s="15" customFormat="1" ht="30" hidden="1" customHeight="1">
      <c r="A133" s="380"/>
      <c r="B133" s="376"/>
      <c r="C133" s="349"/>
      <c r="D133" s="343"/>
      <c r="E133" s="389"/>
      <c r="F133" s="339"/>
      <c r="G133" s="389"/>
      <c r="H133" s="339"/>
      <c r="I133" s="389"/>
      <c r="J133" s="339"/>
      <c r="K133" s="127" t="s">
        <v>136</v>
      </c>
      <c r="L133" s="250">
        <v>0</v>
      </c>
      <c r="M133" s="48" t="s">
        <v>30</v>
      </c>
      <c r="N133" s="93">
        <v>0</v>
      </c>
      <c r="O133" s="204">
        <f>$A$9*$B$35*$C$127*$D$131*J133*N133</f>
        <v>0</v>
      </c>
      <c r="P133" s="132"/>
      <c r="Q133" s="48"/>
      <c r="R133" s="94">
        <f>100-(P133-L133)*10</f>
        <v>100</v>
      </c>
      <c r="S133" s="95">
        <f t="shared" si="35"/>
        <v>0</v>
      </c>
      <c r="T133" s="132"/>
      <c r="U133" s="23"/>
      <c r="V133" s="20"/>
      <c r="W133" s="327"/>
      <c r="Y133" s="331">
        <f t="shared" si="16"/>
        <v>0</v>
      </c>
    </row>
    <row r="134" spans="1:25" s="15" customFormat="1" ht="30" hidden="1" customHeight="1">
      <c r="A134" s="380"/>
      <c r="B134" s="376"/>
      <c r="C134" s="350"/>
      <c r="D134" s="336"/>
      <c r="E134" s="388"/>
      <c r="F134" s="338"/>
      <c r="G134" s="388"/>
      <c r="H134" s="338"/>
      <c r="I134" s="388"/>
      <c r="J134" s="338"/>
      <c r="K134" s="127" t="s">
        <v>136</v>
      </c>
      <c r="L134" s="250">
        <v>0</v>
      </c>
      <c r="M134" s="48" t="s">
        <v>30</v>
      </c>
      <c r="N134" s="93">
        <v>0</v>
      </c>
      <c r="O134" s="204">
        <f>$A$9*$B$35*$C$127*$D$131*J134*N134</f>
        <v>0</v>
      </c>
      <c r="P134" s="132"/>
      <c r="Q134" s="48"/>
      <c r="R134" s="94">
        <f>100-(P134-L134)*10</f>
        <v>100</v>
      </c>
      <c r="S134" s="95">
        <f t="shared" si="35"/>
        <v>0</v>
      </c>
      <c r="T134" s="132"/>
      <c r="U134" s="23"/>
      <c r="V134" s="20"/>
      <c r="W134" s="327"/>
      <c r="Y134" s="331">
        <f t="shared" si="16"/>
        <v>0</v>
      </c>
    </row>
    <row r="135" spans="1:25" s="36" customFormat="1" ht="21.95" customHeight="1">
      <c r="A135" s="380"/>
      <c r="B135" s="376"/>
      <c r="C135" s="332">
        <v>0.03</v>
      </c>
      <c r="D135" s="128"/>
      <c r="E135" s="104" t="s">
        <v>195</v>
      </c>
      <c r="F135" s="340" t="s">
        <v>61</v>
      </c>
      <c r="G135" s="341"/>
      <c r="H135" s="341"/>
      <c r="I135" s="341"/>
      <c r="J135" s="341"/>
      <c r="K135" s="341"/>
      <c r="L135" s="341"/>
      <c r="M135" s="342"/>
      <c r="N135" s="120"/>
      <c r="O135" s="205"/>
      <c r="P135" s="57"/>
      <c r="Q135" s="57"/>
      <c r="R135" s="57"/>
      <c r="S135" s="125"/>
      <c r="T135" s="57"/>
      <c r="U135" s="129"/>
      <c r="V135" s="130"/>
      <c r="W135" s="328"/>
      <c r="Y135" s="331">
        <f t="shared" si="16"/>
        <v>0</v>
      </c>
    </row>
    <row r="136" spans="1:25" s="36" customFormat="1" ht="48" customHeight="1">
      <c r="A136" s="380"/>
      <c r="B136" s="376"/>
      <c r="C136" s="333"/>
      <c r="D136" s="180">
        <v>1</v>
      </c>
      <c r="E136" s="133" t="s">
        <v>120</v>
      </c>
      <c r="F136" s="48" t="s">
        <v>121</v>
      </c>
      <c r="G136" s="133" t="s">
        <v>385</v>
      </c>
      <c r="H136" s="48" t="s">
        <v>121</v>
      </c>
      <c r="I136" s="133" t="s">
        <v>386</v>
      </c>
      <c r="J136" s="199" t="s">
        <v>318</v>
      </c>
      <c r="K136" s="127" t="s">
        <v>136</v>
      </c>
      <c r="L136" s="250">
        <v>0</v>
      </c>
      <c r="M136" s="127" t="s">
        <v>137</v>
      </c>
      <c r="N136" s="93">
        <v>1</v>
      </c>
      <c r="O136" s="307">
        <f>$A$9*$B$35*$C$135*$D$136*N136</f>
        <v>1.8614999999999996E-2</v>
      </c>
      <c r="P136" s="132">
        <v>0</v>
      </c>
      <c r="Q136" s="260">
        <v>10</v>
      </c>
      <c r="R136" s="94">
        <f>100-(P136-L136)*Q136</f>
        <v>100</v>
      </c>
      <c r="S136" s="95">
        <f t="shared" si="35"/>
        <v>1.8614999999999997</v>
      </c>
      <c r="T136" s="19">
        <v>0</v>
      </c>
      <c r="U136" s="309">
        <v>10</v>
      </c>
      <c r="V136" s="265">
        <f t="shared" ref="V136" si="36">100-U136*T136</f>
        <v>100</v>
      </c>
      <c r="W136" s="318">
        <f t="shared" ref="W136" si="37">V136*O136</f>
        <v>1.8614999999999997</v>
      </c>
      <c r="X136" s="15">
        <f>85*0.73*0.03</f>
        <v>1.8614999999999999</v>
      </c>
      <c r="Y136" s="331">
        <f t="shared" si="16"/>
        <v>0</v>
      </c>
    </row>
    <row r="137" spans="1:25" s="36" customFormat="1" ht="48.75" hidden="1" customHeight="1">
      <c r="A137" s="380"/>
      <c r="B137" s="376"/>
      <c r="C137" s="333"/>
      <c r="D137" s="180">
        <v>0</v>
      </c>
      <c r="E137" s="133" t="s">
        <v>122</v>
      </c>
      <c r="F137" s="48" t="s">
        <v>123</v>
      </c>
      <c r="G137" s="133" t="s">
        <v>122</v>
      </c>
      <c r="H137" s="48" t="s">
        <v>123</v>
      </c>
      <c r="I137" s="133" t="s">
        <v>122</v>
      </c>
      <c r="J137" s="127" t="s">
        <v>263</v>
      </c>
      <c r="K137" s="127" t="s">
        <v>136</v>
      </c>
      <c r="L137" s="250">
        <v>0</v>
      </c>
      <c r="M137" s="127" t="s">
        <v>137</v>
      </c>
      <c r="N137" s="93">
        <v>0</v>
      </c>
      <c r="O137" s="307"/>
      <c r="P137" s="132"/>
      <c r="Q137" s="260">
        <v>10</v>
      </c>
      <c r="R137" s="94">
        <f>100-(P137-L137)*Q137</f>
        <v>100</v>
      </c>
      <c r="S137" s="95">
        <f t="shared" si="35"/>
        <v>0</v>
      </c>
      <c r="T137" s="132"/>
      <c r="U137" s="24"/>
      <c r="V137" s="35"/>
      <c r="W137" s="329"/>
      <c r="Y137" s="331">
        <f t="shared" si="16"/>
        <v>0</v>
      </c>
    </row>
    <row r="138" spans="1:25" s="15" customFormat="1" ht="33.6" hidden="1" customHeight="1">
      <c r="A138" s="380"/>
      <c r="B138" s="376"/>
      <c r="C138" s="333"/>
      <c r="D138" s="335"/>
      <c r="E138" s="344" t="s">
        <v>62</v>
      </c>
      <c r="F138" s="346" t="s">
        <v>63</v>
      </c>
      <c r="G138" s="348" t="s">
        <v>387</v>
      </c>
      <c r="H138" s="354" t="s">
        <v>63</v>
      </c>
      <c r="I138" s="208" t="s">
        <v>308</v>
      </c>
      <c r="J138" s="55" t="s">
        <v>230</v>
      </c>
      <c r="K138" s="127" t="s">
        <v>136</v>
      </c>
      <c r="L138" s="250">
        <v>0</v>
      </c>
      <c r="M138" s="127" t="s">
        <v>137</v>
      </c>
      <c r="N138" s="93">
        <v>0.5</v>
      </c>
      <c r="O138" s="307">
        <f>$A$9*$B$35*$C$135*$D$138*N138</f>
        <v>0</v>
      </c>
      <c r="P138" s="132"/>
      <c r="Q138" s="260">
        <v>10</v>
      </c>
      <c r="R138" s="94">
        <f>100-(P138-L138)*Q138</f>
        <v>100</v>
      </c>
      <c r="S138" s="95">
        <f t="shared" si="35"/>
        <v>0</v>
      </c>
      <c r="T138" s="132"/>
      <c r="U138" s="23"/>
      <c r="V138" s="20"/>
      <c r="W138" s="327"/>
      <c r="Y138" s="331">
        <f t="shared" si="16"/>
        <v>0</v>
      </c>
    </row>
    <row r="139" spans="1:25" s="15" customFormat="1" ht="33.6" hidden="1" customHeight="1">
      <c r="A139" s="380"/>
      <c r="B139" s="376"/>
      <c r="C139" s="334"/>
      <c r="D139" s="343"/>
      <c r="E139" s="345"/>
      <c r="F139" s="347"/>
      <c r="G139" s="348"/>
      <c r="H139" s="354"/>
      <c r="I139" s="200" t="s">
        <v>307</v>
      </c>
      <c r="J139" s="55" t="s">
        <v>231</v>
      </c>
      <c r="K139" s="127" t="s">
        <v>136</v>
      </c>
      <c r="L139" s="250">
        <v>0</v>
      </c>
      <c r="M139" s="127" t="s">
        <v>137</v>
      </c>
      <c r="N139" s="196">
        <v>0.5</v>
      </c>
      <c r="O139" s="307">
        <f>$A$9*$B$35*$C$135*$D$138*N139</f>
        <v>0</v>
      </c>
      <c r="P139" s="132"/>
      <c r="Q139" s="260">
        <v>10</v>
      </c>
      <c r="R139" s="94">
        <f>100-(P139-L139)*Q139</f>
        <v>100</v>
      </c>
      <c r="S139" s="95">
        <f t="shared" si="35"/>
        <v>0</v>
      </c>
      <c r="T139" s="132"/>
      <c r="U139" s="23"/>
      <c r="V139" s="20"/>
      <c r="W139" s="327"/>
      <c r="Y139" s="331">
        <f t="shared" si="16"/>
        <v>0</v>
      </c>
    </row>
    <row r="140" spans="1:25" s="15" customFormat="1" ht="25.7" customHeight="1">
      <c r="A140" s="380"/>
      <c r="B140" s="376"/>
      <c r="C140" s="332">
        <v>0</v>
      </c>
      <c r="D140" s="90"/>
      <c r="E140" s="104" t="s">
        <v>186</v>
      </c>
      <c r="F140" s="351" t="s">
        <v>155</v>
      </c>
      <c r="G140" s="352"/>
      <c r="H140" s="352"/>
      <c r="I140" s="352"/>
      <c r="J140" s="352"/>
      <c r="K140" s="352"/>
      <c r="L140" s="352"/>
      <c r="M140" s="353"/>
      <c r="N140" s="134"/>
      <c r="O140" s="308"/>
      <c r="P140" s="129"/>
      <c r="Q140" s="129"/>
      <c r="R140" s="130"/>
      <c r="S140" s="125"/>
      <c r="T140" s="129"/>
      <c r="U140" s="126"/>
      <c r="V140" s="119"/>
      <c r="W140" s="326"/>
      <c r="Y140" s="331">
        <f t="shared" si="16"/>
        <v>0</v>
      </c>
    </row>
    <row r="141" spans="1:25" s="15" customFormat="1" ht="33.6" hidden="1" customHeight="1">
      <c r="A141" s="380"/>
      <c r="B141" s="376"/>
      <c r="C141" s="349"/>
      <c r="D141" s="180">
        <v>0</v>
      </c>
      <c r="E141" s="2" t="s">
        <v>124</v>
      </c>
      <c r="F141" s="48" t="s">
        <v>125</v>
      </c>
      <c r="G141" s="2" t="s">
        <v>124</v>
      </c>
      <c r="H141" s="48" t="s">
        <v>125</v>
      </c>
      <c r="I141" s="2" t="s">
        <v>124</v>
      </c>
      <c r="J141" s="127" t="s">
        <v>265</v>
      </c>
      <c r="K141" s="127" t="s">
        <v>136</v>
      </c>
      <c r="L141" s="250">
        <v>0</v>
      </c>
      <c r="M141" s="131" t="s">
        <v>175</v>
      </c>
      <c r="N141" s="93">
        <v>0</v>
      </c>
      <c r="O141" s="307"/>
      <c r="P141" s="132"/>
      <c r="Q141" s="260">
        <v>10</v>
      </c>
      <c r="R141" s="94">
        <f>100-(P141-L141)*Q141</f>
        <v>100</v>
      </c>
      <c r="S141" s="95">
        <f t="shared" si="35"/>
        <v>0</v>
      </c>
      <c r="T141" s="132"/>
      <c r="U141" s="23"/>
      <c r="V141" s="20"/>
      <c r="W141" s="327"/>
      <c r="Y141" s="331">
        <f t="shared" si="16"/>
        <v>0</v>
      </c>
    </row>
    <row r="142" spans="1:25" s="15" customFormat="1" ht="30" hidden="1" customHeight="1">
      <c r="A142" s="380"/>
      <c r="B142" s="376"/>
      <c r="C142" s="349"/>
      <c r="D142" s="180">
        <v>0</v>
      </c>
      <c r="E142" s="2" t="s">
        <v>126</v>
      </c>
      <c r="F142" s="48" t="s">
        <v>127</v>
      </c>
      <c r="G142" s="2" t="s">
        <v>126</v>
      </c>
      <c r="H142" s="48" t="s">
        <v>127</v>
      </c>
      <c r="I142" s="2" t="s">
        <v>126</v>
      </c>
      <c r="J142" s="127" t="s">
        <v>264</v>
      </c>
      <c r="K142" s="127" t="s">
        <v>136</v>
      </c>
      <c r="L142" s="250">
        <v>0</v>
      </c>
      <c r="M142" s="131" t="s">
        <v>175</v>
      </c>
      <c r="N142" s="93">
        <v>0</v>
      </c>
      <c r="O142" s="307"/>
      <c r="P142" s="132"/>
      <c r="Q142" s="260">
        <v>10</v>
      </c>
      <c r="R142" s="94">
        <f>100-(P142-L142)*Q142</f>
        <v>100</v>
      </c>
      <c r="S142" s="95">
        <f t="shared" si="35"/>
        <v>0</v>
      </c>
      <c r="T142" s="132"/>
      <c r="U142" s="23"/>
      <c r="V142" s="20"/>
      <c r="W142" s="327"/>
      <c r="Y142" s="331">
        <f t="shared" ref="Y142:Y171" si="38">W142-S142</f>
        <v>0</v>
      </c>
    </row>
    <row r="143" spans="1:25" s="15" customFormat="1" ht="36" hidden="1" customHeight="1">
      <c r="A143" s="380"/>
      <c r="B143" s="376"/>
      <c r="C143" s="349"/>
      <c r="D143" s="180">
        <v>0</v>
      </c>
      <c r="E143" s="2" t="s">
        <v>128</v>
      </c>
      <c r="F143" s="48" t="s">
        <v>129</v>
      </c>
      <c r="G143" s="2" t="s">
        <v>128</v>
      </c>
      <c r="H143" s="48" t="s">
        <v>129</v>
      </c>
      <c r="I143" s="2" t="s">
        <v>128</v>
      </c>
      <c r="J143" s="127" t="s">
        <v>266</v>
      </c>
      <c r="K143" s="127" t="s">
        <v>136</v>
      </c>
      <c r="L143" s="250">
        <v>0</v>
      </c>
      <c r="M143" s="131" t="s">
        <v>175</v>
      </c>
      <c r="N143" s="93">
        <v>0</v>
      </c>
      <c r="O143" s="307"/>
      <c r="P143" s="132"/>
      <c r="Q143" s="260">
        <v>10</v>
      </c>
      <c r="R143" s="94">
        <f>100-(P143-L143)*Q143</f>
        <v>100</v>
      </c>
      <c r="S143" s="95">
        <f t="shared" si="35"/>
        <v>0</v>
      </c>
      <c r="T143" s="132"/>
      <c r="U143" s="23"/>
      <c r="V143" s="20"/>
      <c r="W143" s="327"/>
      <c r="Y143" s="331">
        <f t="shared" si="38"/>
        <v>0</v>
      </c>
    </row>
    <row r="144" spans="1:25" s="15" customFormat="1" ht="35.25">
      <c r="A144" s="380"/>
      <c r="B144" s="376"/>
      <c r="C144" s="350"/>
      <c r="D144" s="180">
        <v>1</v>
      </c>
      <c r="E144" s="2" t="s">
        <v>130</v>
      </c>
      <c r="F144" s="48" t="s">
        <v>131</v>
      </c>
      <c r="G144" s="2" t="s">
        <v>388</v>
      </c>
      <c r="H144" s="77" t="s">
        <v>232</v>
      </c>
      <c r="I144" s="2" t="s">
        <v>389</v>
      </c>
      <c r="J144" s="131" t="s">
        <v>272</v>
      </c>
      <c r="K144" s="127" t="s">
        <v>136</v>
      </c>
      <c r="L144" s="250">
        <v>0</v>
      </c>
      <c r="M144" s="37" t="s">
        <v>137</v>
      </c>
      <c r="N144" s="93">
        <v>1</v>
      </c>
      <c r="O144" s="307">
        <f>$A$9*$B$35*$C$140*$D$144*N144</f>
        <v>0</v>
      </c>
      <c r="P144" s="132">
        <v>0</v>
      </c>
      <c r="Q144" s="260">
        <v>10</v>
      </c>
      <c r="R144" s="94">
        <f>100-(P144-L144)*Q144</f>
        <v>100</v>
      </c>
      <c r="S144" s="95">
        <f t="shared" si="35"/>
        <v>0</v>
      </c>
      <c r="T144" s="19">
        <v>0</v>
      </c>
      <c r="U144" s="309">
        <v>10</v>
      </c>
      <c r="V144" s="265">
        <f t="shared" ref="V144" si="39">100-U144*T144</f>
        <v>100</v>
      </c>
      <c r="W144" s="318">
        <f t="shared" ref="W144" si="40">V144*O144</f>
        <v>0</v>
      </c>
      <c r="Y144" s="331">
        <f t="shared" si="38"/>
        <v>0</v>
      </c>
    </row>
    <row r="145" spans="1:25" s="15" customFormat="1" ht="24.6" customHeight="1">
      <c r="A145" s="380"/>
      <c r="B145" s="376"/>
      <c r="C145" s="332"/>
      <c r="D145" s="90"/>
      <c r="E145" s="121" t="s">
        <v>187</v>
      </c>
      <c r="F145" s="340" t="s">
        <v>156</v>
      </c>
      <c r="G145" s="341"/>
      <c r="H145" s="341"/>
      <c r="I145" s="341"/>
      <c r="J145" s="341"/>
      <c r="K145" s="341"/>
      <c r="L145" s="341"/>
      <c r="M145" s="342"/>
      <c r="N145" s="134"/>
      <c r="O145" s="205"/>
      <c r="P145" s="126"/>
      <c r="Q145" s="126"/>
      <c r="R145" s="119"/>
      <c r="S145" s="125"/>
      <c r="T145" s="126"/>
      <c r="U145" s="126"/>
      <c r="V145" s="119"/>
      <c r="W145" s="326"/>
      <c r="Y145" s="331">
        <f t="shared" si="38"/>
        <v>0</v>
      </c>
    </row>
    <row r="146" spans="1:25" s="15" customFormat="1" ht="78" hidden="1" customHeight="1">
      <c r="A146" s="380"/>
      <c r="B146" s="376"/>
      <c r="C146" s="333"/>
      <c r="D146" s="335">
        <v>0.5</v>
      </c>
      <c r="E146" s="337" t="s">
        <v>64</v>
      </c>
      <c r="F146" s="337" t="s">
        <v>65</v>
      </c>
      <c r="G146" s="337" t="s">
        <v>390</v>
      </c>
      <c r="H146" s="337" t="s">
        <v>275</v>
      </c>
      <c r="I146" s="337" t="s">
        <v>391</v>
      </c>
      <c r="J146" s="337" t="s">
        <v>319</v>
      </c>
      <c r="K146" s="135" t="s">
        <v>136</v>
      </c>
      <c r="L146" s="250">
        <v>0</v>
      </c>
      <c r="M146" s="37" t="s">
        <v>137</v>
      </c>
      <c r="N146" s="93">
        <v>1</v>
      </c>
      <c r="O146" s="204">
        <f>$A$9*$B$35*$C$145*$D$146*N146</f>
        <v>0</v>
      </c>
      <c r="P146" s="132"/>
      <c r="Q146" s="260">
        <v>10</v>
      </c>
      <c r="R146" s="94">
        <f>100-(P146-L146)*Q146</f>
        <v>100</v>
      </c>
      <c r="S146" s="95">
        <f t="shared" si="35"/>
        <v>0</v>
      </c>
      <c r="T146" s="132"/>
      <c r="U146" s="23"/>
      <c r="V146" s="20"/>
      <c r="W146" s="327"/>
      <c r="Y146" s="331">
        <f t="shared" si="38"/>
        <v>0</v>
      </c>
    </row>
    <row r="147" spans="1:25" s="15" customFormat="1" ht="39.75" hidden="1" customHeight="1">
      <c r="A147" s="380"/>
      <c r="B147" s="376"/>
      <c r="C147" s="333"/>
      <c r="D147" s="336"/>
      <c r="E147" s="338"/>
      <c r="F147" s="338"/>
      <c r="G147" s="338"/>
      <c r="H147" s="338"/>
      <c r="I147" s="338"/>
      <c r="J147" s="338"/>
      <c r="K147" s="135" t="s">
        <v>136</v>
      </c>
      <c r="L147" s="250">
        <v>0</v>
      </c>
      <c r="M147" s="37" t="s">
        <v>137</v>
      </c>
      <c r="N147" s="93">
        <v>0</v>
      </c>
      <c r="O147" s="204">
        <f>$A$9*$B$35*$C$145*$D$146*J147*N147</f>
        <v>0</v>
      </c>
      <c r="P147" s="132"/>
      <c r="Q147" s="260">
        <v>10</v>
      </c>
      <c r="R147" s="94">
        <f>100-(P147-L147)*Q147</f>
        <v>100</v>
      </c>
      <c r="S147" s="95">
        <f t="shared" si="35"/>
        <v>0</v>
      </c>
      <c r="T147" s="132"/>
      <c r="U147" s="23"/>
      <c r="V147" s="20"/>
      <c r="W147" s="327"/>
      <c r="Y147" s="331">
        <f t="shared" si="38"/>
        <v>0</v>
      </c>
    </row>
    <row r="148" spans="1:25" s="15" customFormat="1" ht="46.5" hidden="1" customHeight="1">
      <c r="A148" s="380"/>
      <c r="B148" s="376"/>
      <c r="C148" s="333"/>
      <c r="D148" s="335">
        <v>0.5</v>
      </c>
      <c r="E148" s="337" t="s">
        <v>66</v>
      </c>
      <c r="F148" s="337" t="s">
        <v>67</v>
      </c>
      <c r="G148" s="337" t="s">
        <v>392</v>
      </c>
      <c r="H148" s="337" t="s">
        <v>274</v>
      </c>
      <c r="I148" s="337" t="s">
        <v>393</v>
      </c>
      <c r="J148" s="337" t="s">
        <v>320</v>
      </c>
      <c r="K148" s="135" t="s">
        <v>136</v>
      </c>
      <c r="L148" s="250">
        <v>0</v>
      </c>
      <c r="M148" s="37" t="s">
        <v>137</v>
      </c>
      <c r="N148" s="93">
        <v>1</v>
      </c>
      <c r="O148" s="204">
        <f>$A$9*$B$35*$C$145*$D$148*N148</f>
        <v>0</v>
      </c>
      <c r="P148" s="132"/>
      <c r="Q148" s="260">
        <v>10</v>
      </c>
      <c r="R148" s="94">
        <f>100-(P148-L148)*Q148</f>
        <v>100</v>
      </c>
      <c r="S148" s="95">
        <f t="shared" si="35"/>
        <v>0</v>
      </c>
      <c r="T148" s="132"/>
      <c r="U148" s="23"/>
      <c r="V148" s="20"/>
      <c r="W148" s="327"/>
      <c r="Y148" s="331">
        <f t="shared" si="38"/>
        <v>0</v>
      </c>
    </row>
    <row r="149" spans="1:25" s="15" customFormat="1" ht="45" hidden="1" customHeight="1">
      <c r="A149" s="380"/>
      <c r="B149" s="376"/>
      <c r="C149" s="334"/>
      <c r="D149" s="336"/>
      <c r="E149" s="338"/>
      <c r="F149" s="338"/>
      <c r="G149" s="338"/>
      <c r="H149" s="338"/>
      <c r="I149" s="338"/>
      <c r="J149" s="338"/>
      <c r="K149" s="135" t="s">
        <v>136</v>
      </c>
      <c r="L149" s="250">
        <v>0</v>
      </c>
      <c r="M149" s="37" t="s">
        <v>30</v>
      </c>
      <c r="N149" s="93">
        <v>0</v>
      </c>
      <c r="O149" s="204">
        <f>$A$9*$B$35*$C$145*$D$148*J149*N149</f>
        <v>0</v>
      </c>
      <c r="P149" s="132"/>
      <c r="Q149" s="23"/>
      <c r="R149" s="94">
        <f>100-(P149-L149)*10</f>
        <v>100</v>
      </c>
      <c r="S149" s="95">
        <f t="shared" si="35"/>
        <v>0</v>
      </c>
      <c r="T149" s="132"/>
      <c r="U149" s="23"/>
      <c r="V149" s="20"/>
      <c r="W149" s="327"/>
      <c r="Y149" s="331">
        <f t="shared" si="38"/>
        <v>0</v>
      </c>
    </row>
    <row r="150" spans="1:25" s="15" customFormat="1" ht="21" customHeight="1">
      <c r="A150" s="380"/>
      <c r="B150" s="377"/>
      <c r="C150" s="234"/>
      <c r="D150" s="88"/>
      <c r="E150" s="104" t="s">
        <v>188</v>
      </c>
      <c r="F150" s="362" t="s">
        <v>157</v>
      </c>
      <c r="G150" s="363"/>
      <c r="H150" s="363"/>
      <c r="I150" s="363"/>
      <c r="J150" s="363"/>
      <c r="K150" s="363"/>
      <c r="L150" s="363"/>
      <c r="M150" s="364"/>
      <c r="N150" s="134"/>
      <c r="O150" s="205"/>
      <c r="P150" s="126"/>
      <c r="Q150" s="126"/>
      <c r="R150" s="119"/>
      <c r="S150" s="125"/>
      <c r="T150" s="126"/>
      <c r="U150" s="126"/>
      <c r="V150" s="119"/>
      <c r="W150" s="326"/>
      <c r="Y150" s="331">
        <f t="shared" si="38"/>
        <v>0</v>
      </c>
    </row>
    <row r="151" spans="1:25" s="15" customFormat="1" ht="36.6" hidden="1" customHeight="1">
      <c r="A151" s="380"/>
      <c r="B151" s="233"/>
      <c r="C151" s="232"/>
      <c r="D151" s="180">
        <v>1</v>
      </c>
      <c r="E151" s="127" t="s">
        <v>68</v>
      </c>
      <c r="F151" s="48" t="s">
        <v>69</v>
      </c>
      <c r="G151" s="127" t="s">
        <v>394</v>
      </c>
      <c r="H151" s="48" t="s">
        <v>253</v>
      </c>
      <c r="I151" s="127" t="s">
        <v>395</v>
      </c>
      <c r="J151" s="127" t="s">
        <v>273</v>
      </c>
      <c r="K151" s="135" t="s">
        <v>136</v>
      </c>
      <c r="L151" s="250">
        <v>0</v>
      </c>
      <c r="M151" s="37" t="s">
        <v>137</v>
      </c>
      <c r="N151" s="93">
        <v>1</v>
      </c>
      <c r="O151" s="204">
        <f>$A$9*$B$35*$C$150*$D$151*N151</f>
        <v>0</v>
      </c>
      <c r="P151" s="132"/>
      <c r="Q151" s="260">
        <v>10</v>
      </c>
      <c r="R151" s="94">
        <f>100-(P151-L151)*Q151</f>
        <v>100</v>
      </c>
      <c r="S151" s="95">
        <f t="shared" si="35"/>
        <v>0</v>
      </c>
      <c r="T151" s="132"/>
      <c r="U151" s="23"/>
      <c r="V151" s="20"/>
      <c r="W151" s="327"/>
      <c r="Y151" s="331">
        <f t="shared" si="38"/>
        <v>0</v>
      </c>
    </row>
    <row r="152" spans="1:25" s="15" customFormat="1" ht="42" customHeight="1">
      <c r="A152" s="380"/>
      <c r="B152" s="231"/>
      <c r="C152" s="231">
        <f>SUM(C36:C150)</f>
        <v>1</v>
      </c>
      <c r="D152" s="231"/>
      <c r="E152" s="67"/>
      <c r="F152" s="164"/>
      <c r="G152" s="220"/>
      <c r="H152" s="164"/>
      <c r="I152" s="220"/>
      <c r="J152" s="220"/>
      <c r="K152" s="137"/>
      <c r="L152" s="252"/>
      <c r="M152" s="38"/>
      <c r="N152" s="196"/>
      <c r="O152" s="221"/>
      <c r="P152" s="132"/>
      <c r="Q152" s="260"/>
      <c r="R152" s="94"/>
      <c r="S152" s="95"/>
      <c r="T152" s="132"/>
      <c r="U152" s="23"/>
      <c r="V152" s="20"/>
      <c r="W152" s="327"/>
      <c r="Y152" s="331">
        <f t="shared" si="38"/>
        <v>0</v>
      </c>
    </row>
    <row r="153" spans="1:25" s="15" customFormat="1" ht="21" customHeight="1">
      <c r="A153" s="380"/>
      <c r="B153" s="375">
        <v>0.12</v>
      </c>
      <c r="C153" s="227"/>
      <c r="D153" s="56"/>
      <c r="E153" s="175" t="s">
        <v>421</v>
      </c>
      <c r="F153" s="381" t="s">
        <v>420</v>
      </c>
      <c r="G153" s="382"/>
      <c r="H153" s="382"/>
      <c r="I153" s="382"/>
      <c r="J153" s="382"/>
      <c r="K153" s="382"/>
      <c r="L153" s="382"/>
      <c r="M153" s="383"/>
      <c r="N153" s="222"/>
      <c r="O153" s="223"/>
      <c r="P153" s="132"/>
      <c r="Q153" s="224"/>
      <c r="R153" s="225"/>
      <c r="S153" s="230">
        <f>SUM(S154:S162)</f>
        <v>10.199999999999999</v>
      </c>
      <c r="T153" s="132"/>
      <c r="U153" s="226"/>
      <c r="V153" s="173"/>
      <c r="W153" s="325"/>
      <c r="X153" s="306">
        <f>85*0.12</f>
        <v>10.199999999999999</v>
      </c>
      <c r="Y153" s="331">
        <f t="shared" si="38"/>
        <v>-10.199999999999999</v>
      </c>
    </row>
    <row r="154" spans="1:25" s="15" customFormat="1" ht="72" customHeight="1">
      <c r="A154" s="380"/>
      <c r="B154" s="376"/>
      <c r="C154" s="52">
        <v>0.1</v>
      </c>
      <c r="D154" s="219">
        <v>1</v>
      </c>
      <c r="E154" s="100" t="s">
        <v>18</v>
      </c>
      <c r="F154" s="16" t="s">
        <v>41</v>
      </c>
      <c r="G154" s="101" t="s">
        <v>325</v>
      </c>
      <c r="H154" s="16" t="s">
        <v>41</v>
      </c>
      <c r="I154" s="101" t="s">
        <v>326</v>
      </c>
      <c r="J154" s="16" t="s">
        <v>241</v>
      </c>
      <c r="K154" s="102" t="s">
        <v>242</v>
      </c>
      <c r="L154" s="248">
        <v>0</v>
      </c>
      <c r="M154" s="102" t="s">
        <v>137</v>
      </c>
      <c r="N154" s="103">
        <v>1</v>
      </c>
      <c r="O154" s="202">
        <f>$A$9*$B$153*$C$154*$D$154*N154</f>
        <v>1.0200000000000001E-2</v>
      </c>
      <c r="P154" s="132">
        <v>0</v>
      </c>
      <c r="Q154" s="157">
        <v>10</v>
      </c>
      <c r="R154" s="94">
        <f>100-(L154-P154)*Q154</f>
        <v>100</v>
      </c>
      <c r="S154" s="95">
        <f>R154*O154</f>
        <v>1.02</v>
      </c>
      <c r="T154" s="19">
        <v>0</v>
      </c>
      <c r="U154" s="309">
        <v>10</v>
      </c>
      <c r="V154" s="265">
        <f t="shared" ref="V154:V161" si="41">100-U154*T154</f>
        <v>100</v>
      </c>
      <c r="W154" s="318">
        <f t="shared" ref="W154:W162" si="42">V154*O154</f>
        <v>1.02</v>
      </c>
      <c r="Y154" s="331">
        <f t="shared" si="38"/>
        <v>0</v>
      </c>
    </row>
    <row r="155" spans="1:25" s="15" customFormat="1" ht="36" customHeight="1">
      <c r="A155" s="380"/>
      <c r="B155" s="376"/>
      <c r="C155" s="52">
        <v>7.0000000000000007E-2</v>
      </c>
      <c r="D155" s="216">
        <v>1</v>
      </c>
      <c r="E155" s="72" t="s">
        <v>48</v>
      </c>
      <c r="F155" s="67" t="s">
        <v>49</v>
      </c>
      <c r="G155" s="72" t="s">
        <v>347</v>
      </c>
      <c r="H155" s="67" t="s">
        <v>267</v>
      </c>
      <c r="I155" s="72" t="s">
        <v>348</v>
      </c>
      <c r="J155" s="257" t="s">
        <v>312</v>
      </c>
      <c r="K155" s="127" t="s">
        <v>136</v>
      </c>
      <c r="L155" s="250">
        <v>0</v>
      </c>
      <c r="M155" s="67" t="s">
        <v>137</v>
      </c>
      <c r="N155" s="93">
        <v>1</v>
      </c>
      <c r="O155" s="202">
        <f>$A$9*$B$153*$C$155*$D$155*N155</f>
        <v>7.1400000000000005E-3</v>
      </c>
      <c r="P155" s="132">
        <v>0</v>
      </c>
      <c r="Q155" s="260">
        <v>10</v>
      </c>
      <c r="R155" s="94">
        <f t="shared" ref="R155:R162" si="43">100-(P155-L155)*Q155</f>
        <v>100</v>
      </c>
      <c r="S155" s="95">
        <f t="shared" ref="S155:S162" si="44">R155*O155</f>
        <v>0.71400000000000008</v>
      </c>
      <c r="T155" s="19">
        <v>0</v>
      </c>
      <c r="U155" s="309">
        <v>10</v>
      </c>
      <c r="V155" s="265">
        <f t="shared" si="41"/>
        <v>100</v>
      </c>
      <c r="W155" s="318">
        <f t="shared" si="42"/>
        <v>0.71400000000000008</v>
      </c>
      <c r="Y155" s="331">
        <f t="shared" si="38"/>
        <v>0</v>
      </c>
    </row>
    <row r="156" spans="1:25" s="15" customFormat="1" ht="38.25" customHeight="1">
      <c r="A156" s="380"/>
      <c r="B156" s="376"/>
      <c r="C156" s="52">
        <v>7.0000000000000007E-2</v>
      </c>
      <c r="D156" s="219">
        <v>1</v>
      </c>
      <c r="E156" s="72" t="s">
        <v>50</v>
      </c>
      <c r="F156" s="67" t="s">
        <v>51</v>
      </c>
      <c r="G156" s="72" t="s">
        <v>349</v>
      </c>
      <c r="H156" s="67" t="s">
        <v>271</v>
      </c>
      <c r="I156" s="72" t="s">
        <v>350</v>
      </c>
      <c r="J156" s="257" t="s">
        <v>268</v>
      </c>
      <c r="K156" s="127" t="s">
        <v>136</v>
      </c>
      <c r="L156" s="250">
        <v>0</v>
      </c>
      <c r="M156" s="67" t="s">
        <v>137</v>
      </c>
      <c r="N156" s="93">
        <v>1</v>
      </c>
      <c r="O156" s="202">
        <f>$A$9*$B$153*$C$156*$D$156*N156</f>
        <v>7.1400000000000005E-3</v>
      </c>
      <c r="P156" s="132">
        <v>0</v>
      </c>
      <c r="Q156" s="260">
        <v>10</v>
      </c>
      <c r="R156" s="94">
        <f t="shared" si="43"/>
        <v>100</v>
      </c>
      <c r="S156" s="95">
        <f t="shared" si="44"/>
        <v>0.71400000000000008</v>
      </c>
      <c r="T156" s="19">
        <v>0</v>
      </c>
      <c r="U156" s="309">
        <v>10</v>
      </c>
      <c r="V156" s="265">
        <f t="shared" si="41"/>
        <v>100</v>
      </c>
      <c r="W156" s="318">
        <f t="shared" si="42"/>
        <v>0.71400000000000008</v>
      </c>
      <c r="Y156" s="331">
        <f t="shared" si="38"/>
        <v>0</v>
      </c>
    </row>
    <row r="157" spans="1:25" s="15" customFormat="1" ht="36" customHeight="1">
      <c r="A157" s="380"/>
      <c r="B157" s="376"/>
      <c r="C157" s="52">
        <v>0.1</v>
      </c>
      <c r="D157" s="217">
        <v>1</v>
      </c>
      <c r="E157" s="72" t="s">
        <v>59</v>
      </c>
      <c r="F157" s="218" t="s">
        <v>60</v>
      </c>
      <c r="G157" s="72" t="s">
        <v>383</v>
      </c>
      <c r="H157" s="218" t="s">
        <v>60</v>
      </c>
      <c r="I157" s="72" t="s">
        <v>384</v>
      </c>
      <c r="J157" s="256" t="s">
        <v>269</v>
      </c>
      <c r="K157" s="127" t="s">
        <v>136</v>
      </c>
      <c r="L157" s="250">
        <v>0</v>
      </c>
      <c r="M157" s="127" t="s">
        <v>137</v>
      </c>
      <c r="N157" s="93">
        <v>1</v>
      </c>
      <c r="O157" s="202">
        <f>$A$9*$B$153*$C$157*$D$157*N157</f>
        <v>1.0200000000000001E-2</v>
      </c>
      <c r="P157" s="132">
        <v>0</v>
      </c>
      <c r="Q157" s="260">
        <v>10</v>
      </c>
      <c r="R157" s="94">
        <f t="shared" si="43"/>
        <v>100</v>
      </c>
      <c r="S157" s="95">
        <f t="shared" si="44"/>
        <v>1.02</v>
      </c>
      <c r="T157" s="19">
        <v>0</v>
      </c>
      <c r="U157" s="309">
        <v>10</v>
      </c>
      <c r="V157" s="265">
        <f t="shared" si="41"/>
        <v>100</v>
      </c>
      <c r="W157" s="318">
        <f t="shared" si="42"/>
        <v>1.02</v>
      </c>
      <c r="Y157" s="331">
        <f t="shared" si="38"/>
        <v>0</v>
      </c>
    </row>
    <row r="158" spans="1:25" s="15" customFormat="1" ht="63" customHeight="1">
      <c r="A158" s="380"/>
      <c r="B158" s="376"/>
      <c r="C158" s="332">
        <v>0.2</v>
      </c>
      <c r="D158" s="378">
        <v>1</v>
      </c>
      <c r="E158" s="344" t="s">
        <v>62</v>
      </c>
      <c r="F158" s="346" t="s">
        <v>63</v>
      </c>
      <c r="G158" s="348" t="s">
        <v>387</v>
      </c>
      <c r="H158" s="354" t="s">
        <v>63</v>
      </c>
      <c r="I158" s="208" t="s">
        <v>308</v>
      </c>
      <c r="J158" s="76" t="s">
        <v>230</v>
      </c>
      <c r="K158" s="127" t="s">
        <v>136</v>
      </c>
      <c r="L158" s="250">
        <v>0</v>
      </c>
      <c r="M158" s="127" t="s">
        <v>137</v>
      </c>
      <c r="N158" s="93">
        <v>0.5</v>
      </c>
      <c r="O158" s="202">
        <f>$A$9*$B$153*$C$158*$D$158*N158</f>
        <v>1.0200000000000001E-2</v>
      </c>
      <c r="P158" s="132">
        <v>0</v>
      </c>
      <c r="Q158" s="260">
        <v>10</v>
      </c>
      <c r="R158" s="94">
        <f t="shared" si="43"/>
        <v>100</v>
      </c>
      <c r="S158" s="95">
        <f t="shared" si="44"/>
        <v>1.02</v>
      </c>
      <c r="T158" s="19">
        <v>0</v>
      </c>
      <c r="U158" s="309">
        <v>10</v>
      </c>
      <c r="V158" s="265">
        <f t="shared" si="41"/>
        <v>100</v>
      </c>
      <c r="W158" s="318">
        <f t="shared" si="42"/>
        <v>1.02</v>
      </c>
      <c r="Y158" s="331">
        <f t="shared" si="38"/>
        <v>0</v>
      </c>
    </row>
    <row r="159" spans="1:25" s="15" customFormat="1" ht="42.75" customHeight="1">
      <c r="A159" s="380"/>
      <c r="B159" s="376"/>
      <c r="C159" s="334"/>
      <c r="D159" s="378"/>
      <c r="E159" s="345"/>
      <c r="F159" s="347"/>
      <c r="G159" s="348"/>
      <c r="H159" s="354"/>
      <c r="I159" s="200" t="s">
        <v>307</v>
      </c>
      <c r="J159" s="55" t="s">
        <v>231</v>
      </c>
      <c r="K159" s="127" t="s">
        <v>136</v>
      </c>
      <c r="L159" s="250">
        <v>0</v>
      </c>
      <c r="M159" s="127" t="s">
        <v>137</v>
      </c>
      <c r="N159" s="196">
        <v>0.5</v>
      </c>
      <c r="O159" s="202">
        <f>$A$9*$B$153*$C$158*$D$158*N159</f>
        <v>1.0200000000000001E-2</v>
      </c>
      <c r="P159" s="132">
        <v>0</v>
      </c>
      <c r="Q159" s="260">
        <v>10</v>
      </c>
      <c r="R159" s="94">
        <f t="shared" si="43"/>
        <v>100</v>
      </c>
      <c r="S159" s="95">
        <f t="shared" si="44"/>
        <v>1.02</v>
      </c>
      <c r="T159" s="19">
        <v>0</v>
      </c>
      <c r="U159" s="309">
        <v>10</v>
      </c>
      <c r="V159" s="265">
        <f t="shared" si="41"/>
        <v>100</v>
      </c>
      <c r="W159" s="318">
        <f t="shared" si="42"/>
        <v>1.02</v>
      </c>
      <c r="Y159" s="331">
        <f t="shared" si="38"/>
        <v>0</v>
      </c>
    </row>
    <row r="160" spans="1:25" s="15" customFormat="1" ht="52.5" customHeight="1">
      <c r="A160" s="380"/>
      <c r="B160" s="376"/>
      <c r="C160" s="52">
        <v>0.2</v>
      </c>
      <c r="D160" s="216">
        <v>1</v>
      </c>
      <c r="E160" s="67" t="s">
        <v>64</v>
      </c>
      <c r="F160" s="67" t="s">
        <v>65</v>
      </c>
      <c r="G160" s="67" t="s">
        <v>390</v>
      </c>
      <c r="H160" s="67" t="s">
        <v>275</v>
      </c>
      <c r="I160" s="67" t="s">
        <v>391</v>
      </c>
      <c r="J160" s="240" t="s">
        <v>319</v>
      </c>
      <c r="K160" s="135" t="s">
        <v>136</v>
      </c>
      <c r="L160" s="250">
        <v>0</v>
      </c>
      <c r="M160" s="37" t="s">
        <v>137</v>
      </c>
      <c r="N160" s="93">
        <v>1</v>
      </c>
      <c r="O160" s="202">
        <f>$A$9*$B$153*$C$160*$D$160*N160</f>
        <v>2.0400000000000001E-2</v>
      </c>
      <c r="P160" s="132">
        <v>0</v>
      </c>
      <c r="Q160" s="260">
        <v>10</v>
      </c>
      <c r="R160" s="94">
        <f t="shared" si="43"/>
        <v>100</v>
      </c>
      <c r="S160" s="95">
        <f t="shared" si="44"/>
        <v>2.04</v>
      </c>
      <c r="T160" s="19">
        <v>0</v>
      </c>
      <c r="U160" s="309">
        <v>10</v>
      </c>
      <c r="V160" s="265">
        <f t="shared" si="41"/>
        <v>100</v>
      </c>
      <c r="W160" s="318">
        <f t="shared" si="42"/>
        <v>2.04</v>
      </c>
      <c r="Y160" s="331">
        <f t="shared" si="38"/>
        <v>0</v>
      </c>
    </row>
    <row r="161" spans="1:25" s="15" customFormat="1" ht="42" customHeight="1">
      <c r="A161" s="380"/>
      <c r="B161" s="376"/>
      <c r="C161" s="52">
        <v>0.18</v>
      </c>
      <c r="D161" s="216">
        <v>1</v>
      </c>
      <c r="E161" s="67" t="s">
        <v>66</v>
      </c>
      <c r="F161" s="67" t="s">
        <v>67</v>
      </c>
      <c r="G161" s="67" t="s">
        <v>392</v>
      </c>
      <c r="H161" s="67" t="s">
        <v>274</v>
      </c>
      <c r="I161" s="67" t="s">
        <v>393</v>
      </c>
      <c r="J161" s="240" t="s">
        <v>320</v>
      </c>
      <c r="K161" s="135" t="s">
        <v>136</v>
      </c>
      <c r="L161" s="250">
        <v>0</v>
      </c>
      <c r="M161" s="37" t="s">
        <v>137</v>
      </c>
      <c r="N161" s="93">
        <v>1</v>
      </c>
      <c r="O161" s="202">
        <f>$A$9*$B$153*$C$161*$D$161*N161</f>
        <v>1.8359999999999998E-2</v>
      </c>
      <c r="P161" s="132">
        <v>0</v>
      </c>
      <c r="Q161" s="260">
        <v>10</v>
      </c>
      <c r="R161" s="94">
        <f t="shared" si="43"/>
        <v>100</v>
      </c>
      <c r="S161" s="95">
        <f t="shared" si="44"/>
        <v>1.8359999999999999</v>
      </c>
      <c r="T161" s="19">
        <v>0</v>
      </c>
      <c r="U161" s="309">
        <v>10</v>
      </c>
      <c r="V161" s="265">
        <f t="shared" si="41"/>
        <v>100</v>
      </c>
      <c r="W161" s="318">
        <f t="shared" si="42"/>
        <v>1.8359999999999999</v>
      </c>
      <c r="Y161" s="331">
        <f t="shared" si="38"/>
        <v>0</v>
      </c>
    </row>
    <row r="162" spans="1:25" s="15" customFormat="1" ht="38.25" customHeight="1">
      <c r="A162" s="380"/>
      <c r="B162" s="377"/>
      <c r="C162" s="52">
        <v>0.08</v>
      </c>
      <c r="D162" s="219">
        <v>1</v>
      </c>
      <c r="E162" s="127" t="s">
        <v>68</v>
      </c>
      <c r="F162" s="48" t="s">
        <v>69</v>
      </c>
      <c r="G162" s="127" t="s">
        <v>394</v>
      </c>
      <c r="H162" s="48" t="s">
        <v>253</v>
      </c>
      <c r="I162" s="127" t="s">
        <v>395</v>
      </c>
      <c r="J162" s="131" t="s">
        <v>273</v>
      </c>
      <c r="K162" s="235" t="s">
        <v>426</v>
      </c>
      <c r="L162" s="250">
        <v>100</v>
      </c>
      <c r="M162" s="37" t="s">
        <v>137</v>
      </c>
      <c r="N162" s="93">
        <v>1</v>
      </c>
      <c r="O162" s="202">
        <f>$A$9*$B$153*$C$162*$D$162*N162</f>
        <v>8.1599999999999989E-3</v>
      </c>
      <c r="P162" s="132">
        <v>100</v>
      </c>
      <c r="Q162" s="260">
        <v>10</v>
      </c>
      <c r="R162" s="94">
        <f t="shared" si="43"/>
        <v>100</v>
      </c>
      <c r="S162" s="95">
        <f t="shared" si="44"/>
        <v>0.81599999999999984</v>
      </c>
      <c r="T162" s="132">
        <v>100</v>
      </c>
      <c r="U162" s="309">
        <v>0</v>
      </c>
      <c r="V162" s="265">
        <v>100</v>
      </c>
      <c r="W162" s="318">
        <f t="shared" si="42"/>
        <v>0.81599999999999984</v>
      </c>
      <c r="Y162" s="331">
        <f t="shared" si="38"/>
        <v>0</v>
      </c>
    </row>
    <row r="163" spans="1:25" s="15" customFormat="1">
      <c r="E163" s="31"/>
      <c r="F163" s="50"/>
      <c r="G163" s="136"/>
      <c r="H163" s="25"/>
      <c r="I163" s="25"/>
      <c r="J163" s="179"/>
      <c r="K163" s="137"/>
      <c r="L163" s="252"/>
      <c r="M163" s="38"/>
      <c r="N163" s="138"/>
      <c r="O163" s="213"/>
      <c r="P163" s="126"/>
      <c r="Q163" s="23"/>
      <c r="R163" s="20"/>
      <c r="S163" s="22"/>
      <c r="T163" s="126"/>
      <c r="U163" s="23"/>
      <c r="V163" s="20"/>
      <c r="W163" s="327"/>
      <c r="Y163" s="331">
        <f t="shared" si="38"/>
        <v>0</v>
      </c>
    </row>
    <row r="164" spans="1:25" s="15" customFormat="1" ht="21" customHeight="1">
      <c r="A164" s="365"/>
      <c r="B164" s="365"/>
      <c r="C164" s="365"/>
      <c r="D164" s="366"/>
      <c r="E164" s="139" t="s">
        <v>158</v>
      </c>
      <c r="F164" s="367" t="s">
        <v>159</v>
      </c>
      <c r="G164" s="368"/>
      <c r="H164" s="368"/>
      <c r="I164" s="368"/>
      <c r="J164" s="368"/>
      <c r="K164" s="368"/>
      <c r="L164" s="368"/>
      <c r="M164" s="369"/>
      <c r="N164" s="140"/>
      <c r="O164" s="214"/>
      <c r="P164" s="126"/>
      <c r="Q164" s="141"/>
      <c r="R164" s="228"/>
      <c r="S164" s="229">
        <f>SUM(S165:S170)</f>
        <v>15</v>
      </c>
      <c r="T164" s="126"/>
      <c r="U164" s="141"/>
      <c r="V164" s="142"/>
      <c r="W164" s="330"/>
      <c r="X164" s="15">
        <v>15</v>
      </c>
      <c r="Y164" s="331">
        <f t="shared" si="38"/>
        <v>-15</v>
      </c>
    </row>
    <row r="165" spans="1:25" s="15" customFormat="1" ht="42.75" customHeight="1">
      <c r="A165" s="370">
        <v>0.15</v>
      </c>
      <c r="B165" s="56">
        <v>0.7</v>
      </c>
      <c r="C165" s="52">
        <v>1</v>
      </c>
      <c r="D165" s="180">
        <v>1</v>
      </c>
      <c r="E165" s="70" t="s">
        <v>160</v>
      </c>
      <c r="F165" s="48" t="s">
        <v>161</v>
      </c>
      <c r="G165" s="70" t="s">
        <v>400</v>
      </c>
      <c r="H165" s="48" t="s">
        <v>161</v>
      </c>
      <c r="I165" s="70" t="s">
        <v>402</v>
      </c>
      <c r="J165" s="127" t="s">
        <v>161</v>
      </c>
      <c r="K165" s="135" t="s">
        <v>136</v>
      </c>
      <c r="L165" s="250">
        <v>0</v>
      </c>
      <c r="M165" s="37" t="s">
        <v>137</v>
      </c>
      <c r="N165" s="93">
        <v>1</v>
      </c>
      <c r="O165" s="204">
        <f>$A$165*$B$165*$C$165*$D$165*N165</f>
        <v>0.105</v>
      </c>
      <c r="P165" s="132">
        <v>0</v>
      </c>
      <c r="Q165" s="23"/>
      <c r="R165" s="94">
        <f>100-(P165-L165)*10</f>
        <v>100</v>
      </c>
      <c r="S165" s="95">
        <f>R165*O165</f>
        <v>10.5</v>
      </c>
      <c r="T165" s="132">
        <v>0</v>
      </c>
      <c r="U165" s="23"/>
      <c r="V165" s="266">
        <v>100</v>
      </c>
      <c r="W165" s="327">
        <f>V165*O165</f>
        <v>10.5</v>
      </c>
      <c r="X165" s="306">
        <f>X164+X153+X35+X10</f>
        <v>87.25</v>
      </c>
      <c r="Y165" s="331">
        <f t="shared" si="38"/>
        <v>0</v>
      </c>
    </row>
    <row r="166" spans="1:25" s="15" customFormat="1" ht="41.25" customHeight="1">
      <c r="A166" s="371"/>
      <c r="B166" s="56">
        <v>0.3</v>
      </c>
      <c r="C166" s="52">
        <v>1</v>
      </c>
      <c r="D166" s="180">
        <v>1</v>
      </c>
      <c r="E166" s="98" t="s">
        <v>162</v>
      </c>
      <c r="F166" s="48" t="s">
        <v>163</v>
      </c>
      <c r="G166" s="98" t="s">
        <v>401</v>
      </c>
      <c r="H166" s="48" t="s">
        <v>163</v>
      </c>
      <c r="I166" s="98" t="s">
        <v>403</v>
      </c>
      <c r="J166" s="127" t="s">
        <v>163</v>
      </c>
      <c r="K166" s="135" t="s">
        <v>136</v>
      </c>
      <c r="L166" s="250">
        <v>0</v>
      </c>
      <c r="M166" s="37" t="s">
        <v>137</v>
      </c>
      <c r="N166" s="93">
        <v>1</v>
      </c>
      <c r="O166" s="204">
        <f>$A$165*$B$166*$C$166*$D$166*N166</f>
        <v>4.4999999999999998E-2</v>
      </c>
      <c r="P166" s="132">
        <v>0</v>
      </c>
      <c r="Q166" s="23"/>
      <c r="R166" s="94">
        <f>100-(P166-L166)*10</f>
        <v>100</v>
      </c>
      <c r="S166" s="95">
        <f>R166*O166</f>
        <v>4.5</v>
      </c>
      <c r="T166" s="132">
        <v>0</v>
      </c>
      <c r="U166" s="23"/>
      <c r="V166" s="266">
        <v>100</v>
      </c>
      <c r="W166" s="327">
        <f>V166*O166</f>
        <v>4.5</v>
      </c>
      <c r="Y166" s="331">
        <f t="shared" si="38"/>
        <v>0</v>
      </c>
    </row>
    <row r="167" spans="1:25" s="15" customFormat="1" ht="18.600000000000001" customHeight="1">
      <c r="E167" s="143" t="s">
        <v>47</v>
      </c>
      <c r="F167" s="372" t="s">
        <v>164</v>
      </c>
      <c r="G167" s="373"/>
      <c r="H167" s="373"/>
      <c r="I167" s="373"/>
      <c r="J167" s="373"/>
      <c r="K167" s="373"/>
      <c r="L167" s="373"/>
      <c r="M167" s="374"/>
      <c r="N167" s="140"/>
      <c r="O167" s="140"/>
      <c r="P167" s="126"/>
      <c r="Q167" s="141"/>
      <c r="R167" s="142"/>
      <c r="S167" s="144"/>
      <c r="T167" s="23"/>
      <c r="U167" s="23"/>
      <c r="V167" s="266"/>
      <c r="W167" s="22"/>
      <c r="Y167" s="331">
        <f t="shared" si="38"/>
        <v>0</v>
      </c>
    </row>
    <row r="168" spans="1:25" s="15" customFormat="1" ht="62.25" customHeight="1">
      <c r="E168" s="70" t="s">
        <v>18</v>
      </c>
      <c r="F168" s="60" t="s">
        <v>254</v>
      </c>
      <c r="G168" s="98" t="s">
        <v>325</v>
      </c>
      <c r="H168" s="60" t="s">
        <v>254</v>
      </c>
      <c r="I168" s="98" t="s">
        <v>326</v>
      </c>
      <c r="J168" s="23" t="s">
        <v>254</v>
      </c>
      <c r="K168" s="135" t="s">
        <v>422</v>
      </c>
      <c r="L168" s="250">
        <v>0</v>
      </c>
      <c r="M168" s="37" t="s">
        <v>137</v>
      </c>
      <c r="N168" s="93">
        <v>1</v>
      </c>
      <c r="O168" s="93"/>
      <c r="P168" s="132">
        <v>0</v>
      </c>
      <c r="Q168" s="23">
        <v>2</v>
      </c>
      <c r="R168" s="18">
        <v>0</v>
      </c>
      <c r="S168" s="18">
        <v>0</v>
      </c>
      <c r="T168" s="23"/>
      <c r="U168" s="23"/>
      <c r="V168" s="60"/>
      <c r="W168" s="27"/>
      <c r="Y168" s="331">
        <f t="shared" si="38"/>
        <v>0</v>
      </c>
    </row>
    <row r="169" spans="1:25" s="15" customFormat="1" ht="62.25" customHeight="1">
      <c r="E169" s="98" t="s">
        <v>413</v>
      </c>
      <c r="F169" s="60" t="s">
        <v>255</v>
      </c>
      <c r="G169" s="98" t="s">
        <v>414</v>
      </c>
      <c r="H169" s="60" t="s">
        <v>255</v>
      </c>
      <c r="I169" s="98" t="s">
        <v>415</v>
      </c>
      <c r="J169" s="23" t="s">
        <v>255</v>
      </c>
      <c r="K169" s="235" t="s">
        <v>422</v>
      </c>
      <c r="L169" s="250">
        <v>0</v>
      </c>
      <c r="M169" s="37" t="s">
        <v>137</v>
      </c>
      <c r="N169" s="93">
        <v>1</v>
      </c>
      <c r="O169" s="93"/>
      <c r="P169" s="132">
        <v>0</v>
      </c>
      <c r="Q169" s="23">
        <v>0.5</v>
      </c>
      <c r="R169" s="18">
        <v>0</v>
      </c>
      <c r="S169" s="18">
        <v>0</v>
      </c>
      <c r="T169" s="23"/>
      <c r="U169" s="23"/>
      <c r="V169" s="60"/>
      <c r="W169" s="27"/>
      <c r="Y169" s="331">
        <f t="shared" si="38"/>
        <v>0</v>
      </c>
    </row>
    <row r="170" spans="1:25" ht="57.95" customHeight="1">
      <c r="E170" s="98" t="s">
        <v>416</v>
      </c>
      <c r="F170" s="145" t="s">
        <v>165</v>
      </c>
      <c r="G170" s="98" t="s">
        <v>417</v>
      </c>
      <c r="H170" s="145" t="s">
        <v>165</v>
      </c>
      <c r="I170" s="71" t="s">
        <v>418</v>
      </c>
      <c r="J170" s="190" t="s">
        <v>165</v>
      </c>
      <c r="K170" s="235" t="s">
        <v>422</v>
      </c>
      <c r="L170" s="250">
        <v>0</v>
      </c>
      <c r="M170" s="37" t="s">
        <v>137</v>
      </c>
      <c r="N170" s="93">
        <v>1</v>
      </c>
      <c r="O170" s="93"/>
      <c r="P170" s="132">
        <v>0</v>
      </c>
      <c r="Q170" s="23">
        <v>0.2</v>
      </c>
      <c r="R170" s="18">
        <v>0</v>
      </c>
      <c r="S170" s="18">
        <v>0</v>
      </c>
      <c r="T170" s="23"/>
      <c r="U170" s="23"/>
      <c r="V170" s="60"/>
      <c r="W170" s="27"/>
      <c r="Y170" s="331">
        <f t="shared" si="38"/>
        <v>0</v>
      </c>
    </row>
    <row r="171" spans="1:25" s="146" customFormat="1" ht="36.950000000000003" customHeight="1">
      <c r="E171" s="356" t="s">
        <v>166</v>
      </c>
      <c r="F171" s="357"/>
      <c r="G171" s="357"/>
      <c r="H171" s="357"/>
      <c r="I171" s="357"/>
      <c r="J171" s="357"/>
      <c r="K171" s="357"/>
      <c r="L171" s="357"/>
      <c r="M171" s="357"/>
      <c r="N171" s="357"/>
      <c r="O171" s="357"/>
      <c r="P171" s="357"/>
      <c r="Q171" s="357"/>
      <c r="R171" s="358"/>
      <c r="S171" s="166">
        <f>S10+S35+S153+S164+S167</f>
        <v>99.270444999999995</v>
      </c>
      <c r="T171" s="147"/>
      <c r="U171" s="147"/>
      <c r="V171" s="148"/>
      <c r="W171" s="149">
        <f>SUM(W13:W170)</f>
        <v>98.469999999999985</v>
      </c>
      <c r="Y171" s="331">
        <f t="shared" si="38"/>
        <v>-0.80044500000001051</v>
      </c>
    </row>
    <row r="172" spans="1:25">
      <c r="E172" s="359" t="s">
        <v>256</v>
      </c>
      <c r="F172" s="360"/>
      <c r="G172" s="360"/>
      <c r="H172" s="360"/>
      <c r="I172" s="360"/>
      <c r="J172" s="360"/>
      <c r="K172" s="360"/>
      <c r="L172" s="360"/>
      <c r="M172" s="360"/>
      <c r="N172" s="360"/>
      <c r="O172" s="360"/>
      <c r="P172" s="360"/>
      <c r="Q172" s="360"/>
      <c r="R172" s="361"/>
      <c r="S172" s="177" t="str">
        <f>IF(S171&gt;105,"A",IF(AND(S171&gt;100,S171&lt;=105),"B",IF(AND(S171&gt;=95,S171&lt;=100),"C",IF(AND(S171&gt;=90,S171&lt;95),"D",IF(S171&lt;90,"E",0)))))</f>
        <v>C</v>
      </c>
      <c r="T172" s="178"/>
      <c r="U172" s="178"/>
      <c r="V172" s="178"/>
      <c r="W172" s="178"/>
    </row>
    <row r="173" spans="1:25" ht="17.25" customHeight="1">
      <c r="E173" s="39"/>
      <c r="F173" s="39"/>
      <c r="G173" s="150"/>
      <c r="H173" s="66"/>
      <c r="I173" s="66"/>
      <c r="J173" s="191"/>
      <c r="K173" s="10"/>
      <c r="L173" s="254"/>
      <c r="M173" s="40"/>
      <c r="N173" s="151"/>
      <c r="O173" s="151"/>
      <c r="P173" s="62"/>
      <c r="Q173" s="62"/>
      <c r="R173" s="63"/>
    </row>
    <row r="174" spans="1:25" s="42" customFormat="1">
      <c r="E174" s="28"/>
      <c r="F174" s="28"/>
      <c r="G174" s="28"/>
      <c r="H174" s="46" t="s">
        <v>176</v>
      </c>
      <c r="I174" s="46"/>
      <c r="J174" s="192"/>
      <c r="K174" s="192"/>
      <c r="L174" s="36"/>
      <c r="N174" s="355" t="s">
        <v>177</v>
      </c>
      <c r="O174" s="355"/>
      <c r="P174" s="355"/>
      <c r="Q174" s="355"/>
      <c r="R174" s="355"/>
      <c r="S174" s="355"/>
      <c r="T174" s="355"/>
      <c r="U174" s="45"/>
      <c r="V174" s="36"/>
      <c r="W174" s="36"/>
    </row>
    <row r="175" spans="1:25">
      <c r="E175" s="39"/>
      <c r="F175" s="39"/>
      <c r="G175" s="150"/>
      <c r="H175" s="66"/>
      <c r="I175" s="66"/>
      <c r="J175" s="191"/>
      <c r="K175" s="10"/>
      <c r="L175" s="254"/>
      <c r="M175" s="40"/>
      <c r="N175" s="151"/>
      <c r="O175" s="151"/>
      <c r="P175" s="62"/>
      <c r="Q175" s="62"/>
      <c r="R175" s="63"/>
    </row>
    <row r="176" spans="1:25">
      <c r="E176" s="39"/>
      <c r="F176" s="39"/>
      <c r="G176" s="150"/>
      <c r="H176" s="66"/>
      <c r="I176" s="66"/>
      <c r="J176" s="191"/>
      <c r="K176" s="10"/>
      <c r="L176" s="254"/>
      <c r="M176" s="40"/>
      <c r="N176" s="151"/>
      <c r="O176" s="151"/>
      <c r="P176" s="62"/>
      <c r="Q176" s="62"/>
      <c r="R176" s="63"/>
    </row>
    <row r="177" spans="12:12">
      <c r="L177" s="15"/>
    </row>
    <row r="178" spans="12:12">
      <c r="L178" s="15"/>
    </row>
    <row r="179" spans="12:12">
      <c r="L179" s="15"/>
    </row>
    <row r="180" spans="12:12">
      <c r="L180" s="15"/>
    </row>
    <row r="181" spans="12:12">
      <c r="L181" s="15"/>
    </row>
    <row r="182" spans="12:12">
      <c r="L182" s="15"/>
    </row>
    <row r="183" spans="12:12">
      <c r="L183" s="15"/>
    </row>
    <row r="184" spans="12:12">
      <c r="L184" s="15"/>
    </row>
    <row r="185" spans="12:12">
      <c r="L185" s="15"/>
    </row>
    <row r="186" spans="12:12">
      <c r="L186" s="15"/>
    </row>
    <row r="187" spans="12:12">
      <c r="L187" s="15"/>
    </row>
    <row r="188" spans="12:12">
      <c r="L188" s="15"/>
    </row>
    <row r="189" spans="12:12">
      <c r="L189" s="15"/>
    </row>
    <row r="190" spans="12:12">
      <c r="L190" s="15"/>
    </row>
    <row r="191" spans="12:12">
      <c r="L191" s="15"/>
    </row>
    <row r="192" spans="12:12">
      <c r="L192" s="15"/>
    </row>
    <row r="193" spans="12:12">
      <c r="L193" s="15"/>
    </row>
    <row r="194" spans="12:12">
      <c r="L194" s="15"/>
    </row>
    <row r="195" spans="12:12">
      <c r="L195" s="15"/>
    </row>
    <row r="196" spans="12:12">
      <c r="L196" s="15"/>
    </row>
    <row r="197" spans="12:12">
      <c r="L197" s="15"/>
    </row>
    <row r="198" spans="12:12">
      <c r="L198" s="15"/>
    </row>
    <row r="199" spans="12:12">
      <c r="L199" s="15"/>
    </row>
    <row r="200" spans="12:12">
      <c r="L200" s="15"/>
    </row>
    <row r="201" spans="12:12">
      <c r="L201" s="15"/>
    </row>
    <row r="202" spans="12:12">
      <c r="L202" s="15"/>
    </row>
    <row r="203" spans="12:12">
      <c r="L203" s="15"/>
    </row>
    <row r="204" spans="12:12">
      <c r="L204" s="15"/>
    </row>
    <row r="205" spans="12:12">
      <c r="L205" s="15"/>
    </row>
    <row r="206" spans="12:12">
      <c r="L206" s="15"/>
    </row>
    <row r="207" spans="12:12">
      <c r="L207" s="15"/>
    </row>
    <row r="208" spans="12:12">
      <c r="L208" s="15"/>
    </row>
    <row r="209" spans="12:12">
      <c r="L209" s="15"/>
    </row>
    <row r="210" spans="12:12">
      <c r="L210" s="15"/>
    </row>
    <row r="211" spans="12:12">
      <c r="L211" s="15"/>
    </row>
    <row r="212" spans="12:12">
      <c r="L212" s="15"/>
    </row>
    <row r="213" spans="12:12">
      <c r="L213" s="15"/>
    </row>
    <row r="214" spans="12:12">
      <c r="L214" s="15"/>
    </row>
    <row r="215" spans="12:12">
      <c r="L215" s="15"/>
    </row>
    <row r="216" spans="12:12">
      <c r="L216" s="15"/>
    </row>
    <row r="217" spans="12:12">
      <c r="L217" s="15"/>
    </row>
    <row r="218" spans="12:12">
      <c r="L218" s="15"/>
    </row>
    <row r="219" spans="12:12">
      <c r="L219" s="15"/>
    </row>
    <row r="220" spans="12:12">
      <c r="L220" s="15"/>
    </row>
    <row r="221" spans="12:12">
      <c r="L221" s="15"/>
    </row>
    <row r="222" spans="12:12">
      <c r="L222" s="15"/>
    </row>
    <row r="223" spans="12:12">
      <c r="L223" s="15"/>
    </row>
    <row r="224" spans="12:12">
      <c r="L224" s="15"/>
    </row>
    <row r="225" spans="12:12">
      <c r="L225" s="15"/>
    </row>
    <row r="226" spans="12:12">
      <c r="L226" s="15"/>
    </row>
    <row r="227" spans="12:12">
      <c r="L227" s="15"/>
    </row>
    <row r="228" spans="12:12">
      <c r="L228" s="15"/>
    </row>
    <row r="229" spans="12:12">
      <c r="L229" s="15"/>
    </row>
    <row r="230" spans="12:12">
      <c r="L230" s="15"/>
    </row>
    <row r="231" spans="12:12">
      <c r="L231" s="15"/>
    </row>
    <row r="232" spans="12:12">
      <c r="L232" s="15"/>
    </row>
    <row r="233" spans="12:12">
      <c r="L233" s="15"/>
    </row>
    <row r="234" spans="12:12">
      <c r="L234" s="15"/>
    </row>
    <row r="235" spans="12:12">
      <c r="L235" s="15"/>
    </row>
    <row r="236" spans="12:12">
      <c r="L236" s="15"/>
    </row>
    <row r="237" spans="12:12">
      <c r="L237" s="15"/>
    </row>
    <row r="238" spans="12:12">
      <c r="L238" s="15"/>
    </row>
    <row r="239" spans="12:12">
      <c r="L239" s="15"/>
    </row>
    <row r="240" spans="12:12">
      <c r="L240" s="15"/>
    </row>
    <row r="241" spans="12:12">
      <c r="L241" s="15"/>
    </row>
    <row r="242" spans="12:12">
      <c r="L242" s="15"/>
    </row>
    <row r="243" spans="12:12">
      <c r="L243" s="15"/>
    </row>
    <row r="244" spans="12:12">
      <c r="L244" s="15"/>
    </row>
    <row r="245" spans="12:12">
      <c r="L245" s="15"/>
    </row>
    <row r="246" spans="12:12">
      <c r="L246" s="15"/>
    </row>
    <row r="247" spans="12:12">
      <c r="L247" s="15"/>
    </row>
    <row r="248" spans="12:12">
      <c r="L248" s="15"/>
    </row>
    <row r="249" spans="12:12">
      <c r="L249" s="15"/>
    </row>
    <row r="250" spans="12:12">
      <c r="L250" s="15"/>
    </row>
    <row r="251" spans="12:12">
      <c r="L251" s="15"/>
    </row>
    <row r="252" spans="12:12">
      <c r="L252" s="15"/>
    </row>
    <row r="253" spans="12:12">
      <c r="L253" s="15"/>
    </row>
    <row r="254" spans="12:12">
      <c r="L254" s="15"/>
    </row>
    <row r="255" spans="12:12">
      <c r="L255" s="15"/>
    </row>
    <row r="256" spans="12:12">
      <c r="L256" s="15"/>
    </row>
    <row r="257" spans="12:12">
      <c r="L257" s="15"/>
    </row>
    <row r="258" spans="12:12">
      <c r="L258" s="15"/>
    </row>
    <row r="259" spans="12:12">
      <c r="L259" s="15"/>
    </row>
    <row r="260" spans="12:12">
      <c r="L260" s="15"/>
    </row>
    <row r="261" spans="12:12">
      <c r="L261" s="15"/>
    </row>
    <row r="262" spans="12:12">
      <c r="L262" s="15"/>
    </row>
    <row r="263" spans="12:12">
      <c r="L263" s="15"/>
    </row>
    <row r="264" spans="12:12">
      <c r="L264" s="15"/>
    </row>
    <row r="265" spans="12:12">
      <c r="L265" s="15"/>
    </row>
    <row r="266" spans="12:12">
      <c r="L266" s="15"/>
    </row>
    <row r="267" spans="12:12">
      <c r="L267" s="15"/>
    </row>
    <row r="268" spans="12:12">
      <c r="L268" s="15"/>
    </row>
    <row r="269" spans="12:12">
      <c r="L269" s="15"/>
    </row>
  </sheetData>
  <mergeCells count="254">
    <mergeCell ref="I1:R1"/>
    <mergeCell ref="S1:W1"/>
    <mergeCell ref="I2:J2"/>
    <mergeCell ref="K2:N2"/>
    <mergeCell ref="P2:R2"/>
    <mergeCell ref="S2:V2"/>
    <mergeCell ref="A3:A6"/>
    <mergeCell ref="B3:B6"/>
    <mergeCell ref="G3:G6"/>
    <mergeCell ref="H3:H6"/>
    <mergeCell ref="A1:H2"/>
    <mergeCell ref="F12:F13"/>
    <mergeCell ref="C19:C30"/>
    <mergeCell ref="N3:N6"/>
    <mergeCell ref="J3:J6"/>
    <mergeCell ref="P3:W4"/>
    <mergeCell ref="K4:K6"/>
    <mergeCell ref="L4:L6"/>
    <mergeCell ref="P5:S5"/>
    <mergeCell ref="T5:W5"/>
    <mergeCell ref="K3:L3"/>
    <mergeCell ref="M3:M6"/>
    <mergeCell ref="C11:C16"/>
    <mergeCell ref="F11:M11"/>
    <mergeCell ref="D12:D13"/>
    <mergeCell ref="E12:E13"/>
    <mergeCell ref="E25:E27"/>
    <mergeCell ref="F25:F27"/>
    <mergeCell ref="F23:F24"/>
    <mergeCell ref="D25:D27"/>
    <mergeCell ref="I19:J19"/>
    <mergeCell ref="C31:C33"/>
    <mergeCell ref="F31:M31"/>
    <mergeCell ref="D32:D33"/>
    <mergeCell ref="E32:E33"/>
    <mergeCell ref="F32:F33"/>
    <mergeCell ref="E23:E24"/>
    <mergeCell ref="I3:I6"/>
    <mergeCell ref="O3:O6"/>
    <mergeCell ref="B9:D9"/>
    <mergeCell ref="F9:M9"/>
    <mergeCell ref="B10:B33"/>
    <mergeCell ref="F10:M10"/>
    <mergeCell ref="D15:D16"/>
    <mergeCell ref="E15:E16"/>
    <mergeCell ref="F15:F16"/>
    <mergeCell ref="F17:M17"/>
    <mergeCell ref="C3:C6"/>
    <mergeCell ref="D3:D6"/>
    <mergeCell ref="E3:E6"/>
    <mergeCell ref="F3:F6"/>
    <mergeCell ref="D23:D24"/>
    <mergeCell ref="D29:D30"/>
    <mergeCell ref="E29:E30"/>
    <mergeCell ref="F29:F30"/>
    <mergeCell ref="D37:D40"/>
    <mergeCell ref="E37:E40"/>
    <mergeCell ref="F37:F40"/>
    <mergeCell ref="F19:H19"/>
    <mergeCell ref="D20:D22"/>
    <mergeCell ref="E20:E22"/>
    <mergeCell ref="F20:F22"/>
    <mergeCell ref="I42:I44"/>
    <mergeCell ref="J42:J44"/>
    <mergeCell ref="G45:G47"/>
    <mergeCell ref="H45:H47"/>
    <mergeCell ref="I45:I47"/>
    <mergeCell ref="D45:D47"/>
    <mergeCell ref="E45:E47"/>
    <mergeCell ref="J45:J47"/>
    <mergeCell ref="F45:F47"/>
    <mergeCell ref="E51:E52"/>
    <mergeCell ref="F51:F52"/>
    <mergeCell ref="G51:G52"/>
    <mergeCell ref="J51:J52"/>
    <mergeCell ref="D48:D50"/>
    <mergeCell ref="E48:E50"/>
    <mergeCell ref="F48:F50"/>
    <mergeCell ref="G48:G50"/>
    <mergeCell ref="H48:H50"/>
    <mergeCell ref="I48:I50"/>
    <mergeCell ref="C36:C52"/>
    <mergeCell ref="F36:M36"/>
    <mergeCell ref="G58:G61"/>
    <mergeCell ref="F66:F68"/>
    <mergeCell ref="G66:G68"/>
    <mergeCell ref="H66:H68"/>
    <mergeCell ref="H51:H52"/>
    <mergeCell ref="I51:I52"/>
    <mergeCell ref="I66:I68"/>
    <mergeCell ref="J58:J61"/>
    <mergeCell ref="I62:I65"/>
    <mergeCell ref="J62:J65"/>
    <mergeCell ref="C53:C56"/>
    <mergeCell ref="F53:M53"/>
    <mergeCell ref="C57:C75"/>
    <mergeCell ref="F57:M57"/>
    <mergeCell ref="D58:D61"/>
    <mergeCell ref="D62:D65"/>
    <mergeCell ref="E62:E65"/>
    <mergeCell ref="F62:F65"/>
    <mergeCell ref="H58:H61"/>
    <mergeCell ref="I58:I61"/>
    <mergeCell ref="J48:J50"/>
    <mergeCell ref="D51:D52"/>
    <mergeCell ref="G62:G65"/>
    <mergeCell ref="H62:H65"/>
    <mergeCell ref="J66:J68"/>
    <mergeCell ref="E58:E61"/>
    <mergeCell ref="F58:F61"/>
    <mergeCell ref="D69:D71"/>
    <mergeCell ref="E69:E71"/>
    <mergeCell ref="F69:F71"/>
    <mergeCell ref="G69:G71"/>
    <mergeCell ref="H69:H71"/>
    <mergeCell ref="I69:I71"/>
    <mergeCell ref="J69:J71"/>
    <mergeCell ref="D66:D68"/>
    <mergeCell ref="E66:E68"/>
    <mergeCell ref="C76:C81"/>
    <mergeCell ref="F76:M76"/>
    <mergeCell ref="D77:D80"/>
    <mergeCell ref="E77:E80"/>
    <mergeCell ref="F77:F80"/>
    <mergeCell ref="G77:G80"/>
    <mergeCell ref="H77:H80"/>
    <mergeCell ref="I77:I80"/>
    <mergeCell ref="J77:J80"/>
    <mergeCell ref="J81:J83"/>
    <mergeCell ref="H100:H104"/>
    <mergeCell ref="I100:I104"/>
    <mergeCell ref="D72:D75"/>
    <mergeCell ref="E72:E75"/>
    <mergeCell ref="F72:F75"/>
    <mergeCell ref="G72:G75"/>
    <mergeCell ref="H72:H75"/>
    <mergeCell ref="I72:I75"/>
    <mergeCell ref="J72:J75"/>
    <mergeCell ref="I111:I114"/>
    <mergeCell ref="J111:J114"/>
    <mergeCell ref="C105:C115"/>
    <mergeCell ref="F105:M105"/>
    <mergeCell ref="D106:D110"/>
    <mergeCell ref="E106:E110"/>
    <mergeCell ref="F106:F110"/>
    <mergeCell ref="J106:J110"/>
    <mergeCell ref="E111:E114"/>
    <mergeCell ref="F111:F114"/>
    <mergeCell ref="H111:H114"/>
    <mergeCell ref="C84:C104"/>
    <mergeCell ref="F84:M84"/>
    <mergeCell ref="D85:D94"/>
    <mergeCell ref="E85:E94"/>
    <mergeCell ref="F85:F94"/>
    <mergeCell ref="D95:D96"/>
    <mergeCell ref="E95:E96"/>
    <mergeCell ref="F95:F96"/>
    <mergeCell ref="G95:G96"/>
    <mergeCell ref="H95:H96"/>
    <mergeCell ref="I95:I96"/>
    <mergeCell ref="J95:J96"/>
    <mergeCell ref="D97:D99"/>
    <mergeCell ref="E97:E99"/>
    <mergeCell ref="F97:F99"/>
    <mergeCell ref="G97:G99"/>
    <mergeCell ref="H97:H99"/>
    <mergeCell ref="I97:I99"/>
    <mergeCell ref="J97:J99"/>
    <mergeCell ref="J100:J104"/>
    <mergeCell ref="D100:D104"/>
    <mergeCell ref="E100:E104"/>
    <mergeCell ref="F100:F104"/>
    <mergeCell ref="G100:G104"/>
    <mergeCell ref="C116:C117"/>
    <mergeCell ref="F116:M116"/>
    <mergeCell ref="C118:C121"/>
    <mergeCell ref="F118:M118"/>
    <mergeCell ref="D119:D120"/>
    <mergeCell ref="E119:E120"/>
    <mergeCell ref="F119:F120"/>
    <mergeCell ref="G119:G120"/>
    <mergeCell ref="H119:H120"/>
    <mergeCell ref="I119:I120"/>
    <mergeCell ref="J119:J120"/>
    <mergeCell ref="C123:C126"/>
    <mergeCell ref="F123:M123"/>
    <mergeCell ref="D124:D126"/>
    <mergeCell ref="E124:E126"/>
    <mergeCell ref="F124:F126"/>
    <mergeCell ref="G124:G126"/>
    <mergeCell ref="H124:H126"/>
    <mergeCell ref="I124:I126"/>
    <mergeCell ref="J124:J126"/>
    <mergeCell ref="I128:I129"/>
    <mergeCell ref="J128:J129"/>
    <mergeCell ref="C127:C134"/>
    <mergeCell ref="F127:M127"/>
    <mergeCell ref="D128:D129"/>
    <mergeCell ref="E128:E129"/>
    <mergeCell ref="F128:F129"/>
    <mergeCell ref="G128:G129"/>
    <mergeCell ref="H128:H129"/>
    <mergeCell ref="G131:G134"/>
    <mergeCell ref="H131:H134"/>
    <mergeCell ref="I131:I134"/>
    <mergeCell ref="D131:D134"/>
    <mergeCell ref="E131:E134"/>
    <mergeCell ref="F131:F134"/>
    <mergeCell ref="N174:T174"/>
    <mergeCell ref="E171:R171"/>
    <mergeCell ref="E172:R172"/>
    <mergeCell ref="F150:M150"/>
    <mergeCell ref="A164:D164"/>
    <mergeCell ref="F164:M164"/>
    <mergeCell ref="A165:A166"/>
    <mergeCell ref="F167:M167"/>
    <mergeCell ref="B153:B162"/>
    <mergeCell ref="D158:D159"/>
    <mergeCell ref="B35:B150"/>
    <mergeCell ref="E158:E159"/>
    <mergeCell ref="F158:F159"/>
    <mergeCell ref="G158:G159"/>
    <mergeCell ref="A9:A162"/>
    <mergeCell ref="F153:M153"/>
    <mergeCell ref="H158:H159"/>
    <mergeCell ref="C158:C159"/>
    <mergeCell ref="F35:M35"/>
    <mergeCell ref="H146:H147"/>
    <mergeCell ref="I146:I147"/>
    <mergeCell ref="D111:D114"/>
    <mergeCell ref="F145:M145"/>
    <mergeCell ref="D146:D147"/>
    <mergeCell ref="C135:C139"/>
    <mergeCell ref="D148:D149"/>
    <mergeCell ref="I148:I149"/>
    <mergeCell ref="J148:J149"/>
    <mergeCell ref="J131:J134"/>
    <mergeCell ref="F135:M135"/>
    <mergeCell ref="H148:H149"/>
    <mergeCell ref="D138:D139"/>
    <mergeCell ref="E138:E139"/>
    <mergeCell ref="F138:F139"/>
    <mergeCell ref="G138:G139"/>
    <mergeCell ref="C140:C144"/>
    <mergeCell ref="F140:M140"/>
    <mergeCell ref="F148:F149"/>
    <mergeCell ref="G148:G149"/>
    <mergeCell ref="E146:E147"/>
    <mergeCell ref="F146:F147"/>
    <mergeCell ref="C145:C149"/>
    <mergeCell ref="E148:E149"/>
    <mergeCell ref="H138:H139"/>
    <mergeCell ref="G146:G147"/>
    <mergeCell ref="J146:J147"/>
  </mergeCells>
  <printOptions horizontalCentered="1"/>
  <pageMargins left="0.35433070866141736" right="0.35433070866141736" top="0.39370078740157483" bottom="0.39370078740157483" header="0.31496062992125984" footer="0.31496062992125984"/>
  <pageSetup paperSize="8"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KPI PGĐ KT</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2018-10-17T02:33:14Z</dcterms:modified>
</cp:coreProperties>
</file>