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0490" windowHeight="7665"/>
  </bookViews>
  <sheets>
    <sheet name=" KPI PGĐ KD" sheetId="30" r:id="rId1"/>
  </sheets>
  <definedNames>
    <definedName name="_Fill" localSheetId="0" hidden="1">#REF!</definedName>
    <definedName name="_Fill" hidden="1">#REF!</definedName>
    <definedName name="Company2013" localSheetId="0" hidden="1">#REF!</definedName>
    <definedName name="Company2013" hidden="1">#REF!</definedName>
    <definedName name="sdfs" hidden="1">#REF!</definedName>
    <definedName name="SFF" localSheetId="0" hidden="1">#REF!</definedName>
    <definedName name="SFF" hidden="1">#REF!</definedName>
  </definedNames>
  <calcPr calcId="144525"/>
</workbook>
</file>

<file path=xl/calcChain.xml><?xml version="1.0" encoding="utf-8"?>
<calcChain xmlns="http://schemas.openxmlformats.org/spreadsheetml/2006/main">
  <c r="Z13" i="30" l="1"/>
  <c r="Z14" i="30"/>
  <c r="Z15" i="30"/>
  <c r="Z16" i="30"/>
  <c r="Z17" i="30"/>
  <c r="Z18" i="30"/>
  <c r="Z19" i="30"/>
  <c r="Z20" i="30"/>
  <c r="Z21" i="30"/>
  <c r="Z22" i="30"/>
  <c r="Z23" i="30"/>
  <c r="Z24" i="30"/>
  <c r="Z25" i="30"/>
  <c r="Z26" i="30"/>
  <c r="Z27" i="30"/>
  <c r="Z28" i="30"/>
  <c r="Z29" i="30"/>
  <c r="Z30" i="30"/>
  <c r="Z31" i="30"/>
  <c r="Z32" i="30"/>
  <c r="Z33" i="30"/>
  <c r="Z34" i="30"/>
  <c r="Z35" i="30"/>
  <c r="Z36" i="30"/>
  <c r="Z37" i="30"/>
  <c r="Z38" i="30"/>
  <c r="Z39" i="30"/>
  <c r="Z40" i="30"/>
  <c r="Z41" i="30"/>
  <c r="Z42" i="30"/>
  <c r="Z43" i="30"/>
  <c r="Z44" i="30"/>
  <c r="Z46" i="30"/>
  <c r="Z47" i="30"/>
  <c r="Z48" i="30"/>
  <c r="Z50" i="30"/>
  <c r="Z51" i="30"/>
  <c r="Z52" i="30"/>
  <c r="Z53" i="30"/>
  <c r="Z54" i="30"/>
  <c r="Z55" i="30"/>
  <c r="Z56" i="30"/>
  <c r="Z57" i="30"/>
  <c r="Z58" i="30"/>
  <c r="Z59" i="30"/>
  <c r="Z60" i="30"/>
  <c r="Z61" i="30"/>
  <c r="Z62" i="30"/>
  <c r="Z63" i="30"/>
  <c r="Z64" i="30"/>
  <c r="Z65" i="30"/>
  <c r="Z66" i="30"/>
  <c r="Z67" i="30"/>
  <c r="Z68" i="30"/>
  <c r="Z69" i="30"/>
  <c r="Z70" i="30"/>
  <c r="Z71" i="30"/>
  <c r="Z72" i="30"/>
  <c r="Z73" i="30"/>
  <c r="Z74" i="30"/>
  <c r="Z75" i="30"/>
  <c r="Z76" i="30"/>
  <c r="Z77" i="30"/>
  <c r="Z78" i="30"/>
  <c r="Z79" i="30"/>
  <c r="Z80" i="30"/>
  <c r="Z81" i="30"/>
  <c r="Z82" i="30"/>
  <c r="Z83" i="30"/>
  <c r="Z84" i="30"/>
  <c r="Z85" i="30"/>
  <c r="Z86" i="30"/>
  <c r="Z87" i="30"/>
  <c r="Z88" i="30"/>
  <c r="Z89" i="30"/>
  <c r="Z90" i="30"/>
  <c r="Z91" i="30"/>
  <c r="Z92" i="30"/>
  <c r="Z93" i="30"/>
  <c r="Z95" i="30"/>
  <c r="Z96" i="30"/>
  <c r="Z97" i="30"/>
  <c r="Z98" i="30"/>
  <c r="Z99" i="30"/>
  <c r="Z100" i="30"/>
  <c r="Z101" i="30"/>
  <c r="Z102" i="30"/>
  <c r="Z103" i="30"/>
  <c r="Z104" i="30"/>
  <c r="Z105" i="30"/>
  <c r="Z106" i="30"/>
  <c r="Z107" i="30"/>
  <c r="Z108" i="30"/>
  <c r="Z109" i="30"/>
  <c r="Z110" i="30"/>
  <c r="Z12" i="30"/>
  <c r="V50" i="30"/>
  <c r="W50" i="30" s="1"/>
  <c r="V53" i="30"/>
  <c r="W53" i="30" s="1"/>
  <c r="O24" i="30"/>
  <c r="O26" i="30"/>
  <c r="O25" i="30"/>
  <c r="V23" i="30" l="1"/>
  <c r="R102" i="30" l="1"/>
  <c r="O56" i="30" l="1"/>
  <c r="Y53" i="30" l="1"/>
  <c r="P23" i="30"/>
  <c r="Y59" i="30" l="1"/>
  <c r="Q60" i="30"/>
  <c r="R60" i="30" s="1"/>
  <c r="R106" i="30" l="1"/>
  <c r="O106" i="30"/>
  <c r="W106" i="30" s="1"/>
  <c r="R105" i="30"/>
  <c r="O105" i="30"/>
  <c r="W105" i="30" s="1"/>
  <c r="O102" i="30"/>
  <c r="W102" i="30" s="1"/>
  <c r="V101" i="30"/>
  <c r="R101" i="30"/>
  <c r="O101" i="30"/>
  <c r="W101" i="30" s="1"/>
  <c r="V100" i="30"/>
  <c r="R100" i="30"/>
  <c r="S100" i="30" s="1"/>
  <c r="O100" i="30"/>
  <c r="W100" i="30" s="1"/>
  <c r="V99" i="30"/>
  <c r="R99" i="30"/>
  <c r="S99" i="30" s="1"/>
  <c r="O99" i="30"/>
  <c r="V98" i="30"/>
  <c r="W98" i="30" s="1"/>
  <c r="R98" i="30"/>
  <c r="S98" i="30" s="1"/>
  <c r="O98" i="30"/>
  <c r="V97" i="30"/>
  <c r="R97" i="30"/>
  <c r="O97" i="30"/>
  <c r="W97" i="30" s="1"/>
  <c r="V96" i="30"/>
  <c r="R96" i="30"/>
  <c r="S96" i="30" s="1"/>
  <c r="O96" i="30"/>
  <c r="W96" i="30" s="1"/>
  <c r="V95" i="30"/>
  <c r="W95" i="30" s="1"/>
  <c r="R95" i="30"/>
  <c r="S95" i="30" s="1"/>
  <c r="O95" i="30"/>
  <c r="V94" i="30"/>
  <c r="W94" i="30" s="1"/>
  <c r="Z94" i="30" s="1"/>
  <c r="R94" i="30"/>
  <c r="S94" i="30" s="1"/>
  <c r="O94" i="30"/>
  <c r="C92" i="30"/>
  <c r="R91" i="30"/>
  <c r="S91" i="30" s="1"/>
  <c r="O91" i="30"/>
  <c r="R89" i="30"/>
  <c r="O89" i="30"/>
  <c r="S89" i="30" s="1"/>
  <c r="U88" i="30"/>
  <c r="V88" i="30" s="1"/>
  <c r="W88" i="30" s="1"/>
  <c r="R88" i="30"/>
  <c r="O88" i="30"/>
  <c r="S88" i="30" s="1"/>
  <c r="R87" i="30"/>
  <c r="S87" i="30" s="1"/>
  <c r="O87" i="30"/>
  <c r="U86" i="30"/>
  <c r="V86" i="30" s="1"/>
  <c r="R86" i="30"/>
  <c r="O86" i="30"/>
  <c r="R85" i="30"/>
  <c r="S85" i="30" s="1"/>
  <c r="O85" i="30"/>
  <c r="V83" i="30"/>
  <c r="W83" i="30" s="1"/>
  <c r="R83" i="30"/>
  <c r="S83" i="30" s="1"/>
  <c r="O83" i="30"/>
  <c r="S82" i="30"/>
  <c r="R82" i="30"/>
  <c r="U81" i="30"/>
  <c r="V81" i="30" s="1"/>
  <c r="W81" i="30" s="1"/>
  <c r="Q81" i="30"/>
  <c r="O81" i="30"/>
  <c r="S81" i="30" s="1"/>
  <c r="R79" i="30"/>
  <c r="O79" i="30"/>
  <c r="S79" i="30" s="1"/>
  <c r="R78" i="30"/>
  <c r="O78" i="30"/>
  <c r="R77" i="30"/>
  <c r="O77" i="30"/>
  <c r="S77" i="30" s="1"/>
  <c r="R76" i="30"/>
  <c r="S76" i="30" s="1"/>
  <c r="R74" i="30"/>
  <c r="O74" i="30"/>
  <c r="R73" i="30"/>
  <c r="O73" i="30"/>
  <c r="S73" i="30" s="1"/>
  <c r="R72" i="30"/>
  <c r="S72" i="30" s="1"/>
  <c r="O72" i="30"/>
  <c r="S71" i="30"/>
  <c r="R71" i="30"/>
  <c r="S70" i="30"/>
  <c r="R70" i="30"/>
  <c r="R69" i="30"/>
  <c r="O69" i="30"/>
  <c r="S69" i="30" s="1"/>
  <c r="R68" i="30"/>
  <c r="O68" i="30"/>
  <c r="R66" i="30"/>
  <c r="O66" i="30"/>
  <c r="S66" i="30" s="1"/>
  <c r="R65" i="30"/>
  <c r="S65" i="30" s="1"/>
  <c r="O65" i="30"/>
  <c r="R64" i="30"/>
  <c r="S64" i="30" s="1"/>
  <c r="V63" i="30"/>
  <c r="R63" i="30"/>
  <c r="S63" i="30" s="1"/>
  <c r="O63" i="30"/>
  <c r="W63" i="30" s="1"/>
  <c r="V61" i="30"/>
  <c r="W61" i="30" s="1"/>
  <c r="R61" i="30"/>
  <c r="S61" i="30" s="1"/>
  <c r="O61" i="30"/>
  <c r="V60" i="30"/>
  <c r="O60" i="30"/>
  <c r="S60" i="30" s="1"/>
  <c r="V58" i="30"/>
  <c r="R58" i="30"/>
  <c r="O58" i="30"/>
  <c r="V56" i="30"/>
  <c r="R56" i="30"/>
  <c r="W56" i="30"/>
  <c r="V55" i="30"/>
  <c r="R55" i="30"/>
  <c r="S55" i="30" s="1"/>
  <c r="O55" i="30"/>
  <c r="W55" i="30" s="1"/>
  <c r="V54" i="30"/>
  <c r="W54" i="30" s="1"/>
  <c r="R54" i="30"/>
  <c r="S54" i="30" s="1"/>
  <c r="O54" i="30"/>
  <c r="R53" i="30"/>
  <c r="O53" i="30"/>
  <c r="S53" i="30" s="1"/>
  <c r="V52" i="30"/>
  <c r="R52" i="30"/>
  <c r="S52" i="30" s="1"/>
  <c r="O52" i="30"/>
  <c r="W52" i="30" s="1"/>
  <c r="V51" i="30"/>
  <c r="R51" i="30"/>
  <c r="O51" i="30"/>
  <c r="W51" i="30" s="1"/>
  <c r="R50" i="30"/>
  <c r="O50" i="30"/>
  <c r="S50" i="30" s="1"/>
  <c r="V48" i="30"/>
  <c r="R48" i="30"/>
  <c r="O48" i="30"/>
  <c r="V47" i="30"/>
  <c r="R47" i="30"/>
  <c r="O47" i="30"/>
  <c r="W47" i="30" s="1"/>
  <c r="V46" i="30"/>
  <c r="R46" i="30"/>
  <c r="S46" i="30" s="1"/>
  <c r="O46" i="30"/>
  <c r="W46" i="30" s="1"/>
  <c r="V45" i="30"/>
  <c r="R45" i="30"/>
  <c r="O45" i="30"/>
  <c r="V44" i="30"/>
  <c r="R44" i="30"/>
  <c r="O44" i="30"/>
  <c r="S44" i="30" s="1"/>
  <c r="V43" i="30"/>
  <c r="R43" i="30"/>
  <c r="O43" i="30"/>
  <c r="R41" i="30"/>
  <c r="O41" i="30"/>
  <c r="S41" i="30" s="1"/>
  <c r="R40" i="30"/>
  <c r="O40" i="30"/>
  <c r="V39" i="30"/>
  <c r="R39" i="30"/>
  <c r="O39" i="30"/>
  <c r="S39" i="30" s="1"/>
  <c r="V38" i="30"/>
  <c r="R38" i="30"/>
  <c r="O38" i="30"/>
  <c r="V37" i="30"/>
  <c r="R37" i="30"/>
  <c r="O37" i="30"/>
  <c r="W37" i="30" s="1"/>
  <c r="V36" i="30"/>
  <c r="R36" i="30"/>
  <c r="S36" i="30" s="1"/>
  <c r="O36" i="30"/>
  <c r="W36" i="30" s="1"/>
  <c r="V35" i="30"/>
  <c r="W35" i="30" s="1"/>
  <c r="R35" i="30"/>
  <c r="S35" i="30" s="1"/>
  <c r="O35" i="30"/>
  <c r="R31" i="30"/>
  <c r="S31" i="30" s="1"/>
  <c r="R28" i="30"/>
  <c r="O28" i="30"/>
  <c r="S28" i="30" s="1"/>
  <c r="R27" i="30"/>
  <c r="U26" i="30"/>
  <c r="V26" i="30" s="1"/>
  <c r="W26" i="30" s="1"/>
  <c r="Q26" i="30"/>
  <c r="S26" i="30"/>
  <c r="V25" i="30"/>
  <c r="W25" i="30" s="1"/>
  <c r="U25" i="30"/>
  <c r="Q25" i="30"/>
  <c r="S25" i="30"/>
  <c r="U24" i="30"/>
  <c r="V24" i="30" s="1"/>
  <c r="W24" i="30" s="1"/>
  <c r="Q24" i="30"/>
  <c r="S24" i="30"/>
  <c r="U23" i="30"/>
  <c r="Q23" i="30"/>
  <c r="R23" i="30" s="1"/>
  <c r="O23" i="30"/>
  <c r="U22" i="30"/>
  <c r="V22" i="30" s="1"/>
  <c r="Q22" i="30"/>
  <c r="R22" i="30" s="1"/>
  <c r="O22" i="30"/>
  <c r="R21" i="30"/>
  <c r="S21" i="30" s="1"/>
  <c r="R20" i="30"/>
  <c r="S20" i="30" s="1"/>
  <c r="R19" i="30"/>
  <c r="S19" i="30" s="1"/>
  <c r="R17" i="30"/>
  <c r="O17" i="30"/>
  <c r="R15" i="30"/>
  <c r="S15" i="30" s="1"/>
  <c r="U14" i="30"/>
  <c r="V14" i="30" s="1"/>
  <c r="Q14" i="30"/>
  <c r="R14" i="30" s="1"/>
  <c r="O14" i="30"/>
  <c r="U13" i="30"/>
  <c r="V13" i="30" s="1"/>
  <c r="W13" i="30" s="1"/>
  <c r="Q13" i="30"/>
  <c r="R13" i="30" s="1"/>
  <c r="O13" i="30"/>
  <c r="U12" i="30"/>
  <c r="V12" i="30" s="1"/>
  <c r="Q12" i="30"/>
  <c r="R12" i="30" s="1"/>
  <c r="S12" i="30" s="1"/>
  <c r="O12" i="30"/>
  <c r="S22" i="30" l="1"/>
  <c r="W14" i="30"/>
  <c r="W23" i="30"/>
  <c r="W111" i="30" s="1"/>
  <c r="Z111" i="30" s="1"/>
  <c r="W45" i="30"/>
  <c r="Z45" i="30" s="1"/>
  <c r="W60" i="30"/>
  <c r="W86" i="30"/>
  <c r="S105" i="30"/>
  <c r="S106" i="30"/>
  <c r="W12" i="30"/>
  <c r="S13" i="30"/>
  <c r="S14" i="30"/>
  <c r="S17" i="30"/>
  <c r="W22" i="30"/>
  <c r="S23" i="30"/>
  <c r="S37" i="30"/>
  <c r="S38" i="30"/>
  <c r="W38" i="30"/>
  <c r="W39" i="30"/>
  <c r="S40" i="30"/>
  <c r="S43" i="30"/>
  <c r="W43" i="30"/>
  <c r="W44" i="30"/>
  <c r="S45" i="30"/>
  <c r="S47" i="30"/>
  <c r="S48" i="30"/>
  <c r="W48" i="30"/>
  <c r="S51" i="30"/>
  <c r="S56" i="30"/>
  <c r="S58" i="30"/>
  <c r="W58" i="30"/>
  <c r="S68" i="30"/>
  <c r="S74" i="30"/>
  <c r="S78" i="30"/>
  <c r="W99" i="30"/>
  <c r="S101" i="30"/>
  <c r="S86" i="30"/>
  <c r="S33" i="30" s="1"/>
  <c r="S97" i="30"/>
  <c r="S102" i="30"/>
  <c r="S93" i="30" s="1"/>
  <c r="S10" i="30" l="1"/>
  <c r="S104" i="30"/>
  <c r="S111" i="30" l="1"/>
  <c r="S112" i="30" s="1"/>
</calcChain>
</file>

<file path=xl/comments1.xml><?xml version="1.0" encoding="utf-8"?>
<comments xmlns="http://schemas.openxmlformats.org/spreadsheetml/2006/main">
  <authors>
    <author>Windows</author>
  </authors>
  <commentList>
    <comment ref="P60" authorId="0">
      <text>
        <r>
          <rPr>
            <b/>
            <sz val="9"/>
            <color indexed="81"/>
            <rFont val="Tahoma"/>
            <family val="2"/>
          </rPr>
          <t>Windows:</t>
        </r>
        <r>
          <rPr>
            <sz val="9"/>
            <color indexed="81"/>
            <rFont val="Tahoma"/>
            <family val="2"/>
          </rPr>
          <t xml:space="preserve">
Tổng số phiếu tiếp nhận tháng 9 :247
Số phiếu tiếp nhận và sử lý muộn : 19</t>
        </r>
      </text>
    </comment>
  </commentList>
</comments>
</file>

<file path=xl/sharedStrings.xml><?xml version="1.0" encoding="utf-8"?>
<sst xmlns="http://schemas.openxmlformats.org/spreadsheetml/2006/main" count="593" uniqueCount="342">
  <si>
    <t>I1</t>
  </si>
  <si>
    <t>Gia tăng chất lượng cấp điện</t>
  </si>
  <si>
    <t>I2</t>
  </si>
  <si>
    <t>Nâng cao hiệu suất vận hành hệ thống</t>
  </si>
  <si>
    <t>I4</t>
  </si>
  <si>
    <t>Cải thiện dịch vụ khách hàng</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</si>
  <si>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</si>
  <si>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</si>
  <si>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</si>
  <si>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</si>
  <si>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</si>
  <si>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</si>
  <si>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</si>
  <si>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F4</t>
  </si>
  <si>
    <t>C1</t>
  </si>
  <si>
    <t>F42</t>
  </si>
  <si>
    <t>I11</t>
  </si>
  <si>
    <t>I12</t>
  </si>
  <si>
    <t>I13</t>
  </si>
  <si>
    <t>L2</t>
  </si>
  <si>
    <t>L21</t>
  </si>
  <si>
    <t>L22</t>
  </si>
  <si>
    <t>Trọng số chung</t>
  </si>
  <si>
    <t>ĐVT</t>
  </si>
  <si>
    <t>%</t>
  </si>
  <si>
    <t>Quý</t>
  </si>
  <si>
    <t>Tổng thời gian dừng hệ thống CNTT do sự cố</t>
  </si>
  <si>
    <t>I33</t>
  </si>
  <si>
    <t>Sự cố</t>
  </si>
  <si>
    <t>Tỷ lệ thu hồi công nợ khách hàng</t>
  </si>
  <si>
    <t>Tăng hiệu quả sử dụng vốn</t>
  </si>
  <si>
    <t>Giá bán điện b/q so với kế hoạch</t>
  </si>
  <si>
    <t>Cải thiện sự hài lòng của khách hàng về chất lượng điện, chất lượng dịch vụ và hình ảnh thương hiệu EVN  trách nhiệm &amp; minh bạch</t>
  </si>
  <si>
    <t>Tỷ lệ hóa đơn được thanh toán qua ngân hàng hoặc tổ chức trung gian</t>
  </si>
  <si>
    <t>Quản lý vận hành hệ thống CNTT</t>
  </si>
  <si>
    <t>Chỉ số tiếp cận điện năng ( lưới điện hạ áp)</t>
  </si>
  <si>
    <t>Thay công tơ định kỳ/Kế hoạch</t>
  </si>
  <si>
    <t>Giá trị hàng tồn kho hàng quý</t>
  </si>
  <si>
    <t>C</t>
  </si>
  <si>
    <t>KH5</t>
  </si>
  <si>
    <t xml:space="preserve">Lập, triển khai kế hoạch CCHC của Công ty </t>
  </si>
  <si>
    <t>KH6</t>
  </si>
  <si>
    <t xml:space="preserve">Lập, triển khai kế hoạch thực hiện Quy chế dân chủ của Công ty </t>
  </si>
  <si>
    <t>KD.Kinh doanh điện năng</t>
  </si>
  <si>
    <t>TC.Quản trị tài chính-kế toán</t>
  </si>
  <si>
    <t>KT.Quản lý kỹ thuật-vận hành</t>
  </si>
  <si>
    <t>LD.Tổ chức, lao động, tiền lương</t>
  </si>
  <si>
    <t>LD2</t>
  </si>
  <si>
    <t>Công tác cán bộ</t>
  </si>
  <si>
    <t>LD4</t>
  </si>
  <si>
    <t>Công tác lao động, tiền lương</t>
  </si>
  <si>
    <t>HC1</t>
  </si>
  <si>
    <t>Công tác Văn thư</t>
  </si>
  <si>
    <t>CN.Công nghệ thông tin</t>
  </si>
  <si>
    <t>CN3</t>
  </si>
  <si>
    <t>Khai thác hiệu quả các phần mềm được trang bị</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</si>
  <si>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</si>
  <si>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</si>
  <si>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</si>
  <si>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</si>
  <si>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VH1</t>
  </si>
  <si>
    <t>Công tác văn hóa doanh nghiệp</t>
  </si>
  <si>
    <t>KH1</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</si>
  <si>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</si>
  <si>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</si>
  <si>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</si>
  <si>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</si>
  <si>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</si>
  <si>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</si>
  <si>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</si>
  <si>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</si>
  <si>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</si>
  <si>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</si>
  <si>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</si>
  <si>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</si>
  <si>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KT2</t>
  </si>
  <si>
    <t>Chỉ huy vận hành, xử lý sự cố lưới điện.</t>
  </si>
  <si>
    <t>KT4</t>
  </si>
  <si>
    <t>Quản lý tổn thất điện năng</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</si>
  <si>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</si>
  <si>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</si>
  <si>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</si>
  <si>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</si>
  <si>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</si>
  <si>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</si>
  <si>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</si>
  <si>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</si>
  <si>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</si>
  <si>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</si>
  <si>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</si>
  <si>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</si>
  <si>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</si>
  <si>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</si>
  <si>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</si>
  <si>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</si>
  <si>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</si>
  <si>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</si>
  <si>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KPI cá nhân</t>
  </si>
  <si>
    <t>Mục tiêu trong kỳ</t>
  </si>
  <si>
    <t xml:space="preserve">Tần suất </t>
  </si>
  <si>
    <t>Kết quả thực hiện</t>
  </si>
  <si>
    <t>Chỉ tiêu kế hoạch</t>
  </si>
  <si>
    <t>Kết quả</t>
  </si>
  <si>
    <t>Điểm chấm</t>
  </si>
  <si>
    <t>Điểm qui đổi</t>
  </si>
  <si>
    <t>A</t>
  </si>
  <si>
    <t>A.1</t>
  </si>
  <si>
    <t>A.2</t>
  </si>
  <si>
    <t>NHÓM KPI THEO MTCV</t>
  </si>
  <si>
    <t xml:space="preserve"> Lập kế hoạch SXKD</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</si>
  <si>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</si>
  <si>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</si>
  <si>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</si>
  <si>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</si>
  <si>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</si>
  <si>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</si>
  <si>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</si>
  <si>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</si>
  <si>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</si>
  <si>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Hoàn thành tốt các công việc được giao bổ xung khi có phát sinh</t>
  </si>
  <si>
    <t>Tổng điểm</t>
  </si>
  <si>
    <t>CÔNG TY ĐIỆN LỰC YÊN BÁI</t>
  </si>
  <si>
    <t>Ban giám đốc Công ty chấm</t>
  </si>
  <si>
    <t>I</t>
  </si>
  <si>
    <t>Tăng trưởng sản lượng điện</t>
  </si>
  <si>
    <t xml:space="preserve">Người lập </t>
  </si>
  <si>
    <t>Người duyệt</t>
  </si>
  <si>
    <t>Nghiên cứu áp dụng công nghệ mới vào SXKD</t>
  </si>
  <si>
    <t>F</t>
  </si>
  <si>
    <t>L</t>
  </si>
  <si>
    <t>KH</t>
  </si>
  <si>
    <t>LD</t>
  </si>
  <si>
    <t>HC</t>
  </si>
  <si>
    <t>KS</t>
  </si>
  <si>
    <t>QT</t>
  </si>
  <si>
    <t>VH</t>
  </si>
  <si>
    <t>KD</t>
  </si>
  <si>
    <t>TC</t>
  </si>
  <si>
    <t>KT</t>
  </si>
  <si>
    <t>CN</t>
  </si>
  <si>
    <t>KPI cấp Công ty</t>
  </si>
  <si>
    <t>NHÓM CÁC CHỈ TIÊU THỰC HIỆN NHIỆM VỤ (Cấp 1)</t>
  </si>
  <si>
    <t>NHÓM KPI THEO MỤC TIÊU (Cấp 2)</t>
  </si>
  <si>
    <t>Viễn cảnh tài chính (Cấp 3)</t>
  </si>
  <si>
    <t>Mã cấp 1</t>
  </si>
  <si>
    <t>HC7</t>
  </si>
  <si>
    <t>Giờ</t>
  </si>
  <si>
    <t>Lập kế hoạch kinh doanh điện năng.</t>
  </si>
  <si>
    <t>Ngày</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</si>
  <si>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</si>
  <si>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</si>
  <si>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</si>
  <si>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</si>
  <si>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</si>
  <si>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</si>
  <si>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các kiến nghị, khiếu nại của khách hàng liên quan đến hệ thống đo đếm điện năng</t>
  </si>
  <si>
    <t>Khai thác hiệu quả các phần mềm dùng chung được trang bị như Eoffice; Microsoft Office; visio</t>
  </si>
  <si>
    <t>Khai thác hiệu quả các phần mềm chuyên môn được trang bị</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</si>
  <si>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</si>
  <si>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</si>
  <si>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</si>
  <si>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</si>
  <si>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Tăng trưởng Doanh thu</t>
  </si>
  <si>
    <t>đ/kWh</t>
  </si>
  <si>
    <t>Viễn cảnh khách hàng</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</si>
  <si>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</si>
  <si>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</si>
  <si>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</si>
  <si>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</si>
  <si>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</si>
  <si>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</si>
  <si>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</si>
  <si>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</si>
  <si>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</si>
  <si>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 xml:space="preserve">Triển khai thực hiện CCHC của Công ty </t>
  </si>
  <si>
    <t xml:space="preserve">Triển khai thực hiện Quy chế dân chủ của Công ty </t>
  </si>
  <si>
    <t>Thámg</t>
  </si>
  <si>
    <t>Thực hiện công tác văn hóa doanh nghiệp</t>
  </si>
  <si>
    <t>Có sáng kiến kỹ thuật được công nhận</t>
  </si>
  <si>
    <t>Có cải tiến, hợp lý hóa sản xuất được công nhận</t>
  </si>
  <si>
    <t>Xếp loại</t>
  </si>
  <si>
    <t>Thực hiện Công tác lao động, tiền lương</t>
  </si>
  <si>
    <t>Chỉ đạo Công tác lưu trữ</t>
  </si>
  <si>
    <t>Chỉ đạo Quản lý, điều phối và sử dụng xe ô tô</t>
  </si>
  <si>
    <t>Thực hiện Công tác phòng chống tham nhũng</t>
  </si>
  <si>
    <t>Bộ phận: Phó Giám đốc</t>
  </si>
  <si>
    <t xml:space="preserve">Thực hiện CCHC của Công ty </t>
  </si>
  <si>
    <t xml:space="preserve">Tham gia Quy chế dân chủ của Công ty </t>
  </si>
  <si>
    <t>Triển khai Quản lý hệ thống đo đếm điện năng</t>
  </si>
  <si>
    <t>Triển khai tiếp nhận, giải quyết yêu cầu cấp điện của khách hàng, giải quyết đơn, thư khiếu nại, tố cáo về cung ứng, sử dụng điện.</t>
  </si>
  <si>
    <t>Triển khai Công tác tuyên truyền, chăm sóc KH và tiết kiệm điện</t>
  </si>
  <si>
    <t>Triển khai Công tác QL điện nông thôn</t>
  </si>
  <si>
    <t xml:space="preserve">Tham gia Lập chương trình giảm tổn thất hàng năm và thực hiện các biện pháp GTTĐN </t>
  </si>
  <si>
    <t xml:space="preserve">Tham gia thực hiện công tác cán bộ theo phân cấp </t>
  </si>
  <si>
    <t>Thực hiện công tác soạn thảo, kiểm soát văn bản theo quy định</t>
  </si>
  <si>
    <t>Triển khai  thực hiện Quản lý, vận hành, sửa chữa hạ tầng mạng viễn thông, công nghệ thông tin</t>
  </si>
  <si>
    <t>Triển khai Quản lý vận hành, khắc phục lỗi các phần mềm được trang bị</t>
  </si>
  <si>
    <t>Tham gia thực hiện Công tác giải quyết khiếu nại, tố cáo</t>
  </si>
  <si>
    <t xml:space="preserve">Tham gia thực hiện Quy chế dân chủ của Công ty </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</si>
  <si>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</si>
  <si>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</si>
  <si>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</si>
  <si>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Triển khai lập kế hoạch giá bán điện bình quân của Điện lực theo quý, năm </t>
  </si>
  <si>
    <t xml:space="preserve">Triển khai lập kế hoạch điện thương phẩm của  Điện lực theo quý, năm </t>
  </si>
  <si>
    <t xml:space="preserve">Triển khai lập kế hoạch thay thế định kỳ hệ thống đo đếm điện theo quý, năm </t>
  </si>
  <si>
    <t>Triển khai lập kế hoạch kiểm tra giám sát mua bán điện</t>
  </si>
  <si>
    <t>Thực hiện công tác kinh doanh điện năng</t>
  </si>
  <si>
    <t>Triển khai 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</si>
  <si>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Triển khai Giải quyết các kiến nghị, khiếu nại của khách hàng liên quan đến hệ thống đo đếm điện năng</t>
  </si>
  <si>
    <t>Triển khai công tác thu, nộp tiền điện theo đúng quy định.</t>
  </si>
  <si>
    <t>Lập kế hoạch triển khai duy trì áp dụng và cải tiến công cụ 5S trong toàn Điện lực</t>
  </si>
  <si>
    <t>Thay công tơ định kỳ</t>
  </si>
  <si>
    <t>Cái</t>
  </si>
  <si>
    <t>a1</t>
  </si>
  <si>
    <t>a2</t>
  </si>
  <si>
    <t>a3</t>
  </si>
  <si>
    <t>a4</t>
  </si>
  <si>
    <t>G</t>
  </si>
  <si>
    <t>Gqđ=G*a</t>
  </si>
  <si>
    <t xml:space="preserve">Trọng số cấp 2 </t>
  </si>
  <si>
    <t xml:space="preserve">Trọng số cấp 3 </t>
  </si>
  <si>
    <t>a5</t>
  </si>
  <si>
    <t>Sản lượng điện thương phẩm</t>
  </si>
  <si>
    <t>Tr.kWh</t>
  </si>
  <si>
    <t xml:space="preserve">Tham gia  lập kế hoạch tổn thất điện năng của Điện lực theo quý, năm </t>
  </si>
  <si>
    <t>CN3.1.2</t>
  </si>
  <si>
    <t>CN3.1.1</t>
  </si>
  <si>
    <t>QT1.1.2</t>
  </si>
  <si>
    <t xml:space="preserve">Thực hiện kế hoạch CCHC của Công ty </t>
  </si>
  <si>
    <t>Thực hiện duy trì áp dụng và cải tiến hệ thống quản lý chất lượng ISO 9001:2015 trong toàn Điện lực</t>
  </si>
  <si>
    <t>Thực hiện duy trì áp dụng và cải tiến công cụ 5S trong toàn Điện lực.</t>
  </si>
  <si>
    <t>Mã KPI 2</t>
  </si>
  <si>
    <t>Mã KPI 3</t>
  </si>
  <si>
    <t>F2.1</t>
  </si>
  <si>
    <t>F2.1.1</t>
  </si>
  <si>
    <t>F2.2</t>
  </si>
  <si>
    <t>F2.2.1</t>
  </si>
  <si>
    <t>F4.1</t>
  </si>
  <si>
    <t>F4.1.1</t>
  </si>
  <si>
    <t>C1.1</t>
  </si>
  <si>
    <t>C1.1.1</t>
  </si>
  <si>
    <t>I2.1</t>
  </si>
  <si>
    <t>I2.1.1</t>
  </si>
  <si>
    <t>I2.2</t>
  </si>
  <si>
    <t>I2.2.1</t>
  </si>
  <si>
    <t>I3.1</t>
  </si>
  <si>
    <t>I3.1.1</t>
  </si>
  <si>
    <t>I3.2</t>
  </si>
  <si>
    <t>I3.2.1</t>
  </si>
  <si>
    <t>I4.1</t>
  </si>
  <si>
    <t>I4.1.1</t>
  </si>
  <si>
    <t>KH1.1</t>
  </si>
  <si>
    <t>KH1.1.1</t>
  </si>
  <si>
    <t>KH1.2</t>
  </si>
  <si>
    <t>KH1.2.1</t>
  </si>
  <si>
    <t>KH1.3</t>
  </si>
  <si>
    <t>KH1.3.1</t>
  </si>
  <si>
    <t>KH1.4</t>
  </si>
  <si>
    <t>KH1.4.1</t>
  </si>
  <si>
    <t>KH1.5</t>
  </si>
  <si>
    <t>KH5.1</t>
  </si>
  <si>
    <t>KH5.1.1</t>
  </si>
  <si>
    <t>KH6.1</t>
  </si>
  <si>
    <t>KH6.1.1</t>
  </si>
  <si>
    <t>KD1.1</t>
  </si>
  <si>
    <t>KD1.1.1</t>
  </si>
  <si>
    <t>KD1.2</t>
  </si>
  <si>
    <t>KD1.2.1</t>
  </si>
  <si>
    <t>KD2.1</t>
  </si>
  <si>
    <t>KD2.1.1</t>
  </si>
  <si>
    <t>KD2.2</t>
  </si>
  <si>
    <t>KD2.2.1</t>
  </si>
  <si>
    <t>KD3.1</t>
  </si>
  <si>
    <t>KD3.1.1</t>
  </si>
  <si>
    <t>KD4.1</t>
  </si>
  <si>
    <t>KD4.1.1</t>
  </si>
  <si>
    <t>KD5.1</t>
  </si>
  <si>
    <t>KD5.1.1</t>
  </si>
  <si>
    <t>TC1.1</t>
  </si>
  <si>
    <t>TC1.1.1</t>
  </si>
  <si>
    <t>KT2.1</t>
  </si>
  <si>
    <t>KT2.1.1</t>
  </si>
  <si>
    <t>KT4.1.1</t>
  </si>
  <si>
    <t>LD2.1</t>
  </si>
  <si>
    <t>LD2.1.1</t>
  </si>
  <si>
    <t>HC1.1</t>
  </si>
  <si>
    <t>HC1.1.1</t>
  </si>
  <si>
    <t>HC1.2.1</t>
  </si>
  <si>
    <t>CN2.1</t>
  </si>
  <si>
    <t>CN2.1.1</t>
  </si>
  <si>
    <t>CN3.1</t>
  </si>
  <si>
    <t>KS1.1</t>
  </si>
  <si>
    <t>KS1.1.1</t>
  </si>
  <si>
    <t>KS6.1</t>
  </si>
  <si>
    <t>KS6.1.1</t>
  </si>
  <si>
    <t>QT1.1</t>
  </si>
  <si>
    <t>QT1.1.1</t>
  </si>
  <si>
    <t>QT2.1</t>
  </si>
  <si>
    <t>QT2.1.1</t>
  </si>
  <si>
    <t>QT2.1.2</t>
  </si>
  <si>
    <t>VH1.1</t>
  </si>
  <si>
    <t>VH1.1.1</t>
  </si>
  <si>
    <t>TS</t>
  </si>
  <si>
    <t>a=a1*a2*a3*a4*a5</t>
  </si>
  <si>
    <t>KQ</t>
  </si>
  <si>
    <t>TL=TH/KH; TH-KH; Hệ số</t>
  </si>
  <si>
    <t xml:space="preserve">Trọng số cấp 1 </t>
  </si>
  <si>
    <t xml:space="preserve">Trọng số cấp 4 </t>
  </si>
  <si>
    <t xml:space="preserve">Giá bán điện bình quân </t>
  </si>
  <si>
    <t>KH1.5.1</t>
  </si>
  <si>
    <t>KT4.1</t>
  </si>
  <si>
    <t xml:space="preserve">Trọng số chỉ tiêu  </t>
  </si>
  <si>
    <t>B1</t>
  </si>
  <si>
    <t>B2</t>
  </si>
  <si>
    <t>C2</t>
  </si>
  <si>
    <t>B1.1</t>
  </si>
  <si>
    <t>C2.1</t>
  </si>
  <si>
    <t>B1.1.1</t>
  </si>
  <si>
    <t>B2.1.1</t>
  </si>
  <si>
    <t>C2.1.1</t>
  </si>
  <si>
    <t>C3</t>
  </si>
  <si>
    <t>C3.1</t>
  </si>
  <si>
    <t>B2.1</t>
  </si>
  <si>
    <t>C3.1.1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</si>
  <si>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</si>
  <si>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</si>
  <si>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</si>
  <si>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</si>
  <si>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</si>
  <si>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Triển khai Kiểm tra, giám sát MBĐ</t>
  </si>
  <si>
    <t>NHÓM CÁC CHỈ TIÊU CHUNG (KPI CHUNG)</t>
  </si>
  <si>
    <t>A.3</t>
  </si>
  <si>
    <t>Số lượng</t>
  </si>
  <si>
    <t>Số lượt kiểm tra</t>
  </si>
  <si>
    <t>Số lần kiểm tra nội bộ</t>
  </si>
  <si>
    <t>Điểm</t>
  </si>
  <si>
    <t xml:space="preserve">Triển khai tiếp nhận và sử lý các thông tin trên phần mềm CRM </t>
  </si>
  <si>
    <t>Nguyễn Đình Sơn</t>
  </si>
  <si>
    <t>PGĐ: 02</t>
  </si>
  <si>
    <t>ĐIỆN LỰC LỤC YÊN</t>
  </si>
  <si>
    <t>Ngày 9 tháng 10 năm 2018</t>
  </si>
  <si>
    <t>CN KỲ</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</si>
</sst>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0_);_(* \(#,##0.0\);_(* &quot;-&quot;??_);_(@_)"/>
    <numFmt numFmtId="174" formatCode="_(* #,##0.0_);_(* \(#,##0.0\);_(* &quot;-&quot;?_);_(@_)"/>
    <numFmt numFmtId="175" formatCode="0.0"/>
  </numFmts>
  <fonts count="53">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i/>
      <sz val="12"/>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sz val="9"/>
      <color indexed="81"/>
      <name val="Tahoma"/>
      <family val="2"/>
    </font>
    <font>
      <sz val="9"/>
      <color indexed="81"/>
      <name val="Tahoma"/>
      <family val="2"/>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rgb="FFFF0000"/>
      <name val="Times New Roman"/>
      <family val="1"/>
    </font>
    <font>
      <b/>
      <sz val="12"/>
      <color rgb="FFFF0000"/>
      <name val="Times New Roman"/>
      <family val="1"/>
    </font>
    <font>
      <sz val="11"/>
      <color rgb="FFFF0000"/>
      <name val="Times New Roman"/>
      <family val="1"/>
    </font>
    <font>
      <b/>
      <i/>
      <sz val="12"/>
      <color rgb="FFFF0000"/>
      <name val="Times New Roman"/>
      <family val="1"/>
    </font>
    <font>
      <sz val="11"/>
      <color rgb="FFFF0000"/>
      <name val="Times New Roman"/>
      <family val="1"/>
      <charset val="163"/>
    </font>
    <font>
      <sz val="12"/>
      <name val="Times New Roman"/>
      <family val="1"/>
      <charset val="163"/>
    </font>
    <font>
      <i/>
      <sz val="12"/>
      <color rgb="FFFF0000"/>
      <name val="Times New Roman"/>
      <family val="1"/>
    </font>
  </fonts>
  <fills count="15">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51"/>
        <bgColor indexed="64"/>
      </patternFill>
    </fill>
    <fill>
      <patternFill patternType="solid">
        <fgColor indexed="21"/>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63">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6" fillId="0" borderId="0" applyBorder="0" applyProtection="0"/>
    <xf numFmtId="171" fontId="32"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6" fillId="0" borderId="0" applyBorder="0" applyProtection="0"/>
    <xf numFmtId="172" fontId="32"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5" fillId="0" borderId="0"/>
    <xf numFmtId="0" fontId="12" fillId="0" borderId="0"/>
    <xf numFmtId="0" fontId="31" fillId="0" borderId="0"/>
    <xf numFmtId="0" fontId="13" fillId="0" borderId="0">
      <alignment vertical="center"/>
    </xf>
    <xf numFmtId="9" fontId="8" fillId="0" borderId="0" applyBorder="0" applyProtection="0"/>
    <xf numFmtId="9" fontId="16" fillId="0" borderId="0" applyBorder="0" applyProtection="0"/>
    <xf numFmtId="9" fontId="8" fillId="0" borderId="0" applyBorder="0" applyProtection="0"/>
    <xf numFmtId="9" fontId="1" fillId="0" borderId="0" applyBorder="0" applyProtection="0"/>
    <xf numFmtId="9" fontId="32"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6" fillId="0" borderId="0" applyBorder="0" applyProtection="0"/>
    <xf numFmtId="9" fontId="32"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0"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2" fillId="0" borderId="0" applyNumberFormat="0" applyFill="0" applyBorder="0" applyAlignment="0" applyProtection="0"/>
    <xf numFmtId="0" fontId="4" fillId="0" borderId="0"/>
    <xf numFmtId="0" fontId="4" fillId="0" borderId="0"/>
    <xf numFmtId="0" fontId="4" fillId="0" borderId="0"/>
    <xf numFmtId="0" fontId="43" fillId="0" borderId="0"/>
    <xf numFmtId="0" fontId="44" fillId="0" borderId="0"/>
    <xf numFmtId="0" fontId="41" fillId="0" borderId="0"/>
    <xf numFmtId="0" fontId="41" fillId="0" borderId="0"/>
    <xf numFmtId="0" fontId="41" fillId="0" borderId="0"/>
    <xf numFmtId="0" fontId="7" fillId="0" borderId="0"/>
    <xf numFmtId="0" fontId="4" fillId="0" borderId="0"/>
    <xf numFmtId="0" fontId="45" fillId="0" borderId="0"/>
    <xf numFmtId="0" fontId="13" fillId="0" borderId="0">
      <alignment vertical="center"/>
    </xf>
    <xf numFmtId="0" fontId="4"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 fillId="0" borderId="0"/>
    <xf numFmtId="0" fontId="4" fillId="0" borderId="0"/>
    <xf numFmtId="0" fontId="4" fillId="0" borderId="0"/>
    <xf numFmtId="0" fontId="4" fillId="0" borderId="0"/>
    <xf numFmtId="0" fontId="7" fillId="0" borderId="0"/>
    <xf numFmtId="0" fontId="4" fillId="0" borderId="0"/>
    <xf numFmtId="0" fontId="45"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1" fontId="1" fillId="0" borderId="0" applyBorder="0" applyProtection="0"/>
    <xf numFmtId="171"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33">
    <xf numFmtId="0" fontId="0" fillId="0" borderId="0" xfId="0"/>
    <xf numFmtId="0" fontId="18" fillId="0" borderId="0" xfId="0" applyFont="1" applyAlignment="1">
      <alignment horizontal="justify" vertical="center"/>
    </xf>
    <xf numFmtId="0" fontId="18" fillId="0" borderId="3" xfId="0" applyFont="1" applyFill="1" applyBorder="1" applyAlignment="1">
      <alignment horizontal="center" vertical="center" wrapText="1"/>
    </xf>
    <xf numFmtId="0" fontId="18" fillId="0" borderId="3" xfId="0" applyFont="1" applyBorder="1" applyAlignment="1">
      <alignment horizontal="center" vertical="center"/>
    </xf>
    <xf numFmtId="0" fontId="18" fillId="0" borderId="3" xfId="0" applyNumberFormat="1" applyFont="1" applyFill="1" applyBorder="1" applyAlignment="1">
      <alignment horizontal="center" vertical="center" wrapText="1"/>
    </xf>
    <xf numFmtId="0" fontId="18" fillId="0" borderId="3" xfId="0" applyFont="1" applyBorder="1" applyAlignment="1">
      <alignment horizontal="justify" vertical="center"/>
    </xf>
    <xf numFmtId="0" fontId="23" fillId="0" borderId="0" xfId="0" applyFont="1"/>
    <xf numFmtId="0" fontId="23" fillId="2" borderId="3" xfId="128" applyFont="1" applyFill="1" applyBorder="1" applyAlignment="1">
      <alignment horizontal="center" vertical="center" wrapText="1"/>
    </xf>
    <xf numFmtId="0" fontId="23" fillId="2" borderId="0" xfId="128" applyFont="1" applyFill="1" applyBorder="1" applyAlignment="1">
      <alignment horizontal="center" vertical="center" wrapText="1"/>
    </xf>
    <xf numFmtId="0" fontId="17" fillId="0" borderId="5"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3" xfId="0" applyFont="1" applyFill="1" applyBorder="1" applyAlignment="1">
      <alignment horizontal="left" vertical="center" wrapText="1"/>
    </xf>
    <xf numFmtId="9" fontId="17" fillId="7" borderId="6" xfId="129" applyFont="1" applyFill="1" applyBorder="1" applyAlignment="1">
      <alignment horizontal="center" vertical="center" wrapText="1"/>
    </xf>
    <xf numFmtId="0" fontId="18" fillId="0" borderId="0" xfId="0" applyFont="1" applyFill="1"/>
    <xf numFmtId="0" fontId="18" fillId="2" borderId="3" xfId="89" applyFont="1" applyFill="1" applyBorder="1" applyAlignment="1">
      <alignment vertical="center" wrapText="1"/>
    </xf>
    <xf numFmtId="173" fontId="20" fillId="0" borderId="3" xfId="10" applyNumberFormat="1" applyFont="1" applyFill="1" applyBorder="1" applyAlignment="1" applyProtection="1">
      <alignment horizontal="center" vertical="center" wrapText="1"/>
    </xf>
    <xf numFmtId="9" fontId="20" fillId="0" borderId="3" xfId="140" applyFont="1" applyFill="1" applyBorder="1" applyAlignment="1" applyProtection="1">
      <alignment horizontal="center" vertical="center" wrapText="1"/>
    </xf>
    <xf numFmtId="0" fontId="18" fillId="2" borderId="3" xfId="128" applyFont="1" applyFill="1" applyBorder="1" applyAlignment="1">
      <alignment horizontal="center" vertical="center" wrapText="1"/>
    </xf>
    <xf numFmtId="0" fontId="18" fillId="0" borderId="3" xfId="128" applyFont="1" applyFill="1" applyBorder="1" applyAlignment="1">
      <alignment horizontal="center" vertical="center" wrapText="1"/>
    </xf>
    <xf numFmtId="9" fontId="25" fillId="0" borderId="3" xfId="140" applyFont="1" applyFill="1" applyBorder="1" applyAlignment="1" applyProtection="1">
      <alignment horizontal="center" vertical="center" wrapText="1"/>
    </xf>
    <xf numFmtId="173" fontId="17" fillId="0" borderId="3" xfId="0" applyNumberFormat="1" applyFont="1" applyFill="1" applyBorder="1"/>
    <xf numFmtId="173" fontId="25" fillId="0" borderId="3" xfId="10" applyNumberFormat="1" applyFont="1" applyFill="1" applyBorder="1" applyAlignment="1" applyProtection="1">
      <alignment horizontal="center" vertical="center" wrapText="1"/>
    </xf>
    <xf numFmtId="0" fontId="21" fillId="0"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26" fillId="0" borderId="2" xfId="0" applyFont="1" applyFill="1" applyBorder="1" applyAlignment="1">
      <alignment vertical="center" wrapText="1"/>
    </xf>
    <xf numFmtId="0" fontId="17" fillId="8" borderId="3" xfId="0" applyFont="1" applyFill="1" applyBorder="1" applyAlignment="1">
      <alignment horizontal="center" vertical="center" wrapText="1"/>
    </xf>
    <xf numFmtId="173" fontId="27" fillId="0" borderId="3" xfId="10" applyNumberFormat="1" applyFont="1" applyFill="1" applyBorder="1" applyAlignment="1" applyProtection="1">
      <alignment horizontal="center" vertical="center" wrapText="1"/>
    </xf>
    <xf numFmtId="0" fontId="17" fillId="0" borderId="0" xfId="0" applyNumberFormat="1" applyFont="1" applyAlignment="1">
      <alignment horizontal="center"/>
    </xf>
    <xf numFmtId="0" fontId="22" fillId="0" borderId="3" xfId="0" applyFont="1" applyFill="1" applyBorder="1" applyAlignment="1">
      <alignment horizontal="center" vertical="center" wrapText="1"/>
    </xf>
    <xf numFmtId="9" fontId="17" fillId="8" borderId="7" xfId="0" applyNumberFormat="1" applyFont="1" applyFill="1" applyBorder="1" applyAlignment="1">
      <alignment horizontal="center" vertical="center" wrapText="1"/>
    </xf>
    <xf numFmtId="0" fontId="22" fillId="0" borderId="3" xfId="0" applyFont="1" applyFill="1" applyBorder="1" applyAlignment="1">
      <alignment vertical="center"/>
    </xf>
    <xf numFmtId="9" fontId="28" fillId="0" borderId="3" xfId="133" applyFont="1" applyFill="1" applyBorder="1" applyAlignment="1">
      <alignment horizontal="center" vertical="center" wrapText="1"/>
    </xf>
    <xf numFmtId="9" fontId="17" fillId="7" borderId="3" xfId="0" applyNumberFormat="1" applyFont="1" applyFill="1" applyBorder="1" applyAlignment="1">
      <alignment horizontal="center" vertical="center"/>
    </xf>
    <xf numFmtId="0" fontId="22" fillId="2" borderId="3" xfId="0" applyNumberFormat="1" applyFont="1" applyFill="1" applyBorder="1" applyAlignment="1">
      <alignment vertical="center" wrapText="1"/>
    </xf>
    <xf numFmtId="9" fontId="29" fillId="0" borderId="3" xfId="140" applyFont="1" applyFill="1" applyBorder="1" applyAlignment="1" applyProtection="1">
      <alignment horizontal="center" vertical="center" wrapText="1"/>
    </xf>
    <xf numFmtId="173" fontId="29" fillId="0" borderId="3" xfId="10" applyNumberFormat="1" applyFont="1" applyFill="1" applyBorder="1" applyAlignment="1" applyProtection="1">
      <alignment horizontal="center" vertical="center" wrapText="1"/>
    </xf>
    <xf numFmtId="0" fontId="17" fillId="0" borderId="0" xfId="0" applyFont="1" applyFill="1"/>
    <xf numFmtId="0" fontId="24" fillId="0" borderId="3" xfId="0" applyFont="1" applyFill="1" applyBorder="1" applyAlignment="1">
      <alignment horizontal="center" vertical="center" wrapText="1"/>
    </xf>
    <xf numFmtId="0" fontId="24" fillId="0" borderId="8" xfId="0" applyFont="1" applyFill="1" applyBorder="1" applyAlignment="1">
      <alignment horizontal="center" vertical="center" wrapText="1"/>
    </xf>
    <xf numFmtId="0" fontId="22" fillId="0" borderId="0" xfId="0" applyFont="1" applyFill="1" applyBorder="1" applyAlignment="1">
      <alignment vertical="center"/>
    </xf>
    <xf numFmtId="0" fontId="24" fillId="2" borderId="0" xfId="0" applyFont="1" applyFill="1" applyBorder="1" applyAlignment="1">
      <alignment horizontal="center" vertical="center" wrapText="1"/>
    </xf>
    <xf numFmtId="0" fontId="22" fillId="0" borderId="0" xfId="0" applyNumberFormat="1" applyFont="1" applyAlignment="1"/>
    <xf numFmtId="0" fontId="17" fillId="0" borderId="0" xfId="0" applyFont="1" applyAlignment="1">
      <alignment horizontal="left"/>
    </xf>
    <xf numFmtId="0" fontId="17" fillId="0" borderId="0" xfId="0" applyFont="1"/>
    <xf numFmtId="9" fontId="18" fillId="0" borderId="3" xfId="112" applyNumberFormat="1" applyFont="1" applyFill="1" applyBorder="1" applyAlignment="1">
      <alignment horizontal="center" vertical="center" wrapText="1"/>
    </xf>
    <xf numFmtId="2" fontId="18" fillId="0" borderId="3" xfId="133" applyNumberFormat="1" applyFont="1" applyFill="1" applyBorder="1" applyAlignment="1">
      <alignment horizontal="center" vertical="center" wrapText="1"/>
    </xf>
    <xf numFmtId="0" fontId="18" fillId="0" borderId="9" xfId="0" applyFont="1" applyFill="1" applyBorder="1" applyAlignment="1">
      <alignment horizontal="center" vertical="center" wrapText="1"/>
    </xf>
    <xf numFmtId="0" fontId="17" fillId="0" borderId="0" xfId="0" applyFont="1" applyFill="1" applyAlignment="1">
      <alignment horizontal="center"/>
    </xf>
    <xf numFmtId="0" fontId="17" fillId="0" borderId="0" xfId="0" applyFont="1" applyAlignment="1">
      <alignment horizontal="center"/>
    </xf>
    <xf numFmtId="0" fontId="23" fillId="0" borderId="3" xfId="0" applyFont="1" applyFill="1" applyBorder="1" applyAlignment="1">
      <alignment vertical="center"/>
    </xf>
    <xf numFmtId="0" fontId="23" fillId="0" borderId="3" xfId="0" applyFont="1" applyFill="1" applyBorder="1" applyAlignment="1">
      <alignment vertical="center" wrapText="1"/>
    </xf>
    <xf numFmtId="0" fontId="22" fillId="0" borderId="10" xfId="0" applyNumberFormat="1" applyFont="1" applyFill="1" applyBorder="1" applyAlignment="1">
      <alignment vertical="center" wrapText="1"/>
    </xf>
    <xf numFmtId="0" fontId="22" fillId="0" borderId="2" xfId="0" applyFont="1" applyFill="1" applyBorder="1" applyAlignment="1">
      <alignment vertical="center"/>
    </xf>
    <xf numFmtId="9" fontId="17" fillId="7" borderId="3" xfId="0" applyNumberFormat="1" applyFont="1" applyFill="1" applyBorder="1" applyAlignment="1">
      <alignment horizontal="center" vertical="center" textRotation="90"/>
    </xf>
    <xf numFmtId="0" fontId="23" fillId="0" borderId="3" xfId="0" applyFont="1" applyFill="1" applyBorder="1" applyAlignment="1">
      <alignment horizontal="center" vertical="center"/>
    </xf>
    <xf numFmtId="0" fontId="18" fillId="10" borderId="3" xfId="0" applyNumberFormat="1" applyFont="1" applyFill="1" applyBorder="1" applyAlignment="1">
      <alignment vertical="center" wrapText="1"/>
    </xf>
    <xf numFmtId="9" fontId="17" fillId="11" borderId="3" xfId="0" applyNumberFormat="1" applyFont="1" applyFill="1" applyBorder="1" applyAlignment="1">
      <alignment horizontal="center" vertical="center" textRotation="90"/>
    </xf>
    <xf numFmtId="0" fontId="22" fillId="7" borderId="3" xfId="0" applyFont="1" applyFill="1" applyBorder="1" applyAlignment="1">
      <alignment vertical="center" wrapText="1"/>
    </xf>
    <xf numFmtId="0" fontId="18" fillId="0" borderId="4" xfId="0" applyFont="1" applyFill="1" applyBorder="1" applyAlignment="1">
      <alignment horizontal="center" vertical="center" wrapText="1"/>
    </xf>
    <xf numFmtId="0" fontId="18" fillId="0" borderId="3" xfId="0" applyFont="1" applyFill="1" applyBorder="1"/>
    <xf numFmtId="0" fontId="21" fillId="0" borderId="3" xfId="0" applyFont="1" applyFill="1" applyBorder="1" applyAlignment="1">
      <alignment horizontal="left" vertical="center" wrapText="1"/>
    </xf>
    <xf numFmtId="0" fontId="18" fillId="0" borderId="0" xfId="0" applyFont="1"/>
    <xf numFmtId="0" fontId="21" fillId="0" borderId="0" xfId="0" applyFont="1" applyFill="1" applyBorder="1" applyAlignment="1">
      <alignment horizontal="center" vertical="center"/>
    </xf>
    <xf numFmtId="0" fontId="21" fillId="0" borderId="0" xfId="0" applyFont="1" applyFill="1" applyBorder="1" applyAlignment="1">
      <alignment horizontal="left" vertical="center"/>
    </xf>
    <xf numFmtId="0" fontId="18" fillId="0" borderId="0" xfId="0" applyFont="1" applyFill="1" applyAlignment="1">
      <alignment horizontal="center"/>
    </xf>
    <xf numFmtId="0" fontId="18" fillId="0" borderId="0" xfId="0" applyFont="1" applyFill="1" applyAlignment="1">
      <alignment horizontal="left"/>
    </xf>
    <xf numFmtId="0" fontId="21" fillId="2" borderId="0" xfId="0" applyFont="1" applyFill="1" applyBorder="1" applyAlignment="1">
      <alignment horizontal="left" vertical="center" wrapText="1"/>
    </xf>
    <xf numFmtId="0" fontId="23" fillId="0" borderId="4" xfId="0" applyFont="1" applyFill="1" applyBorder="1" applyAlignment="1">
      <alignment horizontal="center" vertical="center" wrapText="1"/>
    </xf>
    <xf numFmtId="0" fontId="23" fillId="0" borderId="9" xfId="0" applyFont="1" applyFill="1" applyBorder="1" applyAlignment="1">
      <alignment horizontal="center" vertical="center"/>
    </xf>
    <xf numFmtId="0" fontId="23" fillId="0" borderId="11" xfId="0" applyFont="1" applyFill="1" applyBorder="1" applyAlignment="1">
      <alignment horizontal="center" vertical="center"/>
    </xf>
    <xf numFmtId="0" fontId="22" fillId="0" borderId="4" xfId="0" applyFont="1" applyFill="1" applyBorder="1" applyAlignment="1">
      <alignment horizontal="center" vertical="center"/>
    </xf>
    <xf numFmtId="0" fontId="22" fillId="0" borderId="11" xfId="0" applyFont="1" applyFill="1" applyBorder="1" applyAlignment="1">
      <alignment horizontal="center" vertical="center"/>
    </xf>
    <xf numFmtId="0" fontId="23" fillId="0" borderId="4" xfId="0" applyFont="1" applyFill="1" applyBorder="1" applyAlignment="1">
      <alignment horizontal="center" vertical="center"/>
    </xf>
    <xf numFmtId="0" fontId="17" fillId="0" borderId="0" xfId="0" applyFont="1" applyFill="1" applyAlignment="1">
      <alignment horizontal="center" vertical="center"/>
    </xf>
    <xf numFmtId="0" fontId="18" fillId="0" borderId="3" xfId="0" quotePrefix="1" applyNumberFormat="1" applyFont="1" applyFill="1" applyBorder="1" applyAlignment="1">
      <alignment horizontal="justify" vertical="center" wrapText="1"/>
    </xf>
    <xf numFmtId="0" fontId="18" fillId="0" borderId="3" xfId="0" quotePrefix="1" applyFont="1" applyBorder="1" applyAlignment="1">
      <alignment horizontal="left" vertical="center" wrapText="1"/>
    </xf>
    <xf numFmtId="0" fontId="18" fillId="0" borderId="5" xfId="0" applyFont="1" applyBorder="1" applyAlignment="1">
      <alignment horizontal="left" vertical="center" wrapText="1"/>
    </xf>
    <xf numFmtId="0" fontId="18" fillId="0" borderId="8" xfId="0" applyFont="1" applyBorder="1" applyAlignment="1">
      <alignment horizontal="center" vertical="center"/>
    </xf>
    <xf numFmtId="0" fontId="22" fillId="0" borderId="11" xfId="0" applyNumberFormat="1" applyFont="1" applyFill="1" applyBorder="1" applyAlignment="1">
      <alignment horizontal="center" vertical="center" wrapText="1"/>
    </xf>
    <xf numFmtId="0" fontId="18" fillId="0" borderId="0" xfId="0" applyFont="1" applyAlignment="1">
      <alignment horizontal="center"/>
    </xf>
    <xf numFmtId="0" fontId="22" fillId="0" borderId="10" xfId="0" applyNumberFormat="1" applyFont="1" applyFill="1" applyBorder="1" applyAlignment="1">
      <alignment horizontal="center" vertical="center" wrapText="1"/>
    </xf>
    <xf numFmtId="0" fontId="22" fillId="4" borderId="3" xfId="0" applyNumberFormat="1" applyFont="1" applyFill="1" applyBorder="1" applyAlignment="1">
      <alignment horizontal="center" vertical="center" wrapText="1"/>
    </xf>
    <xf numFmtId="0" fontId="17" fillId="8" borderId="3" xfId="0" applyFont="1" applyFill="1" applyBorder="1" applyAlignment="1">
      <alignment horizontal="left" vertical="center" wrapText="1"/>
    </xf>
    <xf numFmtId="0" fontId="18" fillId="5" borderId="0" xfId="0" applyFont="1" applyFill="1"/>
    <xf numFmtId="0" fontId="22" fillId="5" borderId="10" xfId="0" applyNumberFormat="1" applyFont="1" applyFill="1" applyBorder="1" applyAlignment="1">
      <alignment horizontal="center" vertical="center"/>
    </xf>
    <xf numFmtId="0" fontId="17" fillId="7" borderId="3" xfId="0" applyFont="1" applyFill="1" applyBorder="1" applyAlignment="1">
      <alignment horizontal="center" vertical="center" wrapText="1"/>
    </xf>
    <xf numFmtId="0" fontId="17" fillId="7" borderId="3" xfId="0" applyFont="1" applyFill="1" applyBorder="1" applyAlignment="1">
      <alignment horizontal="left" vertical="center" wrapText="1"/>
    </xf>
    <xf numFmtId="0" fontId="18" fillId="3" borderId="3" xfId="0" applyFont="1" applyFill="1" applyBorder="1"/>
    <xf numFmtId="0" fontId="22" fillId="3" borderId="5" xfId="0" applyFont="1" applyFill="1" applyBorder="1" applyAlignment="1">
      <alignment horizontal="center" vertical="center"/>
    </xf>
    <xf numFmtId="49" fontId="18" fillId="0" borderId="0" xfId="0" applyNumberFormat="1" applyFont="1" applyFill="1"/>
    <xf numFmtId="0" fontId="18" fillId="3" borderId="0" xfId="0" applyFont="1" applyFill="1"/>
    <xf numFmtId="0" fontId="23" fillId="0" borderId="4" xfId="0" applyFont="1" applyFill="1" applyBorder="1" applyAlignment="1">
      <alignment vertical="center" wrapText="1"/>
    </xf>
    <xf numFmtId="9" fontId="33" fillId="0" borderId="3" xfId="129" applyFont="1" applyFill="1" applyBorder="1" applyAlignment="1">
      <alignment horizontal="center" vertical="center" wrapText="1"/>
    </xf>
    <xf numFmtId="9" fontId="33" fillId="0" borderId="3" xfId="0" applyNumberFormat="1" applyFont="1" applyFill="1" applyBorder="1" applyAlignment="1">
      <alignment horizontal="center" vertical="center" wrapText="1"/>
    </xf>
    <xf numFmtId="0" fontId="33" fillId="0" borderId="3" xfId="0" applyNumberFormat="1" applyFont="1" applyFill="1" applyBorder="1" applyAlignment="1">
      <alignment horizontal="center" vertical="center" wrapText="1"/>
    </xf>
    <xf numFmtId="2" fontId="18" fillId="0" borderId="3" xfId="0" applyNumberFormat="1" applyFont="1" applyFill="1" applyBorder="1" applyAlignment="1">
      <alignment horizontal="center" vertical="center" wrapText="1"/>
    </xf>
    <xf numFmtId="9" fontId="33" fillId="0" borderId="4" xfId="129" applyFont="1" applyFill="1" applyBorder="1" applyAlignment="1">
      <alignment horizontal="center" vertical="center" wrapText="1"/>
    </xf>
    <xf numFmtId="0" fontId="22" fillId="0" borderId="3" xfId="0" applyFont="1" applyFill="1" applyBorder="1" applyAlignment="1">
      <alignment horizontal="center" vertical="center"/>
    </xf>
    <xf numFmtId="0" fontId="18" fillId="3" borderId="4" xfId="0" applyFont="1" applyFill="1" applyBorder="1"/>
    <xf numFmtId="10" fontId="18" fillId="7" borderId="3" xfId="0" applyNumberFormat="1" applyFont="1" applyFill="1" applyBorder="1"/>
    <xf numFmtId="9" fontId="17" fillId="3" borderId="11" xfId="0" applyNumberFormat="1" applyFont="1" applyFill="1" applyBorder="1" applyAlignment="1">
      <alignment horizontal="center" vertical="center" textRotation="90"/>
    </xf>
    <xf numFmtId="0" fontId="22" fillId="2" borderId="3" xfId="0" applyNumberFormat="1" applyFont="1" applyFill="1" applyBorder="1" applyAlignment="1">
      <alignment horizontal="center" vertical="center" wrapText="1"/>
    </xf>
    <xf numFmtId="0" fontId="23" fillId="2" borderId="3" xfId="0" applyNumberFormat="1" applyFont="1" applyFill="1" applyBorder="1" applyAlignment="1">
      <alignment horizontal="center" vertical="center" wrapText="1"/>
    </xf>
    <xf numFmtId="0" fontId="23" fillId="2" borderId="3" xfId="0" applyFont="1" applyFill="1" applyBorder="1" applyAlignment="1">
      <alignment horizontal="center" vertical="center" wrapText="1"/>
    </xf>
    <xf numFmtId="9" fontId="33" fillId="0" borderId="3" xfId="133" applyFont="1" applyFill="1" applyBorder="1" applyAlignment="1">
      <alignment horizontal="center" vertical="center" wrapText="1"/>
    </xf>
    <xf numFmtId="0" fontId="34" fillId="2" borderId="0" xfId="0" applyFont="1" applyFill="1"/>
    <xf numFmtId="0" fontId="18" fillId="3" borderId="5" xfId="0" applyFont="1" applyFill="1" applyBorder="1"/>
    <xf numFmtId="0" fontId="22" fillId="3" borderId="3" xfId="0" applyFont="1" applyFill="1" applyBorder="1" applyAlignment="1">
      <alignment horizontal="center" vertical="center"/>
    </xf>
    <xf numFmtId="0" fontId="22" fillId="3" borderId="13" xfId="0" applyFont="1" applyFill="1" applyBorder="1" applyAlignment="1">
      <alignment vertical="center"/>
    </xf>
    <xf numFmtId="0" fontId="17" fillId="7" borderId="4" xfId="0" applyFont="1" applyFill="1" applyBorder="1" applyAlignment="1">
      <alignment horizontal="center" vertical="center" wrapText="1"/>
    </xf>
    <xf numFmtId="9" fontId="20" fillId="7" borderId="4" xfId="140" applyFont="1" applyFill="1" applyBorder="1" applyAlignment="1" applyProtection="1">
      <alignment horizontal="center" vertical="center" wrapText="1"/>
    </xf>
    <xf numFmtId="173" fontId="20" fillId="7" borderId="4" xfId="10" applyNumberFormat="1" applyFont="1" applyFill="1" applyBorder="1" applyAlignment="1" applyProtection="1">
      <alignment horizontal="center" vertical="center" wrapText="1"/>
    </xf>
    <xf numFmtId="0" fontId="22" fillId="3" borderId="5" xfId="0" applyFont="1" applyFill="1" applyBorder="1" applyAlignment="1">
      <alignment vertical="center"/>
    </xf>
    <xf numFmtId="9" fontId="22" fillId="7" borderId="6" xfId="129" applyFont="1" applyFill="1" applyBorder="1" applyAlignment="1">
      <alignment horizontal="center" vertical="center" wrapText="1"/>
    </xf>
    <xf numFmtId="9" fontId="20" fillId="7" borderId="3" xfId="140" applyFont="1" applyFill="1" applyBorder="1" applyAlignment="1" applyProtection="1">
      <alignment horizontal="center" vertical="center" wrapText="1"/>
    </xf>
    <xf numFmtId="173" fontId="20" fillId="7" borderId="3" xfId="10" applyNumberFormat="1" applyFont="1" applyFill="1" applyBorder="1" applyAlignment="1" applyProtection="1">
      <alignment horizontal="center" vertical="center" wrapText="1"/>
    </xf>
    <xf numFmtId="9" fontId="33" fillId="0" borderId="6" xfId="129" applyFont="1" applyFill="1" applyBorder="1" applyAlignment="1">
      <alignment horizontal="center" vertical="center" wrapText="1"/>
    </xf>
    <xf numFmtId="0" fontId="35" fillId="0" borderId="0" xfId="0" applyFont="1"/>
    <xf numFmtId="0" fontId="34" fillId="2" borderId="3" xfId="0" applyNumberFormat="1" applyFont="1" applyFill="1" applyBorder="1" applyAlignment="1">
      <alignment vertical="center" wrapText="1"/>
    </xf>
    <xf numFmtId="0" fontId="36" fillId="2" borderId="3" xfId="0" applyNumberFormat="1" applyFont="1" applyFill="1" applyBorder="1" applyAlignment="1">
      <alignment vertical="center" wrapText="1"/>
    </xf>
    <xf numFmtId="0" fontId="36" fillId="2" borderId="8" xfId="0" applyNumberFormat="1" applyFont="1" applyFill="1" applyBorder="1" applyAlignment="1">
      <alignment vertical="center" wrapText="1"/>
    </xf>
    <xf numFmtId="9" fontId="37" fillId="0" borderId="6" xfId="129" applyFont="1" applyFill="1" applyBorder="1" applyAlignment="1">
      <alignment horizontal="center" vertical="center" wrapText="1"/>
    </xf>
    <xf numFmtId="0" fontId="34" fillId="0" borderId="3" xfId="128" applyFont="1" applyFill="1" applyBorder="1" applyAlignment="1">
      <alignment horizontal="center" vertical="center" wrapText="1"/>
    </xf>
    <xf numFmtId="0" fontId="22" fillId="5" borderId="5" xfId="0" applyFont="1" applyFill="1" applyBorder="1" applyAlignment="1">
      <alignment horizontal="center" vertical="center" wrapText="1"/>
    </xf>
    <xf numFmtId="9" fontId="22" fillId="7" borderId="3" xfId="0" applyNumberFormat="1" applyFont="1" applyFill="1" applyBorder="1" applyAlignment="1">
      <alignment horizontal="center" vertical="center" wrapText="1"/>
    </xf>
    <xf numFmtId="0" fontId="18" fillId="7" borderId="3" xfId="0" applyFont="1" applyFill="1" applyBorder="1" applyAlignment="1">
      <alignment horizontal="center" vertical="center" wrapText="1"/>
    </xf>
    <xf numFmtId="9" fontId="25" fillId="7" borderId="3" xfId="140" applyFont="1" applyFill="1" applyBorder="1" applyAlignment="1" applyProtection="1">
      <alignment horizontal="center" vertical="center" wrapText="1"/>
    </xf>
    <xf numFmtId="173" fontId="25" fillId="7" borderId="3" xfId="10" applyNumberFormat="1" applyFont="1" applyFill="1" applyBorder="1" applyAlignment="1" applyProtection="1">
      <alignment horizontal="center" vertical="center" wrapText="1"/>
    </xf>
    <xf numFmtId="9" fontId="22" fillId="7" borderId="6" xfId="0" applyNumberFormat="1" applyFont="1" applyFill="1" applyBorder="1" applyAlignment="1">
      <alignment horizontal="center" vertical="center" wrapText="1"/>
    </xf>
    <xf numFmtId="0" fontId="22" fillId="3" borderId="4" xfId="0" applyFont="1" applyFill="1" applyBorder="1" applyAlignment="1">
      <alignment horizontal="center" vertical="center"/>
    </xf>
    <xf numFmtId="9" fontId="33" fillId="7" borderId="3" xfId="0" applyNumberFormat="1" applyFont="1" applyFill="1" applyBorder="1" applyAlignment="1">
      <alignment horizontal="center" vertical="center" wrapText="1"/>
    </xf>
    <xf numFmtId="0" fontId="23" fillId="7" borderId="3" xfId="0" applyFont="1" applyFill="1" applyBorder="1" applyAlignment="1">
      <alignment vertical="center" wrapText="1"/>
    </xf>
    <xf numFmtId="0" fontId="33" fillId="7" borderId="3" xfId="0" applyNumberFormat="1" applyFont="1" applyFill="1" applyBorder="1" applyAlignment="1">
      <alignment horizontal="center" vertical="center" wrapText="1"/>
    </xf>
    <xf numFmtId="2" fontId="18" fillId="7" borderId="3" xfId="0" applyNumberFormat="1" applyFont="1" applyFill="1" applyBorder="1" applyAlignment="1">
      <alignment horizontal="center" vertical="center" wrapText="1"/>
    </xf>
    <xf numFmtId="0" fontId="21" fillId="7" borderId="3"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17" fillId="3" borderId="0" xfId="0" applyFont="1" applyFill="1"/>
    <xf numFmtId="0" fontId="26" fillId="7" borderId="3" xfId="0" applyFont="1" applyFill="1" applyBorder="1" applyAlignment="1">
      <alignment horizontal="center" vertical="center" wrapText="1"/>
    </xf>
    <xf numFmtId="9" fontId="29" fillId="7" borderId="3" xfId="140" applyFont="1" applyFill="1" applyBorder="1" applyAlignment="1" applyProtection="1">
      <alignment horizontal="center" vertical="center" wrapText="1"/>
    </xf>
    <xf numFmtId="173" fontId="29" fillId="7" borderId="3" xfId="10" applyNumberFormat="1" applyFont="1" applyFill="1" applyBorder="1" applyAlignment="1" applyProtection="1">
      <alignment horizontal="center" vertical="center" wrapText="1"/>
    </xf>
    <xf numFmtId="0" fontId="33" fillId="0" borderId="3" xfId="0" applyFont="1" applyFill="1" applyBorder="1" applyAlignment="1">
      <alignment horizontal="center" vertical="center"/>
    </xf>
    <xf numFmtId="9" fontId="37" fillId="7" borderId="6" xfId="129" applyNumberFormat="1" applyFont="1" applyFill="1" applyBorder="1" applyAlignment="1">
      <alignment horizontal="center" vertical="center" wrapText="1"/>
    </xf>
    <xf numFmtId="0" fontId="23" fillId="0" borderId="3" xfId="128" applyFont="1" applyFill="1" applyBorder="1" applyAlignment="1">
      <alignment horizontal="center" vertical="center" wrapText="1"/>
    </xf>
    <xf numFmtId="0" fontId="22" fillId="0" borderId="2" xfId="0" applyFont="1" applyFill="1" applyBorder="1" applyAlignment="1">
      <alignment horizontal="center" vertical="center"/>
    </xf>
    <xf numFmtId="0" fontId="23" fillId="0" borderId="2" xfId="128" applyFont="1" applyFill="1" applyBorder="1" applyAlignment="1">
      <alignment horizontal="center" vertical="center" wrapText="1"/>
    </xf>
    <xf numFmtId="10" fontId="37" fillId="0" borderId="6" xfId="129" applyNumberFormat="1" applyFont="1" applyFill="1" applyBorder="1" applyAlignment="1">
      <alignment horizontal="center" vertical="center" wrapText="1"/>
    </xf>
    <xf numFmtId="0" fontId="22" fillId="4" borderId="3" xfId="0" applyFont="1" applyFill="1" applyBorder="1" applyAlignment="1">
      <alignment horizontal="center" vertical="center" wrapText="1"/>
    </xf>
    <xf numFmtId="9" fontId="22" fillId="8" borderId="3" xfId="0" applyNumberFormat="1" applyFont="1" applyFill="1" applyBorder="1" applyAlignment="1">
      <alignment horizontal="center" vertical="center" wrapText="1"/>
    </xf>
    <xf numFmtId="0" fontId="21" fillId="8" borderId="3" xfId="0" applyFont="1" applyFill="1" applyBorder="1" applyAlignment="1">
      <alignment horizontal="center" vertical="center" wrapText="1"/>
    </xf>
    <xf numFmtId="173" fontId="17" fillId="8" borderId="3" xfId="0" applyNumberFormat="1" applyFont="1" applyFill="1" applyBorder="1"/>
    <xf numFmtId="9" fontId="25" fillId="8" borderId="3" xfId="140" applyFont="1" applyFill="1" applyBorder="1" applyAlignment="1" applyProtection="1">
      <alignment horizontal="center" vertical="center" wrapText="1"/>
    </xf>
    <xf numFmtId="0" fontId="22" fillId="4" borderId="9" xfId="0" applyFont="1" applyFill="1" applyBorder="1" applyAlignment="1">
      <alignment horizontal="center" vertical="center"/>
    </xf>
    <xf numFmtId="173" fontId="25" fillId="8" borderId="3" xfId="10" applyNumberFormat="1" applyFont="1" applyFill="1" applyBorder="1" applyAlignment="1" applyProtection="1">
      <alignment horizontal="center" vertical="center" wrapText="1"/>
    </xf>
    <xf numFmtId="0" fontId="21" fillId="2" borderId="5" xfId="0" applyFont="1" applyFill="1" applyBorder="1" applyAlignment="1">
      <alignment horizontal="left" vertical="center" wrapText="1"/>
    </xf>
    <xf numFmtId="0" fontId="26" fillId="0" borderId="0" xfId="0" applyFont="1" applyFill="1"/>
    <xf numFmtId="0" fontId="26" fillId="0" borderId="3" xfId="0" applyFont="1" applyFill="1" applyBorder="1" applyAlignment="1">
      <alignment horizontal="center" vertical="center"/>
    </xf>
    <xf numFmtId="0" fontId="26" fillId="0" borderId="3" xfId="0" applyFont="1" applyFill="1" applyBorder="1" applyAlignment="1">
      <alignment horizontal="left" vertical="center"/>
    </xf>
    <xf numFmtId="43" fontId="26" fillId="0" borderId="3" xfId="0" applyNumberFormat="1" applyFont="1" applyFill="1" applyBorder="1"/>
    <xf numFmtId="0" fontId="22" fillId="0" borderId="0" xfId="0" applyFont="1" applyFill="1" applyBorder="1" applyAlignment="1">
      <alignment horizontal="center" vertical="center"/>
    </xf>
    <xf numFmtId="9" fontId="17" fillId="0" borderId="0" xfId="0" applyNumberFormat="1" applyFont="1" applyFill="1" applyBorder="1" applyAlignment="1">
      <alignment horizontal="center" vertical="center" wrapText="1"/>
    </xf>
    <xf numFmtId="0" fontId="22" fillId="0" borderId="0" xfId="0" applyNumberFormat="1" applyFont="1" applyAlignment="1">
      <alignment horizontal="center"/>
    </xf>
    <xf numFmtId="0" fontId="18" fillId="0" borderId="0" xfId="0" applyFont="1" applyAlignment="1">
      <alignment horizontal="left"/>
    </xf>
    <xf numFmtId="1" fontId="33" fillId="0" borderId="3" xfId="129" applyNumberFormat="1" applyFont="1" applyFill="1" applyBorder="1" applyAlignment="1">
      <alignment horizontal="center" vertical="center" wrapText="1"/>
    </xf>
    <xf numFmtId="175" fontId="33" fillId="0" borderId="3" xfId="0" applyNumberFormat="1" applyFont="1" applyFill="1" applyBorder="1" applyAlignment="1">
      <alignment horizontal="center" vertical="center" wrapText="1"/>
    </xf>
    <xf numFmtId="1" fontId="33" fillId="0" borderId="3" xfId="0" applyNumberFormat="1" applyFont="1" applyFill="1" applyBorder="1" applyAlignment="1">
      <alignment horizontal="center" vertical="center" wrapText="1"/>
    </xf>
    <xf numFmtId="10" fontId="20" fillId="0" borderId="15" xfId="140" applyNumberFormat="1" applyFont="1" applyFill="1" applyBorder="1" applyAlignment="1" applyProtection="1">
      <alignment horizontal="center" vertical="center" wrapText="1"/>
    </xf>
    <xf numFmtId="1" fontId="18" fillId="0" borderId="3" xfId="0" applyNumberFormat="1" applyFont="1" applyFill="1" applyBorder="1" applyAlignment="1">
      <alignment horizontal="center" vertical="center" wrapText="1"/>
    </xf>
    <xf numFmtId="0" fontId="33" fillId="0" borderId="3" xfId="0" applyFont="1" applyFill="1" applyBorder="1" applyAlignment="1">
      <alignment horizontal="center" vertical="center" wrapText="1"/>
    </xf>
    <xf numFmtId="0" fontId="23" fillId="0" borderId="2" xfId="0" applyFont="1" applyFill="1" applyBorder="1" applyAlignment="1">
      <alignment vertical="center" wrapText="1"/>
    </xf>
    <xf numFmtId="173" fontId="26" fillId="0" borderId="3" xfId="8" applyNumberFormat="1" applyFont="1" applyFill="1" applyBorder="1" applyAlignment="1">
      <alignment horizontal="center" vertical="center"/>
    </xf>
    <xf numFmtId="0" fontId="18" fillId="0" borderId="8" xfId="0" applyFont="1" applyFill="1" applyBorder="1"/>
    <xf numFmtId="0" fontId="18" fillId="0" borderId="0" xfId="0" applyFont="1" applyFill="1" applyBorder="1"/>
    <xf numFmtId="9" fontId="22" fillId="11" borderId="3" xfId="0" applyNumberFormat="1" applyFont="1" applyFill="1" applyBorder="1" applyAlignment="1">
      <alignment horizontal="center" vertical="center" wrapText="1"/>
    </xf>
    <xf numFmtId="0" fontId="18" fillId="11" borderId="3" xfId="0" applyFont="1" applyFill="1" applyBorder="1" applyAlignment="1">
      <alignment horizontal="center" vertical="center" wrapText="1"/>
    </xf>
    <xf numFmtId="0" fontId="18" fillId="11" borderId="3" xfId="0" applyFont="1" applyFill="1" applyBorder="1" applyAlignment="1">
      <alignment horizontal="left" vertical="center" wrapText="1"/>
    </xf>
    <xf numFmtId="2" fontId="19" fillId="11" borderId="3" xfId="0" applyNumberFormat="1" applyFont="1" applyFill="1" applyBorder="1" applyAlignment="1">
      <alignment horizontal="center" vertical="center" wrapText="1"/>
    </xf>
    <xf numFmtId="9" fontId="25" fillId="11" borderId="3" xfId="140" applyFont="1" applyFill="1" applyBorder="1" applyAlignment="1" applyProtection="1">
      <alignment horizontal="center" vertical="center" wrapText="1"/>
    </xf>
    <xf numFmtId="173" fontId="25" fillId="11" borderId="3" xfId="10" applyNumberFormat="1" applyFont="1" applyFill="1" applyBorder="1" applyAlignment="1" applyProtection="1">
      <alignment horizontal="center" vertical="center" wrapText="1"/>
    </xf>
    <xf numFmtId="9" fontId="17" fillId="11" borderId="6" xfId="129" applyFont="1" applyFill="1" applyBorder="1" applyAlignment="1">
      <alignment horizontal="center" vertical="center" wrapText="1"/>
    </xf>
    <xf numFmtId="0" fontId="17" fillId="11" borderId="3" xfId="0" applyFont="1" applyFill="1" applyBorder="1" applyAlignment="1">
      <alignment horizontal="center" vertical="center" wrapText="1"/>
    </xf>
    <xf numFmtId="0" fontId="17" fillId="11" borderId="3" xfId="0" applyFont="1" applyFill="1" applyBorder="1" applyAlignment="1">
      <alignment horizontal="left" vertical="center" wrapText="1"/>
    </xf>
    <xf numFmtId="174" fontId="26" fillId="13" borderId="3" xfId="0" applyNumberFormat="1" applyFont="1" applyFill="1" applyBorder="1" applyAlignment="1">
      <alignment horizontal="center" vertical="center"/>
    </xf>
    <xf numFmtId="0" fontId="18" fillId="13" borderId="3" xfId="0" applyFont="1" applyFill="1" applyBorder="1"/>
    <xf numFmtId="0" fontId="21" fillId="8" borderId="3" xfId="0" applyFont="1" applyFill="1" applyBorder="1" applyAlignment="1">
      <alignment horizontal="left" vertical="center" wrapText="1"/>
    </xf>
    <xf numFmtId="2" fontId="19" fillId="8" borderId="3" xfId="0" applyNumberFormat="1" applyFont="1" applyFill="1" applyBorder="1" applyAlignment="1">
      <alignment horizontal="center" vertical="center" wrapText="1"/>
    </xf>
    <xf numFmtId="9" fontId="17" fillId="9" borderId="3" xfId="0" applyNumberFormat="1" applyFont="1" applyFill="1" applyBorder="1" applyAlignment="1">
      <alignment horizontal="center" vertical="center" textRotation="90"/>
    </xf>
    <xf numFmtId="0" fontId="23" fillId="0" borderId="9" xfId="0" applyFont="1" applyFill="1" applyBorder="1" applyAlignment="1">
      <alignment vertical="center"/>
    </xf>
    <xf numFmtId="0" fontId="23" fillId="0" borderId="9" xfId="0" applyFont="1" applyFill="1" applyBorder="1" applyAlignment="1">
      <alignment vertical="center" wrapText="1"/>
    </xf>
    <xf numFmtId="0" fontId="23" fillId="0" borderId="11" xfId="0" applyFont="1" applyFill="1" applyBorder="1" applyAlignment="1">
      <alignment vertical="center"/>
    </xf>
    <xf numFmtId="0" fontId="23" fillId="0" borderId="11" xfId="0" applyFont="1" applyFill="1" applyBorder="1" applyAlignment="1">
      <alignment vertical="center" wrapText="1"/>
    </xf>
    <xf numFmtId="0" fontId="17" fillId="0" borderId="2" xfId="0" applyFont="1" applyFill="1" applyBorder="1" applyAlignment="1">
      <alignment horizontal="center" vertical="center" wrapText="1"/>
    </xf>
    <xf numFmtId="0" fontId="23" fillId="0" borderId="4" xfId="0" applyFont="1" applyFill="1" applyBorder="1" applyAlignment="1">
      <alignment horizontal="left" vertical="center" wrapText="1"/>
    </xf>
    <xf numFmtId="9" fontId="33" fillId="0" borderId="6" xfId="0" applyNumberFormat="1" applyFont="1" applyFill="1" applyBorder="1" applyAlignment="1">
      <alignment horizontal="center" vertical="center" wrapText="1"/>
    </xf>
    <xf numFmtId="0" fontId="22" fillId="0" borderId="12" xfId="0" applyNumberFormat="1" applyFont="1" applyFill="1" applyBorder="1" applyAlignment="1">
      <alignment horizontal="center" vertical="center" wrapText="1"/>
    </xf>
    <xf numFmtId="0" fontId="33" fillId="0" borderId="2" xfId="0" applyFont="1" applyFill="1" applyBorder="1" applyAlignment="1">
      <alignment horizontal="center" vertical="center"/>
    </xf>
    <xf numFmtId="0" fontId="33" fillId="10" borderId="3" xfId="0" applyNumberFormat="1" applyFont="1" applyFill="1" applyBorder="1" applyAlignment="1">
      <alignment horizontal="center" vertical="center" wrapText="1"/>
    </xf>
    <xf numFmtId="168" fontId="33" fillId="0" borderId="3" xfId="129" applyNumberFormat="1" applyFont="1" applyFill="1" applyBorder="1" applyAlignment="1">
      <alignment horizontal="center" vertical="center" wrapText="1"/>
    </xf>
    <xf numFmtId="168" fontId="18" fillId="0" borderId="3" xfId="0" applyNumberFormat="1" applyFont="1" applyFill="1" applyBorder="1" applyAlignment="1">
      <alignment horizontal="center" vertical="center" wrapText="1"/>
    </xf>
    <xf numFmtId="168" fontId="18" fillId="7" borderId="3" xfId="0" applyNumberFormat="1" applyFont="1" applyFill="1" applyBorder="1" applyAlignment="1">
      <alignment horizontal="center" vertical="center" wrapText="1"/>
    </xf>
    <xf numFmtId="168" fontId="18" fillId="8" borderId="3" xfId="0" applyNumberFormat="1" applyFont="1" applyFill="1" applyBorder="1" applyAlignment="1">
      <alignment horizontal="center" vertical="center" wrapText="1"/>
    </xf>
    <xf numFmtId="0" fontId="33" fillId="0" borderId="8" xfId="0" applyFont="1" applyFill="1" applyBorder="1" applyAlignment="1">
      <alignment horizontal="center" vertical="center"/>
    </xf>
    <xf numFmtId="9" fontId="17" fillId="9" borderId="4" xfId="0" applyNumberFormat="1" applyFont="1" applyFill="1" applyBorder="1" applyAlignment="1">
      <alignment horizontal="center" vertical="center" textRotation="90"/>
    </xf>
    <xf numFmtId="0" fontId="23" fillId="0" borderId="6" xfId="0" applyFont="1" applyFill="1" applyBorder="1" applyAlignment="1">
      <alignment horizontal="center" vertical="center" wrapText="1"/>
    </xf>
    <xf numFmtId="9" fontId="17" fillId="9" borderId="4" xfId="0" applyNumberFormat="1" applyFont="1" applyFill="1" applyBorder="1" applyAlignment="1">
      <alignment horizontal="center" vertical="center" textRotation="90"/>
    </xf>
    <xf numFmtId="9" fontId="17" fillId="9" borderId="9" xfId="0" applyNumberFormat="1" applyFont="1" applyFill="1" applyBorder="1" applyAlignment="1">
      <alignment horizontal="center" vertical="center" textRotation="90"/>
    </xf>
    <xf numFmtId="9" fontId="17" fillId="9" borderId="3" xfId="0" applyNumberFormat="1" applyFont="1" applyFill="1" applyBorder="1" applyAlignment="1">
      <alignment horizontal="center" vertical="center" textRotation="90"/>
    </xf>
    <xf numFmtId="0" fontId="23" fillId="0" borderId="2" xfId="0" applyFont="1" applyFill="1" applyBorder="1" applyAlignment="1">
      <alignment horizontal="center" vertical="center" wrapText="1"/>
    </xf>
    <xf numFmtId="168" fontId="18" fillId="0" borderId="6" xfId="0" applyNumberFormat="1" applyFont="1" applyFill="1" applyBorder="1" applyAlignment="1">
      <alignment horizontal="center" vertical="center" wrapText="1"/>
    </xf>
    <xf numFmtId="9" fontId="33" fillId="11" borderId="6" xfId="0" applyNumberFormat="1" applyFont="1" applyFill="1" applyBorder="1" applyAlignment="1">
      <alignment horizontal="center" vertical="center" wrapText="1"/>
    </xf>
    <xf numFmtId="168" fontId="18" fillId="11" borderId="6" xfId="0" applyNumberFormat="1" applyFont="1" applyFill="1" applyBorder="1" applyAlignment="1">
      <alignment horizontal="center" vertical="center" wrapText="1"/>
    </xf>
    <xf numFmtId="0" fontId="23" fillId="11" borderId="3" xfId="0" applyFont="1" applyFill="1" applyBorder="1" applyAlignment="1">
      <alignment horizontal="center" vertical="center" wrapText="1"/>
    </xf>
    <xf numFmtId="0" fontId="33" fillId="11" borderId="3" xfId="0" applyNumberFormat="1" applyFont="1" applyFill="1" applyBorder="1" applyAlignment="1">
      <alignment horizontal="center" vertical="center" wrapText="1"/>
    </xf>
    <xf numFmtId="0" fontId="21" fillId="11" borderId="3" xfId="0" applyFont="1" applyFill="1" applyBorder="1" applyAlignment="1">
      <alignment horizontal="center" vertical="center" wrapText="1"/>
    </xf>
    <xf numFmtId="0" fontId="17" fillId="11" borderId="3" xfId="0" applyFont="1" applyFill="1" applyBorder="1" applyAlignment="1">
      <alignment horizontal="center" vertical="center" textRotation="90"/>
    </xf>
    <xf numFmtId="2" fontId="17" fillId="11" borderId="3" xfId="0" applyNumberFormat="1" applyFont="1" applyFill="1" applyBorder="1" applyAlignment="1">
      <alignment horizontal="center" vertical="center" wrapText="1"/>
    </xf>
    <xf numFmtId="9" fontId="17" fillId="0" borderId="0" xfId="0" applyNumberFormat="1" applyFont="1" applyFill="1" applyBorder="1" applyAlignment="1">
      <alignment horizontal="center" vertical="center" textRotation="90"/>
    </xf>
    <xf numFmtId="0" fontId="17" fillId="3" borderId="11" xfId="0" applyFont="1" applyFill="1" applyBorder="1" applyAlignment="1">
      <alignment vertical="center" textRotation="90"/>
    </xf>
    <xf numFmtId="9" fontId="17" fillId="5" borderId="3" xfId="0" applyNumberFormat="1" applyFont="1" applyFill="1" applyBorder="1" applyAlignment="1">
      <alignment vertical="center" textRotation="90"/>
    </xf>
    <xf numFmtId="9" fontId="17" fillId="3" borderId="3" xfId="0" applyNumberFormat="1" applyFont="1" applyFill="1" applyBorder="1" applyAlignment="1">
      <alignment vertical="center" textRotation="90"/>
    </xf>
    <xf numFmtId="0" fontId="33" fillId="10" borderId="3" xfId="0" applyNumberFormat="1" applyFont="1" applyFill="1" applyBorder="1" applyAlignment="1">
      <alignment vertical="center" wrapText="1"/>
    </xf>
    <xf numFmtId="0" fontId="23" fillId="0" borderId="3" xfId="128" applyFont="1" applyFill="1" applyBorder="1" applyAlignment="1">
      <alignment horizontal="center" vertical="center" wrapText="1"/>
    </xf>
    <xf numFmtId="9" fontId="47" fillId="9" borderId="3" xfId="0" applyNumberFormat="1" applyFont="1" applyFill="1" applyBorder="1" applyAlignment="1">
      <alignment horizontal="center" vertical="center" textRotation="90"/>
    </xf>
    <xf numFmtId="0" fontId="48" fillId="0" borderId="3" xfId="0" applyFont="1" applyFill="1" applyBorder="1" applyAlignment="1">
      <alignment horizontal="center" vertical="center"/>
    </xf>
    <xf numFmtId="0" fontId="48" fillId="0" borderId="3" xfId="0" applyFont="1" applyFill="1" applyBorder="1" applyAlignment="1">
      <alignment horizontal="center" vertical="center" wrapText="1"/>
    </xf>
    <xf numFmtId="9" fontId="48" fillId="0" borderId="3" xfId="0" applyNumberFormat="1" applyFont="1" applyFill="1" applyBorder="1" applyAlignment="1">
      <alignment horizontal="center" vertical="center" wrapText="1"/>
    </xf>
    <xf numFmtId="168" fontId="46" fillId="0" borderId="3" xfId="0" applyNumberFormat="1" applyFont="1" applyFill="1" applyBorder="1" applyAlignment="1">
      <alignment horizontal="center" vertical="center" wrapText="1"/>
    </xf>
    <xf numFmtId="0" fontId="48" fillId="0" borderId="3" xfId="0" applyNumberFormat="1" applyFont="1" applyFill="1" applyBorder="1" applyAlignment="1">
      <alignment horizontal="center" vertical="center" wrapText="1"/>
    </xf>
    <xf numFmtId="2" fontId="46" fillId="0" borderId="3" xfId="0" applyNumberFormat="1" applyFont="1" applyFill="1" applyBorder="1" applyAlignment="1">
      <alignment horizontal="center" vertical="center" wrapText="1"/>
    </xf>
    <xf numFmtId="0" fontId="47" fillId="0" borderId="3" xfId="0" applyFont="1" applyFill="1" applyBorder="1" applyAlignment="1">
      <alignment horizontal="center" vertical="center" wrapText="1"/>
    </xf>
    <xf numFmtId="9" fontId="49" fillId="0" borderId="3" xfId="140" applyFont="1" applyFill="1" applyBorder="1" applyAlignment="1" applyProtection="1">
      <alignment horizontal="center" vertical="center" wrapText="1"/>
    </xf>
    <xf numFmtId="173" fontId="49" fillId="0" borderId="3" xfId="10" applyNumberFormat="1" applyFont="1" applyFill="1" applyBorder="1" applyAlignment="1" applyProtection="1">
      <alignment horizontal="center" vertical="center" wrapText="1"/>
    </xf>
    <xf numFmtId="0" fontId="50" fillId="0" borderId="3" xfId="0" applyFont="1" applyFill="1" applyBorder="1" applyAlignment="1">
      <alignment horizontal="center" vertical="center" wrapText="1"/>
    </xf>
    <xf numFmtId="9" fontId="17" fillId="7" borderId="4" xfId="0" applyNumberFormat="1" applyFont="1" applyFill="1" applyBorder="1" applyAlignment="1">
      <alignment horizontal="center" vertical="center" textRotation="90"/>
    </xf>
    <xf numFmtId="9" fontId="17" fillId="9" borderId="4" xfId="0" applyNumberFormat="1" applyFont="1" applyFill="1" applyBorder="1" applyAlignment="1">
      <alignment horizontal="center" vertical="center" textRotation="90"/>
    </xf>
    <xf numFmtId="0" fontId="23" fillId="0" borderId="4"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46" fillId="2" borderId="3" xfId="0" applyFont="1" applyFill="1" applyBorder="1" applyAlignment="1">
      <alignment horizontal="center" vertical="center" wrapText="1"/>
    </xf>
    <xf numFmtId="0" fontId="23" fillId="0" borderId="4" xfId="0" applyFont="1" applyFill="1" applyBorder="1" applyAlignment="1">
      <alignment horizontal="left" vertical="center" wrapText="1"/>
    </xf>
    <xf numFmtId="0" fontId="18" fillId="7" borderId="3" xfId="89" applyFont="1" applyFill="1" applyBorder="1" applyAlignment="1">
      <alignment horizontal="center" vertical="center" wrapText="1"/>
    </xf>
    <xf numFmtId="0" fontId="18" fillId="7" borderId="3" xfId="94" applyFont="1" applyFill="1" applyBorder="1" applyAlignment="1">
      <alignment horizontal="center" vertical="center" wrapText="1"/>
    </xf>
    <xf numFmtId="0" fontId="18" fillId="7" borderId="3" xfId="128" applyFont="1" applyFill="1" applyBorder="1" applyAlignment="1">
      <alignment horizontal="center" vertical="center" wrapText="1"/>
    </xf>
    <xf numFmtId="0" fontId="34" fillId="7" borderId="3" xfId="128" applyFont="1" applyFill="1" applyBorder="1" applyAlignment="1">
      <alignment horizontal="center" vertical="center" wrapText="1"/>
    </xf>
    <xf numFmtId="0" fontId="46" fillId="7" borderId="3" xfId="128" applyFont="1" applyFill="1" applyBorder="1" applyAlignment="1">
      <alignment horizontal="center" vertical="center" wrapText="1"/>
    </xf>
    <xf numFmtId="0" fontId="18" fillId="0" borderId="0" xfId="128" applyFont="1" applyFill="1" applyBorder="1" applyAlignment="1">
      <alignment horizontal="center" vertical="center" wrapText="1"/>
    </xf>
    <xf numFmtId="0" fontId="17" fillId="14" borderId="3" xfId="0" applyFont="1" applyFill="1" applyBorder="1" applyAlignment="1">
      <alignment horizontal="center" vertical="center" wrapText="1"/>
    </xf>
    <xf numFmtId="0" fontId="23" fillId="14" borderId="4" xfId="0" applyFont="1" applyFill="1" applyBorder="1" applyAlignment="1">
      <alignment horizontal="center" vertical="center" wrapText="1"/>
    </xf>
    <xf numFmtId="0" fontId="18" fillId="14" borderId="3" xfId="0" applyFont="1" applyFill="1" applyBorder="1" applyAlignment="1">
      <alignment horizontal="center" vertical="center"/>
    </xf>
    <xf numFmtId="0" fontId="18" fillId="14" borderId="3" xfId="94" applyFont="1" applyFill="1" applyBorder="1" applyAlignment="1">
      <alignment horizontal="center" vertical="center" wrapText="1"/>
    </xf>
    <xf numFmtId="0" fontId="18" fillId="14" borderId="3" xfId="0" applyFont="1" applyFill="1" applyBorder="1" applyAlignment="1">
      <alignment horizontal="center" vertical="center" wrapText="1"/>
    </xf>
    <xf numFmtId="0" fontId="17" fillId="14" borderId="14" xfId="0" applyFont="1" applyFill="1" applyBorder="1" applyAlignment="1">
      <alignment vertical="center"/>
    </xf>
    <xf numFmtId="0" fontId="18" fillId="14" borderId="3" xfId="128" applyFont="1" applyFill="1" applyBorder="1" applyAlignment="1">
      <alignment horizontal="center" vertical="center" wrapText="1"/>
    </xf>
    <xf numFmtId="0" fontId="34" fillId="14" borderId="3" xfId="0" applyNumberFormat="1" applyFont="1" applyFill="1" applyBorder="1" applyAlignment="1">
      <alignment vertical="center" wrapText="1"/>
    </xf>
    <xf numFmtId="0" fontId="46" fillId="14" borderId="3" xfId="128" applyFont="1" applyFill="1" applyBorder="1" applyAlignment="1">
      <alignment horizontal="center" vertical="center" wrapText="1"/>
    </xf>
    <xf numFmtId="0" fontId="18" fillId="14" borderId="2" xfId="128" applyFont="1" applyFill="1" applyBorder="1" applyAlignment="1">
      <alignment horizontal="center" vertical="center" wrapText="1"/>
    </xf>
    <xf numFmtId="0" fontId="18" fillId="14" borderId="0" xfId="0" applyFont="1" applyFill="1"/>
    <xf numFmtId="0" fontId="51" fillId="0" borderId="3" xfId="0" applyFont="1" applyFill="1" applyBorder="1" applyAlignment="1">
      <alignment horizontal="left" vertical="center" wrapText="1"/>
    </xf>
    <xf numFmtId="0" fontId="23" fillId="0" borderId="3" xfId="0" applyFont="1" applyFill="1" applyBorder="1" applyAlignment="1">
      <alignment horizontal="left" vertical="center" wrapText="1"/>
    </xf>
    <xf numFmtId="0" fontId="23" fillId="0" borderId="4" xfId="0" quotePrefix="1" applyFont="1" applyFill="1" applyBorder="1" applyAlignment="1">
      <alignment horizontal="left" vertical="center" wrapText="1"/>
    </xf>
    <xf numFmtId="0" fontId="23" fillId="0" borderId="3" xfId="0" applyFont="1" applyFill="1" applyBorder="1" applyAlignment="1">
      <alignment horizontal="center" vertical="center" wrapText="1"/>
    </xf>
    <xf numFmtId="2" fontId="33" fillId="0" borderId="3" xfId="0" applyNumberFormat="1" applyFont="1" applyFill="1" applyBorder="1" applyAlignment="1">
      <alignment horizontal="center" vertical="center" wrapText="1"/>
    </xf>
    <xf numFmtId="0" fontId="50" fillId="0" borderId="3" xfId="0" applyNumberFormat="1" applyFont="1" applyFill="1" applyBorder="1" applyAlignment="1">
      <alignment horizontal="center" vertical="center" wrapText="1"/>
    </xf>
    <xf numFmtId="0" fontId="17" fillId="0" borderId="3" xfId="0" applyFont="1" applyFill="1" applyBorder="1" applyAlignment="1">
      <alignment horizontal="center" vertical="center" wrapText="1"/>
    </xf>
    <xf numFmtId="175" fontId="18" fillId="0" borderId="3" xfId="0" applyNumberFormat="1" applyFont="1" applyFill="1" applyBorder="1" applyAlignment="1">
      <alignment horizontal="center" vertical="center" wrapText="1"/>
    </xf>
    <xf numFmtId="0" fontId="46" fillId="0" borderId="3" xfId="0" applyFont="1" applyFill="1" applyBorder="1" applyAlignment="1">
      <alignment horizontal="center" vertical="center" wrapText="1"/>
    </xf>
    <xf numFmtId="1" fontId="46" fillId="0" borderId="3" xfId="0" applyNumberFormat="1" applyFont="1" applyFill="1" applyBorder="1" applyAlignment="1">
      <alignment horizontal="center" vertical="center" wrapText="1"/>
    </xf>
    <xf numFmtId="173" fontId="52" fillId="0" borderId="3" xfId="10" applyNumberFormat="1" applyFont="1" applyFill="1" applyBorder="1" applyAlignment="1" applyProtection="1">
      <alignment horizontal="center" vertical="center" wrapText="1"/>
    </xf>
    <xf numFmtId="0" fontId="20" fillId="0" borderId="3" xfId="140" applyNumberFormat="1" applyFont="1" applyFill="1" applyBorder="1" applyAlignment="1" applyProtection="1">
      <alignment horizontal="center" vertical="center" wrapText="1"/>
    </xf>
    <xf numFmtId="0" fontId="25" fillId="0" borderId="3" xfId="140" applyNumberFormat="1" applyFont="1" applyFill="1" applyBorder="1" applyAlignment="1" applyProtection="1">
      <alignment horizontal="center" vertical="center" wrapText="1"/>
    </xf>
    <xf numFmtId="0" fontId="23" fillId="0" borderId="4" xfId="0" applyFont="1" applyFill="1" applyBorder="1" applyAlignment="1">
      <alignment horizontal="center" vertical="center" wrapText="1"/>
    </xf>
    <xf numFmtId="175" fontId="23" fillId="14" borderId="4" xfId="0" applyNumberFormat="1" applyFont="1" applyFill="1" applyBorder="1" applyAlignment="1">
      <alignment horizontal="center" vertical="center" wrapText="1"/>
    </xf>
    <xf numFmtId="0" fontId="23" fillId="0" borderId="4" xfId="0" applyFont="1" applyFill="1" applyBorder="1" applyAlignment="1">
      <alignment horizontal="left" vertical="center" wrapText="1"/>
    </xf>
    <xf numFmtId="0" fontId="17" fillId="0" borderId="3" xfId="0" applyFont="1" applyFill="1" applyBorder="1" applyAlignment="1">
      <alignment horizontal="center" vertical="center" wrapText="1"/>
    </xf>
    <xf numFmtId="0" fontId="23" fillId="0" borderId="6" xfId="0" applyFont="1" applyFill="1" applyBorder="1" applyAlignment="1">
      <alignment horizontal="left" vertical="center" wrapText="1"/>
    </xf>
    <xf numFmtId="0" fontId="33" fillId="7" borderId="4" xfId="0" applyFont="1" applyFill="1" applyBorder="1" applyAlignment="1">
      <alignment horizontal="center" vertical="center" wrapText="1"/>
    </xf>
    <xf numFmtId="4" fontId="33" fillId="7" borderId="3" xfId="8" applyNumberFormat="1" applyFont="1" applyFill="1" applyBorder="1" applyAlignment="1">
      <alignment horizontal="center" vertical="center" wrapText="1"/>
    </xf>
    <xf numFmtId="0" fontId="33" fillId="7" borderId="3" xfId="0" applyFont="1" applyFill="1" applyBorder="1" applyAlignment="1">
      <alignment horizontal="center" vertical="center" wrapText="1"/>
    </xf>
    <xf numFmtId="0" fontId="33" fillId="7" borderId="3" xfId="94" applyFont="1" applyFill="1" applyBorder="1" applyAlignment="1">
      <alignment horizontal="center" vertical="center" wrapText="1"/>
    </xf>
    <xf numFmtId="0" fontId="23" fillId="7" borderId="3" xfId="94" applyFont="1" applyFill="1" applyBorder="1" applyAlignment="1">
      <alignment horizontal="center" vertical="center" wrapText="1"/>
    </xf>
    <xf numFmtId="2" fontId="23" fillId="7" borderId="3" xfId="94" applyNumberFormat="1" applyFont="1" applyFill="1" applyBorder="1" applyAlignment="1">
      <alignment horizontal="center" vertical="center" wrapText="1"/>
    </xf>
    <xf numFmtId="0" fontId="21" fillId="7" borderId="0" xfId="0" applyFont="1" applyFill="1" applyBorder="1" applyAlignment="1">
      <alignment horizontal="center" vertical="center"/>
    </xf>
    <xf numFmtId="0" fontId="18" fillId="7" borderId="0" xfId="0" applyFont="1" applyFill="1" applyAlignment="1">
      <alignment horizontal="center"/>
    </xf>
    <xf numFmtId="0" fontId="17" fillId="0" borderId="3" xfId="0" applyFont="1" applyFill="1" applyBorder="1" applyAlignment="1">
      <alignment horizontal="center" vertical="center" wrapText="1"/>
    </xf>
    <xf numFmtId="0" fontId="17" fillId="0" borderId="3" xfId="0" applyFont="1" applyFill="1" applyBorder="1" applyAlignment="1">
      <alignment horizontal="center" vertical="center" wrapText="1"/>
    </xf>
    <xf numFmtId="9" fontId="17" fillId="9" borderId="9" xfId="0" applyNumberFormat="1" applyFont="1" applyFill="1" applyBorder="1" applyAlignment="1">
      <alignment horizontal="center" vertical="center" textRotation="90"/>
    </xf>
    <xf numFmtId="0" fontId="17" fillId="0" borderId="3" xfId="0" applyFont="1" applyFill="1" applyBorder="1" applyAlignment="1">
      <alignment horizontal="center" vertical="center" wrapText="1"/>
    </xf>
    <xf numFmtId="0" fontId="23" fillId="0" borderId="9" xfId="0" applyFont="1" applyFill="1" applyBorder="1" applyAlignment="1">
      <alignment horizontal="center" vertical="center"/>
    </xf>
    <xf numFmtId="0" fontId="23" fillId="0" borderId="4" xfId="0" applyFont="1" applyFill="1" applyBorder="1" applyAlignment="1">
      <alignment horizontal="center" vertical="center" wrapText="1"/>
    </xf>
    <xf numFmtId="0" fontId="23" fillId="0" borderId="9" xfId="0" applyFont="1" applyFill="1" applyBorder="1" applyAlignment="1">
      <alignment horizontal="center" vertical="center" wrapText="1"/>
    </xf>
    <xf numFmtId="0" fontId="23" fillId="0" borderId="3" xfId="0" applyFont="1" applyFill="1" applyBorder="1" applyAlignment="1">
      <alignment horizontal="center" vertical="center" wrapText="1"/>
    </xf>
    <xf numFmtId="2" fontId="20" fillId="0" borderId="3" xfId="10" applyNumberFormat="1" applyFont="1" applyFill="1" applyBorder="1" applyAlignment="1" applyProtection="1">
      <alignment horizontal="center" vertical="center" wrapText="1"/>
    </xf>
    <xf numFmtId="2" fontId="18" fillId="0" borderId="0" xfId="0" applyNumberFormat="1" applyFont="1" applyFill="1"/>
    <xf numFmtId="9" fontId="17" fillId="8" borderId="0" xfId="0" applyNumberFormat="1" applyFont="1" applyFill="1" applyAlignment="1">
      <alignment horizontal="center" vertical="center" textRotation="90"/>
    </xf>
    <xf numFmtId="0" fontId="17" fillId="4" borderId="0" xfId="0" applyFont="1" applyFill="1" applyAlignment="1">
      <alignment horizontal="center" vertical="center" textRotation="90"/>
    </xf>
    <xf numFmtId="0" fontId="26" fillId="8" borderId="5" xfId="0" applyFont="1" applyFill="1" applyBorder="1" applyAlignment="1">
      <alignment horizontal="left" vertical="center" wrapText="1"/>
    </xf>
    <xf numFmtId="0" fontId="26" fillId="8" borderId="2" xfId="0" applyFont="1" applyFill="1" applyBorder="1" applyAlignment="1">
      <alignment horizontal="left" vertical="center" wrapText="1"/>
    </xf>
    <xf numFmtId="0" fontId="26" fillId="8" borderId="8" xfId="0" applyFont="1" applyFill="1" applyBorder="1" applyAlignment="1">
      <alignment horizontal="left" vertical="center" wrapText="1"/>
    </xf>
    <xf numFmtId="0" fontId="23" fillId="0" borderId="6" xfId="0" applyFont="1" applyFill="1" applyBorder="1" applyAlignment="1">
      <alignment horizontal="center" vertical="center" wrapText="1"/>
    </xf>
    <xf numFmtId="0" fontId="23" fillId="0" borderId="10" xfId="0" applyFont="1" applyFill="1" applyBorder="1" applyAlignment="1">
      <alignment horizontal="center" vertical="center" wrapText="1"/>
    </xf>
    <xf numFmtId="0" fontId="23" fillId="0" borderId="4" xfId="0" applyFont="1" applyFill="1" applyBorder="1" applyAlignment="1">
      <alignment horizontal="center" vertical="center"/>
    </xf>
    <xf numFmtId="0" fontId="23" fillId="0" borderId="9" xfId="0" applyFont="1" applyFill="1" applyBorder="1" applyAlignment="1">
      <alignment horizontal="center" vertical="center"/>
    </xf>
    <xf numFmtId="0" fontId="23" fillId="0" borderId="11" xfId="0" applyFont="1" applyFill="1" applyBorder="1" applyAlignment="1">
      <alignment horizontal="center" vertical="center"/>
    </xf>
    <xf numFmtId="9" fontId="17" fillId="9" borderId="4" xfId="0" applyNumberFormat="1" applyFont="1" applyFill="1" applyBorder="1" applyAlignment="1">
      <alignment horizontal="center" vertical="center" textRotation="90"/>
    </xf>
    <xf numFmtId="9" fontId="17" fillId="9" borderId="11" xfId="0" applyNumberFormat="1" applyFont="1" applyFill="1" applyBorder="1" applyAlignment="1">
      <alignment horizontal="center" vertical="center" textRotation="90"/>
    </xf>
    <xf numFmtId="0" fontId="33" fillId="0" borderId="4" xfId="0" applyFont="1" applyFill="1" applyBorder="1" applyAlignment="1">
      <alignment horizontal="center" vertical="center"/>
    </xf>
    <xf numFmtId="0" fontId="33" fillId="0" borderId="11" xfId="0" applyFont="1" applyFill="1" applyBorder="1" applyAlignment="1">
      <alignment horizontal="center" vertical="center"/>
    </xf>
    <xf numFmtId="0" fontId="18" fillId="4" borderId="0" xfId="0" applyFont="1" applyFill="1" applyAlignment="1">
      <alignment horizontal="center"/>
    </xf>
    <xf numFmtId="0" fontId="18" fillId="4" borderId="16" xfId="0" applyFont="1" applyFill="1" applyBorder="1" applyAlignment="1">
      <alignment horizontal="center"/>
    </xf>
    <xf numFmtId="0" fontId="17" fillId="4" borderId="5" xfId="0" applyFont="1" applyFill="1" applyBorder="1" applyAlignment="1">
      <alignment horizontal="left" vertical="center" wrapText="1"/>
    </xf>
    <xf numFmtId="0" fontId="17" fillId="8" borderId="2" xfId="0" applyFont="1" applyFill="1" applyBorder="1" applyAlignment="1">
      <alignment horizontal="left" vertical="center" wrapText="1"/>
    </xf>
    <xf numFmtId="0" fontId="17" fillId="8" borderId="8" xfId="0" applyFont="1" applyFill="1" applyBorder="1" applyAlignment="1">
      <alignment horizontal="left" vertical="center" wrapText="1"/>
    </xf>
    <xf numFmtId="9" fontId="17" fillId="9" borderId="9" xfId="0" applyNumberFormat="1" applyFont="1" applyFill="1" applyBorder="1" applyAlignment="1">
      <alignment horizontal="center" vertical="center" textRotation="90"/>
    </xf>
    <xf numFmtId="9" fontId="17" fillId="7" borderId="4" xfId="0" applyNumberFormat="1" applyFont="1" applyFill="1" applyBorder="1" applyAlignment="1">
      <alignment horizontal="center" vertical="center" textRotation="90"/>
    </xf>
    <xf numFmtId="9" fontId="17" fillId="3" borderId="9" xfId="0" applyNumberFormat="1" applyFont="1" applyFill="1" applyBorder="1" applyAlignment="1">
      <alignment horizontal="center" vertical="center" textRotation="90"/>
    </xf>
    <xf numFmtId="9" fontId="17" fillId="7" borderId="11" xfId="0" applyNumberFormat="1" applyFont="1" applyFill="1" applyBorder="1" applyAlignment="1">
      <alignment horizontal="center" vertical="center" textRotation="90"/>
    </xf>
    <xf numFmtId="0" fontId="23" fillId="0" borderId="4" xfId="0" applyFont="1" applyFill="1" applyBorder="1" applyAlignment="1">
      <alignment horizontal="center" vertical="center" wrapText="1"/>
    </xf>
    <xf numFmtId="0" fontId="23" fillId="0" borderId="9" xfId="0" applyFont="1" applyFill="1" applyBorder="1" applyAlignment="1">
      <alignment horizontal="center" vertical="center" wrapText="1"/>
    </xf>
    <xf numFmtId="0" fontId="23" fillId="0" borderId="11" xfId="0" applyFont="1" applyFill="1" applyBorder="1" applyAlignment="1">
      <alignment horizontal="center" vertical="center" wrapText="1"/>
    </xf>
    <xf numFmtId="0" fontId="17" fillId="7" borderId="5" xfId="0" applyNumberFormat="1" applyFont="1" applyFill="1" applyBorder="1" applyAlignment="1">
      <alignment horizontal="left" vertical="center" wrapText="1"/>
    </xf>
    <xf numFmtId="0" fontId="17" fillId="7" borderId="2" xfId="0" applyNumberFormat="1" applyFont="1" applyFill="1" applyBorder="1" applyAlignment="1">
      <alignment horizontal="left" vertical="center" wrapText="1"/>
    </xf>
    <xf numFmtId="0" fontId="17" fillId="7" borderId="8" xfId="0" applyNumberFormat="1" applyFont="1" applyFill="1" applyBorder="1" applyAlignment="1">
      <alignment horizontal="left" vertical="center" wrapText="1"/>
    </xf>
    <xf numFmtId="0" fontId="17" fillId="3" borderId="9" xfId="0" applyFont="1" applyFill="1" applyBorder="1" applyAlignment="1">
      <alignment horizontal="center" vertical="center" textRotation="90"/>
    </xf>
    <xf numFmtId="0" fontId="17" fillId="3" borderId="11" xfId="0" applyFont="1" applyFill="1" applyBorder="1" applyAlignment="1">
      <alignment horizontal="center" vertical="center" textRotation="90"/>
    </xf>
    <xf numFmtId="0" fontId="17" fillId="3" borderId="5" xfId="0" applyFont="1" applyFill="1" applyBorder="1" applyAlignment="1">
      <alignment horizontal="left" vertical="center" wrapText="1"/>
    </xf>
    <xf numFmtId="0" fontId="17" fillId="3" borderId="2" xfId="0" applyFont="1" applyFill="1" applyBorder="1" applyAlignment="1">
      <alignment horizontal="left" vertical="center" wrapText="1"/>
    </xf>
    <xf numFmtId="0" fontId="17" fillId="3" borderId="8" xfId="0" applyFont="1" applyFill="1" applyBorder="1" applyAlignment="1">
      <alignment horizontal="left" vertical="center" wrapText="1"/>
    </xf>
    <xf numFmtId="0" fontId="17" fillId="0" borderId="0" xfId="0" applyFont="1" applyFill="1" applyAlignment="1">
      <alignment horizontal="center"/>
    </xf>
    <xf numFmtId="0" fontId="26" fillId="0" borderId="5"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6" fillId="0" borderId="8" xfId="0" applyFont="1" applyFill="1" applyBorder="1" applyAlignment="1">
      <alignment horizontal="center" vertical="center" wrapText="1"/>
    </xf>
    <xf numFmtId="0" fontId="22" fillId="13" borderId="5" xfId="0" applyFont="1" applyFill="1" applyBorder="1" applyAlignment="1">
      <alignment horizontal="center" vertical="center"/>
    </xf>
    <xf numFmtId="0" fontId="22" fillId="13" borderId="2" xfId="0" applyFont="1" applyFill="1" applyBorder="1" applyAlignment="1">
      <alignment horizontal="center" vertical="center"/>
    </xf>
    <xf numFmtId="0" fontId="22" fillId="13" borderId="8" xfId="0" applyFont="1" applyFill="1" applyBorder="1" applyAlignment="1">
      <alignment horizontal="center" vertical="center"/>
    </xf>
    <xf numFmtId="0" fontId="26" fillId="3" borderId="5" xfId="0" applyFont="1" applyFill="1" applyBorder="1" applyAlignment="1">
      <alignment horizontal="left" vertical="center" wrapText="1"/>
    </xf>
    <xf numFmtId="0" fontId="26" fillId="3" borderId="2" xfId="0" applyFont="1" applyFill="1" applyBorder="1" applyAlignment="1">
      <alignment horizontal="left" vertical="center" wrapText="1"/>
    </xf>
    <xf numFmtId="0" fontId="26" fillId="3" borderId="8" xfId="0" applyFont="1" applyFill="1" applyBorder="1" applyAlignment="1">
      <alignment horizontal="left" vertical="center" wrapText="1"/>
    </xf>
    <xf numFmtId="0" fontId="23" fillId="0" borderId="3" xfId="0" applyFont="1" applyFill="1" applyBorder="1" applyAlignment="1">
      <alignment horizontal="center" vertical="center" wrapText="1"/>
    </xf>
    <xf numFmtId="0" fontId="33" fillId="0" borderId="3" xfId="0" applyFont="1" applyFill="1" applyBorder="1" applyAlignment="1">
      <alignment horizontal="center" vertical="center"/>
    </xf>
    <xf numFmtId="0" fontId="23" fillId="0" borderId="4" xfId="0" applyFont="1" applyFill="1" applyBorder="1" applyAlignment="1">
      <alignment horizontal="left" vertical="center" wrapText="1"/>
    </xf>
    <xf numFmtId="0" fontId="23" fillId="0" borderId="11" xfId="0" applyFont="1" applyFill="1" applyBorder="1" applyAlignment="1">
      <alignment horizontal="left" vertical="center" wrapText="1"/>
    </xf>
    <xf numFmtId="0" fontId="23" fillId="0" borderId="14" xfId="0" applyFont="1" applyFill="1" applyBorder="1" applyAlignment="1">
      <alignment horizontal="center" vertical="center" wrapText="1"/>
    </xf>
    <xf numFmtId="0" fontId="23" fillId="0" borderId="12" xfId="0" applyFont="1" applyFill="1" applyBorder="1" applyAlignment="1">
      <alignment horizontal="center" vertical="center" wrapText="1"/>
    </xf>
    <xf numFmtId="0" fontId="22" fillId="7" borderId="5" xfId="0" applyFont="1" applyFill="1" applyBorder="1" applyAlignment="1">
      <alignment horizontal="left" vertical="center" wrapText="1"/>
    </xf>
    <xf numFmtId="0" fontId="22" fillId="7" borderId="2" xfId="0" applyFont="1" applyFill="1" applyBorder="1" applyAlignment="1">
      <alignment horizontal="left" vertical="center" wrapText="1"/>
    </xf>
    <xf numFmtId="0" fontId="22" fillId="7" borderId="8" xfId="0" applyFont="1" applyFill="1" applyBorder="1" applyAlignment="1">
      <alignment horizontal="left" vertical="center" wrapText="1"/>
    </xf>
    <xf numFmtId="0" fontId="23" fillId="0" borderId="9" xfId="0" applyFont="1" applyFill="1" applyBorder="1" applyAlignment="1">
      <alignment horizontal="left" vertical="center" wrapText="1"/>
    </xf>
    <xf numFmtId="0" fontId="23" fillId="0" borderId="3"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22" fillId="0" borderId="9" xfId="0" applyFont="1" applyFill="1" applyBorder="1" applyAlignment="1">
      <alignment horizontal="center" vertical="center"/>
    </xf>
    <xf numFmtId="0" fontId="22" fillId="0" borderId="11" xfId="0" applyFont="1" applyFill="1" applyBorder="1" applyAlignment="1">
      <alignment horizontal="center" vertical="center"/>
    </xf>
    <xf numFmtId="0" fontId="23" fillId="0" borderId="4" xfId="0" applyFont="1" applyFill="1" applyBorder="1" applyAlignment="1">
      <alignment horizontal="left" vertical="center"/>
    </xf>
    <xf numFmtId="0" fontId="23" fillId="0" borderId="11" xfId="0" applyFont="1" applyFill="1" applyBorder="1" applyAlignment="1">
      <alignment horizontal="left" vertical="center"/>
    </xf>
    <xf numFmtId="0" fontId="17" fillId="7" borderId="5" xfId="0" applyFont="1" applyFill="1" applyBorder="1" applyAlignment="1">
      <alignment horizontal="left" vertical="center"/>
    </xf>
    <xf numFmtId="0" fontId="17" fillId="7" borderId="2" xfId="0" applyFont="1" applyFill="1" applyBorder="1" applyAlignment="1">
      <alignment horizontal="left" vertical="center"/>
    </xf>
    <xf numFmtId="0" fontId="17" fillId="7" borderId="8" xfId="0" applyFont="1" applyFill="1" applyBorder="1" applyAlignment="1">
      <alignment horizontal="left" vertical="center"/>
    </xf>
    <xf numFmtId="0" fontId="17" fillId="11" borderId="5" xfId="0" applyFont="1" applyFill="1" applyBorder="1" applyAlignment="1">
      <alignment horizontal="left" vertical="center" wrapText="1"/>
    </xf>
    <xf numFmtId="0" fontId="17" fillId="11" borderId="2" xfId="0" applyFont="1" applyFill="1" applyBorder="1" applyAlignment="1">
      <alignment horizontal="left" vertical="center" wrapText="1"/>
    </xf>
    <xf numFmtId="0" fontId="17" fillId="11" borderId="8" xfId="0" applyFont="1" applyFill="1" applyBorder="1" applyAlignment="1">
      <alignment horizontal="left" vertical="center" wrapText="1"/>
    </xf>
    <xf numFmtId="0" fontId="22" fillId="0" borderId="3" xfId="0" applyFont="1" applyFill="1" applyBorder="1" applyAlignment="1">
      <alignment horizontal="center" vertical="center"/>
    </xf>
    <xf numFmtId="9" fontId="18" fillId="0" borderId="4" xfId="112" applyNumberFormat="1" applyFont="1" applyFill="1" applyBorder="1" applyAlignment="1">
      <alignment horizontal="center" vertical="center" wrapText="1"/>
    </xf>
    <xf numFmtId="9" fontId="18" fillId="0" borderId="11" xfId="112" applyNumberFormat="1" applyFont="1" applyFill="1" applyBorder="1" applyAlignment="1">
      <alignment horizontal="center" vertical="center" wrapText="1"/>
    </xf>
    <xf numFmtId="0" fontId="18" fillId="0" borderId="4" xfId="112" applyFont="1" applyFill="1" applyBorder="1" applyAlignment="1">
      <alignment horizontal="center" vertical="center" wrapText="1"/>
    </xf>
    <xf numFmtId="0" fontId="18" fillId="0" borderId="11" xfId="112" applyFont="1" applyFill="1" applyBorder="1" applyAlignment="1">
      <alignment horizontal="center" vertical="center" wrapText="1"/>
    </xf>
    <xf numFmtId="0" fontId="17" fillId="6" borderId="11" xfId="0" applyFont="1" applyFill="1" applyBorder="1" applyAlignment="1">
      <alignment horizontal="center" vertical="center" textRotation="90"/>
    </xf>
    <xf numFmtId="0" fontId="22" fillId="0" borderId="16" xfId="0" applyFont="1" applyFill="1" applyBorder="1" applyAlignment="1">
      <alignment horizontal="center" vertical="center"/>
    </xf>
    <xf numFmtId="0" fontId="22" fillId="0" borderId="17" xfId="0" applyFont="1" applyFill="1" applyBorder="1" applyAlignment="1">
      <alignment horizontal="center" vertical="center"/>
    </xf>
    <xf numFmtId="0" fontId="33" fillId="2" borderId="4" xfId="0" applyNumberFormat="1" applyFont="1" applyFill="1" applyBorder="1" applyAlignment="1">
      <alignment horizontal="left" vertical="center" wrapText="1"/>
    </xf>
    <xf numFmtId="0" fontId="33" fillId="2" borderId="11" xfId="0" applyNumberFormat="1" applyFont="1" applyFill="1" applyBorder="1" applyAlignment="1">
      <alignment horizontal="left" vertical="center" wrapText="1"/>
    </xf>
    <xf numFmtId="0" fontId="33" fillId="0" borderId="4" xfId="0" applyFont="1" applyFill="1" applyBorder="1" applyAlignment="1">
      <alignment horizontal="left" vertical="center" wrapText="1"/>
    </xf>
    <xf numFmtId="0" fontId="33" fillId="0" borderId="9" xfId="0" applyFont="1" applyFill="1" applyBorder="1" applyAlignment="1">
      <alignment horizontal="left" vertical="center" wrapText="1"/>
    </xf>
    <xf numFmtId="0" fontId="33" fillId="0" borderId="11" xfId="0" applyFont="1" applyFill="1" applyBorder="1" applyAlignment="1">
      <alignment horizontal="left" vertical="center" wrapText="1"/>
    </xf>
    <xf numFmtId="0" fontId="33" fillId="0" borderId="3"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11" xfId="0" applyFont="1" applyFill="1" applyBorder="1" applyAlignment="1">
      <alignment horizontal="center" vertical="center" wrapText="1"/>
    </xf>
    <xf numFmtId="9" fontId="17" fillId="9" borderId="3" xfId="0" applyNumberFormat="1" applyFont="1" applyFill="1" applyBorder="1" applyAlignment="1">
      <alignment horizontal="center" vertical="center" textRotation="90"/>
    </xf>
    <xf numFmtId="9" fontId="17" fillId="3" borderId="4" xfId="129" applyFont="1" applyFill="1" applyBorder="1" applyAlignment="1">
      <alignment horizontal="center" vertical="center" textRotation="90" wrapText="1"/>
    </xf>
    <xf numFmtId="9" fontId="17" fillId="3" borderId="9" xfId="129" applyFont="1" applyFill="1" applyBorder="1" applyAlignment="1">
      <alignment horizontal="center" vertical="center" textRotation="90" wrapText="1"/>
    </xf>
    <xf numFmtId="0" fontId="17" fillId="2" borderId="6" xfId="82" applyFont="1" applyFill="1" applyBorder="1" applyAlignment="1" applyProtection="1">
      <alignment horizontal="center" vertical="center" wrapText="1"/>
    </xf>
    <xf numFmtId="0" fontId="17" fillId="2" borderId="14" xfId="82" applyFont="1" applyFill="1" applyBorder="1" applyAlignment="1" applyProtection="1">
      <alignment horizontal="center" vertical="center" wrapText="1"/>
    </xf>
    <xf numFmtId="0" fontId="17" fillId="2" borderId="13" xfId="82" applyFont="1" applyFill="1" applyBorder="1" applyAlignment="1" applyProtection="1">
      <alignment horizontal="center" vertical="center" wrapText="1"/>
    </xf>
    <xf numFmtId="0" fontId="17" fillId="2" borderId="10" xfId="82" applyFont="1" applyFill="1" applyBorder="1" applyAlignment="1" applyProtection="1">
      <alignment horizontal="center" vertical="center" wrapText="1"/>
    </xf>
    <xf numFmtId="0" fontId="17" fillId="2" borderId="12" xfId="82" applyFont="1" applyFill="1" applyBorder="1" applyAlignment="1" applyProtection="1">
      <alignment horizontal="center" vertical="center" wrapText="1"/>
    </xf>
    <xf numFmtId="0" fontId="17" fillId="2" borderId="17" xfId="82" applyFont="1" applyFill="1" applyBorder="1" applyAlignment="1" applyProtection="1">
      <alignment horizontal="center" vertical="center" wrapText="1"/>
    </xf>
    <xf numFmtId="0" fontId="17" fillId="2" borderId="5"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7" fillId="2" borderId="5" xfId="82" applyFont="1" applyFill="1" applyBorder="1" applyAlignment="1" applyProtection="1">
      <alignment horizontal="left" vertical="center" wrapText="1"/>
    </xf>
    <xf numFmtId="0" fontId="17" fillId="2" borderId="8" xfId="82" applyFont="1" applyFill="1" applyBorder="1" applyAlignment="1" applyProtection="1">
      <alignment horizontal="left" vertical="center" wrapText="1"/>
    </xf>
    <xf numFmtId="0" fontId="17" fillId="0" borderId="5" xfId="0" applyFont="1" applyBorder="1" applyAlignment="1">
      <alignment horizontal="center" vertical="center"/>
    </xf>
    <xf numFmtId="0" fontId="17" fillId="0" borderId="2" xfId="0" applyFont="1" applyBorder="1" applyAlignment="1">
      <alignment horizontal="center" vertical="center"/>
    </xf>
    <xf numFmtId="0" fontId="17" fillId="0" borderId="8" xfId="0" applyFont="1" applyBorder="1" applyAlignment="1">
      <alignment horizontal="center" vertical="center"/>
    </xf>
    <xf numFmtId="0" fontId="17" fillId="0" borderId="4" xfId="0"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6"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7" xfId="0"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9"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5"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17" fillId="0" borderId="8"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22" fillId="0" borderId="13" xfId="0" applyFont="1" applyFill="1" applyBorder="1" applyAlignment="1">
      <alignment horizontal="center" vertical="center" wrapText="1"/>
    </xf>
    <xf numFmtId="0" fontId="22" fillId="0" borderId="16" xfId="0" applyFont="1" applyFill="1" applyBorder="1" applyAlignment="1">
      <alignment horizontal="center" vertical="center" wrapText="1"/>
    </xf>
    <xf numFmtId="0" fontId="22" fillId="0" borderId="17" xfId="0" applyFont="1" applyFill="1" applyBorder="1" applyAlignment="1">
      <alignment horizontal="center" vertical="center" wrapText="1"/>
    </xf>
    <xf numFmtId="9" fontId="17" fillId="12" borderId="14" xfId="0" applyNumberFormat="1" applyFont="1" applyFill="1" applyBorder="1" applyAlignment="1">
      <alignment horizontal="center" vertical="center" textRotation="90"/>
    </xf>
    <xf numFmtId="9" fontId="17" fillId="12" borderId="0" xfId="0" applyNumberFormat="1" applyFont="1" applyFill="1" applyBorder="1" applyAlignment="1">
      <alignment horizontal="center" vertical="center" textRotation="90"/>
    </xf>
    <xf numFmtId="9" fontId="17" fillId="5" borderId="4" xfId="0" applyNumberFormat="1" applyFont="1" applyFill="1" applyBorder="1" applyAlignment="1">
      <alignment horizontal="center" vertical="center" textRotation="90"/>
    </xf>
    <xf numFmtId="9" fontId="17" fillId="5" borderId="9" xfId="0" applyNumberFormat="1" applyFont="1" applyFill="1" applyBorder="1" applyAlignment="1">
      <alignment horizontal="center" vertical="center" textRotation="90"/>
    </xf>
    <xf numFmtId="9" fontId="17" fillId="5" borderId="11" xfId="0" applyNumberFormat="1" applyFont="1" applyFill="1" applyBorder="1" applyAlignment="1">
      <alignment horizontal="center" vertical="center" textRotation="90"/>
    </xf>
    <xf numFmtId="0" fontId="26" fillId="11" borderId="5" xfId="0" applyFont="1" applyFill="1" applyBorder="1" applyAlignment="1">
      <alignment horizontal="left" vertical="center" wrapText="1"/>
    </xf>
    <xf numFmtId="0" fontId="26" fillId="11" borderId="2" xfId="0" applyFont="1" applyFill="1" applyBorder="1" applyAlignment="1">
      <alignment horizontal="left" vertical="center" wrapText="1"/>
    </xf>
    <xf numFmtId="0" fontId="26" fillId="11" borderId="8" xfId="0" applyFont="1" applyFill="1" applyBorder="1" applyAlignment="1">
      <alignment horizontal="left" vertical="center" wrapText="1"/>
    </xf>
    <xf numFmtId="0" fontId="22" fillId="0" borderId="4" xfId="0" applyNumberFormat="1" applyFont="1" applyFill="1" applyBorder="1" applyAlignment="1">
      <alignment horizontal="center" vertical="center" wrapText="1"/>
    </xf>
    <xf numFmtId="0" fontId="22" fillId="0" borderId="9" xfId="0" applyNumberFormat="1" applyFont="1" applyFill="1" applyBorder="1" applyAlignment="1">
      <alignment horizontal="center" vertical="center" wrapText="1"/>
    </xf>
    <xf numFmtId="0" fontId="22" fillId="0" borderId="11" xfId="0" applyNumberFormat="1" applyFont="1" applyFill="1" applyBorder="1" applyAlignment="1">
      <alignment horizontal="center" vertical="center" wrapText="1"/>
    </xf>
    <xf numFmtId="0" fontId="22" fillId="4" borderId="5" xfId="0" applyNumberFormat="1" applyFont="1" applyFill="1" applyBorder="1" applyAlignment="1">
      <alignment horizontal="center" vertical="center" wrapText="1"/>
    </xf>
    <xf numFmtId="0" fontId="22" fillId="4" borderId="2" xfId="0" applyNumberFormat="1" applyFont="1" applyFill="1" applyBorder="1" applyAlignment="1">
      <alignment horizontal="center" vertical="center" wrapText="1"/>
    </xf>
    <xf numFmtId="0" fontId="22" fillId="4" borderId="8" xfId="0" applyNumberFormat="1" applyFont="1" applyFill="1" applyBorder="1" applyAlignment="1">
      <alignment horizontal="center" vertical="center" wrapText="1"/>
    </xf>
    <xf numFmtId="0" fontId="17" fillId="11" borderId="5" xfId="0" applyNumberFormat="1" applyFont="1" applyFill="1" applyBorder="1" applyAlignment="1">
      <alignment horizontal="left" vertical="center"/>
    </xf>
    <xf numFmtId="0" fontId="17" fillId="11" borderId="2" xfId="0" applyNumberFormat="1" applyFont="1" applyFill="1" applyBorder="1" applyAlignment="1">
      <alignment horizontal="left" vertical="center"/>
    </xf>
    <xf numFmtId="0" fontId="17" fillId="11" borderId="8" xfId="0" applyNumberFormat="1" applyFont="1" applyFill="1" applyBorder="1" applyAlignment="1">
      <alignment horizontal="left" vertical="center"/>
    </xf>
    <xf numFmtId="9" fontId="17" fillId="3" borderId="11" xfId="129" applyFont="1" applyFill="1" applyBorder="1" applyAlignment="1">
      <alignment horizontal="center" vertical="center" textRotation="90" wrapText="1"/>
    </xf>
  </cellXfs>
  <cellStyles count="163">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2_BSC-KPI P. KHKT - DL TRAN YEN 19-5-18" xfId="142"/>
    <cellStyle name="Excel Built-in Excel Built-in Excel Built-in Comma 7 2 3" xfId="44"/>
    <cellStyle name="Excel Built-in Excel Built-in Excel Built-in Comma 7 2_BSC-KPI P. KHKT - DL TRAN YEN 19-5-18" xfId="143"/>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2_BSC-KPI P. KHKT - DL TRAN YEN 19-5-18" xfId="144"/>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3_BSC-KPI P. KHKT - DL TRAN YEN 19-5-18" xfId="145"/>
    <cellStyle name="Excel Built-in Excel Built-in Excel Built-in Comma 8 4" xfId="53"/>
    <cellStyle name="Excel Built-in Excel Built-in Excel Built-in Comma 8_BSC-KPI P. KHKT - DL TRAN YEN 19-5-18" xfId="146"/>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 8 2_BSC-KPI P. KHKT - DL TRAN YEN 19-5-18" xfId="14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2_BSC-KPI P. KHKT - DL TRAN YEN 19-5-18" xfId="148"/>
    <cellStyle name="Excel Built-in Excel Built-in Excel Built-in Percent 3 2 2 3" xfId="63"/>
    <cellStyle name="Excel Built-in Excel Built-in Excel Built-in Percent 3 2 2_BSC-KPI P. KHKT - DL TRAN YEN 19-5-18" xfId="149"/>
    <cellStyle name="Excel Built-in Excel Built-in Excel Built-in Percent 3 2 3" xfId="64"/>
    <cellStyle name="Excel Built-in Excel Built-in Excel Built-in Percent 3 2_BSC-KPI P. KHKT - DL TRAN YEN 19-5-18" xfId="150"/>
    <cellStyle name="Excel Built-in Excel Built-in Excel Built-in Percent 5 2" xfId="65"/>
    <cellStyle name="Excel Built-in Excel Built-in Excel Built-in Percent 5 2 2" xfId="66"/>
    <cellStyle name="Excel Built-in Excel Built-in Excel Built-in Percent 5 2_BSC-KPI P. KHKT - DL TRAN YEN 19-5-18" xfId="151"/>
    <cellStyle name="Excel Built-in Excel Built-in Excel Built-in Percent 5 3" xfId="67"/>
    <cellStyle name="Excel Built-in Excel Built-in Excel Built-in Percent 5 3 2" xfId="68"/>
    <cellStyle name="Excel Built-in Excel Built-in Excel Built-in Percent 5 3_BSC-KPI P. KHKT - DL TRAN YEN 19-5-18" xfId="152"/>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2_BSC-KPI P. KHKT - DL TRAN YEN 19-5-18" xfId="153"/>
    <cellStyle name="Excel Built-in Excel Built-in Excel Built-in Percent 6 3" xfId="75"/>
    <cellStyle name="Excel Built-in Excel Built-in Excel Built-in Percent 6_BSC-KPI P. KHKT - DL TRAN YEN 19-5-18" xfId="154"/>
    <cellStyle name="Excel Built-in Normal" xfId="76"/>
    <cellStyle name="Excel Built-in Normal 2" xfId="77"/>
    <cellStyle name="Excel Built-in Normal 3" xfId="78"/>
    <cellStyle name="Excel Built-in Normal_BSC-KPI P. KHKT - DL TRAN YEN 19-5-18" xfId="155"/>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2" xfId="89"/>
    <cellStyle name="Normal 2 11 2 2" xfId="90"/>
    <cellStyle name="Normal 2 2" xfId="91"/>
    <cellStyle name="Normal 2 2 2" xfId="92"/>
    <cellStyle name="Normal 2 2 3" xfId="93"/>
    <cellStyle name="Normal 2 3" xfId="94"/>
    <cellStyle name="Normal 2 4" xfId="95"/>
    <cellStyle name="Normal 2 5" xfId="96"/>
    <cellStyle name="Normal 2 5 2" xfId="97"/>
    <cellStyle name="Normal 2 5 3" xfId="98"/>
    <cellStyle name="Normal 2 5 5 2" xfId="99"/>
    <cellStyle name="Normal 2 5_BSC-KPI P. KHKT - DL TRAN YEN 19-5-18" xfId="156"/>
    <cellStyle name="Normal 2 6" xfId="100"/>
    <cellStyle name="Normal 2 6 2" xfId="101"/>
    <cellStyle name="Normal 2 6_BSC-KPI P. KHKT - DL TRAN YEN 19-5-18" xfId="157"/>
    <cellStyle name="Normal 2 7" xfId="102"/>
    <cellStyle name="Normal 2 7 2" xfId="103"/>
    <cellStyle name="Normal 2 7_BSC-KPI P. KHKT - DL TRAN YEN 19-5-18" xfId="158"/>
    <cellStyle name="Normal 2 8" xfId="104"/>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2_BSC-KPI P. KHKT - DL TRAN YEN 19-5-18" xfId="159"/>
    <cellStyle name="Normal 7 3" xfId="115"/>
    <cellStyle name="Normal 7 3 2" xfId="116"/>
    <cellStyle name="Normal 7 3 3" xfId="117"/>
    <cellStyle name="Normal 7 3 4" xfId="118"/>
    <cellStyle name="Normal 7 3_BSC-KPI P. KHKT - DL TRAN YEN 19-5-18" xfId="160"/>
    <cellStyle name="Normal 7 4" xfId="119"/>
    <cellStyle name="Normal 7 5" xfId="120"/>
    <cellStyle name="Normal 7 5 2" xfId="121"/>
    <cellStyle name="Normal 7 5_BSC-KPI P. KHKT - DL TRAN YEN 19-5-18" xfId="161"/>
    <cellStyle name="Normal 7 6" xfId="122"/>
    <cellStyle name="Normal 7 7" xfId="123"/>
    <cellStyle name="Normal 7 8" xfId="124"/>
    <cellStyle name="Normal 7_BSC-KPI P. KHKT - DL TRAN YEN 19-5-18" xfId="162"/>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570"/>
  <sheetViews>
    <sheetView tabSelected="1" topLeftCell="D105" zoomScale="85" zoomScaleNormal="85" workbookViewId="0">
      <selection activeCell="X95" sqref="X95"/>
    </sheetView>
  </sheetViews>
  <sheetFormatPr defaultRowHeight="15.75"/>
  <cols>
    <col min="1" max="4" width="5" style="61" customWidth="1"/>
    <col min="5" max="5" width="5" style="41" hidden="1" customWidth="1"/>
    <col min="6" max="6" width="21.625" style="41" hidden="1" customWidth="1"/>
    <col min="7" max="7" width="6" style="160" hidden="1" customWidth="1"/>
    <col min="8" max="8" width="27" style="161" hidden="1" customWidth="1"/>
    <col min="9" max="9" width="7.375" style="161" customWidth="1"/>
    <col min="10" max="10" width="26.25" style="161" customWidth="1"/>
    <col min="11" max="11" width="9.125" style="6" customWidth="1"/>
    <col min="12" max="12" width="9.125" style="254" customWidth="1"/>
    <col min="13" max="13" width="7.25" style="6" customWidth="1"/>
    <col min="14" max="14" width="8.25" style="73" bestFit="1" customWidth="1"/>
    <col min="15" max="15" width="8.25" style="73" customWidth="1"/>
    <col min="16" max="16" width="7.625" style="280" customWidth="1"/>
    <col min="17" max="17" width="7.625" style="64" customWidth="1"/>
    <col min="18" max="18" width="8.125" style="65" customWidth="1"/>
    <col min="19" max="19" width="10.125" style="13" customWidth="1"/>
    <col min="20" max="21" width="7.5" style="13" customWidth="1"/>
    <col min="22" max="22" width="10.25" style="13" customWidth="1"/>
    <col min="23" max="23" width="9.375" style="13" customWidth="1"/>
    <col min="24" max="24" width="8.875" style="61" bestFit="1" customWidth="1"/>
    <col min="25" max="16384" width="9" style="61"/>
  </cols>
  <sheetData>
    <row r="1" spans="1:59" ht="23.25" customHeight="1">
      <c r="A1" s="377" t="s">
        <v>121</v>
      </c>
      <c r="B1" s="378"/>
      <c r="C1" s="378"/>
      <c r="D1" s="378"/>
      <c r="E1" s="378"/>
      <c r="F1" s="378"/>
      <c r="G1" s="378"/>
      <c r="H1" s="379"/>
      <c r="I1" s="383" t="s">
        <v>339</v>
      </c>
      <c r="J1" s="384"/>
      <c r="K1" s="384"/>
      <c r="L1" s="384"/>
      <c r="M1" s="384"/>
      <c r="N1" s="384"/>
      <c r="O1" s="384"/>
      <c r="P1" s="384"/>
      <c r="Q1" s="384"/>
      <c r="R1" s="385"/>
      <c r="S1" s="386" t="s">
        <v>340</v>
      </c>
      <c r="T1" s="387"/>
      <c r="U1" s="387"/>
      <c r="V1" s="387"/>
      <c r="W1" s="388"/>
    </row>
    <row r="2" spans="1:59" ht="24" customHeight="1">
      <c r="A2" s="380"/>
      <c r="B2" s="381"/>
      <c r="C2" s="381"/>
      <c r="D2" s="381"/>
      <c r="E2" s="381"/>
      <c r="F2" s="381"/>
      <c r="G2" s="381"/>
      <c r="H2" s="382"/>
      <c r="I2" s="389" t="s">
        <v>185</v>
      </c>
      <c r="J2" s="390"/>
      <c r="K2" s="383" t="s">
        <v>337</v>
      </c>
      <c r="L2" s="384"/>
      <c r="M2" s="384"/>
      <c r="N2" s="384"/>
      <c r="O2" s="385"/>
      <c r="P2" s="391" t="s">
        <v>165</v>
      </c>
      <c r="Q2" s="392"/>
      <c r="R2" s="393"/>
      <c r="S2" s="386" t="s">
        <v>338</v>
      </c>
      <c r="T2" s="387"/>
      <c r="U2" s="387"/>
      <c r="V2" s="388"/>
      <c r="W2" s="77"/>
    </row>
    <row r="3" spans="1:59" s="13" customFormat="1" ht="18.600000000000001" customHeight="1">
      <c r="A3" s="394" t="s">
        <v>306</v>
      </c>
      <c r="B3" s="394" t="s">
        <v>219</v>
      </c>
      <c r="C3" s="394" t="s">
        <v>220</v>
      </c>
      <c r="D3" s="394" t="s">
        <v>307</v>
      </c>
      <c r="E3" s="423" t="s">
        <v>144</v>
      </c>
      <c r="F3" s="423" t="s">
        <v>140</v>
      </c>
      <c r="G3" s="423" t="s">
        <v>231</v>
      </c>
      <c r="H3" s="394" t="s">
        <v>166</v>
      </c>
      <c r="I3" s="410" t="s">
        <v>232</v>
      </c>
      <c r="J3" s="399" t="s">
        <v>97</v>
      </c>
      <c r="K3" s="407" t="s">
        <v>98</v>
      </c>
      <c r="L3" s="409"/>
      <c r="M3" s="412" t="s">
        <v>99</v>
      </c>
      <c r="N3" s="394" t="s">
        <v>311</v>
      </c>
      <c r="O3" s="394" t="s">
        <v>22</v>
      </c>
      <c r="P3" s="397" t="s">
        <v>100</v>
      </c>
      <c r="Q3" s="398"/>
      <c r="R3" s="398"/>
      <c r="S3" s="398"/>
      <c r="T3" s="398"/>
      <c r="U3" s="398"/>
      <c r="V3" s="398"/>
      <c r="W3" s="399"/>
    </row>
    <row r="4" spans="1:59" s="64" customFormat="1" ht="15.6" customHeight="1">
      <c r="A4" s="395"/>
      <c r="B4" s="395"/>
      <c r="C4" s="395"/>
      <c r="D4" s="395"/>
      <c r="E4" s="424"/>
      <c r="F4" s="424"/>
      <c r="G4" s="424"/>
      <c r="H4" s="395"/>
      <c r="I4" s="410"/>
      <c r="J4" s="411"/>
      <c r="K4" s="403" t="s">
        <v>92</v>
      </c>
      <c r="L4" s="394" t="s">
        <v>101</v>
      </c>
      <c r="M4" s="413"/>
      <c r="N4" s="395"/>
      <c r="O4" s="395"/>
      <c r="P4" s="400"/>
      <c r="Q4" s="401"/>
      <c r="R4" s="401"/>
      <c r="S4" s="401"/>
      <c r="T4" s="401"/>
      <c r="U4" s="401"/>
      <c r="V4" s="401"/>
      <c r="W4" s="402"/>
    </row>
    <row r="5" spans="1:59" s="13" customFormat="1" ht="27.6" customHeight="1">
      <c r="A5" s="395"/>
      <c r="B5" s="395"/>
      <c r="C5" s="395"/>
      <c r="D5" s="395"/>
      <c r="E5" s="424"/>
      <c r="F5" s="424"/>
      <c r="G5" s="424"/>
      <c r="H5" s="395"/>
      <c r="I5" s="410"/>
      <c r="J5" s="411"/>
      <c r="K5" s="404"/>
      <c r="L5" s="395"/>
      <c r="M5" s="413"/>
      <c r="N5" s="395"/>
      <c r="O5" s="395"/>
      <c r="P5" s="406" t="s">
        <v>167</v>
      </c>
      <c r="Q5" s="406"/>
      <c r="R5" s="406"/>
      <c r="S5" s="406"/>
      <c r="T5" s="407" t="s">
        <v>122</v>
      </c>
      <c r="U5" s="408"/>
      <c r="V5" s="408"/>
      <c r="W5" s="409"/>
    </row>
    <row r="6" spans="1:59" s="13" customFormat="1" ht="47.25">
      <c r="A6" s="396"/>
      <c r="B6" s="396"/>
      <c r="C6" s="396"/>
      <c r="D6" s="396"/>
      <c r="E6" s="425"/>
      <c r="F6" s="425"/>
      <c r="G6" s="425"/>
      <c r="H6" s="396"/>
      <c r="I6" s="410"/>
      <c r="J6" s="402"/>
      <c r="K6" s="405"/>
      <c r="L6" s="396"/>
      <c r="M6" s="414"/>
      <c r="N6" s="396"/>
      <c r="O6" s="396"/>
      <c r="P6" s="85" t="s">
        <v>102</v>
      </c>
      <c r="Q6" s="10" t="s">
        <v>168</v>
      </c>
      <c r="R6" s="271" t="s">
        <v>103</v>
      </c>
      <c r="S6" s="281" t="s">
        <v>104</v>
      </c>
      <c r="T6" s="11" t="s">
        <v>102</v>
      </c>
      <c r="U6" s="10" t="s">
        <v>168</v>
      </c>
      <c r="V6" s="281" t="s">
        <v>103</v>
      </c>
      <c r="W6" s="281" t="s">
        <v>104</v>
      </c>
    </row>
    <row r="7" spans="1:59" s="79" customFormat="1">
      <c r="A7" s="79">
        <v>1</v>
      </c>
      <c r="B7" s="79">
        <v>2</v>
      </c>
      <c r="C7" s="79">
        <v>3</v>
      </c>
      <c r="D7" s="79">
        <v>4</v>
      </c>
      <c r="E7" s="78">
        <v>5</v>
      </c>
      <c r="F7" s="51">
        <v>6</v>
      </c>
      <c r="G7" s="80">
        <v>7</v>
      </c>
      <c r="H7" s="9">
        <v>8</v>
      </c>
      <c r="I7" s="9"/>
      <c r="J7" s="9"/>
      <c r="K7" s="28">
        <v>9</v>
      </c>
      <c r="L7" s="235">
        <v>10</v>
      </c>
      <c r="M7" s="28">
        <v>11</v>
      </c>
      <c r="N7" s="10">
        <v>12</v>
      </c>
      <c r="O7" s="10"/>
      <c r="P7" s="85">
        <v>13</v>
      </c>
      <c r="Q7" s="10">
        <v>14</v>
      </c>
      <c r="R7" s="10">
        <v>15</v>
      </c>
      <c r="S7" s="10">
        <v>16</v>
      </c>
      <c r="T7" s="10">
        <v>17</v>
      </c>
      <c r="U7" s="10">
        <v>18</v>
      </c>
      <c r="V7" s="10">
        <v>19</v>
      </c>
      <c r="W7" s="10">
        <v>20</v>
      </c>
    </row>
    <row r="8" spans="1:59" s="79" customFormat="1" ht="50.25" customHeight="1">
      <c r="A8" s="3" t="s">
        <v>213</v>
      </c>
      <c r="B8" s="3" t="s">
        <v>214</v>
      </c>
      <c r="C8" s="3" t="s">
        <v>215</v>
      </c>
      <c r="D8" s="3" t="s">
        <v>216</v>
      </c>
      <c r="E8" s="78"/>
      <c r="F8" s="51"/>
      <c r="G8" s="193"/>
      <c r="H8" s="190"/>
      <c r="I8" s="190"/>
      <c r="J8" s="190"/>
      <c r="K8" s="28" t="s">
        <v>23</v>
      </c>
      <c r="L8" s="244" t="s">
        <v>130</v>
      </c>
      <c r="M8" s="28" t="s">
        <v>302</v>
      </c>
      <c r="N8" s="10" t="s">
        <v>221</v>
      </c>
      <c r="O8" s="10" t="s">
        <v>303</v>
      </c>
      <c r="P8" s="85" t="s">
        <v>304</v>
      </c>
      <c r="Q8" s="10" t="s">
        <v>305</v>
      </c>
      <c r="R8" s="10" t="s">
        <v>217</v>
      </c>
      <c r="S8" s="28" t="s">
        <v>218</v>
      </c>
      <c r="T8" s="10" t="s">
        <v>304</v>
      </c>
      <c r="U8" s="10" t="s">
        <v>305</v>
      </c>
      <c r="V8" s="10" t="s">
        <v>217</v>
      </c>
      <c r="W8" s="10" t="s">
        <v>218</v>
      </c>
    </row>
    <row r="9" spans="1:59" ht="23.25" customHeight="1">
      <c r="A9" s="415">
        <v>0.85</v>
      </c>
      <c r="B9" s="426"/>
      <c r="C9" s="427"/>
      <c r="D9" s="428"/>
      <c r="E9" s="81" t="s">
        <v>105</v>
      </c>
      <c r="F9" s="307" t="s">
        <v>141</v>
      </c>
      <c r="G9" s="308"/>
      <c r="H9" s="308"/>
      <c r="I9" s="308"/>
      <c r="J9" s="308"/>
      <c r="K9" s="308"/>
      <c r="L9" s="308"/>
      <c r="M9" s="309"/>
      <c r="N9" s="29"/>
      <c r="O9" s="29"/>
      <c r="P9" s="85"/>
      <c r="Q9" s="25"/>
      <c r="R9" s="82"/>
      <c r="S9" s="82"/>
      <c r="T9" s="82"/>
      <c r="U9" s="82"/>
      <c r="V9" s="82"/>
      <c r="W9" s="82"/>
    </row>
    <row r="10" spans="1:59" s="83" customFormat="1" ht="24.6" customHeight="1">
      <c r="A10" s="416"/>
      <c r="B10" s="417">
        <v>0.25</v>
      </c>
      <c r="E10" s="84" t="s">
        <v>106</v>
      </c>
      <c r="F10" s="429" t="s">
        <v>142</v>
      </c>
      <c r="G10" s="430"/>
      <c r="H10" s="430"/>
      <c r="I10" s="430"/>
      <c r="J10" s="430"/>
      <c r="K10" s="430"/>
      <c r="L10" s="430"/>
      <c r="M10" s="431"/>
      <c r="N10" s="178"/>
      <c r="O10" s="178"/>
      <c r="P10" s="85"/>
      <c r="Q10" s="179"/>
      <c r="R10" s="180"/>
      <c r="S10" s="175">
        <f>SUM(S12:S29)</f>
        <v>17.032299999999999</v>
      </c>
      <c r="T10" s="179"/>
      <c r="U10" s="179"/>
      <c r="V10" s="180"/>
      <c r="W10" s="180"/>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row>
    <row r="11" spans="1:59" s="90" customFormat="1" ht="21" customHeight="1">
      <c r="A11" s="416"/>
      <c r="B11" s="418"/>
      <c r="C11" s="375">
        <v>0.38</v>
      </c>
      <c r="D11" s="87"/>
      <c r="E11" s="88" t="s">
        <v>128</v>
      </c>
      <c r="F11" s="352" t="s">
        <v>143</v>
      </c>
      <c r="G11" s="353"/>
      <c r="H11" s="353"/>
      <c r="I11" s="353"/>
      <c r="J11" s="353"/>
      <c r="K11" s="353"/>
      <c r="L11" s="353"/>
      <c r="M11" s="354"/>
      <c r="N11" s="12"/>
      <c r="O11" s="12"/>
      <c r="P11" s="85"/>
      <c r="Q11" s="85"/>
      <c r="R11" s="86"/>
      <c r="S11" s="86"/>
      <c r="T11" s="85"/>
      <c r="U11" s="85"/>
      <c r="V11" s="86"/>
      <c r="W11" s="86"/>
      <c r="X11" s="89"/>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row>
    <row r="12" spans="1:59" s="13" customFormat="1" ht="37.5" customHeight="1">
      <c r="A12" s="416"/>
      <c r="B12" s="418"/>
      <c r="C12" s="376"/>
      <c r="D12" s="310">
        <v>0.66</v>
      </c>
      <c r="E12" s="348" t="s">
        <v>12</v>
      </c>
      <c r="F12" s="350" t="s">
        <v>162</v>
      </c>
      <c r="G12" s="54" t="s">
        <v>233</v>
      </c>
      <c r="H12" s="91" t="s">
        <v>31</v>
      </c>
      <c r="I12" s="54" t="s">
        <v>234</v>
      </c>
      <c r="J12" s="91" t="s">
        <v>308</v>
      </c>
      <c r="K12" s="67" t="s">
        <v>163</v>
      </c>
      <c r="L12" s="269">
        <v>1736.34</v>
      </c>
      <c r="M12" s="268" t="s">
        <v>96</v>
      </c>
      <c r="N12" s="92">
        <v>0.5</v>
      </c>
      <c r="O12" s="196">
        <f>$A$9*$B$10*$C$11*$D$12*N12</f>
        <v>2.6647500000000001E-2</v>
      </c>
      <c r="P12" s="273">
        <v>1724</v>
      </c>
      <c r="Q12" s="259">
        <f>P12-L12</f>
        <v>-12.339999999999918</v>
      </c>
      <c r="R12" s="260">
        <f>IF(AND((100+Q12*10)&gt;30,(100+Q12*10)&lt;=120),100+Q12*10,IF((100+Q12*10)&lt;30,0,120))</f>
        <v>0</v>
      </c>
      <c r="S12" s="95">
        <f>R12*O12</f>
        <v>0</v>
      </c>
      <c r="T12" s="2">
        <v>1724</v>
      </c>
      <c r="U12" s="95">
        <f>T12-L12</f>
        <v>-12.339999999999918</v>
      </c>
      <c r="V12" s="166">
        <f>IF(AND((100+U12*10)&gt;30,(100+U12*10)&lt;120),(100+U12*10),IF((100+U12*10)&gt;=120,120,0))</f>
        <v>0</v>
      </c>
      <c r="W12" s="166">
        <f>V12*O12</f>
        <v>0</v>
      </c>
      <c r="Z12" s="290">
        <f>W12-S12</f>
        <v>0</v>
      </c>
    </row>
    <row r="13" spans="1:59" s="13" customFormat="1" ht="22.5" customHeight="1">
      <c r="A13" s="416"/>
      <c r="B13" s="418"/>
      <c r="C13" s="376"/>
      <c r="D13" s="363"/>
      <c r="E13" s="349"/>
      <c r="F13" s="351"/>
      <c r="G13" s="68" t="s">
        <v>235</v>
      </c>
      <c r="H13" s="91" t="s">
        <v>124</v>
      </c>
      <c r="I13" s="68" t="s">
        <v>236</v>
      </c>
      <c r="J13" s="91" t="s">
        <v>222</v>
      </c>
      <c r="K13" s="72" t="s">
        <v>223</v>
      </c>
      <c r="L13" s="245">
        <v>5.61</v>
      </c>
      <c r="M13" s="268" t="s">
        <v>96</v>
      </c>
      <c r="N13" s="96">
        <v>0.5</v>
      </c>
      <c r="O13" s="196">
        <f>$A$9*$B$10*$C$11*$D$12*N13</f>
        <v>2.6647500000000001E-2</v>
      </c>
      <c r="P13" s="274">
        <v>6.16</v>
      </c>
      <c r="Q13" s="259">
        <f>P13/L13*100</f>
        <v>109.80392156862744</v>
      </c>
      <c r="R13" s="260">
        <f>IF(AND((100+(Q13-100)*5)&gt;30,(100+(Q13-100)*5)&lt;=120),100+(Q13-100)*5,IF((100+(Q13-100)*5)&lt;30,0,120))</f>
        <v>120</v>
      </c>
      <c r="S13" s="95">
        <f>R13*O13</f>
        <v>3.1977000000000002</v>
      </c>
      <c r="T13" s="2">
        <v>6.16</v>
      </c>
      <c r="U13" s="95">
        <f>(T13/L13)*100</f>
        <v>109.80392156862744</v>
      </c>
      <c r="V13" s="166">
        <f>IF(AND((100-(100-U13)*5)&gt;30,(100-(100-U13)*5)&lt;120),(100-(100-U13)*5),IF((100-(100-U13)*5)&gt;=120,120,0))</f>
        <v>120</v>
      </c>
      <c r="W13" s="166">
        <f>V13*O13</f>
        <v>3.1977000000000002</v>
      </c>
      <c r="Z13" s="290">
        <f t="shared" ref="Z13:Z77" si="0">W13-S13</f>
        <v>0</v>
      </c>
    </row>
    <row r="14" spans="1:59" s="13" customFormat="1" ht="35.25" customHeight="1">
      <c r="A14" s="416"/>
      <c r="B14" s="418"/>
      <c r="C14" s="376"/>
      <c r="D14" s="310">
        <v>0.34</v>
      </c>
      <c r="E14" s="348" t="s">
        <v>13</v>
      </c>
      <c r="F14" s="350" t="s">
        <v>30</v>
      </c>
      <c r="G14" s="54" t="s">
        <v>237</v>
      </c>
      <c r="H14" s="50" t="s">
        <v>29</v>
      </c>
      <c r="I14" s="54" t="s">
        <v>238</v>
      </c>
      <c r="J14" s="50" t="s">
        <v>29</v>
      </c>
      <c r="K14" s="31" t="s">
        <v>24</v>
      </c>
      <c r="L14" s="246">
        <v>99.7</v>
      </c>
      <c r="M14" s="67" t="s">
        <v>96</v>
      </c>
      <c r="N14" s="92">
        <v>1</v>
      </c>
      <c r="O14" s="196">
        <f>$A$9*$B$10*$C$11*$D$14*N14</f>
        <v>2.7455000000000004E-2</v>
      </c>
      <c r="P14" s="275">
        <v>103.45</v>
      </c>
      <c r="Q14" s="226">
        <f>P14-L14</f>
        <v>3.75</v>
      </c>
      <c r="R14" s="226">
        <f>IF(AND((100+Q14*100)&gt;30,(100+Q14*100)&lt;=120),100+Q14*10,IF((100+Q14*100)&lt;30,0,120))</f>
        <v>120</v>
      </c>
      <c r="S14" s="259">
        <f t="shared" ref="S14:S28" si="1">R14*O14</f>
        <v>3.2946000000000004</v>
      </c>
      <c r="T14" s="2">
        <v>104.54</v>
      </c>
      <c r="U14" s="262">
        <f>T14-L14</f>
        <v>4.8400000000000034</v>
      </c>
      <c r="V14" s="166">
        <f>IF(AND((100+U14*100)&gt;30,(100+U14*100)&lt;120),(100+U14*100),IF((100+U14*100)&gt;=120,120,0))</f>
        <v>120</v>
      </c>
      <c r="W14" s="166">
        <f>V14*O14</f>
        <v>3.2946000000000004</v>
      </c>
      <c r="Z14" s="290">
        <f t="shared" si="0"/>
        <v>0</v>
      </c>
    </row>
    <row r="15" spans="1:59" s="13" customFormat="1" ht="48.75" hidden="1" customHeight="1">
      <c r="A15" s="416"/>
      <c r="B15" s="418"/>
      <c r="C15" s="432"/>
      <c r="D15" s="363"/>
      <c r="E15" s="349"/>
      <c r="F15" s="351"/>
      <c r="G15" s="69" t="s">
        <v>15</v>
      </c>
      <c r="H15" s="50" t="s">
        <v>37</v>
      </c>
      <c r="I15" s="69" t="s">
        <v>15</v>
      </c>
      <c r="J15" s="50" t="s">
        <v>37</v>
      </c>
      <c r="K15" s="104" t="s">
        <v>169</v>
      </c>
      <c r="L15" s="246">
        <v>99.7</v>
      </c>
      <c r="M15" s="54" t="s">
        <v>96</v>
      </c>
      <c r="N15" s="92">
        <v>0</v>
      </c>
      <c r="O15" s="92"/>
      <c r="P15" s="125"/>
      <c r="Q15" s="162">
        <v>2</v>
      </c>
      <c r="R15" s="163">
        <f>100+(1-P15/L15)*100*Q15</f>
        <v>300</v>
      </c>
      <c r="S15" s="95">
        <f t="shared" si="1"/>
        <v>0</v>
      </c>
      <c r="T15" s="261"/>
      <c r="U15" s="261"/>
      <c r="V15" s="11"/>
      <c r="W15" s="11"/>
      <c r="Z15" s="290">
        <f t="shared" si="0"/>
        <v>0</v>
      </c>
    </row>
    <row r="16" spans="1:59">
      <c r="A16" s="416"/>
      <c r="B16" s="418"/>
      <c r="C16" s="98"/>
      <c r="D16" s="90"/>
      <c r="E16" s="88" t="s">
        <v>38</v>
      </c>
      <c r="F16" s="352" t="s">
        <v>164</v>
      </c>
      <c r="G16" s="353"/>
      <c r="H16" s="353"/>
      <c r="I16" s="353"/>
      <c r="J16" s="353"/>
      <c r="K16" s="353"/>
      <c r="L16" s="353"/>
      <c r="M16" s="354"/>
      <c r="N16" s="32"/>
      <c r="O16" s="32"/>
      <c r="P16" s="85"/>
      <c r="Q16" s="85"/>
      <c r="R16" s="86"/>
      <c r="S16" s="133"/>
      <c r="T16" s="85"/>
      <c r="U16" s="85"/>
      <c r="V16" s="86"/>
      <c r="W16" s="99"/>
      <c r="Z16" s="290">
        <f t="shared" si="0"/>
        <v>0</v>
      </c>
    </row>
    <row r="17" spans="1:60" s="105" customFormat="1" ht="87.75" hidden="1" customHeight="1">
      <c r="A17" s="416"/>
      <c r="B17" s="418"/>
      <c r="C17" s="100"/>
      <c r="D17" s="185">
        <v>1</v>
      </c>
      <c r="E17" s="101" t="s">
        <v>14</v>
      </c>
      <c r="F17" s="14" t="s">
        <v>32</v>
      </c>
      <c r="G17" s="102" t="s">
        <v>239</v>
      </c>
      <c r="H17" s="14" t="s">
        <v>32</v>
      </c>
      <c r="I17" s="102" t="s">
        <v>240</v>
      </c>
      <c r="J17" s="14" t="s">
        <v>170</v>
      </c>
      <c r="K17" s="103" t="s">
        <v>171</v>
      </c>
      <c r="L17" s="248">
        <v>0</v>
      </c>
      <c r="M17" s="103" t="s">
        <v>96</v>
      </c>
      <c r="N17" s="104">
        <v>1</v>
      </c>
      <c r="O17" s="196">
        <f>$A$9*$B$10*$C$17*$D$17*N17</f>
        <v>0</v>
      </c>
      <c r="P17" s="238"/>
      <c r="Q17" s="164">
        <v>10</v>
      </c>
      <c r="R17" s="94">
        <f>100-(L17-P17)*Q17</f>
        <v>100</v>
      </c>
      <c r="S17" s="95">
        <f t="shared" si="1"/>
        <v>0</v>
      </c>
      <c r="T17" s="2"/>
      <c r="U17" s="46"/>
      <c r="V17" s="165"/>
      <c r="W17" s="15"/>
      <c r="Z17" s="290">
        <f t="shared" si="0"/>
        <v>0</v>
      </c>
    </row>
    <row r="18" spans="1:60" ht="15.75" customHeight="1">
      <c r="A18" s="416"/>
      <c r="B18" s="418"/>
      <c r="C18" s="375">
        <v>0.62</v>
      </c>
      <c r="D18" s="106"/>
      <c r="E18" s="107" t="s">
        <v>123</v>
      </c>
      <c r="F18" s="352" t="s">
        <v>93</v>
      </c>
      <c r="G18" s="353"/>
      <c r="H18" s="353"/>
      <c r="I18" s="352" t="s">
        <v>93</v>
      </c>
      <c r="J18" s="353"/>
      <c r="K18" s="353"/>
      <c r="L18" s="249"/>
      <c r="M18" s="108"/>
      <c r="N18" s="12"/>
      <c r="O18" s="12"/>
      <c r="P18" s="109"/>
      <c r="Q18" s="109"/>
      <c r="R18" s="110"/>
      <c r="S18" s="133"/>
      <c r="T18" s="109"/>
      <c r="U18" s="109"/>
      <c r="V18" s="110"/>
      <c r="W18" s="111"/>
      <c r="Z18" s="290">
        <f t="shared" si="0"/>
        <v>0</v>
      </c>
    </row>
    <row r="19" spans="1:60" s="59" customFormat="1" ht="37.700000000000003" hidden="1" customHeight="1">
      <c r="A19" s="416"/>
      <c r="B19" s="418"/>
      <c r="C19" s="376"/>
      <c r="D19" s="301">
        <v>0</v>
      </c>
      <c r="E19" s="348" t="s">
        <v>0</v>
      </c>
      <c r="F19" s="368" t="s">
        <v>1</v>
      </c>
      <c r="G19" s="54" t="s">
        <v>16</v>
      </c>
      <c r="H19" s="50" t="s">
        <v>7</v>
      </c>
      <c r="I19" s="54" t="s">
        <v>16</v>
      </c>
      <c r="J19" s="50" t="s">
        <v>7</v>
      </c>
      <c r="K19" s="45" t="s">
        <v>172</v>
      </c>
      <c r="L19" s="247">
        <v>100</v>
      </c>
      <c r="M19" s="67" t="s">
        <v>96</v>
      </c>
      <c r="N19" s="92">
        <v>0</v>
      </c>
      <c r="O19" s="92"/>
      <c r="P19" s="239"/>
      <c r="Q19" s="166">
        <v>1</v>
      </c>
      <c r="R19" s="164">
        <f>100+(1-P19/L19)*100*Q19</f>
        <v>200</v>
      </c>
      <c r="S19" s="95">
        <f t="shared" si="1"/>
        <v>0</v>
      </c>
      <c r="T19" s="261"/>
      <c r="U19" s="261"/>
      <c r="V19" s="16"/>
      <c r="W19" s="15"/>
      <c r="X19" s="171"/>
      <c r="Y19" s="171"/>
      <c r="Z19" s="290">
        <f t="shared" si="0"/>
        <v>0</v>
      </c>
      <c r="AA19" s="171"/>
      <c r="AB19" s="171"/>
      <c r="AC19" s="171"/>
      <c r="AD19" s="171"/>
      <c r="AE19" s="171"/>
      <c r="AF19" s="171"/>
      <c r="AG19" s="171"/>
      <c r="AH19" s="171"/>
      <c r="AI19" s="171"/>
      <c r="AJ19" s="171"/>
      <c r="AK19" s="171"/>
      <c r="AL19" s="171"/>
      <c r="AM19" s="171"/>
      <c r="AN19" s="171"/>
      <c r="AO19" s="171"/>
      <c r="AP19" s="171"/>
      <c r="AQ19" s="171"/>
      <c r="AR19" s="171"/>
      <c r="AS19" s="171"/>
      <c r="AT19" s="171"/>
      <c r="AU19" s="171"/>
      <c r="AV19" s="171"/>
      <c r="AW19" s="171"/>
      <c r="AX19" s="171"/>
      <c r="AY19" s="171"/>
      <c r="AZ19" s="171"/>
      <c r="BA19" s="171"/>
      <c r="BB19" s="171"/>
      <c r="BC19" s="171"/>
      <c r="BD19" s="171"/>
      <c r="BE19" s="171"/>
      <c r="BF19" s="171"/>
      <c r="BG19" s="171"/>
      <c r="BH19" s="170"/>
    </row>
    <row r="20" spans="1:60" s="59" customFormat="1" ht="47.25" hidden="1" customHeight="1">
      <c r="A20" s="416"/>
      <c r="B20" s="418"/>
      <c r="C20" s="376"/>
      <c r="D20" s="310"/>
      <c r="E20" s="348"/>
      <c r="F20" s="369"/>
      <c r="G20" s="54" t="s">
        <v>17</v>
      </c>
      <c r="H20" s="50" t="s">
        <v>8</v>
      </c>
      <c r="I20" s="54" t="s">
        <v>17</v>
      </c>
      <c r="J20" s="50" t="s">
        <v>8</v>
      </c>
      <c r="K20" s="45" t="s">
        <v>173</v>
      </c>
      <c r="L20" s="247">
        <v>100</v>
      </c>
      <c r="M20" s="67" t="s">
        <v>96</v>
      </c>
      <c r="N20" s="92">
        <v>0</v>
      </c>
      <c r="O20" s="92"/>
      <c r="P20" s="239"/>
      <c r="Q20" s="2">
        <v>1</v>
      </c>
      <c r="R20" s="164">
        <f>100+(1-P20/L20)*100*Q20</f>
        <v>200</v>
      </c>
      <c r="S20" s="95">
        <f t="shared" si="1"/>
        <v>0</v>
      </c>
      <c r="T20" s="261"/>
      <c r="U20" s="261"/>
      <c r="V20" s="16"/>
      <c r="W20" s="15"/>
      <c r="X20" s="171"/>
      <c r="Y20" s="171"/>
      <c r="Z20" s="290">
        <f t="shared" si="0"/>
        <v>0</v>
      </c>
      <c r="AA20" s="171"/>
      <c r="AB20" s="171"/>
      <c r="AC20" s="171"/>
      <c r="AD20" s="171"/>
      <c r="AE20" s="171"/>
      <c r="AF20" s="171"/>
      <c r="AG20" s="171"/>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71"/>
      <c r="BD20" s="171"/>
      <c r="BE20" s="171"/>
      <c r="BF20" s="171"/>
      <c r="BG20" s="171"/>
      <c r="BH20" s="170"/>
    </row>
    <row r="21" spans="1:60" s="59" customFormat="1" ht="46.7" hidden="1" customHeight="1">
      <c r="A21" s="416"/>
      <c r="B21" s="418"/>
      <c r="C21" s="376"/>
      <c r="D21" s="302"/>
      <c r="E21" s="349"/>
      <c r="F21" s="370"/>
      <c r="G21" s="54" t="s">
        <v>18</v>
      </c>
      <c r="H21" s="50" t="s">
        <v>9</v>
      </c>
      <c r="I21" s="54" t="s">
        <v>18</v>
      </c>
      <c r="J21" s="50" t="s">
        <v>9</v>
      </c>
      <c r="K21" s="45" t="s">
        <v>173</v>
      </c>
      <c r="L21" s="247">
        <v>100</v>
      </c>
      <c r="M21" s="67" t="s">
        <v>96</v>
      </c>
      <c r="N21" s="92">
        <v>0</v>
      </c>
      <c r="O21" s="92"/>
      <c r="P21" s="239"/>
      <c r="Q21" s="2">
        <v>1</v>
      </c>
      <c r="R21" s="164">
        <f>100+(1-P21/L21)*100*Q21</f>
        <v>200</v>
      </c>
      <c r="S21" s="95">
        <f t="shared" si="1"/>
        <v>0</v>
      </c>
      <c r="T21" s="261"/>
      <c r="U21" s="261"/>
      <c r="V21" s="16"/>
      <c r="W21" s="15"/>
      <c r="X21" s="171"/>
      <c r="Y21" s="171"/>
      <c r="Z21" s="290">
        <f t="shared" si="0"/>
        <v>0</v>
      </c>
      <c r="AA21" s="171"/>
      <c r="AB21" s="171"/>
      <c r="AC21" s="171"/>
      <c r="AD21" s="171"/>
      <c r="AE21" s="171"/>
      <c r="AF21" s="171"/>
      <c r="AG21" s="171"/>
      <c r="AH21" s="171"/>
      <c r="AI21" s="171"/>
      <c r="AJ21" s="171"/>
      <c r="AK21" s="171"/>
      <c r="AL21" s="171"/>
      <c r="AM21" s="171"/>
      <c r="AN21" s="171"/>
      <c r="AO21" s="171"/>
      <c r="AP21" s="171"/>
      <c r="AQ21" s="171"/>
      <c r="AR21" s="171"/>
      <c r="AS21" s="171"/>
      <c r="AT21" s="171"/>
      <c r="AU21" s="171"/>
      <c r="AV21" s="171"/>
      <c r="AW21" s="171"/>
      <c r="AX21" s="171"/>
      <c r="AY21" s="171"/>
      <c r="AZ21" s="171"/>
      <c r="BA21" s="171"/>
      <c r="BB21" s="171"/>
      <c r="BC21" s="171"/>
      <c r="BD21" s="171"/>
      <c r="BE21" s="171"/>
      <c r="BF21" s="171"/>
      <c r="BG21" s="171"/>
      <c r="BH21" s="170"/>
    </row>
    <row r="22" spans="1:60" s="59" customFormat="1" ht="45.6" customHeight="1">
      <c r="A22" s="416"/>
      <c r="B22" s="418"/>
      <c r="C22" s="376"/>
      <c r="D22" s="301">
        <v>0.4</v>
      </c>
      <c r="E22" s="358" t="s">
        <v>2</v>
      </c>
      <c r="F22" s="372" t="s">
        <v>3</v>
      </c>
      <c r="G22" s="54" t="s">
        <v>241</v>
      </c>
      <c r="H22" s="50" t="s">
        <v>91</v>
      </c>
      <c r="I22" s="54" t="s">
        <v>242</v>
      </c>
      <c r="J22" s="50" t="s">
        <v>91</v>
      </c>
      <c r="K22" s="54" t="s">
        <v>24</v>
      </c>
      <c r="L22" s="247">
        <v>4.4800000000000004</v>
      </c>
      <c r="M22" s="268" t="s">
        <v>96</v>
      </c>
      <c r="N22" s="92">
        <v>0.5</v>
      </c>
      <c r="O22" s="196">
        <f>$A$9*$B$10*$C$18*$D$22*N22</f>
        <v>2.6350000000000002E-2</v>
      </c>
      <c r="P22" s="276">
        <v>5.88</v>
      </c>
      <c r="Q22" s="94">
        <f>P22-L22</f>
        <v>1.3999999999999995</v>
      </c>
      <c r="R22" s="226">
        <f>IF(AND((100-Q22*100)&gt;30,(100-Q22*100)&lt;=120),100-Q22*100,IF((100-Q22*100)&lt;30,0,120))</f>
        <v>0</v>
      </c>
      <c r="S22" s="259">
        <f t="shared" si="1"/>
        <v>0</v>
      </c>
      <c r="T22" s="2">
        <v>5.88</v>
      </c>
      <c r="U22" s="95">
        <f>T22-L22</f>
        <v>1.3999999999999995</v>
      </c>
      <c r="V22" s="166">
        <f>IF(AND((100-U22*100)&gt;30,(100-U22*100)&lt;120),(100-U22*100),IF((100-U22*100)&gt;=120,120,0))</f>
        <v>0</v>
      </c>
      <c r="W22" s="15">
        <f>V22*O22</f>
        <v>0</v>
      </c>
      <c r="X22" s="171"/>
      <c r="Y22" s="171"/>
      <c r="Z22" s="290">
        <f t="shared" si="0"/>
        <v>0</v>
      </c>
      <c r="AA22" s="171"/>
      <c r="AB22" s="171"/>
      <c r="AC22" s="171"/>
      <c r="AD22" s="171"/>
      <c r="AE22" s="171"/>
      <c r="AF22" s="171"/>
      <c r="AG22" s="171"/>
      <c r="AH22" s="171"/>
      <c r="AI22" s="171"/>
      <c r="AJ22" s="171"/>
      <c r="AK22" s="171"/>
      <c r="AL22" s="171"/>
      <c r="AM22" s="171"/>
      <c r="AN22" s="171"/>
      <c r="AO22" s="171"/>
      <c r="AP22" s="171"/>
      <c r="AQ22" s="171"/>
      <c r="AR22" s="171"/>
      <c r="AS22" s="171"/>
      <c r="AT22" s="171"/>
      <c r="AU22" s="171"/>
      <c r="AV22" s="171"/>
      <c r="AW22" s="171"/>
      <c r="AX22" s="171"/>
      <c r="AY22" s="171"/>
      <c r="AZ22" s="171"/>
      <c r="BA22" s="171"/>
      <c r="BB22" s="171"/>
      <c r="BC22" s="171"/>
      <c r="BD22" s="171"/>
      <c r="BE22" s="171"/>
      <c r="BF22" s="171"/>
      <c r="BG22" s="171"/>
      <c r="BH22" s="170"/>
    </row>
    <row r="23" spans="1:60" s="59" customFormat="1" ht="36" customHeight="1">
      <c r="A23" s="416"/>
      <c r="B23" s="418"/>
      <c r="C23" s="376"/>
      <c r="D23" s="302"/>
      <c r="E23" s="358"/>
      <c r="F23" s="373"/>
      <c r="G23" s="54" t="s">
        <v>243</v>
      </c>
      <c r="H23" s="50" t="s">
        <v>36</v>
      </c>
      <c r="I23" s="54" t="s">
        <v>244</v>
      </c>
      <c r="J23" s="50" t="s">
        <v>211</v>
      </c>
      <c r="K23" s="54" t="s">
        <v>212</v>
      </c>
      <c r="L23" s="247">
        <v>155</v>
      </c>
      <c r="M23" s="268" t="s">
        <v>96</v>
      </c>
      <c r="N23" s="92">
        <v>0.5</v>
      </c>
      <c r="O23" s="196">
        <f>$A$9*$B$10*$C$18*$D$22*N23</f>
        <v>2.6350000000000002E-2</v>
      </c>
      <c r="P23" s="276">
        <f>75+704+188</f>
        <v>967</v>
      </c>
      <c r="Q23" s="94">
        <f>ROUND(P23/L23*100,2)</f>
        <v>623.87</v>
      </c>
      <c r="R23" s="226">
        <f>IF(AND((100+(Q23-100)*5)&gt;30,(100+(Q23-100)*5)&lt;=120),100+(Q23-100)*5,IF((100+(Q23-100)*5)&lt;30,0,100))</f>
        <v>100</v>
      </c>
      <c r="S23" s="259">
        <f t="shared" si="1"/>
        <v>2.6350000000000002</v>
      </c>
      <c r="T23" s="2">
        <v>967</v>
      </c>
      <c r="U23" s="166">
        <f>T23/L23*100-100</f>
        <v>523.87096774193549</v>
      </c>
      <c r="V23" s="166">
        <f>IF(AND((100+U23*2)&gt;30,(100+U23*2)&lt;100),(100+U23*2),IF((100+U23*2)&gt;=100,100,0))</f>
        <v>100</v>
      </c>
      <c r="W23" s="15">
        <f>V23*O23</f>
        <v>2.6350000000000002</v>
      </c>
      <c r="X23" s="171"/>
      <c r="Y23" s="171"/>
      <c r="Z23" s="290">
        <f t="shared" si="0"/>
        <v>0</v>
      </c>
      <c r="AA23" s="171"/>
      <c r="AB23" s="171"/>
      <c r="AC23" s="171"/>
      <c r="AD23" s="171"/>
      <c r="AE23" s="171"/>
      <c r="AF23" s="171"/>
      <c r="AG23" s="171"/>
      <c r="AH23" s="171"/>
      <c r="AI23" s="171"/>
      <c r="AJ23" s="171"/>
      <c r="AK23" s="171"/>
      <c r="AL23" s="171"/>
      <c r="AM23" s="171"/>
      <c r="AN23" s="171"/>
      <c r="AO23" s="171"/>
      <c r="AP23" s="171"/>
      <c r="AQ23" s="171"/>
      <c r="AR23" s="171"/>
      <c r="AS23" s="171"/>
      <c r="AT23" s="171"/>
      <c r="AU23" s="171"/>
      <c r="AV23" s="171"/>
      <c r="AW23" s="171"/>
      <c r="AX23" s="171"/>
      <c r="AY23" s="171"/>
      <c r="AZ23" s="171"/>
      <c r="BA23" s="171"/>
      <c r="BB23" s="171"/>
      <c r="BC23" s="171"/>
      <c r="BD23" s="171"/>
      <c r="BE23" s="171"/>
      <c r="BF23" s="171"/>
      <c r="BG23" s="171"/>
      <c r="BH23" s="170"/>
    </row>
    <row r="24" spans="1:60" s="59" customFormat="1" ht="63" customHeight="1">
      <c r="A24" s="416"/>
      <c r="B24" s="418"/>
      <c r="C24" s="376"/>
      <c r="D24" s="374">
        <v>0.6</v>
      </c>
      <c r="E24" s="358" t="s">
        <v>10</v>
      </c>
      <c r="F24" s="371" t="s">
        <v>5</v>
      </c>
      <c r="G24" s="72" t="s">
        <v>245</v>
      </c>
      <c r="H24" s="50" t="s">
        <v>324</v>
      </c>
      <c r="I24" s="72" t="s">
        <v>246</v>
      </c>
      <c r="J24" s="50" t="s">
        <v>324</v>
      </c>
      <c r="K24" s="54" t="s">
        <v>148</v>
      </c>
      <c r="L24" s="247">
        <v>7</v>
      </c>
      <c r="M24" s="67" t="s">
        <v>96</v>
      </c>
      <c r="N24" s="92">
        <v>0</v>
      </c>
      <c r="O24" s="196">
        <f>N24*$D$24*$C$18*$B$10*$A$9</f>
        <v>0</v>
      </c>
      <c r="P24" s="277">
        <v>7</v>
      </c>
      <c r="Q24" s="94">
        <f>P24-L24</f>
        <v>0</v>
      </c>
      <c r="R24" s="226">
        <v>100</v>
      </c>
      <c r="S24" s="259">
        <f t="shared" si="1"/>
        <v>0</v>
      </c>
      <c r="T24" s="263">
        <v>6</v>
      </c>
      <c r="U24" s="264">
        <f>T24-L24</f>
        <v>-1</v>
      </c>
      <c r="V24" s="264">
        <f>IF(AND((100-U24*20)&gt;30,(100-U24*20)&lt;100),(100-U24*20),IF((100-U24*20)&gt;=100,100,0))</f>
        <v>100</v>
      </c>
      <c r="W24" s="265">
        <f>V24*O24</f>
        <v>0</v>
      </c>
      <c r="X24" s="171"/>
      <c r="Y24" s="171"/>
      <c r="Z24" s="290">
        <f t="shared" si="0"/>
        <v>0</v>
      </c>
      <c r="AA24" s="171"/>
      <c r="AB24" s="171"/>
      <c r="AC24" s="171"/>
      <c r="AD24" s="171"/>
      <c r="AE24" s="171"/>
      <c r="AF24" s="171"/>
      <c r="AG24" s="171"/>
      <c r="AH24" s="171"/>
      <c r="AI24" s="171"/>
      <c r="AJ24" s="171"/>
      <c r="AK24" s="171"/>
      <c r="AL24" s="171"/>
      <c r="AM24" s="171"/>
      <c r="AN24" s="171"/>
      <c r="AO24" s="171"/>
      <c r="AP24" s="171"/>
      <c r="AQ24" s="171"/>
      <c r="AR24" s="171"/>
      <c r="AS24" s="171"/>
      <c r="AT24" s="171"/>
      <c r="AU24" s="171"/>
      <c r="AV24" s="171"/>
      <c r="AW24" s="171"/>
      <c r="AX24" s="171"/>
      <c r="AY24" s="171"/>
      <c r="AZ24" s="171"/>
      <c r="BA24" s="171"/>
      <c r="BB24" s="171"/>
      <c r="BC24" s="171"/>
      <c r="BD24" s="171"/>
      <c r="BE24" s="171"/>
      <c r="BF24" s="171"/>
      <c r="BG24" s="171"/>
      <c r="BH24" s="170"/>
    </row>
    <row r="25" spans="1:60" s="59" customFormat="1" ht="63" customHeight="1">
      <c r="A25" s="416"/>
      <c r="B25" s="418"/>
      <c r="C25" s="376"/>
      <c r="D25" s="374"/>
      <c r="E25" s="358"/>
      <c r="F25" s="371"/>
      <c r="G25" s="359" t="s">
        <v>247</v>
      </c>
      <c r="H25" s="361" t="s">
        <v>35</v>
      </c>
      <c r="I25" s="44" t="s">
        <v>248</v>
      </c>
      <c r="J25" s="50" t="s">
        <v>325</v>
      </c>
      <c r="K25" s="54" t="s">
        <v>148</v>
      </c>
      <c r="L25" s="247">
        <v>3</v>
      </c>
      <c r="M25" s="67" t="s">
        <v>96</v>
      </c>
      <c r="N25" s="92">
        <v>0.5</v>
      </c>
      <c r="O25" s="196">
        <f>N25*$D$24*$C$18*$B$10*$A$9</f>
        <v>3.9524999999999998E-2</v>
      </c>
      <c r="P25" s="278">
        <v>3</v>
      </c>
      <c r="Q25" s="94">
        <f>P25-L25</f>
        <v>0</v>
      </c>
      <c r="R25" s="226">
        <v>100</v>
      </c>
      <c r="S25" s="259">
        <f t="shared" si="1"/>
        <v>3.9524999999999997</v>
      </c>
      <c r="T25" s="2">
        <v>2.96</v>
      </c>
      <c r="U25" s="166">
        <f>T25-L25</f>
        <v>-4.0000000000000036E-2</v>
      </c>
      <c r="V25" s="166">
        <f>IF(AND((100-U25*20)&gt;30,(100-U25*20)&lt;100),(100-U25*20),IF((100-U25*20)&gt;=100,100,0))</f>
        <v>100</v>
      </c>
      <c r="W25" s="15">
        <f>V25*O25</f>
        <v>3.9524999999999997</v>
      </c>
      <c r="X25" s="171"/>
      <c r="Y25" s="171"/>
      <c r="Z25" s="290">
        <f t="shared" si="0"/>
        <v>0</v>
      </c>
      <c r="AA25" s="171"/>
      <c r="AB25" s="171"/>
      <c r="AC25" s="171"/>
      <c r="AD25" s="171"/>
      <c r="AE25" s="171"/>
      <c r="AF25" s="171"/>
      <c r="AG25" s="171"/>
      <c r="AH25" s="171"/>
      <c r="AI25" s="171"/>
      <c r="AJ25" s="171"/>
      <c r="AK25" s="171"/>
      <c r="AL25" s="171"/>
      <c r="AM25" s="171"/>
      <c r="AN25" s="171"/>
      <c r="AO25" s="171"/>
      <c r="AP25" s="171"/>
      <c r="AQ25" s="171"/>
      <c r="AR25" s="171"/>
      <c r="AS25" s="171"/>
      <c r="AT25" s="171"/>
      <c r="AU25" s="171"/>
      <c r="AV25" s="171"/>
      <c r="AW25" s="171"/>
      <c r="AX25" s="171"/>
      <c r="AY25" s="171"/>
      <c r="AZ25" s="171"/>
      <c r="BA25" s="171"/>
      <c r="BB25" s="171"/>
      <c r="BC25" s="171"/>
      <c r="BD25" s="171"/>
      <c r="BE25" s="171"/>
      <c r="BF25" s="171"/>
      <c r="BG25" s="171"/>
      <c r="BH25" s="170"/>
    </row>
    <row r="26" spans="1:60" s="59" customFormat="1" ht="55.5" customHeight="1">
      <c r="A26" s="416"/>
      <c r="B26" s="418"/>
      <c r="C26" s="376"/>
      <c r="D26" s="374"/>
      <c r="E26" s="358"/>
      <c r="F26" s="371"/>
      <c r="G26" s="360"/>
      <c r="H26" s="362"/>
      <c r="I26" s="44" t="s">
        <v>326</v>
      </c>
      <c r="J26" s="50" t="s">
        <v>327</v>
      </c>
      <c r="K26" s="54" t="s">
        <v>148</v>
      </c>
      <c r="L26" s="247">
        <v>5</v>
      </c>
      <c r="M26" s="67" t="s">
        <v>96</v>
      </c>
      <c r="N26" s="92">
        <v>0.5</v>
      </c>
      <c r="O26" s="196">
        <f>N26*$D$24*$C$18*$B$10*$A$9</f>
        <v>3.9524999999999998E-2</v>
      </c>
      <c r="P26" s="278">
        <v>4.6500000000000004</v>
      </c>
      <c r="Q26" s="94">
        <f>P26-L26</f>
        <v>-0.34999999999999964</v>
      </c>
      <c r="R26" s="226">
        <v>100</v>
      </c>
      <c r="S26" s="259">
        <f t="shared" si="1"/>
        <v>3.9524999999999997</v>
      </c>
      <c r="T26" s="2">
        <v>4.59</v>
      </c>
      <c r="U26" s="166">
        <f>T26-L26</f>
        <v>-0.41000000000000014</v>
      </c>
      <c r="V26" s="166">
        <f>IF(AND((100-U26*20)&gt;30,(100-U26*20)&lt;100),(100-U26*20),IF((100-U26*20)&gt;=100,100,0))</f>
        <v>100</v>
      </c>
      <c r="W26" s="15">
        <f>V26*O26</f>
        <v>3.9524999999999997</v>
      </c>
      <c r="X26" s="171"/>
      <c r="Y26" s="171"/>
      <c r="Z26" s="290">
        <f t="shared" si="0"/>
        <v>0</v>
      </c>
      <c r="AA26" s="171"/>
      <c r="AB26" s="171"/>
      <c r="AC26" s="171"/>
      <c r="AD26" s="171"/>
      <c r="AE26" s="171"/>
      <c r="AF26" s="171"/>
      <c r="AG26" s="171"/>
      <c r="AH26" s="171"/>
      <c r="AI26" s="171"/>
      <c r="AJ26" s="171"/>
      <c r="AK26" s="171"/>
      <c r="AL26" s="171"/>
      <c r="AM26" s="171"/>
      <c r="AN26" s="171"/>
      <c r="AO26" s="171"/>
      <c r="AP26" s="171"/>
      <c r="AQ26" s="171"/>
      <c r="AR26" s="171"/>
      <c r="AS26" s="171"/>
      <c r="AT26" s="171"/>
      <c r="AU26" s="171"/>
      <c r="AV26" s="171"/>
      <c r="AW26" s="171"/>
      <c r="AX26" s="171"/>
      <c r="AY26" s="171"/>
      <c r="AZ26" s="171"/>
      <c r="BA26" s="171"/>
      <c r="BB26" s="171"/>
      <c r="BC26" s="171"/>
      <c r="BD26" s="171"/>
      <c r="BE26" s="171"/>
      <c r="BF26" s="171"/>
      <c r="BG26" s="171"/>
      <c r="BH26" s="170"/>
    </row>
    <row r="27" spans="1:60" s="59" customFormat="1" ht="45" hidden="1" customHeight="1">
      <c r="A27" s="416"/>
      <c r="B27" s="418"/>
      <c r="C27" s="376"/>
      <c r="D27" s="374"/>
      <c r="E27" s="358"/>
      <c r="F27" s="371"/>
      <c r="G27" s="72" t="s">
        <v>27</v>
      </c>
      <c r="H27" s="91" t="s">
        <v>33</v>
      </c>
      <c r="I27" s="72" t="s">
        <v>27</v>
      </c>
      <c r="J27" s="91" t="s">
        <v>33</v>
      </c>
      <c r="K27" s="72" t="s">
        <v>24</v>
      </c>
      <c r="L27" s="247">
        <v>15</v>
      </c>
      <c r="M27" s="67" t="s">
        <v>96</v>
      </c>
      <c r="N27" s="92">
        <v>0</v>
      </c>
      <c r="O27" s="196"/>
      <c r="P27" s="239">
        <v>15</v>
      </c>
      <c r="Q27" s="10"/>
      <c r="R27" s="58">
        <f>100+(P27-L27)*10</f>
        <v>100</v>
      </c>
      <c r="S27" s="95"/>
      <c r="T27" s="261"/>
      <c r="U27" s="261"/>
      <c r="V27" s="16"/>
      <c r="W27" s="15"/>
      <c r="X27" s="171"/>
      <c r="Y27" s="171"/>
      <c r="Z27" s="290">
        <f t="shared" si="0"/>
        <v>0</v>
      </c>
      <c r="AA27" s="171"/>
      <c r="AB27" s="171"/>
      <c r="AC27" s="171"/>
      <c r="AD27" s="171"/>
      <c r="AE27" s="171"/>
      <c r="AF27" s="171"/>
      <c r="AG27" s="171"/>
      <c r="AH27" s="171"/>
      <c r="AI27" s="171"/>
      <c r="AJ27" s="171"/>
      <c r="AK27" s="171"/>
      <c r="AL27" s="171"/>
      <c r="AM27" s="171"/>
      <c r="AN27" s="171"/>
      <c r="AO27" s="171"/>
      <c r="AP27" s="171"/>
      <c r="AQ27" s="171"/>
      <c r="AR27" s="171"/>
      <c r="AS27" s="171"/>
      <c r="AT27" s="171"/>
      <c r="AU27" s="171"/>
      <c r="AV27" s="171"/>
      <c r="AW27" s="171"/>
      <c r="AX27" s="171"/>
      <c r="AY27" s="171"/>
      <c r="AZ27" s="171"/>
      <c r="BA27" s="171"/>
      <c r="BB27" s="171"/>
      <c r="BC27" s="171"/>
      <c r="BD27" s="171"/>
      <c r="BE27" s="171"/>
      <c r="BF27" s="171"/>
      <c r="BG27" s="171"/>
      <c r="BH27" s="170"/>
    </row>
    <row r="28" spans="1:60" s="59" customFormat="1" ht="44.25" hidden="1" customHeight="1">
      <c r="A28" s="416"/>
      <c r="B28" s="418"/>
      <c r="C28" s="376"/>
      <c r="D28" s="185"/>
      <c r="E28" s="97" t="s">
        <v>4</v>
      </c>
      <c r="F28" s="167" t="s">
        <v>6</v>
      </c>
      <c r="G28" s="54" t="s">
        <v>249</v>
      </c>
      <c r="H28" s="50" t="s">
        <v>127</v>
      </c>
      <c r="I28" s="54" t="s">
        <v>250</v>
      </c>
      <c r="J28" s="50" t="s">
        <v>127</v>
      </c>
      <c r="K28" s="135" t="s">
        <v>95</v>
      </c>
      <c r="L28" s="247">
        <v>0</v>
      </c>
      <c r="M28" s="67" t="s">
        <v>96</v>
      </c>
      <c r="N28" s="92">
        <v>1</v>
      </c>
      <c r="O28" s="196">
        <f>$A$9*$B$10*$C$18*$D$28*N28</f>
        <v>0</v>
      </c>
      <c r="P28" s="125">
        <v>0</v>
      </c>
      <c r="Q28" s="2">
        <v>10</v>
      </c>
      <c r="R28" s="94">
        <f>100-(P28-L28)*Q28</f>
        <v>100</v>
      </c>
      <c r="S28" s="95">
        <f t="shared" si="1"/>
        <v>0</v>
      </c>
      <c r="T28" s="261"/>
      <c r="U28" s="261"/>
      <c r="V28" s="16"/>
      <c r="W28" s="15"/>
      <c r="X28" s="171"/>
      <c r="Y28" s="171"/>
      <c r="Z28" s="290">
        <f t="shared" si="0"/>
        <v>0</v>
      </c>
      <c r="AA28" s="171"/>
      <c r="AB28" s="171"/>
      <c r="AC28" s="171"/>
      <c r="AD28" s="171"/>
      <c r="AE28" s="171"/>
      <c r="AF28" s="171"/>
      <c r="AG28" s="171"/>
      <c r="AH28" s="171"/>
      <c r="AI28" s="171"/>
      <c r="AJ28" s="171"/>
      <c r="AK28" s="171"/>
      <c r="AL28" s="171"/>
      <c r="AM28" s="171"/>
      <c r="AN28" s="171"/>
      <c r="AO28" s="171"/>
      <c r="AP28" s="171"/>
      <c r="AQ28" s="171"/>
      <c r="AR28" s="171"/>
      <c r="AS28" s="171"/>
      <c r="AT28" s="171"/>
      <c r="AU28" s="171"/>
      <c r="AV28" s="171"/>
      <c r="AW28" s="171"/>
      <c r="AX28" s="171"/>
      <c r="AY28" s="171"/>
      <c r="AZ28" s="171"/>
      <c r="BA28" s="171"/>
      <c r="BB28" s="171"/>
      <c r="BC28" s="171"/>
      <c r="BD28" s="171"/>
      <c r="BE28" s="171"/>
      <c r="BF28" s="171"/>
      <c r="BG28" s="171"/>
      <c r="BH28" s="170"/>
    </row>
    <row r="29" spans="1:60" ht="27" customHeight="1">
      <c r="A29" s="416"/>
      <c r="B29" s="418"/>
      <c r="C29" s="375">
        <v>0</v>
      </c>
      <c r="D29" s="87"/>
      <c r="E29" s="112" t="s">
        <v>129</v>
      </c>
      <c r="F29" s="352" t="s">
        <v>94</v>
      </c>
      <c r="G29" s="353"/>
      <c r="H29" s="353"/>
      <c r="I29" s="353"/>
      <c r="J29" s="353"/>
      <c r="K29" s="353"/>
      <c r="L29" s="353"/>
      <c r="M29" s="354"/>
      <c r="N29" s="113"/>
      <c r="O29" s="113"/>
      <c r="P29" s="85"/>
      <c r="Q29" s="85"/>
      <c r="R29" s="114"/>
      <c r="S29" s="115"/>
      <c r="T29" s="85"/>
      <c r="U29" s="85"/>
      <c r="V29" s="114"/>
      <c r="W29" s="115"/>
      <c r="Z29" s="290">
        <f t="shared" si="0"/>
        <v>0</v>
      </c>
    </row>
    <row r="30" spans="1:60" s="117" customFormat="1" ht="30.6" hidden="1" customHeight="1">
      <c r="A30" s="416"/>
      <c r="B30" s="418"/>
      <c r="C30" s="376"/>
      <c r="D30" s="301">
        <v>0</v>
      </c>
      <c r="E30" s="364" t="s">
        <v>19</v>
      </c>
      <c r="F30" s="366" t="s">
        <v>34</v>
      </c>
      <c r="G30" s="102" t="s">
        <v>20</v>
      </c>
      <c r="H30" s="50" t="s">
        <v>11</v>
      </c>
      <c r="I30" s="50"/>
      <c r="J30" s="50"/>
      <c r="K30" s="7" t="s">
        <v>28</v>
      </c>
      <c r="L30" s="250"/>
      <c r="M30" s="67" t="s">
        <v>25</v>
      </c>
      <c r="N30" s="116">
        <v>0</v>
      </c>
      <c r="O30" s="116"/>
      <c r="P30" s="240"/>
      <c r="Q30" s="18"/>
      <c r="R30" s="16"/>
      <c r="S30" s="15"/>
      <c r="T30" s="18"/>
      <c r="U30" s="18"/>
      <c r="V30" s="16"/>
      <c r="W30" s="15"/>
      <c r="Z30" s="290">
        <f t="shared" si="0"/>
        <v>0</v>
      </c>
    </row>
    <row r="31" spans="1:60" s="117" customFormat="1" ht="36" hidden="1" customHeight="1">
      <c r="A31" s="416"/>
      <c r="B31" s="419"/>
      <c r="C31" s="432"/>
      <c r="D31" s="363"/>
      <c r="E31" s="365"/>
      <c r="F31" s="367"/>
      <c r="G31" s="102" t="s">
        <v>21</v>
      </c>
      <c r="H31" s="50" t="s">
        <v>26</v>
      </c>
      <c r="I31" s="102" t="s">
        <v>21</v>
      </c>
      <c r="J31" s="50" t="s">
        <v>26</v>
      </c>
      <c r="K31" s="7" t="s">
        <v>146</v>
      </c>
      <c r="L31" s="250">
        <v>10</v>
      </c>
      <c r="M31" s="67" t="s">
        <v>176</v>
      </c>
      <c r="N31" s="116">
        <v>0</v>
      </c>
      <c r="O31" s="116"/>
      <c r="P31" s="240">
        <v>10</v>
      </c>
      <c r="Q31" s="18">
        <v>2</v>
      </c>
      <c r="R31" s="94">
        <f>100-(P31-L31)*Q31</f>
        <v>100</v>
      </c>
      <c r="S31" s="95">
        <f>$A$9*$B$10*$C$29*$D$30*N31*R31</f>
        <v>0</v>
      </c>
      <c r="T31" s="18"/>
      <c r="U31" s="18"/>
      <c r="V31" s="16"/>
      <c r="W31" s="15"/>
      <c r="Z31" s="290">
        <f t="shared" si="0"/>
        <v>0</v>
      </c>
    </row>
    <row r="32" spans="1:60" s="117" customFormat="1" ht="12.75" customHeight="1">
      <c r="A32" s="416"/>
      <c r="E32" s="33"/>
      <c r="F32" s="33"/>
      <c r="G32" s="101"/>
      <c r="H32" s="118"/>
      <c r="I32" s="118"/>
      <c r="J32" s="118"/>
      <c r="K32" s="119"/>
      <c r="L32" s="251"/>
      <c r="M32" s="120"/>
      <c r="N32" s="121"/>
      <c r="O32" s="121"/>
      <c r="P32" s="241"/>
      <c r="Q32" s="122"/>
      <c r="R32" s="19"/>
      <c r="S32" s="20"/>
      <c r="T32" s="122"/>
      <c r="U32" s="122"/>
      <c r="V32" s="19"/>
      <c r="W32" s="20"/>
      <c r="Z32" s="290">
        <f t="shared" si="0"/>
        <v>0</v>
      </c>
    </row>
    <row r="33" spans="1:26" ht="20.25" customHeight="1">
      <c r="A33" s="416"/>
      <c r="B33" s="417">
        <v>0.63</v>
      </c>
      <c r="C33" s="123"/>
      <c r="D33" s="123"/>
      <c r="E33" s="123" t="s">
        <v>107</v>
      </c>
      <c r="F33" s="355" t="s">
        <v>108</v>
      </c>
      <c r="G33" s="356"/>
      <c r="H33" s="356"/>
      <c r="I33" s="356"/>
      <c r="J33" s="356"/>
      <c r="K33" s="356"/>
      <c r="L33" s="356"/>
      <c r="M33" s="357"/>
      <c r="N33" s="172"/>
      <c r="O33" s="172"/>
      <c r="P33" s="125"/>
      <c r="Q33" s="173"/>
      <c r="R33" s="174"/>
      <c r="S33" s="175">
        <f>SUM(S34:S91)</f>
        <v>53.014500000000012</v>
      </c>
      <c r="T33" s="173"/>
      <c r="U33" s="173"/>
      <c r="V33" s="176"/>
      <c r="W33" s="177"/>
      <c r="Z33" s="290">
        <f t="shared" si="0"/>
        <v>-53.014500000000012</v>
      </c>
    </row>
    <row r="34" spans="1:26" s="64" customFormat="1" ht="28.5" customHeight="1">
      <c r="A34" s="416"/>
      <c r="B34" s="418"/>
      <c r="C34" s="311">
        <v>0</v>
      </c>
      <c r="D34" s="129"/>
      <c r="E34" s="129" t="s">
        <v>130</v>
      </c>
      <c r="F34" s="341" t="s">
        <v>109</v>
      </c>
      <c r="G34" s="342"/>
      <c r="H34" s="342"/>
      <c r="I34" s="342"/>
      <c r="J34" s="342"/>
      <c r="K34" s="342"/>
      <c r="L34" s="342"/>
      <c r="M34" s="343"/>
      <c r="N34" s="130"/>
      <c r="O34" s="130"/>
      <c r="P34" s="131"/>
      <c r="Q34" s="131"/>
      <c r="R34" s="132"/>
      <c r="S34" s="133"/>
      <c r="T34" s="134"/>
      <c r="U34" s="134"/>
      <c r="V34" s="126"/>
      <c r="W34" s="127"/>
      <c r="Z34" s="290">
        <f t="shared" si="0"/>
        <v>0</v>
      </c>
    </row>
    <row r="35" spans="1:26" s="13" customFormat="1" ht="47.25" hidden="1">
      <c r="A35" s="416"/>
      <c r="B35" s="418"/>
      <c r="C35" s="320"/>
      <c r="D35" s="301">
        <v>0</v>
      </c>
      <c r="E35" s="345" t="s">
        <v>62</v>
      </c>
      <c r="F35" s="314" t="s">
        <v>147</v>
      </c>
      <c r="G35" s="135" t="s">
        <v>251</v>
      </c>
      <c r="H35" s="74" t="s">
        <v>149</v>
      </c>
      <c r="I35" s="135" t="s">
        <v>252</v>
      </c>
      <c r="J35" s="74" t="s">
        <v>224</v>
      </c>
      <c r="K35" s="135" t="s">
        <v>95</v>
      </c>
      <c r="L35" s="250">
        <v>0</v>
      </c>
      <c r="M35" s="67" t="s">
        <v>96</v>
      </c>
      <c r="N35" s="93">
        <v>0.2</v>
      </c>
      <c r="O35" s="196">
        <f>$A$9*$B$33*$C$34*$D$35*N35</f>
        <v>0</v>
      </c>
      <c r="P35" s="240">
        <v>0</v>
      </c>
      <c r="Q35" s="135">
        <v>10</v>
      </c>
      <c r="R35" s="94">
        <f t="shared" ref="R35:R41" si="2">100-(P35-L35)*Q35</f>
        <v>100</v>
      </c>
      <c r="S35" s="95">
        <f>R35*O35</f>
        <v>0</v>
      </c>
      <c r="T35" s="261">
        <v>0</v>
      </c>
      <c r="U35" s="261">
        <v>10</v>
      </c>
      <c r="V35" s="266">
        <f>100-U35*T35</f>
        <v>100</v>
      </c>
      <c r="W35" s="15">
        <f>V35*O35</f>
        <v>0</v>
      </c>
      <c r="Z35" s="290">
        <f t="shared" si="0"/>
        <v>0</v>
      </c>
    </row>
    <row r="36" spans="1:26" s="13" customFormat="1" ht="47.25" hidden="1">
      <c r="A36" s="416"/>
      <c r="B36" s="418"/>
      <c r="C36" s="320"/>
      <c r="D36" s="310"/>
      <c r="E36" s="345"/>
      <c r="F36" s="346"/>
      <c r="G36" s="135" t="s">
        <v>253</v>
      </c>
      <c r="H36" s="74" t="s">
        <v>150</v>
      </c>
      <c r="I36" s="135" t="s">
        <v>254</v>
      </c>
      <c r="J36" s="74" t="s">
        <v>202</v>
      </c>
      <c r="K36" s="135" t="s">
        <v>95</v>
      </c>
      <c r="L36" s="250">
        <v>0</v>
      </c>
      <c r="M36" s="67" t="s">
        <v>96</v>
      </c>
      <c r="N36" s="93">
        <v>0.2</v>
      </c>
      <c r="O36" s="196">
        <f>$A$9*$B$33*$C$34*$D$35*N36</f>
        <v>0</v>
      </c>
      <c r="P36" s="240">
        <v>0</v>
      </c>
      <c r="Q36" s="135">
        <v>10</v>
      </c>
      <c r="R36" s="94">
        <f t="shared" si="2"/>
        <v>100</v>
      </c>
      <c r="S36" s="95">
        <f t="shared" ref="S36:S61" si="3">R36*O36</f>
        <v>0</v>
      </c>
      <c r="T36" s="261">
        <v>0</v>
      </c>
      <c r="U36" s="261">
        <v>10</v>
      </c>
      <c r="V36" s="266">
        <f>100-U36*T36</f>
        <v>100</v>
      </c>
      <c r="W36" s="15">
        <f>V36*O36</f>
        <v>0</v>
      </c>
      <c r="Z36" s="290">
        <f t="shared" si="0"/>
        <v>0</v>
      </c>
    </row>
    <row r="37" spans="1:26" s="13" customFormat="1" ht="47.25" hidden="1">
      <c r="A37" s="416"/>
      <c r="B37" s="418"/>
      <c r="C37" s="320"/>
      <c r="D37" s="310"/>
      <c r="E37" s="345"/>
      <c r="F37" s="346"/>
      <c r="G37" s="135" t="s">
        <v>255</v>
      </c>
      <c r="H37" s="74" t="s">
        <v>151</v>
      </c>
      <c r="I37" s="135" t="s">
        <v>256</v>
      </c>
      <c r="J37" s="74" t="s">
        <v>203</v>
      </c>
      <c r="K37" s="135" t="s">
        <v>95</v>
      </c>
      <c r="L37" s="250">
        <v>0</v>
      </c>
      <c r="M37" s="67" t="s">
        <v>96</v>
      </c>
      <c r="N37" s="93">
        <v>0.2</v>
      </c>
      <c r="O37" s="196">
        <f>$A$9*$B$33*$C$34*$D$35*N37</f>
        <v>0</v>
      </c>
      <c r="P37" s="240">
        <v>0</v>
      </c>
      <c r="Q37" s="135">
        <v>10</v>
      </c>
      <c r="R37" s="94">
        <f t="shared" si="2"/>
        <v>100</v>
      </c>
      <c r="S37" s="95">
        <f t="shared" si="3"/>
        <v>0</v>
      </c>
      <c r="T37" s="261">
        <v>0</v>
      </c>
      <c r="U37" s="261">
        <v>10</v>
      </c>
      <c r="V37" s="266">
        <f>100-U37*T37</f>
        <v>100</v>
      </c>
      <c r="W37" s="15">
        <f>V37*O37</f>
        <v>0</v>
      </c>
      <c r="Z37" s="290">
        <f t="shared" si="0"/>
        <v>0</v>
      </c>
    </row>
    <row r="38" spans="1:26" s="13" customFormat="1" ht="47.25" hidden="1">
      <c r="A38" s="416"/>
      <c r="B38" s="418"/>
      <c r="C38" s="320"/>
      <c r="D38" s="310"/>
      <c r="E38" s="345"/>
      <c r="F38" s="346"/>
      <c r="G38" s="135" t="s">
        <v>257</v>
      </c>
      <c r="H38" s="74" t="s">
        <v>152</v>
      </c>
      <c r="I38" s="135" t="s">
        <v>258</v>
      </c>
      <c r="J38" s="74" t="s">
        <v>204</v>
      </c>
      <c r="K38" s="135" t="s">
        <v>95</v>
      </c>
      <c r="L38" s="250">
        <v>0</v>
      </c>
      <c r="M38" s="67" t="s">
        <v>96</v>
      </c>
      <c r="N38" s="93">
        <v>0.2</v>
      </c>
      <c r="O38" s="196">
        <f>$A$9*$B$33*$C$34*$D$35*N38</f>
        <v>0</v>
      </c>
      <c r="P38" s="240">
        <v>0</v>
      </c>
      <c r="Q38" s="135">
        <v>10</v>
      </c>
      <c r="R38" s="94">
        <f t="shared" si="2"/>
        <v>100</v>
      </c>
      <c r="S38" s="95">
        <f t="shared" si="3"/>
        <v>0</v>
      </c>
      <c r="T38" s="261">
        <v>0</v>
      </c>
      <c r="U38" s="261">
        <v>10</v>
      </c>
      <c r="V38" s="266">
        <f>100-U38*T38</f>
        <v>100</v>
      </c>
      <c r="W38" s="15">
        <f>V38*O38</f>
        <v>0</v>
      </c>
      <c r="Z38" s="290">
        <f t="shared" si="0"/>
        <v>0</v>
      </c>
    </row>
    <row r="39" spans="1:26" s="13" customFormat="1" ht="31.5" hidden="1">
      <c r="A39" s="416"/>
      <c r="B39" s="418"/>
      <c r="C39" s="320"/>
      <c r="D39" s="302"/>
      <c r="E39" s="345"/>
      <c r="F39" s="347"/>
      <c r="G39" s="135" t="s">
        <v>259</v>
      </c>
      <c r="H39" s="1" t="s">
        <v>153</v>
      </c>
      <c r="I39" s="135" t="s">
        <v>309</v>
      </c>
      <c r="J39" s="5" t="s">
        <v>205</v>
      </c>
      <c r="K39" s="135" t="s">
        <v>95</v>
      </c>
      <c r="L39" s="250">
        <v>0</v>
      </c>
      <c r="M39" s="67" t="s">
        <v>96</v>
      </c>
      <c r="N39" s="93">
        <v>0.2</v>
      </c>
      <c r="O39" s="196">
        <f>$A$9*$B$33*$C$34*$D$35*N39</f>
        <v>0</v>
      </c>
      <c r="P39" s="240">
        <v>0</v>
      </c>
      <c r="Q39" s="135">
        <v>10</v>
      </c>
      <c r="R39" s="94">
        <f t="shared" si="2"/>
        <v>100</v>
      </c>
      <c r="S39" s="95">
        <f t="shared" si="3"/>
        <v>0</v>
      </c>
      <c r="T39" s="261">
        <v>0</v>
      </c>
      <c r="U39" s="261">
        <v>10</v>
      </c>
      <c r="V39" s="266">
        <f>100-U39*T39</f>
        <v>100</v>
      </c>
      <c r="W39" s="15">
        <f>V39*O39</f>
        <v>0</v>
      </c>
      <c r="Z39" s="290">
        <f t="shared" si="0"/>
        <v>0</v>
      </c>
    </row>
    <row r="40" spans="1:26" s="13" customFormat="1" ht="34.5" hidden="1" customHeight="1">
      <c r="A40" s="416"/>
      <c r="B40" s="418"/>
      <c r="C40" s="320"/>
      <c r="D40" s="201"/>
      <c r="E40" s="72" t="s">
        <v>39</v>
      </c>
      <c r="F40" s="67" t="s">
        <v>40</v>
      </c>
      <c r="G40" s="3" t="s">
        <v>260</v>
      </c>
      <c r="H40" s="67" t="s">
        <v>174</v>
      </c>
      <c r="I40" s="72" t="s">
        <v>261</v>
      </c>
      <c r="J40" s="67" t="s">
        <v>186</v>
      </c>
      <c r="K40" s="135" t="s">
        <v>95</v>
      </c>
      <c r="L40" s="250">
        <v>0</v>
      </c>
      <c r="M40" s="67" t="s">
        <v>96</v>
      </c>
      <c r="N40" s="93">
        <v>1</v>
      </c>
      <c r="O40" s="196">
        <f>$A$9*$B$33*$C$34*$D$40*N40</f>
        <v>0</v>
      </c>
      <c r="P40" s="240">
        <v>0</v>
      </c>
      <c r="Q40" s="135">
        <v>10</v>
      </c>
      <c r="R40" s="94">
        <f t="shared" si="2"/>
        <v>100</v>
      </c>
      <c r="S40" s="95">
        <f t="shared" si="3"/>
        <v>0</v>
      </c>
      <c r="T40" s="22"/>
      <c r="U40" s="22"/>
      <c r="V40" s="19"/>
      <c r="W40" s="21"/>
      <c r="Z40" s="290">
        <f t="shared" si="0"/>
        <v>0</v>
      </c>
    </row>
    <row r="41" spans="1:26" s="13" customFormat="1" ht="33" hidden="1" customHeight="1">
      <c r="A41" s="416"/>
      <c r="B41" s="418"/>
      <c r="C41" s="320"/>
      <c r="D41" s="201"/>
      <c r="E41" s="72" t="s">
        <v>41</v>
      </c>
      <c r="F41" s="67" t="s">
        <v>42</v>
      </c>
      <c r="G41" s="4" t="s">
        <v>262</v>
      </c>
      <c r="H41" s="67" t="s">
        <v>175</v>
      </c>
      <c r="I41" s="72" t="s">
        <v>263</v>
      </c>
      <c r="J41" s="67" t="s">
        <v>187</v>
      </c>
      <c r="K41" s="135" t="s">
        <v>95</v>
      </c>
      <c r="L41" s="250">
        <v>0</v>
      </c>
      <c r="M41" s="67" t="s">
        <v>96</v>
      </c>
      <c r="N41" s="93">
        <v>1</v>
      </c>
      <c r="O41" s="196">
        <f>$A$9*$B$33*$C$34*$D$41*N41</f>
        <v>0</v>
      </c>
      <c r="P41" s="240">
        <v>0</v>
      </c>
      <c r="Q41" s="135">
        <v>10</v>
      </c>
      <c r="R41" s="94">
        <f t="shared" si="2"/>
        <v>100</v>
      </c>
      <c r="S41" s="95">
        <f t="shared" si="3"/>
        <v>0</v>
      </c>
      <c r="T41" s="22"/>
      <c r="U41" s="22"/>
      <c r="V41" s="19"/>
      <c r="W41" s="21"/>
      <c r="Z41" s="290">
        <f t="shared" si="0"/>
        <v>0</v>
      </c>
    </row>
    <row r="42" spans="1:26" s="36" customFormat="1" ht="24" customHeight="1">
      <c r="A42" s="416"/>
      <c r="B42" s="418"/>
      <c r="C42" s="311">
        <v>0.55000000000000004</v>
      </c>
      <c r="D42" s="136"/>
      <c r="E42" s="107" t="s">
        <v>136</v>
      </c>
      <c r="F42" s="317" t="s">
        <v>43</v>
      </c>
      <c r="G42" s="318"/>
      <c r="H42" s="318"/>
      <c r="I42" s="318"/>
      <c r="J42" s="318"/>
      <c r="K42" s="318"/>
      <c r="L42" s="318"/>
      <c r="M42" s="319"/>
      <c r="N42" s="124"/>
      <c r="O42" s="124"/>
      <c r="P42" s="57"/>
      <c r="Q42" s="57"/>
      <c r="R42" s="57"/>
      <c r="S42" s="133"/>
      <c r="T42" s="137"/>
      <c r="U42" s="137"/>
      <c r="V42" s="138"/>
      <c r="W42" s="139"/>
      <c r="Z42" s="290">
        <f t="shared" si="0"/>
        <v>0</v>
      </c>
    </row>
    <row r="43" spans="1:26" s="13" customFormat="1" ht="32.25" customHeight="1">
      <c r="A43" s="416"/>
      <c r="B43" s="418"/>
      <c r="C43" s="320"/>
      <c r="D43" s="301">
        <v>0.4</v>
      </c>
      <c r="E43" s="298" t="s">
        <v>63</v>
      </c>
      <c r="F43" s="314" t="s">
        <v>64</v>
      </c>
      <c r="G43" s="135" t="s">
        <v>264</v>
      </c>
      <c r="H43" s="135" t="s">
        <v>206</v>
      </c>
      <c r="I43" s="135" t="s">
        <v>265</v>
      </c>
      <c r="J43" s="255" t="s">
        <v>64</v>
      </c>
      <c r="K43" s="135" t="s">
        <v>95</v>
      </c>
      <c r="L43" s="250">
        <v>0</v>
      </c>
      <c r="M43" s="67" t="s">
        <v>96</v>
      </c>
      <c r="N43" s="93">
        <v>0.5</v>
      </c>
      <c r="O43" s="196">
        <f>$A$9*$B$33*$C$42*$D$43*N43</f>
        <v>5.8905000000000013E-2</v>
      </c>
      <c r="P43" s="240">
        <v>0</v>
      </c>
      <c r="Q43" s="135">
        <v>10</v>
      </c>
      <c r="R43" s="260">
        <f>IF(AND(100-(P43*Q43)&gt;30,(100-(P43*Q43))&lt;=120),100-(P43*Q43),IF(100-(P43*Q43)&lt;30,0,120))</f>
        <v>100</v>
      </c>
      <c r="S43" s="95">
        <f t="shared" si="3"/>
        <v>5.8905000000000012</v>
      </c>
      <c r="T43" s="261">
        <v>0</v>
      </c>
      <c r="U43" s="261">
        <v>10</v>
      </c>
      <c r="V43" s="266">
        <f t="shared" ref="V43:V56" si="4">100-U43*T43</f>
        <v>100</v>
      </c>
      <c r="W43" s="15">
        <f t="shared" ref="W43:W56" si="5">V43*O43</f>
        <v>5.8905000000000012</v>
      </c>
      <c r="Z43" s="290">
        <f t="shared" si="0"/>
        <v>0</v>
      </c>
    </row>
    <row r="44" spans="1:26" s="13" customFormat="1" ht="146.25" customHeight="1">
      <c r="A44" s="416"/>
      <c r="B44" s="418"/>
      <c r="C44" s="320"/>
      <c r="D44" s="310"/>
      <c r="E44" s="299"/>
      <c r="F44" s="315"/>
      <c r="G44" s="135" t="s">
        <v>266</v>
      </c>
      <c r="H44" s="76" t="s">
        <v>154</v>
      </c>
      <c r="I44" s="135" t="s">
        <v>267</v>
      </c>
      <c r="J44" s="76" t="s">
        <v>207</v>
      </c>
      <c r="K44" s="135" t="s">
        <v>95</v>
      </c>
      <c r="L44" s="250">
        <v>0</v>
      </c>
      <c r="M44" s="67" t="s">
        <v>96</v>
      </c>
      <c r="N44" s="93">
        <v>0.5</v>
      </c>
      <c r="O44" s="196">
        <f>$A$9*$B$33*$C$42*$D$43*N44</f>
        <v>5.8905000000000013E-2</v>
      </c>
      <c r="P44" s="240">
        <v>0</v>
      </c>
      <c r="Q44" s="135">
        <v>10</v>
      </c>
      <c r="R44" s="260">
        <f>IF(AND(100-(P44*Q44)&gt;30,(100-(P44*Q44))&lt;=120),100-(P44*Q44),IF(100-(P44*Q44)&lt;30,0,120))</f>
        <v>100</v>
      </c>
      <c r="S44" s="95">
        <f t="shared" si="3"/>
        <v>5.8905000000000012</v>
      </c>
      <c r="T44" s="261">
        <v>0</v>
      </c>
      <c r="U44" s="261">
        <v>10</v>
      </c>
      <c r="V44" s="266">
        <f t="shared" si="4"/>
        <v>100</v>
      </c>
      <c r="W44" s="15">
        <f t="shared" si="5"/>
        <v>5.8905000000000012</v>
      </c>
      <c r="Z44" s="290">
        <f t="shared" si="0"/>
        <v>0</v>
      </c>
    </row>
    <row r="45" spans="1:26" s="13" customFormat="1" ht="33" customHeight="1">
      <c r="A45" s="416"/>
      <c r="B45" s="418"/>
      <c r="C45" s="320"/>
      <c r="D45" s="301">
        <v>0.33</v>
      </c>
      <c r="E45" s="298" t="s">
        <v>65</v>
      </c>
      <c r="F45" s="314" t="s">
        <v>66</v>
      </c>
      <c r="G45" s="49" t="s">
        <v>268</v>
      </c>
      <c r="H45" s="50" t="s">
        <v>66</v>
      </c>
      <c r="I45" s="135" t="s">
        <v>269</v>
      </c>
      <c r="J45" s="255" t="s">
        <v>188</v>
      </c>
      <c r="K45" s="135" t="s">
        <v>95</v>
      </c>
      <c r="L45" s="250">
        <v>0</v>
      </c>
      <c r="M45" s="67" t="s">
        <v>96</v>
      </c>
      <c r="N45" s="93">
        <v>0.5</v>
      </c>
      <c r="O45" s="196">
        <f>$A$9*$B$33*$C$42*$D$45*N45</f>
        <v>4.8596625000000011E-2</v>
      </c>
      <c r="P45" s="240">
        <v>0</v>
      </c>
      <c r="Q45" s="135">
        <v>10</v>
      </c>
      <c r="R45" s="260">
        <f>IF(AND(100-(P45*Q45)&gt;30,(100-(P45*Q45))&lt;=120),100-(P45*Q45),IF(100-(P45*Q45)&lt;30,0,120))</f>
        <v>100</v>
      </c>
      <c r="S45" s="95">
        <f t="shared" si="3"/>
        <v>4.8596625000000016</v>
      </c>
      <c r="T45" s="261">
        <v>0</v>
      </c>
      <c r="U45" s="261">
        <v>10</v>
      </c>
      <c r="V45" s="266">
        <f t="shared" si="4"/>
        <v>100</v>
      </c>
      <c r="W45" s="15">
        <f t="shared" si="5"/>
        <v>4.8596625000000016</v>
      </c>
      <c r="Z45" s="290">
        <f t="shared" si="0"/>
        <v>0</v>
      </c>
    </row>
    <row r="46" spans="1:26" s="13" customFormat="1" ht="63.75" customHeight="1">
      <c r="A46" s="416"/>
      <c r="B46" s="418"/>
      <c r="C46" s="320"/>
      <c r="D46" s="310"/>
      <c r="E46" s="299"/>
      <c r="F46" s="315"/>
      <c r="G46" s="135" t="s">
        <v>270</v>
      </c>
      <c r="H46" s="75" t="s">
        <v>155</v>
      </c>
      <c r="I46" s="135" t="s">
        <v>271</v>
      </c>
      <c r="J46" s="75" t="s">
        <v>208</v>
      </c>
      <c r="K46" s="135" t="s">
        <v>95</v>
      </c>
      <c r="L46" s="250">
        <v>0</v>
      </c>
      <c r="M46" s="67" t="s">
        <v>96</v>
      </c>
      <c r="N46" s="93">
        <v>0.5</v>
      </c>
      <c r="O46" s="196">
        <f>$A$9*$B$33*$C$42*$D$45*N46</f>
        <v>4.8596625000000011E-2</v>
      </c>
      <c r="P46" s="240">
        <v>0</v>
      </c>
      <c r="Q46" s="135">
        <v>10</v>
      </c>
      <c r="R46" s="260">
        <f>IF(AND(100-(P46*Q46)&gt;30,(100-(P46*Q46))&lt;=120),100-(P46*Q46),IF(100-(P46*Q46)&lt;30,0,120))</f>
        <v>100</v>
      </c>
      <c r="S46" s="95">
        <f t="shared" si="3"/>
        <v>4.8596625000000016</v>
      </c>
      <c r="T46" s="261">
        <v>0</v>
      </c>
      <c r="U46" s="261">
        <v>10</v>
      </c>
      <c r="V46" s="266">
        <f t="shared" si="4"/>
        <v>100</v>
      </c>
      <c r="W46" s="15">
        <f t="shared" si="5"/>
        <v>4.8596625000000016</v>
      </c>
      <c r="Z46" s="290">
        <f t="shared" si="0"/>
        <v>0</v>
      </c>
    </row>
    <row r="47" spans="1:26" s="13" customFormat="1" ht="33" hidden="1" customHeight="1">
      <c r="A47" s="416"/>
      <c r="B47" s="418"/>
      <c r="C47" s="320"/>
      <c r="D47" s="310"/>
      <c r="E47" s="299"/>
      <c r="F47" s="315"/>
      <c r="G47" s="186"/>
      <c r="H47" s="187"/>
      <c r="I47" s="135"/>
      <c r="J47" s="135"/>
      <c r="K47" s="135" t="s">
        <v>95</v>
      </c>
      <c r="L47" s="250">
        <v>0</v>
      </c>
      <c r="M47" s="67" t="s">
        <v>176</v>
      </c>
      <c r="N47" s="93">
        <v>0</v>
      </c>
      <c r="O47" s="196">
        <f>$A$9*$B$33*$C$42*$D$45*J47*N47</f>
        <v>0</v>
      </c>
      <c r="P47" s="240">
        <v>0</v>
      </c>
      <c r="Q47" s="135">
        <v>10</v>
      </c>
      <c r="R47" s="94">
        <f t="shared" ref="R47:R55" si="6">100-(P47-L47)*Q47</f>
        <v>100</v>
      </c>
      <c r="S47" s="95">
        <f t="shared" si="3"/>
        <v>0</v>
      </c>
      <c r="T47" s="261">
        <v>0</v>
      </c>
      <c r="U47" s="261">
        <v>10</v>
      </c>
      <c r="V47" s="266">
        <f t="shared" si="4"/>
        <v>100</v>
      </c>
      <c r="W47" s="15">
        <f t="shared" si="5"/>
        <v>0</v>
      </c>
      <c r="Z47" s="290">
        <f t="shared" si="0"/>
        <v>0</v>
      </c>
    </row>
    <row r="48" spans="1:26" s="13" customFormat="1" ht="33" hidden="1" customHeight="1">
      <c r="A48" s="416"/>
      <c r="B48" s="418"/>
      <c r="C48" s="320"/>
      <c r="D48" s="302"/>
      <c r="E48" s="300"/>
      <c r="F48" s="316"/>
      <c r="G48" s="188"/>
      <c r="H48" s="189"/>
      <c r="I48" s="135"/>
      <c r="J48" s="135"/>
      <c r="K48" s="135" t="s">
        <v>95</v>
      </c>
      <c r="L48" s="250">
        <v>0</v>
      </c>
      <c r="M48" s="67" t="s">
        <v>176</v>
      </c>
      <c r="N48" s="93">
        <v>0</v>
      </c>
      <c r="O48" s="196">
        <f>$A$9*$B$33*$C$42*$D$45*J48*N48</f>
        <v>0</v>
      </c>
      <c r="P48" s="240">
        <v>0</v>
      </c>
      <c r="Q48" s="135">
        <v>10</v>
      </c>
      <c r="R48" s="94">
        <f t="shared" si="6"/>
        <v>100</v>
      </c>
      <c r="S48" s="95">
        <f t="shared" si="3"/>
        <v>0</v>
      </c>
      <c r="T48" s="261">
        <v>0</v>
      </c>
      <c r="U48" s="261">
        <v>10</v>
      </c>
      <c r="V48" s="266">
        <f t="shared" si="4"/>
        <v>100</v>
      </c>
      <c r="W48" s="15">
        <f t="shared" si="5"/>
        <v>0</v>
      </c>
      <c r="Z48" s="290">
        <f t="shared" si="0"/>
        <v>0</v>
      </c>
    </row>
    <row r="49" spans="1:26" s="13" customFormat="1" ht="33" customHeight="1">
      <c r="A49" s="416"/>
      <c r="B49" s="418"/>
      <c r="C49" s="320"/>
      <c r="D49" s="283"/>
      <c r="E49" s="285"/>
      <c r="F49" s="287"/>
      <c r="G49" s="186"/>
      <c r="H49" s="187"/>
      <c r="I49" s="286"/>
      <c r="J49" s="286"/>
      <c r="K49" s="288"/>
      <c r="L49" s="250"/>
      <c r="M49" s="286"/>
      <c r="N49" s="93"/>
      <c r="O49" s="196"/>
      <c r="P49" s="240"/>
      <c r="Q49" s="288"/>
      <c r="R49" s="94"/>
      <c r="S49" s="95"/>
      <c r="T49" s="284"/>
      <c r="U49" s="284"/>
      <c r="V49" s="266"/>
      <c r="W49" s="15"/>
      <c r="Z49" s="290"/>
    </row>
    <row r="50" spans="1:26" s="13" customFormat="1" ht="60" customHeight="1">
      <c r="A50" s="416"/>
      <c r="B50" s="418"/>
      <c r="C50" s="320"/>
      <c r="D50" s="301">
        <v>0.16</v>
      </c>
      <c r="E50" s="298" t="s">
        <v>67</v>
      </c>
      <c r="F50" s="314" t="s">
        <v>68</v>
      </c>
      <c r="G50" s="298" t="s">
        <v>272</v>
      </c>
      <c r="H50" s="314" t="s">
        <v>68</v>
      </c>
      <c r="I50" s="298" t="s">
        <v>273</v>
      </c>
      <c r="J50" s="337" t="s">
        <v>189</v>
      </c>
      <c r="K50" s="135" t="s">
        <v>95</v>
      </c>
      <c r="L50" s="250">
        <v>0</v>
      </c>
      <c r="M50" s="67" t="s">
        <v>96</v>
      </c>
      <c r="N50" s="93">
        <v>1</v>
      </c>
      <c r="O50" s="196">
        <f>$A$9*$B$33*$C$42*$D$50*N50</f>
        <v>4.7124000000000006E-2</v>
      </c>
      <c r="P50" s="240">
        <v>0</v>
      </c>
      <c r="Q50" s="135">
        <v>10</v>
      </c>
      <c r="R50" s="260">
        <f>IF(AND(100-(P50*Q50)&gt;30,(100-(P50*Q50))&lt;=120),100-(P50*Q50),IF(100-(P50*Q50)&lt;30,0,120))</f>
        <v>100</v>
      </c>
      <c r="S50" s="95">
        <f t="shared" si="3"/>
        <v>4.7124000000000006</v>
      </c>
      <c r="T50" s="17">
        <v>0</v>
      </c>
      <c r="U50" s="282">
        <v>10</v>
      </c>
      <c r="V50" s="266">
        <f>100-(X50-3)*10</f>
        <v>77.400000000000006</v>
      </c>
      <c r="W50" s="289">
        <f t="shared" si="5"/>
        <v>3.6473976000000006</v>
      </c>
      <c r="X50" s="13">
        <v>5.26</v>
      </c>
      <c r="Z50" s="290">
        <f t="shared" si="0"/>
        <v>-1.0650024</v>
      </c>
    </row>
    <row r="51" spans="1:26" s="13" customFormat="1" ht="48.75" hidden="1" customHeight="1">
      <c r="A51" s="416"/>
      <c r="B51" s="418"/>
      <c r="C51" s="320"/>
      <c r="D51" s="310"/>
      <c r="E51" s="299"/>
      <c r="F51" s="315"/>
      <c r="G51" s="299"/>
      <c r="H51" s="315"/>
      <c r="I51" s="299"/>
      <c r="J51" s="344"/>
      <c r="K51" s="135" t="s">
        <v>95</v>
      </c>
      <c r="L51" s="250">
        <v>0</v>
      </c>
      <c r="M51" s="67" t="s">
        <v>96</v>
      </c>
      <c r="N51" s="93">
        <v>0</v>
      </c>
      <c r="O51" s="196">
        <f>$A$9*$B$33*$C$42*$D$50*J51*N51</f>
        <v>0</v>
      </c>
      <c r="P51" s="240">
        <v>0</v>
      </c>
      <c r="Q51" s="135">
        <v>10</v>
      </c>
      <c r="R51" s="94">
        <f t="shared" si="6"/>
        <v>100</v>
      </c>
      <c r="S51" s="95">
        <f t="shared" si="3"/>
        <v>0</v>
      </c>
      <c r="T51" s="261">
        <v>0</v>
      </c>
      <c r="U51" s="261">
        <v>10</v>
      </c>
      <c r="V51" s="266">
        <f t="shared" si="4"/>
        <v>100</v>
      </c>
      <c r="W51" s="15">
        <f t="shared" si="5"/>
        <v>0</v>
      </c>
      <c r="Z51" s="290">
        <f t="shared" si="0"/>
        <v>0</v>
      </c>
    </row>
    <row r="52" spans="1:26" s="13" customFormat="1" ht="47.25" hidden="1" customHeight="1">
      <c r="A52" s="416"/>
      <c r="B52" s="418"/>
      <c r="C52" s="320"/>
      <c r="D52" s="302"/>
      <c r="E52" s="300"/>
      <c r="F52" s="316"/>
      <c r="G52" s="300"/>
      <c r="H52" s="316"/>
      <c r="I52" s="300"/>
      <c r="J52" s="338"/>
      <c r="K52" s="135" t="s">
        <v>95</v>
      </c>
      <c r="L52" s="250">
        <v>0</v>
      </c>
      <c r="M52" s="67" t="s">
        <v>96</v>
      </c>
      <c r="N52" s="93">
        <v>0</v>
      </c>
      <c r="O52" s="196">
        <f>$A$9*$B$33*$C$42*$D$50*J52*N52</f>
        <v>0</v>
      </c>
      <c r="P52" s="240">
        <v>0</v>
      </c>
      <c r="Q52" s="135">
        <v>10</v>
      </c>
      <c r="R52" s="94">
        <f t="shared" si="6"/>
        <v>100</v>
      </c>
      <c r="S52" s="95">
        <f t="shared" si="3"/>
        <v>0</v>
      </c>
      <c r="T52" s="261">
        <v>0</v>
      </c>
      <c r="U52" s="261">
        <v>10</v>
      </c>
      <c r="V52" s="266">
        <f t="shared" si="4"/>
        <v>100</v>
      </c>
      <c r="W52" s="15">
        <f t="shared" si="5"/>
        <v>0</v>
      </c>
      <c r="Z52" s="290">
        <f t="shared" si="0"/>
        <v>0</v>
      </c>
    </row>
    <row r="53" spans="1:26" s="13" customFormat="1" ht="47.25" customHeight="1">
      <c r="A53" s="416"/>
      <c r="B53" s="418"/>
      <c r="C53" s="320"/>
      <c r="D53" s="301">
        <v>0.11</v>
      </c>
      <c r="E53" s="298" t="s">
        <v>69</v>
      </c>
      <c r="F53" s="314" t="s">
        <v>70</v>
      </c>
      <c r="G53" s="298" t="s">
        <v>274</v>
      </c>
      <c r="H53" s="314" t="s">
        <v>70</v>
      </c>
      <c r="I53" s="298" t="s">
        <v>275</v>
      </c>
      <c r="J53" s="337" t="s">
        <v>190</v>
      </c>
      <c r="K53" s="135" t="s">
        <v>95</v>
      </c>
      <c r="L53" s="250">
        <v>0</v>
      </c>
      <c r="M53" s="67" t="s">
        <v>176</v>
      </c>
      <c r="N53" s="93">
        <v>1</v>
      </c>
      <c r="O53" s="196">
        <f>$A$9*$B$33*$C$42*$D$53*N53</f>
        <v>3.2397750000000003E-2</v>
      </c>
      <c r="P53" s="240">
        <v>0</v>
      </c>
      <c r="Q53" s="135">
        <v>10</v>
      </c>
      <c r="R53" s="260">
        <f>IF(AND(100-(P53*Q53)&gt;30,(100-(P53*Q53))&lt;=120),100-(P53*Q53),IF(100-(P53*Q53)&lt;30,0,120))</f>
        <v>100</v>
      </c>
      <c r="S53" s="95">
        <f t="shared" si="3"/>
        <v>3.2397750000000003</v>
      </c>
      <c r="T53" s="261">
        <v>0</v>
      </c>
      <c r="U53" s="261">
        <v>10</v>
      </c>
      <c r="V53" s="266">
        <f t="shared" si="4"/>
        <v>100</v>
      </c>
      <c r="W53" s="15">
        <f t="shared" si="5"/>
        <v>3.2397750000000003</v>
      </c>
      <c r="Y53" s="13">
        <f>19/247%</f>
        <v>7.6923076923076916</v>
      </c>
      <c r="Z53" s="290">
        <f t="shared" si="0"/>
        <v>0</v>
      </c>
    </row>
    <row r="54" spans="1:26" s="13" customFormat="1" ht="47.25" hidden="1" customHeight="1">
      <c r="A54" s="416"/>
      <c r="B54" s="418"/>
      <c r="C54" s="320"/>
      <c r="D54" s="310"/>
      <c r="E54" s="299"/>
      <c r="F54" s="315"/>
      <c r="G54" s="299"/>
      <c r="H54" s="315"/>
      <c r="I54" s="299"/>
      <c r="J54" s="344"/>
      <c r="K54" s="135" t="s">
        <v>95</v>
      </c>
      <c r="L54" s="250">
        <v>0</v>
      </c>
      <c r="M54" s="67" t="s">
        <v>176</v>
      </c>
      <c r="N54" s="93">
        <v>0</v>
      </c>
      <c r="O54" s="196">
        <f>$A$9*$B$33*$C$42*$D$53*J54*N54</f>
        <v>0</v>
      </c>
      <c r="P54" s="240">
        <v>0</v>
      </c>
      <c r="Q54" s="135">
        <v>10</v>
      </c>
      <c r="R54" s="94">
        <f t="shared" si="6"/>
        <v>100</v>
      </c>
      <c r="S54" s="95">
        <f t="shared" si="3"/>
        <v>0</v>
      </c>
      <c r="T54" s="261">
        <v>0</v>
      </c>
      <c r="U54" s="261">
        <v>10</v>
      </c>
      <c r="V54" s="266">
        <f t="shared" si="4"/>
        <v>100</v>
      </c>
      <c r="W54" s="15">
        <f t="shared" si="5"/>
        <v>0</v>
      </c>
      <c r="Z54" s="290">
        <f t="shared" si="0"/>
        <v>0</v>
      </c>
    </row>
    <row r="55" spans="1:26" s="13" customFormat="1" ht="44.25" hidden="1" customHeight="1">
      <c r="A55" s="416"/>
      <c r="B55" s="418"/>
      <c r="C55" s="320"/>
      <c r="D55" s="302"/>
      <c r="E55" s="300"/>
      <c r="F55" s="316"/>
      <c r="G55" s="300"/>
      <c r="H55" s="316"/>
      <c r="I55" s="300"/>
      <c r="J55" s="338"/>
      <c r="K55" s="135" t="s">
        <v>95</v>
      </c>
      <c r="L55" s="250">
        <v>0</v>
      </c>
      <c r="M55" s="67" t="s">
        <v>176</v>
      </c>
      <c r="N55" s="93">
        <v>0</v>
      </c>
      <c r="O55" s="196">
        <f>$A$9*$B$33*$C$42*$D$53*J55*N55</f>
        <v>0</v>
      </c>
      <c r="P55" s="240">
        <v>0</v>
      </c>
      <c r="Q55" s="135">
        <v>10</v>
      </c>
      <c r="R55" s="94">
        <f t="shared" si="6"/>
        <v>100</v>
      </c>
      <c r="S55" s="95">
        <f t="shared" si="3"/>
        <v>0</v>
      </c>
      <c r="T55" s="261">
        <v>0</v>
      </c>
      <c r="U55" s="261">
        <v>10</v>
      </c>
      <c r="V55" s="266">
        <f t="shared" si="4"/>
        <v>100</v>
      </c>
      <c r="W55" s="15">
        <f t="shared" si="5"/>
        <v>0</v>
      </c>
      <c r="Z55" s="290">
        <f t="shared" si="0"/>
        <v>0</v>
      </c>
    </row>
    <row r="56" spans="1:26" s="13" customFormat="1" ht="46.5" customHeight="1">
      <c r="A56" s="416"/>
      <c r="B56" s="418"/>
      <c r="C56" s="320"/>
      <c r="D56" s="201">
        <v>0</v>
      </c>
      <c r="E56" s="72" t="s">
        <v>71</v>
      </c>
      <c r="F56" s="67" t="s">
        <v>72</v>
      </c>
      <c r="G56" s="72" t="s">
        <v>276</v>
      </c>
      <c r="H56" s="67" t="s">
        <v>72</v>
      </c>
      <c r="I56" s="72" t="s">
        <v>277</v>
      </c>
      <c r="J56" s="237" t="s">
        <v>191</v>
      </c>
      <c r="K56" s="135" t="s">
        <v>95</v>
      </c>
      <c r="L56" s="250">
        <v>0</v>
      </c>
      <c r="M56" s="67" t="s">
        <v>96</v>
      </c>
      <c r="N56" s="93">
        <v>1</v>
      </c>
      <c r="O56" s="196">
        <f>$A$9*$B$33*$C$42*$D$53*N56</f>
        <v>3.2397750000000003E-2</v>
      </c>
      <c r="P56" s="240">
        <v>0</v>
      </c>
      <c r="Q56" s="135">
        <v>10</v>
      </c>
      <c r="R56" s="260">
        <f>IF(AND(100-(P56*Q56)&gt;30,(100-(P56*Q56))&lt;=120),100-(P56*Q56),IF(100-(P56*Q56)&lt;30,0,120))</f>
        <v>100</v>
      </c>
      <c r="S56" s="95">
        <f t="shared" si="3"/>
        <v>3.2397750000000003</v>
      </c>
      <c r="T56" s="261">
        <v>0</v>
      </c>
      <c r="U56" s="261">
        <v>10</v>
      </c>
      <c r="V56" s="266">
        <f t="shared" si="4"/>
        <v>100</v>
      </c>
      <c r="W56" s="15">
        <f t="shared" si="5"/>
        <v>3.2397750000000003</v>
      </c>
      <c r="Z56" s="290">
        <f t="shared" si="0"/>
        <v>0</v>
      </c>
    </row>
    <row r="57" spans="1:26" s="13" customFormat="1" ht="33" customHeight="1">
      <c r="A57" s="416"/>
      <c r="B57" s="418"/>
      <c r="C57" s="311">
        <v>0</v>
      </c>
      <c r="D57" s="90"/>
      <c r="E57" s="107" t="s">
        <v>137</v>
      </c>
      <c r="F57" s="341" t="s">
        <v>44</v>
      </c>
      <c r="G57" s="342"/>
      <c r="H57" s="342"/>
      <c r="I57" s="342"/>
      <c r="J57" s="342"/>
      <c r="K57" s="342"/>
      <c r="L57" s="342"/>
      <c r="M57" s="343"/>
      <c r="N57" s="124"/>
      <c r="O57" s="124"/>
      <c r="P57" s="131"/>
      <c r="Q57" s="131"/>
      <c r="R57" s="131"/>
      <c r="S57" s="133"/>
      <c r="T57" s="134"/>
      <c r="U57" s="134"/>
      <c r="V57" s="126"/>
      <c r="W57" s="127"/>
      <c r="Z57" s="290">
        <f t="shared" si="0"/>
        <v>0</v>
      </c>
    </row>
    <row r="58" spans="1:26" s="13" customFormat="1" ht="84" hidden="1" customHeight="1">
      <c r="A58" s="416"/>
      <c r="B58" s="418"/>
      <c r="C58" s="320"/>
      <c r="D58" s="201">
        <v>0</v>
      </c>
      <c r="E58" s="72" t="s">
        <v>73</v>
      </c>
      <c r="F58" s="67" t="s">
        <v>74</v>
      </c>
      <c r="G58" s="72" t="s">
        <v>278</v>
      </c>
      <c r="H58" s="67" t="s">
        <v>74</v>
      </c>
      <c r="I58" s="72" t="s">
        <v>279</v>
      </c>
      <c r="J58" s="237" t="s">
        <v>209</v>
      </c>
      <c r="K58" s="135" t="s">
        <v>95</v>
      </c>
      <c r="L58" s="250">
        <v>0</v>
      </c>
      <c r="M58" s="67" t="s">
        <v>96</v>
      </c>
      <c r="N58" s="93">
        <v>1</v>
      </c>
      <c r="O58" s="196">
        <f>$A$9*$B$33*$C$57*$D$58*N58</f>
        <v>0</v>
      </c>
      <c r="P58" s="240">
        <v>0</v>
      </c>
      <c r="Q58" s="135">
        <v>10</v>
      </c>
      <c r="R58" s="94">
        <f>100-(P58-L58)*Q58</f>
        <v>100</v>
      </c>
      <c r="S58" s="95">
        <f t="shared" si="3"/>
        <v>0</v>
      </c>
      <c r="T58" s="261">
        <v>0</v>
      </c>
      <c r="U58" s="261">
        <v>10</v>
      </c>
      <c r="V58" s="266">
        <f>100-U58*T58</f>
        <v>100</v>
      </c>
      <c r="W58" s="15">
        <f>V58*O58</f>
        <v>0</v>
      </c>
      <c r="Z58" s="290">
        <f t="shared" si="0"/>
        <v>0</v>
      </c>
    </row>
    <row r="59" spans="1:26" s="13" customFormat="1" ht="27" customHeight="1">
      <c r="A59" s="416"/>
      <c r="B59" s="418"/>
      <c r="C59" s="311">
        <v>0.15</v>
      </c>
      <c r="D59" s="90"/>
      <c r="E59" s="107" t="s">
        <v>138</v>
      </c>
      <c r="F59" s="341" t="s">
        <v>45</v>
      </c>
      <c r="G59" s="342"/>
      <c r="H59" s="342"/>
      <c r="I59" s="342"/>
      <c r="J59" s="342"/>
      <c r="K59" s="342"/>
      <c r="L59" s="342"/>
      <c r="M59" s="343"/>
      <c r="N59" s="124"/>
      <c r="O59" s="124"/>
      <c r="P59" s="131"/>
      <c r="Q59" s="131"/>
      <c r="R59" s="131"/>
      <c r="S59" s="133"/>
      <c r="T59" s="134"/>
      <c r="U59" s="134"/>
      <c r="V59" s="126"/>
      <c r="W59" s="127"/>
      <c r="Y59" s="13">
        <f>31/299%</f>
        <v>10.367892976588628</v>
      </c>
      <c r="Z59" s="290">
        <f t="shared" si="0"/>
        <v>0</v>
      </c>
    </row>
    <row r="60" spans="1:26" s="13" customFormat="1" ht="51.75" customHeight="1">
      <c r="A60" s="416"/>
      <c r="B60" s="418"/>
      <c r="C60" s="320"/>
      <c r="D60" s="201">
        <v>1</v>
      </c>
      <c r="E60" s="72" t="s">
        <v>75</v>
      </c>
      <c r="F60" s="67" t="s">
        <v>76</v>
      </c>
      <c r="G60" s="72" t="s">
        <v>280</v>
      </c>
      <c r="H60" s="67" t="s">
        <v>76</v>
      </c>
      <c r="I60" s="72" t="s">
        <v>281</v>
      </c>
      <c r="J60" s="257" t="s">
        <v>336</v>
      </c>
      <c r="K60" s="135" t="s">
        <v>95</v>
      </c>
      <c r="L60" s="250">
        <v>3</v>
      </c>
      <c r="M60" s="135" t="s">
        <v>96</v>
      </c>
      <c r="N60" s="93">
        <v>1</v>
      </c>
      <c r="O60" s="196">
        <f>$A$9*$B$33*$C$59*$D$60*N60</f>
        <v>8.0324999999999994E-2</v>
      </c>
      <c r="P60" s="240">
        <v>7.7</v>
      </c>
      <c r="Q60" s="135">
        <f>P60-L60</f>
        <v>4.7</v>
      </c>
      <c r="R60" s="260">
        <f>IF(AND(100-(10*Q60)&gt;30,(100-(10*Q60))&lt;=100),100-(10*Q60),IF(100-(10*Q60)&lt;30,0,100))</f>
        <v>53</v>
      </c>
      <c r="S60" s="95">
        <f t="shared" si="3"/>
        <v>4.257225</v>
      </c>
      <c r="T60" s="261">
        <v>0</v>
      </c>
      <c r="U60" s="261">
        <v>10</v>
      </c>
      <c r="V60" s="266">
        <f>100-U60*T60</f>
        <v>100</v>
      </c>
      <c r="W60" s="15">
        <f>V60*O60</f>
        <v>8.0324999999999989</v>
      </c>
      <c r="Z60" s="290">
        <f t="shared" si="0"/>
        <v>3.7752749999999988</v>
      </c>
    </row>
    <row r="61" spans="1:26" s="13" customFormat="1" ht="52.5" hidden="1" customHeight="1">
      <c r="A61" s="416"/>
      <c r="B61" s="418"/>
      <c r="C61" s="320"/>
      <c r="D61" s="201">
        <v>0</v>
      </c>
      <c r="E61" s="72" t="s">
        <v>77</v>
      </c>
      <c r="F61" s="67" t="s">
        <v>78</v>
      </c>
      <c r="G61" s="72" t="s">
        <v>310</v>
      </c>
      <c r="H61" s="67" t="s">
        <v>78</v>
      </c>
      <c r="I61" s="72" t="s">
        <v>282</v>
      </c>
      <c r="J61" s="237" t="s">
        <v>192</v>
      </c>
      <c r="K61" s="135" t="s">
        <v>95</v>
      </c>
      <c r="L61" s="250">
        <v>0</v>
      </c>
      <c r="M61" s="135" t="s">
        <v>96</v>
      </c>
      <c r="N61" s="93">
        <v>1</v>
      </c>
      <c r="O61" s="197">
        <f>$A$9*$B$33*$C$59*$D$61*N61</f>
        <v>0</v>
      </c>
      <c r="P61" s="240">
        <v>0</v>
      </c>
      <c r="Q61" s="135">
        <v>10</v>
      </c>
      <c r="R61" s="94">
        <f>100-(P61-L61)*Q61</f>
        <v>100</v>
      </c>
      <c r="S61" s="95">
        <f t="shared" si="3"/>
        <v>0</v>
      </c>
      <c r="T61" s="261">
        <v>0</v>
      </c>
      <c r="U61" s="261">
        <v>10</v>
      </c>
      <c r="V61" s="266">
        <f>100-U61*T61</f>
        <v>100</v>
      </c>
      <c r="W61" s="15">
        <f>V61*O61</f>
        <v>0</v>
      </c>
      <c r="Z61" s="290">
        <f t="shared" si="0"/>
        <v>0</v>
      </c>
    </row>
    <row r="62" spans="1:26" s="13" customFormat="1" ht="23.25" customHeight="1">
      <c r="A62" s="416"/>
      <c r="B62" s="418"/>
      <c r="C62" s="311">
        <v>0.04</v>
      </c>
      <c r="D62" s="87"/>
      <c r="E62" s="107" t="s">
        <v>131</v>
      </c>
      <c r="F62" s="341" t="s">
        <v>46</v>
      </c>
      <c r="G62" s="342"/>
      <c r="H62" s="342"/>
      <c r="I62" s="342"/>
      <c r="J62" s="342"/>
      <c r="K62" s="342"/>
      <c r="L62" s="342"/>
      <c r="M62" s="343"/>
      <c r="N62" s="124"/>
      <c r="O62" s="124"/>
      <c r="P62" s="131"/>
      <c r="Q62" s="131"/>
      <c r="R62" s="131"/>
      <c r="S62" s="131"/>
      <c r="T62" s="134"/>
      <c r="U62" s="134"/>
      <c r="V62" s="126"/>
      <c r="W62" s="127"/>
      <c r="Z62" s="290">
        <f t="shared" si="0"/>
        <v>0</v>
      </c>
    </row>
    <row r="63" spans="1:26" s="13" customFormat="1" ht="45.75" customHeight="1">
      <c r="A63" s="416"/>
      <c r="B63" s="418"/>
      <c r="C63" s="320"/>
      <c r="D63" s="185">
        <v>1</v>
      </c>
      <c r="E63" s="54" t="s">
        <v>47</v>
      </c>
      <c r="F63" s="135" t="s">
        <v>48</v>
      </c>
      <c r="G63" s="54" t="s">
        <v>283</v>
      </c>
      <c r="H63" s="135" t="s">
        <v>48</v>
      </c>
      <c r="I63" s="54" t="s">
        <v>284</v>
      </c>
      <c r="J63" s="256" t="s">
        <v>193</v>
      </c>
      <c r="K63" s="135" t="s">
        <v>95</v>
      </c>
      <c r="L63" s="250">
        <v>0</v>
      </c>
      <c r="M63" s="135" t="s">
        <v>96</v>
      </c>
      <c r="N63" s="93">
        <v>1</v>
      </c>
      <c r="O63" s="197">
        <f>$A$9*$B$33*$C$62*$D$63*N63</f>
        <v>2.1419999999999998E-2</v>
      </c>
      <c r="P63" s="240">
        <v>0</v>
      </c>
      <c r="Q63" s="135">
        <v>10</v>
      </c>
      <c r="R63" s="260">
        <f>IF(AND(100-(P63*Q63)&gt;30,(100-(P63*Q63))&lt;=120),100-(P63*Q63),IF(100-(P63*Q63)&lt;30,0,120))</f>
        <v>100</v>
      </c>
      <c r="S63" s="95">
        <f>R63*O63</f>
        <v>2.1419999999999999</v>
      </c>
      <c r="T63" s="261">
        <v>0</v>
      </c>
      <c r="U63" s="261">
        <v>10</v>
      </c>
      <c r="V63" s="266">
        <f>100-U63*T63</f>
        <v>100</v>
      </c>
      <c r="W63" s="15">
        <f>V63*O63</f>
        <v>2.1419999999999999</v>
      </c>
      <c r="Z63" s="290">
        <f t="shared" si="0"/>
        <v>0</v>
      </c>
    </row>
    <row r="64" spans="1:26" s="13" customFormat="1" ht="39.75" hidden="1" customHeight="1">
      <c r="A64" s="416"/>
      <c r="B64" s="418"/>
      <c r="C64" s="320"/>
      <c r="D64" s="301">
        <v>0</v>
      </c>
      <c r="E64" s="298" t="s">
        <v>49</v>
      </c>
      <c r="F64" s="314" t="s">
        <v>50</v>
      </c>
      <c r="G64" s="298" t="s">
        <v>49</v>
      </c>
      <c r="H64" s="314" t="s">
        <v>50</v>
      </c>
      <c r="I64" s="298" t="s">
        <v>49</v>
      </c>
      <c r="J64" s="314" t="s">
        <v>181</v>
      </c>
      <c r="K64" s="135" t="s">
        <v>95</v>
      </c>
      <c r="L64" s="250">
        <v>0</v>
      </c>
      <c r="M64" s="135" t="s">
        <v>96</v>
      </c>
      <c r="N64" s="93">
        <v>0</v>
      </c>
      <c r="O64" s="197"/>
      <c r="P64" s="240">
        <v>0</v>
      </c>
      <c r="Q64" s="135">
        <v>10</v>
      </c>
      <c r="R64" s="94">
        <f>100-(P64-L64)*Q64</f>
        <v>100</v>
      </c>
      <c r="S64" s="95">
        <f t="shared" ref="S64:S91" si="7">R64*O64</f>
        <v>0</v>
      </c>
      <c r="T64" s="22"/>
      <c r="U64" s="22"/>
      <c r="V64" s="19"/>
      <c r="W64" s="21"/>
      <c r="Z64" s="290">
        <f t="shared" si="0"/>
        <v>0</v>
      </c>
    </row>
    <row r="65" spans="1:26" s="13" customFormat="1" ht="51.75" hidden="1" customHeight="1">
      <c r="A65" s="416"/>
      <c r="B65" s="418"/>
      <c r="C65" s="320"/>
      <c r="D65" s="310"/>
      <c r="E65" s="299"/>
      <c r="F65" s="315"/>
      <c r="G65" s="299"/>
      <c r="H65" s="315"/>
      <c r="I65" s="299"/>
      <c r="J65" s="315"/>
      <c r="K65" s="135" t="s">
        <v>95</v>
      </c>
      <c r="L65" s="250">
        <v>0</v>
      </c>
      <c r="M65" s="135" t="s">
        <v>25</v>
      </c>
      <c r="N65" s="93">
        <v>0</v>
      </c>
      <c r="O65" s="197">
        <f>$A$9*$B$33*$C$62*$D$64*J65*N65</f>
        <v>0</v>
      </c>
      <c r="P65" s="240">
        <v>0</v>
      </c>
      <c r="Q65" s="50"/>
      <c r="R65" s="94">
        <f>100-(P65-L65)*10</f>
        <v>100</v>
      </c>
      <c r="S65" s="95">
        <f t="shared" si="7"/>
        <v>0</v>
      </c>
      <c r="T65" s="22"/>
      <c r="U65" s="22"/>
      <c r="V65" s="19"/>
      <c r="W65" s="21"/>
      <c r="Z65" s="290">
        <f t="shared" si="0"/>
        <v>0</v>
      </c>
    </row>
    <row r="66" spans="1:26" s="13" customFormat="1" ht="30.95" hidden="1" customHeight="1">
      <c r="A66" s="416"/>
      <c r="B66" s="418"/>
      <c r="C66" s="321"/>
      <c r="D66" s="302"/>
      <c r="E66" s="300"/>
      <c r="F66" s="316"/>
      <c r="G66" s="300"/>
      <c r="H66" s="316"/>
      <c r="I66" s="300"/>
      <c r="J66" s="316"/>
      <c r="K66" s="135" t="s">
        <v>95</v>
      </c>
      <c r="L66" s="250">
        <v>0</v>
      </c>
      <c r="M66" s="135" t="s">
        <v>25</v>
      </c>
      <c r="N66" s="93">
        <v>0</v>
      </c>
      <c r="O66" s="197">
        <f>$A$9*$B$33*$C$62*$D$64*J66*N66</f>
        <v>0</v>
      </c>
      <c r="P66" s="240">
        <v>0</v>
      </c>
      <c r="Q66" s="50"/>
      <c r="R66" s="94">
        <f>100-(P66-L66)*10</f>
        <v>100</v>
      </c>
      <c r="S66" s="95">
        <f t="shared" si="7"/>
        <v>0</v>
      </c>
      <c r="T66" s="22"/>
      <c r="U66" s="22"/>
      <c r="V66" s="19"/>
      <c r="W66" s="21"/>
      <c r="Z66" s="290">
        <f t="shared" si="0"/>
        <v>0</v>
      </c>
    </row>
    <row r="67" spans="1:26" s="13" customFormat="1" ht="21.6" customHeight="1">
      <c r="A67" s="416"/>
      <c r="B67" s="418"/>
      <c r="C67" s="311"/>
      <c r="D67" s="90"/>
      <c r="E67" s="107" t="s">
        <v>132</v>
      </c>
      <c r="F67" s="317" t="s">
        <v>110</v>
      </c>
      <c r="G67" s="318"/>
      <c r="H67" s="318"/>
      <c r="I67" s="318"/>
      <c r="J67" s="318"/>
      <c r="K67" s="318"/>
      <c r="L67" s="318"/>
      <c r="M67" s="319"/>
      <c r="N67" s="124"/>
      <c r="O67" s="198"/>
      <c r="P67" s="131"/>
      <c r="Q67" s="131"/>
      <c r="R67" s="131"/>
      <c r="S67" s="133"/>
      <c r="T67" s="134"/>
      <c r="U67" s="134"/>
      <c r="V67" s="126"/>
      <c r="W67" s="127"/>
      <c r="Z67" s="290">
        <f t="shared" si="0"/>
        <v>0</v>
      </c>
    </row>
    <row r="68" spans="1:26" s="13" customFormat="1" ht="49.5" hidden="1" customHeight="1">
      <c r="A68" s="416"/>
      <c r="B68" s="418"/>
      <c r="C68" s="312"/>
      <c r="D68" s="310">
        <v>1</v>
      </c>
      <c r="E68" s="298" t="s">
        <v>51</v>
      </c>
      <c r="F68" s="296" t="s">
        <v>52</v>
      </c>
      <c r="G68" s="298" t="s">
        <v>285</v>
      </c>
      <c r="H68" s="296" t="s">
        <v>52</v>
      </c>
      <c r="I68" s="298" t="s">
        <v>287</v>
      </c>
      <c r="J68" s="296" t="s">
        <v>194</v>
      </c>
      <c r="K68" s="135" t="s">
        <v>95</v>
      </c>
      <c r="L68" s="250">
        <v>0</v>
      </c>
      <c r="M68" s="135" t="s">
        <v>96</v>
      </c>
      <c r="N68" s="93">
        <v>1</v>
      </c>
      <c r="O68" s="197">
        <f>$A$9*$B$33*$C$67*$D$68*N68</f>
        <v>0</v>
      </c>
      <c r="P68" s="240">
        <v>0</v>
      </c>
      <c r="Q68" s="135">
        <v>10</v>
      </c>
      <c r="R68" s="94">
        <f>100-(P68-L68)*Q68</f>
        <v>100</v>
      </c>
      <c r="S68" s="95">
        <f t="shared" si="7"/>
        <v>0</v>
      </c>
      <c r="T68" s="22"/>
      <c r="U68" s="22"/>
      <c r="V68" s="19"/>
      <c r="W68" s="21"/>
      <c r="Z68" s="290">
        <f t="shared" si="0"/>
        <v>0</v>
      </c>
    </row>
    <row r="69" spans="1:26" s="13" customFormat="1" ht="33" hidden="1" customHeight="1">
      <c r="A69" s="416"/>
      <c r="B69" s="418"/>
      <c r="C69" s="320"/>
      <c r="D69" s="302"/>
      <c r="E69" s="300"/>
      <c r="F69" s="297"/>
      <c r="G69" s="300"/>
      <c r="H69" s="297"/>
      <c r="I69" s="300"/>
      <c r="J69" s="297"/>
      <c r="K69" s="135" t="s">
        <v>95</v>
      </c>
      <c r="L69" s="250">
        <v>0</v>
      </c>
      <c r="M69" s="135" t="s">
        <v>96</v>
      </c>
      <c r="N69" s="93">
        <v>0</v>
      </c>
      <c r="O69" s="197">
        <f>$A$9*$B$33*$C$67*$D$68*J69*N69</f>
        <v>0</v>
      </c>
      <c r="P69" s="240">
        <v>0</v>
      </c>
      <c r="Q69" s="135">
        <v>10</v>
      </c>
      <c r="R69" s="94">
        <f>100-(P69-L69)*Q69</f>
        <v>100</v>
      </c>
      <c r="S69" s="95">
        <f t="shared" si="7"/>
        <v>0</v>
      </c>
      <c r="T69" s="22"/>
      <c r="U69" s="22"/>
      <c r="V69" s="19"/>
      <c r="W69" s="21"/>
      <c r="Z69" s="290">
        <f t="shared" si="0"/>
        <v>0</v>
      </c>
    </row>
    <row r="70" spans="1:26" s="13" customFormat="1" ht="30" hidden="1" customHeight="1">
      <c r="A70" s="416"/>
      <c r="B70" s="418"/>
      <c r="C70" s="320"/>
      <c r="D70" s="185">
        <v>0</v>
      </c>
      <c r="E70" s="54" t="s">
        <v>79</v>
      </c>
      <c r="F70" s="135" t="s">
        <v>80</v>
      </c>
      <c r="G70" s="54" t="s">
        <v>79</v>
      </c>
      <c r="H70" s="135" t="s">
        <v>80</v>
      </c>
      <c r="I70" s="54" t="s">
        <v>79</v>
      </c>
      <c r="J70" s="135" t="s">
        <v>182</v>
      </c>
      <c r="K70" s="135" t="s">
        <v>95</v>
      </c>
      <c r="L70" s="250">
        <v>0</v>
      </c>
      <c r="M70" s="135" t="s">
        <v>96</v>
      </c>
      <c r="N70" s="93">
        <v>0</v>
      </c>
      <c r="O70" s="197"/>
      <c r="P70" s="240">
        <v>0</v>
      </c>
      <c r="Q70" s="135">
        <v>10</v>
      </c>
      <c r="R70" s="94">
        <f>100-(P70-L70)*Q70</f>
        <v>100</v>
      </c>
      <c r="S70" s="95">
        <f t="shared" si="7"/>
        <v>0</v>
      </c>
      <c r="T70" s="22"/>
      <c r="U70" s="22"/>
      <c r="V70" s="19"/>
      <c r="W70" s="21"/>
      <c r="Z70" s="290">
        <f t="shared" si="0"/>
        <v>0</v>
      </c>
    </row>
    <row r="71" spans="1:26" s="13" customFormat="1" ht="30" hidden="1" customHeight="1">
      <c r="A71" s="416"/>
      <c r="B71" s="418"/>
      <c r="C71" s="320"/>
      <c r="D71" s="301">
        <v>0</v>
      </c>
      <c r="E71" s="298" t="s">
        <v>145</v>
      </c>
      <c r="F71" s="314" t="s">
        <v>81</v>
      </c>
      <c r="G71" s="298" t="s">
        <v>145</v>
      </c>
      <c r="H71" s="314" t="s">
        <v>81</v>
      </c>
      <c r="I71" s="298" t="s">
        <v>145</v>
      </c>
      <c r="J71" s="314" t="s">
        <v>183</v>
      </c>
      <c r="K71" s="135" t="s">
        <v>95</v>
      </c>
      <c r="L71" s="250">
        <v>0</v>
      </c>
      <c r="M71" s="135" t="s">
        <v>96</v>
      </c>
      <c r="N71" s="93">
        <v>0</v>
      </c>
      <c r="O71" s="197"/>
      <c r="P71" s="240">
        <v>0</v>
      </c>
      <c r="Q71" s="135">
        <v>10</v>
      </c>
      <c r="R71" s="94">
        <f>100-(P71-L71)*Q71</f>
        <v>100</v>
      </c>
      <c r="S71" s="95">
        <f t="shared" si="7"/>
        <v>0</v>
      </c>
      <c r="T71" s="22"/>
      <c r="U71" s="22"/>
      <c r="V71" s="19"/>
      <c r="W71" s="21"/>
      <c r="Z71" s="290">
        <f t="shared" si="0"/>
        <v>0</v>
      </c>
    </row>
    <row r="72" spans="1:26" s="13" customFormat="1" ht="30" hidden="1" customHeight="1">
      <c r="A72" s="416"/>
      <c r="B72" s="418"/>
      <c r="C72" s="320"/>
      <c r="D72" s="310"/>
      <c r="E72" s="299"/>
      <c r="F72" s="315"/>
      <c r="G72" s="299"/>
      <c r="H72" s="315"/>
      <c r="I72" s="299"/>
      <c r="J72" s="315"/>
      <c r="K72" s="135" t="s">
        <v>95</v>
      </c>
      <c r="L72" s="250">
        <v>0</v>
      </c>
      <c r="M72" s="135" t="s">
        <v>25</v>
      </c>
      <c r="N72" s="93">
        <v>0</v>
      </c>
      <c r="O72" s="197">
        <f>$A$9*$B$33*$C$67*$D$71*J72*N72</f>
        <v>0</v>
      </c>
      <c r="P72" s="240">
        <v>0</v>
      </c>
      <c r="Q72" s="50"/>
      <c r="R72" s="94">
        <f>100-(P72-L72)*10</f>
        <v>100</v>
      </c>
      <c r="S72" s="95">
        <f t="shared" si="7"/>
        <v>0</v>
      </c>
      <c r="T72" s="22"/>
      <c r="U72" s="22"/>
      <c r="V72" s="19"/>
      <c r="W72" s="21"/>
      <c r="Z72" s="290">
        <f t="shared" si="0"/>
        <v>0</v>
      </c>
    </row>
    <row r="73" spans="1:26" s="13" customFormat="1" ht="30" hidden="1" customHeight="1">
      <c r="A73" s="416"/>
      <c r="B73" s="418"/>
      <c r="C73" s="320"/>
      <c r="D73" s="310"/>
      <c r="E73" s="299"/>
      <c r="F73" s="315"/>
      <c r="G73" s="299"/>
      <c r="H73" s="315"/>
      <c r="I73" s="299"/>
      <c r="J73" s="315"/>
      <c r="K73" s="135" t="s">
        <v>95</v>
      </c>
      <c r="L73" s="250">
        <v>0</v>
      </c>
      <c r="M73" s="135" t="s">
        <v>25</v>
      </c>
      <c r="N73" s="93">
        <v>0</v>
      </c>
      <c r="O73" s="197">
        <f>$A$9*$B$33*$C$67*$D$71*J73*N73</f>
        <v>0</v>
      </c>
      <c r="P73" s="240">
        <v>0</v>
      </c>
      <c r="Q73" s="50"/>
      <c r="R73" s="94">
        <f>100-(P73-L73)*10</f>
        <v>100</v>
      </c>
      <c r="S73" s="95">
        <f t="shared" si="7"/>
        <v>0</v>
      </c>
      <c r="T73" s="22"/>
      <c r="U73" s="22"/>
      <c r="V73" s="19"/>
      <c r="W73" s="21"/>
      <c r="Z73" s="290">
        <f t="shared" si="0"/>
        <v>0</v>
      </c>
    </row>
    <row r="74" spans="1:26" s="13" customFormat="1" ht="30" hidden="1" customHeight="1">
      <c r="A74" s="416"/>
      <c r="B74" s="418"/>
      <c r="C74" s="321"/>
      <c r="D74" s="302"/>
      <c r="E74" s="300"/>
      <c r="F74" s="316"/>
      <c r="G74" s="300"/>
      <c r="H74" s="316"/>
      <c r="I74" s="300"/>
      <c r="J74" s="316"/>
      <c r="K74" s="135" t="s">
        <v>95</v>
      </c>
      <c r="L74" s="250">
        <v>0</v>
      </c>
      <c r="M74" s="135" t="s">
        <v>25</v>
      </c>
      <c r="N74" s="93">
        <v>0</v>
      </c>
      <c r="O74" s="197">
        <f>$A$9*$B$33*$C$67*$D$71*J74*N74</f>
        <v>0</v>
      </c>
      <c r="P74" s="240">
        <v>0</v>
      </c>
      <c r="Q74" s="50"/>
      <c r="R74" s="94">
        <f>100-(P74-L74)*10</f>
        <v>100</v>
      </c>
      <c r="S74" s="95">
        <f t="shared" si="7"/>
        <v>0</v>
      </c>
      <c r="T74" s="22"/>
      <c r="U74" s="22"/>
      <c r="V74" s="19"/>
      <c r="W74" s="21"/>
      <c r="Z74" s="290">
        <f t="shared" si="0"/>
        <v>0</v>
      </c>
    </row>
    <row r="75" spans="1:26" s="36" customFormat="1" ht="27" customHeight="1">
      <c r="A75" s="416"/>
      <c r="B75" s="418"/>
      <c r="C75" s="311">
        <v>0</v>
      </c>
      <c r="D75" s="136"/>
      <c r="E75" s="107" t="s">
        <v>139</v>
      </c>
      <c r="F75" s="317" t="s">
        <v>53</v>
      </c>
      <c r="G75" s="318"/>
      <c r="H75" s="318"/>
      <c r="I75" s="318"/>
      <c r="J75" s="318"/>
      <c r="K75" s="318"/>
      <c r="L75" s="318"/>
      <c r="M75" s="319"/>
      <c r="N75" s="128"/>
      <c r="O75" s="198"/>
      <c r="P75" s="57"/>
      <c r="Q75" s="57"/>
      <c r="R75" s="57"/>
      <c r="S75" s="133"/>
      <c r="T75" s="137"/>
      <c r="U75" s="137"/>
      <c r="V75" s="138"/>
      <c r="W75" s="139"/>
      <c r="Z75" s="290">
        <f t="shared" si="0"/>
        <v>0</v>
      </c>
    </row>
    <row r="76" spans="1:26" s="36" customFormat="1" ht="48" hidden="1" customHeight="1">
      <c r="A76" s="416"/>
      <c r="B76" s="418"/>
      <c r="C76" s="312"/>
      <c r="D76" s="185">
        <v>0</v>
      </c>
      <c r="E76" s="140" t="s">
        <v>82</v>
      </c>
      <c r="F76" s="135" t="s">
        <v>83</v>
      </c>
      <c r="G76" s="140" t="s">
        <v>82</v>
      </c>
      <c r="H76" s="135" t="s">
        <v>83</v>
      </c>
      <c r="I76" s="140" t="s">
        <v>82</v>
      </c>
      <c r="J76" s="135" t="s">
        <v>195</v>
      </c>
      <c r="K76" s="135" t="s">
        <v>95</v>
      </c>
      <c r="L76" s="250">
        <v>0</v>
      </c>
      <c r="M76" s="135" t="s">
        <v>96</v>
      </c>
      <c r="N76" s="93">
        <v>0</v>
      </c>
      <c r="O76" s="197"/>
      <c r="P76" s="240">
        <v>0</v>
      </c>
      <c r="Q76" s="135">
        <v>10</v>
      </c>
      <c r="R76" s="94">
        <f>100-(P76-L76)*Q76</f>
        <v>100</v>
      </c>
      <c r="S76" s="95">
        <f t="shared" si="7"/>
        <v>0</v>
      </c>
      <c r="T76" s="23"/>
      <c r="U76" s="23"/>
      <c r="V76" s="34"/>
      <c r="W76" s="35"/>
      <c r="Z76" s="290">
        <f t="shared" si="0"/>
        <v>0</v>
      </c>
    </row>
    <row r="77" spans="1:26" s="36" customFormat="1" ht="48.75" hidden="1" customHeight="1">
      <c r="A77" s="416"/>
      <c r="B77" s="418"/>
      <c r="C77" s="312"/>
      <c r="D77" s="221">
        <v>0</v>
      </c>
      <c r="E77" s="222" t="s">
        <v>84</v>
      </c>
      <c r="F77" s="223" t="s">
        <v>85</v>
      </c>
      <c r="G77" s="222" t="s">
        <v>288</v>
      </c>
      <c r="H77" s="223" t="s">
        <v>85</v>
      </c>
      <c r="I77" s="222" t="s">
        <v>289</v>
      </c>
      <c r="J77" s="223" t="s">
        <v>196</v>
      </c>
      <c r="K77" s="223" t="s">
        <v>95</v>
      </c>
      <c r="L77" s="252">
        <v>0</v>
      </c>
      <c r="M77" s="223" t="s">
        <v>96</v>
      </c>
      <c r="N77" s="224">
        <v>1</v>
      </c>
      <c r="O77" s="225">
        <f>$A$9*$B$33*$C$75*$D$77*N77</f>
        <v>0</v>
      </c>
      <c r="P77" s="242">
        <v>0</v>
      </c>
      <c r="Q77" s="223">
        <v>10</v>
      </c>
      <c r="R77" s="226">
        <f>100-(P77-L77)*Q77</f>
        <v>100</v>
      </c>
      <c r="S77" s="227">
        <f t="shared" si="7"/>
        <v>0</v>
      </c>
      <c r="T77" s="228"/>
      <c r="U77" s="228"/>
      <c r="V77" s="229"/>
      <c r="W77" s="230"/>
      <c r="Z77" s="290">
        <f t="shared" si="0"/>
        <v>0</v>
      </c>
    </row>
    <row r="78" spans="1:26" s="13" customFormat="1" ht="66" hidden="1" customHeight="1">
      <c r="A78" s="416"/>
      <c r="B78" s="418"/>
      <c r="C78" s="312"/>
      <c r="D78" s="301"/>
      <c r="E78" s="303" t="s">
        <v>54</v>
      </c>
      <c r="F78" s="296" t="s">
        <v>55</v>
      </c>
      <c r="G78" s="336" t="s">
        <v>290</v>
      </c>
      <c r="H78" s="339" t="s">
        <v>55</v>
      </c>
      <c r="I78" s="140" t="s">
        <v>226</v>
      </c>
      <c r="J78" s="195" t="s">
        <v>156</v>
      </c>
      <c r="K78" s="135" t="s">
        <v>95</v>
      </c>
      <c r="L78" s="250">
        <v>0</v>
      </c>
      <c r="M78" s="135" t="s">
        <v>96</v>
      </c>
      <c r="N78" s="93">
        <v>0.5</v>
      </c>
      <c r="O78" s="197">
        <f>$A$9*$B$33*$C$75*$D$78*N78</f>
        <v>0</v>
      </c>
      <c r="P78" s="240">
        <v>0</v>
      </c>
      <c r="Q78" s="135">
        <v>10</v>
      </c>
      <c r="R78" s="94">
        <f>100-(P78-L79)*Q78</f>
        <v>100</v>
      </c>
      <c r="S78" s="95">
        <f t="shared" si="7"/>
        <v>0</v>
      </c>
      <c r="T78" s="22"/>
      <c r="U78" s="22"/>
      <c r="V78" s="19"/>
      <c r="W78" s="21"/>
      <c r="Z78" s="290">
        <f t="shared" ref="Z78:Z111" si="8">W78-S78</f>
        <v>0</v>
      </c>
    </row>
    <row r="79" spans="1:26" s="13" customFormat="1" ht="57.75" hidden="1" customHeight="1">
      <c r="A79" s="416"/>
      <c r="B79" s="418"/>
      <c r="C79" s="313"/>
      <c r="D79" s="310"/>
      <c r="E79" s="304"/>
      <c r="F79" s="297"/>
      <c r="G79" s="336"/>
      <c r="H79" s="340"/>
      <c r="I79" s="140" t="s">
        <v>225</v>
      </c>
      <c r="J79" s="195" t="s">
        <v>157</v>
      </c>
      <c r="K79" s="135" t="s">
        <v>95</v>
      </c>
      <c r="L79" s="250">
        <v>0</v>
      </c>
      <c r="M79" s="135" t="s">
        <v>96</v>
      </c>
      <c r="N79" s="192">
        <v>0.5</v>
      </c>
      <c r="O79" s="197">
        <f>$A$9*$B$33*$C$75*$D$78*N79</f>
        <v>0</v>
      </c>
      <c r="P79" s="240">
        <v>0</v>
      </c>
      <c r="Q79" s="135">
        <v>10</v>
      </c>
      <c r="R79" s="94">
        <f>100-(P79-L80)*Q79</f>
        <v>100</v>
      </c>
      <c r="S79" s="95">
        <f t="shared" si="7"/>
        <v>0</v>
      </c>
      <c r="T79" s="22"/>
      <c r="U79" s="22"/>
      <c r="V79" s="19"/>
      <c r="W79" s="21"/>
      <c r="Z79" s="290">
        <f t="shared" si="8"/>
        <v>0</v>
      </c>
    </row>
    <row r="80" spans="1:26" s="13" customFormat="1" ht="25.7" customHeight="1">
      <c r="A80" s="416"/>
      <c r="B80" s="418"/>
      <c r="C80" s="311">
        <v>0.06</v>
      </c>
      <c r="D80" s="90"/>
      <c r="E80" s="107" t="s">
        <v>133</v>
      </c>
      <c r="F80" s="322" t="s">
        <v>111</v>
      </c>
      <c r="G80" s="323"/>
      <c r="H80" s="323"/>
      <c r="I80" s="323"/>
      <c r="J80" s="323"/>
      <c r="K80" s="323"/>
      <c r="L80" s="323"/>
      <c r="M80" s="324"/>
      <c r="N80" s="141"/>
      <c r="O80" s="198"/>
      <c r="P80" s="137"/>
      <c r="Q80" s="137"/>
      <c r="R80" s="138"/>
      <c r="S80" s="133"/>
      <c r="T80" s="134"/>
      <c r="U80" s="134"/>
      <c r="V80" s="126"/>
      <c r="W80" s="127"/>
      <c r="Z80" s="290">
        <f t="shared" si="8"/>
        <v>0</v>
      </c>
    </row>
    <row r="81" spans="1:26" s="13" customFormat="1" ht="41.25" customHeight="1">
      <c r="A81" s="416"/>
      <c r="B81" s="418"/>
      <c r="C81" s="320"/>
      <c r="D81" s="185">
        <v>0.5</v>
      </c>
      <c r="E81" s="3" t="s">
        <v>86</v>
      </c>
      <c r="F81" s="50" t="s">
        <v>328</v>
      </c>
      <c r="G81" s="3" t="s">
        <v>291</v>
      </c>
      <c r="H81" s="50" t="s">
        <v>328</v>
      </c>
      <c r="I81" s="3" t="s">
        <v>292</v>
      </c>
      <c r="J81" s="50" t="s">
        <v>329</v>
      </c>
      <c r="K81" s="231" t="s">
        <v>333</v>
      </c>
      <c r="L81" s="250">
        <v>1316</v>
      </c>
      <c r="M81" s="135" t="s">
        <v>96</v>
      </c>
      <c r="N81" s="93">
        <v>1</v>
      </c>
      <c r="O81" s="197">
        <f>$A$9*$B$33*$C$80*$D$81*N81</f>
        <v>1.6064999999999999E-2</v>
      </c>
      <c r="P81" s="242">
        <v>1345</v>
      </c>
      <c r="Q81" s="135">
        <f>ROUND(P81/L81*100,2)</f>
        <v>102.2</v>
      </c>
      <c r="R81" s="94">
        <v>100</v>
      </c>
      <c r="S81" s="95">
        <f t="shared" si="7"/>
        <v>1.6065</v>
      </c>
      <c r="T81" s="166">
        <v>1327</v>
      </c>
      <c r="U81" s="95">
        <f>T81/L81*100</f>
        <v>100.83586626139818</v>
      </c>
      <c r="V81" s="4">
        <f>IF((U81-100)&gt;0,100,IF((100+(U81-100)*10)&gt;30,(100+(U81-100)*10),0))</f>
        <v>100</v>
      </c>
      <c r="W81" s="21">
        <f>V81*O81</f>
        <v>1.6065</v>
      </c>
      <c r="Z81" s="290">
        <f t="shared" si="8"/>
        <v>0</v>
      </c>
    </row>
    <row r="82" spans="1:26" s="13" customFormat="1" ht="6" hidden="1" customHeight="1">
      <c r="A82" s="416"/>
      <c r="B82" s="418"/>
      <c r="C82" s="320"/>
      <c r="D82" s="185">
        <v>0</v>
      </c>
      <c r="E82" s="3" t="s">
        <v>87</v>
      </c>
      <c r="F82" s="50" t="s">
        <v>88</v>
      </c>
      <c r="G82" s="3" t="s">
        <v>87</v>
      </c>
      <c r="H82" s="50" t="s">
        <v>88</v>
      </c>
      <c r="I82" s="3" t="s">
        <v>87</v>
      </c>
      <c r="J82" s="50" t="s">
        <v>184</v>
      </c>
      <c r="K82" s="135" t="s">
        <v>95</v>
      </c>
      <c r="L82" s="250">
        <v>0</v>
      </c>
      <c r="M82" s="135" t="s">
        <v>96</v>
      </c>
      <c r="N82" s="93">
        <v>0</v>
      </c>
      <c r="O82" s="197"/>
      <c r="P82" s="240">
        <v>0</v>
      </c>
      <c r="Q82" s="135">
        <v>10</v>
      </c>
      <c r="R82" s="94">
        <f>100-(P82-L82)*Q82</f>
        <v>100</v>
      </c>
      <c r="S82" s="95">
        <f t="shared" si="7"/>
        <v>0</v>
      </c>
      <c r="T82" s="22"/>
      <c r="U82" s="22"/>
      <c r="V82" s="19"/>
      <c r="W82" s="21"/>
      <c r="Z82" s="290">
        <f t="shared" si="8"/>
        <v>0</v>
      </c>
    </row>
    <row r="83" spans="1:26" s="13" customFormat="1" ht="33.75" customHeight="1">
      <c r="A83" s="416"/>
      <c r="B83" s="418"/>
      <c r="C83" s="321"/>
      <c r="D83" s="185">
        <v>0.5</v>
      </c>
      <c r="E83" s="3" t="s">
        <v>89</v>
      </c>
      <c r="F83" s="50" t="s">
        <v>90</v>
      </c>
      <c r="G83" s="3" t="s">
        <v>293</v>
      </c>
      <c r="H83" s="50" t="s">
        <v>90</v>
      </c>
      <c r="I83" s="3" t="s">
        <v>294</v>
      </c>
      <c r="J83" s="50" t="s">
        <v>197</v>
      </c>
      <c r="K83" s="135" t="s">
        <v>95</v>
      </c>
      <c r="L83" s="250">
        <v>0</v>
      </c>
      <c r="M83" s="135" t="s">
        <v>96</v>
      </c>
      <c r="N83" s="93">
        <v>1</v>
      </c>
      <c r="O83" s="197">
        <f>$A$9*$B$33*$C$80*$D$83*N83</f>
        <v>1.6064999999999999E-2</v>
      </c>
      <c r="P83" s="240">
        <v>0</v>
      </c>
      <c r="Q83" s="135">
        <v>10</v>
      </c>
      <c r="R83" s="260">
        <f>IF(AND(100-(P83*Q83)&gt;30,(100-(P83*Q83))&lt;=120),100-(P83*Q83),IF(100-(P83*Q83)&lt;30,0,120))</f>
        <v>100</v>
      </c>
      <c r="S83" s="95">
        <f t="shared" si="7"/>
        <v>1.6065</v>
      </c>
      <c r="T83" s="261">
        <v>0</v>
      </c>
      <c r="U83" s="261">
        <v>10</v>
      </c>
      <c r="V83" s="266">
        <f>100-U83*T83</f>
        <v>100</v>
      </c>
      <c r="W83" s="15">
        <f>V83*O83</f>
        <v>1.6065</v>
      </c>
      <c r="Z83" s="290">
        <f t="shared" si="8"/>
        <v>0</v>
      </c>
    </row>
    <row r="84" spans="1:26" s="13" customFormat="1" ht="24.6" customHeight="1">
      <c r="A84" s="416"/>
      <c r="B84" s="418"/>
      <c r="C84" s="311">
        <v>0.2</v>
      </c>
      <c r="D84" s="90"/>
      <c r="E84" s="129" t="s">
        <v>134</v>
      </c>
      <c r="F84" s="317" t="s">
        <v>112</v>
      </c>
      <c r="G84" s="318"/>
      <c r="H84" s="318"/>
      <c r="I84" s="318"/>
      <c r="J84" s="318"/>
      <c r="K84" s="318"/>
      <c r="L84" s="318"/>
      <c r="M84" s="319"/>
      <c r="N84" s="141"/>
      <c r="O84" s="198"/>
      <c r="P84" s="134"/>
      <c r="Q84" s="134"/>
      <c r="R84" s="126"/>
      <c r="S84" s="133"/>
      <c r="T84" s="134"/>
      <c r="U84" s="134"/>
      <c r="V84" s="126"/>
      <c r="W84" s="127"/>
      <c r="Z84" s="290">
        <f t="shared" si="8"/>
        <v>0</v>
      </c>
    </row>
    <row r="85" spans="1:26" s="13" customFormat="1" ht="78" hidden="1" customHeight="1">
      <c r="A85" s="416"/>
      <c r="B85" s="418"/>
      <c r="C85" s="312"/>
      <c r="D85" s="301">
        <v>0.5</v>
      </c>
      <c r="E85" s="314" t="s">
        <v>56</v>
      </c>
      <c r="F85" s="314" t="s">
        <v>57</v>
      </c>
      <c r="G85" s="314" t="s">
        <v>295</v>
      </c>
      <c r="H85" s="314" t="s">
        <v>201</v>
      </c>
      <c r="I85" s="50" t="s">
        <v>296</v>
      </c>
      <c r="J85" s="91" t="s">
        <v>158</v>
      </c>
      <c r="K85" s="142" t="s">
        <v>95</v>
      </c>
      <c r="L85" s="250">
        <v>0</v>
      </c>
      <c r="M85" s="37" t="s">
        <v>96</v>
      </c>
      <c r="N85" s="93"/>
      <c r="O85" s="197">
        <f>$A$9*$B$33*$C$84*$D$85*N85</f>
        <v>0</v>
      </c>
      <c r="P85" s="240">
        <v>0</v>
      </c>
      <c r="Q85" s="135">
        <v>10</v>
      </c>
      <c r="R85" s="94">
        <f>100-(P85-L85)*Q85</f>
        <v>100</v>
      </c>
      <c r="S85" s="95">
        <f t="shared" si="7"/>
        <v>0</v>
      </c>
      <c r="T85" s="22"/>
      <c r="U85" s="22"/>
      <c r="V85" s="19"/>
      <c r="W85" s="21"/>
      <c r="Z85" s="290">
        <f t="shared" si="8"/>
        <v>0</v>
      </c>
    </row>
    <row r="86" spans="1:26" s="13" customFormat="1" ht="56.25" customHeight="1">
      <c r="A86" s="416"/>
      <c r="B86" s="418"/>
      <c r="C86" s="312"/>
      <c r="D86" s="302"/>
      <c r="E86" s="316"/>
      <c r="F86" s="316"/>
      <c r="G86" s="316"/>
      <c r="H86" s="316"/>
      <c r="I86" s="189" t="s">
        <v>227</v>
      </c>
      <c r="J86" s="219" t="s">
        <v>159</v>
      </c>
      <c r="K86" s="236" t="s">
        <v>334</v>
      </c>
      <c r="L86" s="250">
        <v>1</v>
      </c>
      <c r="M86" s="37" t="s">
        <v>96</v>
      </c>
      <c r="N86" s="93">
        <v>1</v>
      </c>
      <c r="O86" s="197">
        <f>$A$9*$B$33*$C$84*$D$85*N86</f>
        <v>5.355E-2</v>
      </c>
      <c r="P86" s="240">
        <v>1</v>
      </c>
      <c r="Q86" s="258">
        <v>50</v>
      </c>
      <c r="R86" s="94">
        <f>100-(P86-L86)*Q86</f>
        <v>100</v>
      </c>
      <c r="S86" s="259">
        <f t="shared" si="7"/>
        <v>5.3550000000000004</v>
      </c>
      <c r="T86" s="22">
        <v>1</v>
      </c>
      <c r="U86" s="22">
        <f>T86-L86</f>
        <v>0</v>
      </c>
      <c r="V86" s="267">
        <f>100-U86*100</f>
        <v>100</v>
      </c>
      <c r="W86" s="21">
        <f>V86*O86</f>
        <v>5.3550000000000004</v>
      </c>
      <c r="Z86" s="290">
        <f t="shared" si="8"/>
        <v>0</v>
      </c>
    </row>
    <row r="87" spans="1:26" s="13" customFormat="1" ht="51" hidden="1" customHeight="1">
      <c r="A87" s="416"/>
      <c r="B87" s="418"/>
      <c r="C87" s="312"/>
      <c r="D87" s="301">
        <v>0.5</v>
      </c>
      <c r="E87" s="314" t="s">
        <v>58</v>
      </c>
      <c r="F87" s="314" t="s">
        <v>59</v>
      </c>
      <c r="G87" s="314" t="s">
        <v>297</v>
      </c>
      <c r="H87" s="314" t="s">
        <v>210</v>
      </c>
      <c r="I87" s="91" t="s">
        <v>298</v>
      </c>
      <c r="J87" s="55" t="s">
        <v>160</v>
      </c>
      <c r="K87" s="236" t="s">
        <v>334</v>
      </c>
      <c r="L87" s="250">
        <v>0</v>
      </c>
      <c r="M87" s="37" t="s">
        <v>96</v>
      </c>
      <c r="N87" s="93"/>
      <c r="O87" s="197">
        <f>$A$9*$B$33*$C$84*$D$87*N87</f>
        <v>0</v>
      </c>
      <c r="P87" s="240">
        <v>0</v>
      </c>
      <c r="Q87" s="135">
        <v>10</v>
      </c>
      <c r="R87" s="94">
        <f>100-(P87-L87)*Q87</f>
        <v>100</v>
      </c>
      <c r="S87" s="95">
        <f t="shared" si="7"/>
        <v>0</v>
      </c>
      <c r="T87" s="22"/>
      <c r="U87" s="22"/>
      <c r="V87" s="19"/>
      <c r="W87" s="21"/>
      <c r="Z87" s="290">
        <f t="shared" si="8"/>
        <v>0</v>
      </c>
    </row>
    <row r="88" spans="1:26" s="13" customFormat="1" ht="48.75" customHeight="1">
      <c r="A88" s="416"/>
      <c r="B88" s="418"/>
      <c r="C88" s="312"/>
      <c r="D88" s="310"/>
      <c r="E88" s="315"/>
      <c r="F88" s="315"/>
      <c r="G88" s="315"/>
      <c r="H88" s="315"/>
      <c r="I88" s="91" t="s">
        <v>299</v>
      </c>
      <c r="J88" s="337" t="s">
        <v>161</v>
      </c>
      <c r="K88" s="236" t="s">
        <v>334</v>
      </c>
      <c r="L88" s="250">
        <v>1</v>
      </c>
      <c r="M88" s="37" t="s">
        <v>96</v>
      </c>
      <c r="N88" s="93">
        <v>1</v>
      </c>
      <c r="O88" s="197">
        <f>$A$9*$B$33*$C$84*$D$87*N88</f>
        <v>5.355E-2</v>
      </c>
      <c r="P88" s="240">
        <v>1</v>
      </c>
      <c r="Q88" s="135">
        <v>10</v>
      </c>
      <c r="R88" s="94">
        <f>100-(P88-L88)*Q88</f>
        <v>100</v>
      </c>
      <c r="S88" s="95">
        <f t="shared" si="7"/>
        <v>5.3550000000000004</v>
      </c>
      <c r="T88" s="22">
        <v>1</v>
      </c>
      <c r="U88" s="22">
        <f>T88-L88</f>
        <v>0</v>
      </c>
      <c r="V88" s="267">
        <f>100-U88*100</f>
        <v>100</v>
      </c>
      <c r="W88" s="21">
        <f>V88*O88</f>
        <v>5.3550000000000004</v>
      </c>
      <c r="Z88" s="290">
        <f t="shared" si="8"/>
        <v>0</v>
      </c>
    </row>
    <row r="89" spans="1:26" s="13" customFormat="1" ht="30" hidden="1" customHeight="1">
      <c r="A89" s="416"/>
      <c r="B89" s="418"/>
      <c r="C89" s="313"/>
      <c r="D89" s="302"/>
      <c r="E89" s="316"/>
      <c r="F89" s="316"/>
      <c r="G89" s="316"/>
      <c r="H89" s="316"/>
      <c r="I89" s="189"/>
      <c r="J89" s="338"/>
      <c r="K89" s="236" t="s">
        <v>334</v>
      </c>
      <c r="L89" s="250">
        <v>0</v>
      </c>
      <c r="M89" s="37" t="s">
        <v>25</v>
      </c>
      <c r="N89" s="93">
        <v>0</v>
      </c>
      <c r="O89" s="197">
        <f>$A$9*$B$33*$C$84*$D$87*J89*N89</f>
        <v>0</v>
      </c>
      <c r="P89" s="240">
        <v>0</v>
      </c>
      <c r="Q89" s="22"/>
      <c r="R89" s="94">
        <f>100-(P89-L89)*10</f>
        <v>100</v>
      </c>
      <c r="S89" s="95">
        <f t="shared" si="7"/>
        <v>0</v>
      </c>
      <c r="T89" s="22"/>
      <c r="U89" s="22"/>
      <c r="V89" s="19"/>
      <c r="W89" s="21"/>
      <c r="Z89" s="290">
        <f t="shared" si="8"/>
        <v>0</v>
      </c>
    </row>
    <row r="90" spans="1:26" s="13" customFormat="1" ht="24.75" customHeight="1">
      <c r="A90" s="416"/>
      <c r="B90" s="419"/>
      <c r="C90" s="218"/>
      <c r="D90" s="87"/>
      <c r="E90" s="107" t="s">
        <v>135</v>
      </c>
      <c r="F90" s="332" t="s">
        <v>113</v>
      </c>
      <c r="G90" s="333"/>
      <c r="H90" s="333"/>
      <c r="I90" s="333"/>
      <c r="J90" s="333"/>
      <c r="K90" s="333"/>
      <c r="L90" s="333"/>
      <c r="M90" s="334"/>
      <c r="N90" s="141"/>
      <c r="O90" s="198"/>
      <c r="P90" s="134"/>
      <c r="Q90" s="134"/>
      <c r="R90" s="126"/>
      <c r="S90" s="133"/>
      <c r="T90" s="134"/>
      <c r="U90" s="134"/>
      <c r="V90" s="126"/>
      <c r="W90" s="127"/>
      <c r="Z90" s="290">
        <f t="shared" si="8"/>
        <v>0</v>
      </c>
    </row>
    <row r="91" spans="1:26" s="13" customFormat="1" ht="36.6" hidden="1" customHeight="1">
      <c r="A91" s="416"/>
      <c r="B91" s="217"/>
      <c r="C91" s="216"/>
      <c r="D91" s="185">
        <v>1</v>
      </c>
      <c r="E91" s="135" t="s">
        <v>60</v>
      </c>
      <c r="F91" s="50" t="s">
        <v>61</v>
      </c>
      <c r="G91" s="135" t="s">
        <v>300</v>
      </c>
      <c r="H91" s="50" t="s">
        <v>177</v>
      </c>
      <c r="I91" s="135" t="s">
        <v>301</v>
      </c>
      <c r="J91" s="50" t="s">
        <v>199</v>
      </c>
      <c r="K91" s="142" t="s">
        <v>95</v>
      </c>
      <c r="L91" s="250">
        <v>0</v>
      </c>
      <c r="M91" s="37" t="s">
        <v>96</v>
      </c>
      <c r="N91" s="93">
        <v>1</v>
      </c>
      <c r="O91" s="197">
        <f>$A$9*$B$33*$C$90*$D$91*N91</f>
        <v>0</v>
      </c>
      <c r="P91" s="240">
        <v>0</v>
      </c>
      <c r="Q91" s="135">
        <v>10</v>
      </c>
      <c r="R91" s="94">
        <f>100-(P91-L91)*Q91</f>
        <v>100</v>
      </c>
      <c r="S91" s="95">
        <f t="shared" si="7"/>
        <v>0</v>
      </c>
      <c r="T91" s="22"/>
      <c r="U91" s="22"/>
      <c r="V91" s="19"/>
      <c r="W91" s="21"/>
      <c r="Z91" s="290">
        <f t="shared" si="8"/>
        <v>0</v>
      </c>
    </row>
    <row r="92" spans="1:26" s="13" customFormat="1" ht="43.5" customHeight="1">
      <c r="A92" s="416"/>
      <c r="B92" s="215"/>
      <c r="C92" s="215">
        <f>SUM(C34:C90)</f>
        <v>1</v>
      </c>
      <c r="D92" s="215"/>
      <c r="E92" s="135"/>
      <c r="F92" s="168"/>
      <c r="G92" s="206"/>
      <c r="H92" s="168"/>
      <c r="I92" s="206"/>
      <c r="J92" s="168"/>
      <c r="K92" s="144"/>
      <c r="L92" s="253"/>
      <c r="M92" s="38"/>
      <c r="N92" s="192"/>
      <c r="O92" s="207"/>
      <c r="P92" s="240"/>
      <c r="Q92" s="135"/>
      <c r="R92" s="94"/>
      <c r="S92" s="95"/>
      <c r="T92" s="22"/>
      <c r="U92" s="22"/>
      <c r="V92" s="19"/>
      <c r="W92" s="21"/>
      <c r="Z92" s="290">
        <f t="shared" si="8"/>
        <v>0</v>
      </c>
    </row>
    <row r="93" spans="1:26" s="13" customFormat="1" ht="21" customHeight="1">
      <c r="A93" s="416"/>
      <c r="B93" s="417">
        <v>0.12</v>
      </c>
      <c r="C93" s="213"/>
      <c r="D93" s="56"/>
      <c r="E93" s="179" t="s">
        <v>331</v>
      </c>
      <c r="F93" s="420" t="s">
        <v>330</v>
      </c>
      <c r="G93" s="421"/>
      <c r="H93" s="421"/>
      <c r="I93" s="421"/>
      <c r="J93" s="421"/>
      <c r="K93" s="421"/>
      <c r="L93" s="421"/>
      <c r="M93" s="422"/>
      <c r="N93" s="208"/>
      <c r="O93" s="209"/>
      <c r="P93" s="240"/>
      <c r="Q93" s="210"/>
      <c r="R93" s="211"/>
      <c r="S93" s="214">
        <f>SUM(S94:S102)</f>
        <v>10.199999999999999</v>
      </c>
      <c r="T93" s="212"/>
      <c r="U93" s="212"/>
      <c r="V93" s="176"/>
      <c r="W93" s="177"/>
      <c r="Z93" s="290">
        <f t="shared" si="8"/>
        <v>-10.199999999999999</v>
      </c>
    </row>
    <row r="94" spans="1:26" s="13" customFormat="1" ht="65.25" customHeight="1">
      <c r="A94" s="416"/>
      <c r="B94" s="418"/>
      <c r="C94" s="53">
        <v>0.1</v>
      </c>
      <c r="D94" s="205">
        <v>1</v>
      </c>
      <c r="E94" s="101" t="s">
        <v>14</v>
      </c>
      <c r="F94" s="14" t="s">
        <v>32</v>
      </c>
      <c r="G94" s="102" t="s">
        <v>239</v>
      </c>
      <c r="H94" s="14" t="s">
        <v>32</v>
      </c>
      <c r="I94" s="102" t="s">
        <v>240</v>
      </c>
      <c r="J94" s="270" t="s">
        <v>170</v>
      </c>
      <c r="K94" s="103" t="s">
        <v>171</v>
      </c>
      <c r="L94" s="248">
        <v>0</v>
      </c>
      <c r="M94" s="103" t="s">
        <v>96</v>
      </c>
      <c r="N94" s="104">
        <v>1</v>
      </c>
      <c r="O94" s="196">
        <f>$A$9*$B$93*$C$94*$D$94*N94</f>
        <v>1.0200000000000001E-2</v>
      </c>
      <c r="P94" s="238">
        <v>0</v>
      </c>
      <c r="Q94" s="164">
        <v>10</v>
      </c>
      <c r="R94" s="94">
        <f>100-(L94-P94)*Q94</f>
        <v>100</v>
      </c>
      <c r="S94" s="95">
        <f>R94*O94</f>
        <v>1.02</v>
      </c>
      <c r="T94" s="261">
        <v>1</v>
      </c>
      <c r="U94" s="261">
        <v>10</v>
      </c>
      <c r="V94" s="266">
        <f t="shared" ref="V94:V101" si="9">100-U94*T94</f>
        <v>90</v>
      </c>
      <c r="W94" s="15">
        <f t="shared" ref="W94:W101" si="10">V94*O94</f>
        <v>0.91800000000000004</v>
      </c>
      <c r="X94" s="13" t="s">
        <v>341</v>
      </c>
      <c r="Z94" s="290">
        <f t="shared" si="8"/>
        <v>-0.10199999999999998</v>
      </c>
    </row>
    <row r="95" spans="1:26" s="13" customFormat="1" ht="47.25" customHeight="1">
      <c r="A95" s="416"/>
      <c r="B95" s="418"/>
      <c r="C95" s="53">
        <v>7.0000000000000007E-2</v>
      </c>
      <c r="D95" s="203">
        <v>1</v>
      </c>
      <c r="E95" s="72" t="s">
        <v>39</v>
      </c>
      <c r="F95" s="67" t="s">
        <v>40</v>
      </c>
      <c r="G95" s="72" t="s">
        <v>260</v>
      </c>
      <c r="H95" s="67" t="s">
        <v>186</v>
      </c>
      <c r="I95" s="72" t="s">
        <v>261</v>
      </c>
      <c r="J95" s="191" t="s">
        <v>228</v>
      </c>
      <c r="K95" s="135" t="s">
        <v>95</v>
      </c>
      <c r="L95" s="250">
        <v>0</v>
      </c>
      <c r="M95" s="67" t="s">
        <v>96</v>
      </c>
      <c r="N95" s="93">
        <v>1</v>
      </c>
      <c r="O95" s="196">
        <f>$A$9*$B$93*$C$95*$D$95*N95</f>
        <v>7.1400000000000005E-3</v>
      </c>
      <c r="P95" s="240">
        <v>0</v>
      </c>
      <c r="Q95" s="135">
        <v>10</v>
      </c>
      <c r="R95" s="94">
        <f t="shared" ref="R95:R102" si="11">100-(P95-L95)*Q95</f>
        <v>100</v>
      </c>
      <c r="S95" s="95">
        <f t="shared" ref="S95:S102" si="12">R95*O95</f>
        <v>0.71400000000000008</v>
      </c>
      <c r="T95" s="261">
        <v>0</v>
      </c>
      <c r="U95" s="261">
        <v>10</v>
      </c>
      <c r="V95" s="266">
        <f t="shared" si="9"/>
        <v>100</v>
      </c>
      <c r="W95" s="15">
        <f t="shared" si="10"/>
        <v>0.71400000000000008</v>
      </c>
      <c r="Z95" s="290">
        <f t="shared" si="8"/>
        <v>0</v>
      </c>
    </row>
    <row r="96" spans="1:26" s="13" customFormat="1" ht="51" customHeight="1">
      <c r="A96" s="416"/>
      <c r="B96" s="418"/>
      <c r="C96" s="53">
        <v>7.0000000000000007E-2</v>
      </c>
      <c r="D96" s="205">
        <v>1</v>
      </c>
      <c r="E96" s="72" t="s">
        <v>41</v>
      </c>
      <c r="F96" s="67" t="s">
        <v>42</v>
      </c>
      <c r="G96" s="72" t="s">
        <v>262</v>
      </c>
      <c r="H96" s="67" t="s">
        <v>198</v>
      </c>
      <c r="I96" s="72" t="s">
        <v>263</v>
      </c>
      <c r="J96" s="191" t="s">
        <v>187</v>
      </c>
      <c r="K96" s="135" t="s">
        <v>95</v>
      </c>
      <c r="L96" s="250">
        <v>0</v>
      </c>
      <c r="M96" s="67" t="s">
        <v>96</v>
      </c>
      <c r="N96" s="93">
        <v>1</v>
      </c>
      <c r="O96" s="196">
        <f>$A$9*$B$93*$C$96*$D$96*N96</f>
        <v>7.1400000000000005E-3</v>
      </c>
      <c r="P96" s="240">
        <v>0</v>
      </c>
      <c r="Q96" s="135">
        <v>10</v>
      </c>
      <c r="R96" s="94">
        <f t="shared" si="11"/>
        <v>100</v>
      </c>
      <c r="S96" s="95">
        <f t="shared" si="12"/>
        <v>0.71400000000000008</v>
      </c>
      <c r="T96" s="261">
        <v>0</v>
      </c>
      <c r="U96" s="261">
        <v>10</v>
      </c>
      <c r="V96" s="266">
        <f t="shared" si="9"/>
        <v>100</v>
      </c>
      <c r="W96" s="15">
        <f t="shared" si="10"/>
        <v>0.71400000000000008</v>
      </c>
      <c r="Z96" s="290">
        <f t="shared" si="8"/>
        <v>0</v>
      </c>
    </row>
    <row r="97" spans="1:26" s="13" customFormat="1" ht="36" customHeight="1">
      <c r="A97" s="416"/>
      <c r="B97" s="418"/>
      <c r="C97" s="53">
        <v>0.1</v>
      </c>
      <c r="D97" s="204">
        <v>1</v>
      </c>
      <c r="E97" s="72" t="s">
        <v>51</v>
      </c>
      <c r="F97" s="202" t="s">
        <v>52</v>
      </c>
      <c r="G97" s="72" t="s">
        <v>285</v>
      </c>
      <c r="H97" s="202" t="s">
        <v>52</v>
      </c>
      <c r="I97" s="72" t="s">
        <v>286</v>
      </c>
      <c r="J97" s="272" t="s">
        <v>194</v>
      </c>
      <c r="K97" s="135" t="s">
        <v>95</v>
      </c>
      <c r="L97" s="250">
        <v>0</v>
      </c>
      <c r="M97" s="135" t="s">
        <v>96</v>
      </c>
      <c r="N97" s="93">
        <v>1</v>
      </c>
      <c r="O97" s="196">
        <f>$A$9*$B$93*$C$97*$D$97*N97</f>
        <v>1.0200000000000001E-2</v>
      </c>
      <c r="P97" s="240">
        <v>0</v>
      </c>
      <c r="Q97" s="135">
        <v>10</v>
      </c>
      <c r="R97" s="94">
        <f t="shared" si="11"/>
        <v>100</v>
      </c>
      <c r="S97" s="95">
        <f t="shared" si="12"/>
        <v>1.02</v>
      </c>
      <c r="T97" s="261">
        <v>0</v>
      </c>
      <c r="U97" s="261">
        <v>10</v>
      </c>
      <c r="V97" s="266">
        <f t="shared" si="9"/>
        <v>100</v>
      </c>
      <c r="W97" s="15">
        <f t="shared" si="10"/>
        <v>1.02</v>
      </c>
      <c r="Z97" s="290">
        <f t="shared" si="8"/>
        <v>0</v>
      </c>
    </row>
    <row r="98" spans="1:26" s="13" customFormat="1" ht="65.25" customHeight="1">
      <c r="A98" s="416"/>
      <c r="B98" s="418"/>
      <c r="C98" s="311">
        <v>0.2</v>
      </c>
      <c r="D98" s="374">
        <v>1</v>
      </c>
      <c r="E98" s="303" t="s">
        <v>54</v>
      </c>
      <c r="F98" s="296" t="s">
        <v>55</v>
      </c>
      <c r="G98" s="336" t="s">
        <v>290</v>
      </c>
      <c r="H98" s="335" t="s">
        <v>55</v>
      </c>
      <c r="I98" s="200" t="s">
        <v>226</v>
      </c>
      <c r="J98" s="219" t="s">
        <v>156</v>
      </c>
      <c r="K98" s="135" t="s">
        <v>95</v>
      </c>
      <c r="L98" s="250">
        <v>0</v>
      </c>
      <c r="M98" s="135" t="s">
        <v>96</v>
      </c>
      <c r="N98" s="93">
        <v>0.5</v>
      </c>
      <c r="O98" s="196">
        <f>$A$9*$B$93*$C$98*$D$98*N98</f>
        <v>1.0200000000000001E-2</v>
      </c>
      <c r="P98" s="240">
        <v>0</v>
      </c>
      <c r="Q98" s="135">
        <v>10</v>
      </c>
      <c r="R98" s="94">
        <f t="shared" si="11"/>
        <v>100</v>
      </c>
      <c r="S98" s="95">
        <f t="shared" si="12"/>
        <v>1.02</v>
      </c>
      <c r="T98" s="261">
        <v>0</v>
      </c>
      <c r="U98" s="261">
        <v>10</v>
      </c>
      <c r="V98" s="266">
        <f t="shared" si="9"/>
        <v>100</v>
      </c>
      <c r="W98" s="15">
        <f t="shared" si="10"/>
        <v>1.02</v>
      </c>
      <c r="Z98" s="290">
        <f t="shared" si="8"/>
        <v>0</v>
      </c>
    </row>
    <row r="99" spans="1:26" s="13" customFormat="1" ht="45.75" customHeight="1">
      <c r="A99" s="416"/>
      <c r="B99" s="418"/>
      <c r="C99" s="313"/>
      <c r="D99" s="374"/>
      <c r="E99" s="304"/>
      <c r="F99" s="297"/>
      <c r="G99" s="336"/>
      <c r="H99" s="335"/>
      <c r="I99" s="194" t="s">
        <v>225</v>
      </c>
      <c r="J99" s="219" t="s">
        <v>157</v>
      </c>
      <c r="K99" s="135" t="s">
        <v>95</v>
      </c>
      <c r="L99" s="250">
        <v>0</v>
      </c>
      <c r="M99" s="135" t="s">
        <v>96</v>
      </c>
      <c r="N99" s="192">
        <v>0.5</v>
      </c>
      <c r="O99" s="196">
        <f>$A$9*$B$93*$C$98*$D$98*N99</f>
        <v>1.0200000000000001E-2</v>
      </c>
      <c r="P99" s="240">
        <v>0</v>
      </c>
      <c r="Q99" s="135">
        <v>10</v>
      </c>
      <c r="R99" s="94">
        <f t="shared" si="11"/>
        <v>100</v>
      </c>
      <c r="S99" s="95">
        <f t="shared" si="12"/>
        <v>1.02</v>
      </c>
      <c r="T99" s="261">
        <v>0</v>
      </c>
      <c r="U99" s="261">
        <v>10</v>
      </c>
      <c r="V99" s="266">
        <f t="shared" si="9"/>
        <v>100</v>
      </c>
      <c r="W99" s="15">
        <f t="shared" si="10"/>
        <v>1.02</v>
      </c>
      <c r="Z99" s="290">
        <f t="shared" si="8"/>
        <v>0</v>
      </c>
    </row>
    <row r="100" spans="1:26" s="13" customFormat="1" ht="48" customHeight="1">
      <c r="A100" s="416"/>
      <c r="B100" s="418"/>
      <c r="C100" s="232">
        <v>0.2</v>
      </c>
      <c r="D100" s="233">
        <v>1</v>
      </c>
      <c r="E100" s="234" t="s">
        <v>56</v>
      </c>
      <c r="F100" s="234" t="s">
        <v>57</v>
      </c>
      <c r="G100" s="234" t="s">
        <v>295</v>
      </c>
      <c r="H100" s="234" t="s">
        <v>201</v>
      </c>
      <c r="I100" s="67" t="s">
        <v>296</v>
      </c>
      <c r="J100" s="270" t="s">
        <v>229</v>
      </c>
      <c r="K100" s="142" t="s">
        <v>95</v>
      </c>
      <c r="L100" s="250">
        <v>0</v>
      </c>
      <c r="M100" s="37" t="s">
        <v>96</v>
      </c>
      <c r="N100" s="93">
        <v>1</v>
      </c>
      <c r="O100" s="196">
        <f>$A$9*$B$93*$C$100*$D$100*N100</f>
        <v>2.0400000000000001E-2</v>
      </c>
      <c r="P100" s="240">
        <v>0</v>
      </c>
      <c r="Q100" s="135">
        <v>10</v>
      </c>
      <c r="R100" s="94">
        <f t="shared" si="11"/>
        <v>100</v>
      </c>
      <c r="S100" s="95">
        <f t="shared" si="12"/>
        <v>2.04</v>
      </c>
      <c r="T100" s="261">
        <v>0</v>
      </c>
      <c r="U100" s="261">
        <v>10</v>
      </c>
      <c r="V100" s="266">
        <f t="shared" si="9"/>
        <v>100</v>
      </c>
      <c r="W100" s="15">
        <f t="shared" si="10"/>
        <v>2.04</v>
      </c>
      <c r="Z100" s="290">
        <f t="shared" si="8"/>
        <v>0</v>
      </c>
    </row>
    <row r="101" spans="1:26" s="13" customFormat="1" ht="45.75" customHeight="1">
      <c r="A101" s="416"/>
      <c r="B101" s="418"/>
      <c r="C101" s="232">
        <v>0.18</v>
      </c>
      <c r="D101" s="233">
        <v>1</v>
      </c>
      <c r="E101" s="234" t="s">
        <v>58</v>
      </c>
      <c r="F101" s="234" t="s">
        <v>59</v>
      </c>
      <c r="G101" s="234" t="s">
        <v>297</v>
      </c>
      <c r="H101" s="234" t="s">
        <v>200</v>
      </c>
      <c r="I101" s="67" t="s">
        <v>298</v>
      </c>
      <c r="J101" s="270" t="s">
        <v>230</v>
      </c>
      <c r="K101" s="142" t="s">
        <v>95</v>
      </c>
      <c r="L101" s="250">
        <v>0</v>
      </c>
      <c r="M101" s="37" t="s">
        <v>96</v>
      </c>
      <c r="N101" s="93">
        <v>1</v>
      </c>
      <c r="O101" s="196">
        <f>$A$9*$B$93*$C$101*$D$101*N101</f>
        <v>1.8359999999999998E-2</v>
      </c>
      <c r="P101" s="240">
        <v>0</v>
      </c>
      <c r="Q101" s="135">
        <v>10</v>
      </c>
      <c r="R101" s="94">
        <f t="shared" si="11"/>
        <v>100</v>
      </c>
      <c r="S101" s="95">
        <f t="shared" si="12"/>
        <v>1.8359999999999999</v>
      </c>
      <c r="T101" s="261">
        <v>0</v>
      </c>
      <c r="U101" s="261">
        <v>10</v>
      </c>
      <c r="V101" s="266">
        <f t="shared" si="9"/>
        <v>100</v>
      </c>
      <c r="W101" s="15">
        <f t="shared" si="10"/>
        <v>1.8359999999999999</v>
      </c>
      <c r="Z101" s="290">
        <f t="shared" si="8"/>
        <v>0</v>
      </c>
    </row>
    <row r="102" spans="1:26" s="13" customFormat="1" ht="39.75" customHeight="1">
      <c r="A102" s="416"/>
      <c r="B102" s="419"/>
      <c r="C102" s="53">
        <v>0.08</v>
      </c>
      <c r="D102" s="205">
        <v>1</v>
      </c>
      <c r="E102" s="135" t="s">
        <v>60</v>
      </c>
      <c r="F102" s="50" t="s">
        <v>61</v>
      </c>
      <c r="G102" s="135" t="s">
        <v>300</v>
      </c>
      <c r="H102" s="50" t="s">
        <v>177</v>
      </c>
      <c r="I102" s="135" t="s">
        <v>301</v>
      </c>
      <c r="J102" s="256" t="s">
        <v>199</v>
      </c>
      <c r="K102" s="220" t="s">
        <v>335</v>
      </c>
      <c r="L102" s="250">
        <v>100</v>
      </c>
      <c r="M102" s="37" t="s">
        <v>96</v>
      </c>
      <c r="N102" s="93">
        <v>1</v>
      </c>
      <c r="O102" s="196">
        <f>$A$9*$B$93*$C$102*$D$102*N102</f>
        <v>8.1599999999999989E-3</v>
      </c>
      <c r="P102" s="240">
        <v>100</v>
      </c>
      <c r="Q102" s="135">
        <v>10</v>
      </c>
      <c r="R102" s="94">
        <f t="shared" si="11"/>
        <v>100</v>
      </c>
      <c r="S102" s="95">
        <f t="shared" si="12"/>
        <v>0.81599999999999984</v>
      </c>
      <c r="T102" s="22">
        <v>100</v>
      </c>
      <c r="U102" s="22"/>
      <c r="V102" s="267">
        <v>100</v>
      </c>
      <c r="W102" s="21">
        <f>V102*O102</f>
        <v>0.81599999999999984</v>
      </c>
      <c r="Z102" s="290">
        <f t="shared" si="8"/>
        <v>0</v>
      </c>
    </row>
    <row r="103" spans="1:26" s="13" customFormat="1">
      <c r="E103" s="30"/>
      <c r="F103" s="52"/>
      <c r="G103" s="143"/>
      <c r="H103" s="24"/>
      <c r="I103" s="24"/>
      <c r="J103" s="24"/>
      <c r="K103" s="144"/>
      <c r="L103" s="253"/>
      <c r="M103" s="38"/>
      <c r="N103" s="145"/>
      <c r="O103" s="145"/>
      <c r="P103" s="134"/>
      <c r="Q103" s="22"/>
      <c r="R103" s="19"/>
      <c r="S103" s="21"/>
      <c r="T103" s="22"/>
      <c r="U103" s="22"/>
      <c r="V103" s="19"/>
      <c r="W103" s="21"/>
      <c r="Z103" s="290">
        <f t="shared" si="8"/>
        <v>0</v>
      </c>
    </row>
    <row r="104" spans="1:26" s="13" customFormat="1" ht="21" customHeight="1">
      <c r="A104" s="305"/>
      <c r="B104" s="305"/>
      <c r="C104" s="305"/>
      <c r="D104" s="306"/>
      <c r="E104" s="146" t="s">
        <v>114</v>
      </c>
      <c r="F104" s="307" t="s">
        <v>115</v>
      </c>
      <c r="G104" s="308"/>
      <c r="H104" s="308"/>
      <c r="I104" s="308"/>
      <c r="J104" s="308"/>
      <c r="K104" s="308"/>
      <c r="L104" s="308"/>
      <c r="M104" s="309"/>
      <c r="N104" s="147"/>
      <c r="O104" s="147"/>
      <c r="P104" s="134"/>
      <c r="Q104" s="148"/>
      <c r="R104" s="183"/>
      <c r="S104" s="184">
        <f>SUM(S105:S110)</f>
        <v>15</v>
      </c>
      <c r="T104" s="148"/>
      <c r="U104" s="148"/>
      <c r="V104" s="150"/>
      <c r="W104" s="149"/>
      <c r="Z104" s="290">
        <f t="shared" si="8"/>
        <v>-15</v>
      </c>
    </row>
    <row r="105" spans="1:26" s="13" customFormat="1" ht="42.75" customHeight="1">
      <c r="A105" s="291">
        <v>0.15</v>
      </c>
      <c r="B105" s="56">
        <v>0.7</v>
      </c>
      <c r="C105" s="53">
        <v>1</v>
      </c>
      <c r="D105" s="185">
        <v>1</v>
      </c>
      <c r="E105" s="70" t="s">
        <v>312</v>
      </c>
      <c r="F105" s="50" t="s">
        <v>116</v>
      </c>
      <c r="G105" s="70" t="s">
        <v>315</v>
      </c>
      <c r="H105" s="50" t="s">
        <v>116</v>
      </c>
      <c r="I105" s="70" t="s">
        <v>317</v>
      </c>
      <c r="J105" s="50" t="s">
        <v>116</v>
      </c>
      <c r="K105" s="142" t="s">
        <v>95</v>
      </c>
      <c r="L105" s="250">
        <v>0</v>
      </c>
      <c r="M105" s="37" t="s">
        <v>96</v>
      </c>
      <c r="N105" s="93">
        <v>1</v>
      </c>
      <c r="O105" s="197">
        <f>$A$105*$B$105*$C$105*$D$105*N105</f>
        <v>0.105</v>
      </c>
      <c r="P105" s="240">
        <v>0</v>
      </c>
      <c r="Q105" s="135"/>
      <c r="R105" s="94">
        <f>100-(P105-L105)*10</f>
        <v>100</v>
      </c>
      <c r="S105" s="95">
        <f>R105*O105</f>
        <v>10.5</v>
      </c>
      <c r="T105" s="22"/>
      <c r="U105" s="22"/>
      <c r="V105" s="267">
        <v>100</v>
      </c>
      <c r="W105" s="21">
        <f>V105*O105</f>
        <v>10.5</v>
      </c>
      <c r="Z105" s="290">
        <f t="shared" si="8"/>
        <v>0</v>
      </c>
    </row>
    <row r="106" spans="1:26" s="13" customFormat="1" ht="41.25" customHeight="1">
      <c r="A106" s="292"/>
      <c r="B106" s="56">
        <v>0.3</v>
      </c>
      <c r="C106" s="53">
        <v>1</v>
      </c>
      <c r="D106" s="185">
        <v>1</v>
      </c>
      <c r="E106" s="97" t="s">
        <v>313</v>
      </c>
      <c r="F106" s="50" t="s">
        <v>117</v>
      </c>
      <c r="G106" s="97" t="s">
        <v>322</v>
      </c>
      <c r="H106" s="50" t="s">
        <v>117</v>
      </c>
      <c r="I106" s="97" t="s">
        <v>318</v>
      </c>
      <c r="J106" s="50" t="s">
        <v>117</v>
      </c>
      <c r="K106" s="142" t="s">
        <v>95</v>
      </c>
      <c r="L106" s="250">
        <v>0</v>
      </c>
      <c r="M106" s="37" t="s">
        <v>96</v>
      </c>
      <c r="N106" s="93">
        <v>1</v>
      </c>
      <c r="O106" s="197">
        <f>$A$105*$B$106*$C$106*$D$106*N106</f>
        <v>4.4999999999999998E-2</v>
      </c>
      <c r="P106" s="240">
        <v>0</v>
      </c>
      <c r="Q106" s="135"/>
      <c r="R106" s="94">
        <f>100-(P106-L106)*10</f>
        <v>100</v>
      </c>
      <c r="S106" s="95">
        <f>R106*O106</f>
        <v>4.5</v>
      </c>
      <c r="T106" s="22"/>
      <c r="U106" s="22"/>
      <c r="V106" s="267">
        <v>100</v>
      </c>
      <c r="W106" s="21">
        <f>V106*O106</f>
        <v>4.5</v>
      </c>
      <c r="Z106" s="290">
        <f t="shared" si="8"/>
        <v>0</v>
      </c>
    </row>
    <row r="107" spans="1:26" s="13" customFormat="1" ht="18.600000000000001" customHeight="1">
      <c r="E107" s="151" t="s">
        <v>38</v>
      </c>
      <c r="F107" s="293" t="s">
        <v>118</v>
      </c>
      <c r="G107" s="294"/>
      <c r="H107" s="294"/>
      <c r="I107" s="294"/>
      <c r="J107" s="294"/>
      <c r="K107" s="294"/>
      <c r="L107" s="294"/>
      <c r="M107" s="295"/>
      <c r="N107" s="147"/>
      <c r="O107" s="199"/>
      <c r="P107" s="134"/>
      <c r="Q107" s="148"/>
      <c r="R107" s="150"/>
      <c r="S107" s="152"/>
      <c r="T107" s="148"/>
      <c r="U107" s="148"/>
      <c r="V107" s="150"/>
      <c r="W107" s="152"/>
      <c r="Z107" s="290">
        <f t="shared" si="8"/>
        <v>0</v>
      </c>
    </row>
    <row r="108" spans="1:26" s="13" customFormat="1" ht="62.25" customHeight="1">
      <c r="E108" s="97" t="s">
        <v>14</v>
      </c>
      <c r="F108" s="60" t="s">
        <v>178</v>
      </c>
      <c r="G108" s="97" t="s">
        <v>239</v>
      </c>
      <c r="H108" s="60" t="s">
        <v>178</v>
      </c>
      <c r="I108" s="70" t="s">
        <v>240</v>
      </c>
      <c r="J108" s="60" t="s">
        <v>178</v>
      </c>
      <c r="K108" s="142" t="s">
        <v>332</v>
      </c>
      <c r="L108" s="250">
        <v>0</v>
      </c>
      <c r="M108" s="37" t="s">
        <v>96</v>
      </c>
      <c r="N108" s="93">
        <v>1</v>
      </c>
      <c r="O108" s="93"/>
      <c r="P108" s="240">
        <v>0</v>
      </c>
      <c r="Q108" s="22">
        <v>2</v>
      </c>
      <c r="R108" s="17">
        <v>0</v>
      </c>
      <c r="S108" s="17">
        <v>0</v>
      </c>
      <c r="T108" s="22"/>
      <c r="U108" s="22"/>
      <c r="V108" s="60"/>
      <c r="W108" s="26"/>
      <c r="Z108" s="290">
        <f t="shared" si="8"/>
        <v>0</v>
      </c>
    </row>
    <row r="109" spans="1:26" s="13" customFormat="1" ht="62.25" customHeight="1">
      <c r="E109" s="97" t="s">
        <v>314</v>
      </c>
      <c r="F109" s="60" t="s">
        <v>179</v>
      </c>
      <c r="G109" s="97" t="s">
        <v>316</v>
      </c>
      <c r="H109" s="60" t="s">
        <v>179</v>
      </c>
      <c r="I109" s="70" t="s">
        <v>319</v>
      </c>
      <c r="J109" s="60" t="s">
        <v>179</v>
      </c>
      <c r="K109" s="220" t="s">
        <v>332</v>
      </c>
      <c r="L109" s="250">
        <v>0</v>
      </c>
      <c r="M109" s="37" t="s">
        <v>96</v>
      </c>
      <c r="N109" s="93">
        <v>1</v>
      </c>
      <c r="O109" s="93"/>
      <c r="P109" s="240">
        <v>0</v>
      </c>
      <c r="Q109" s="22">
        <v>0.5</v>
      </c>
      <c r="R109" s="17">
        <v>0</v>
      </c>
      <c r="S109" s="17">
        <v>0</v>
      </c>
      <c r="T109" s="22"/>
      <c r="U109" s="22"/>
      <c r="V109" s="60"/>
      <c r="W109" s="26"/>
      <c r="Z109" s="290">
        <f t="shared" si="8"/>
        <v>0</v>
      </c>
    </row>
    <row r="110" spans="1:26" ht="57.95" customHeight="1">
      <c r="E110" s="71" t="s">
        <v>320</v>
      </c>
      <c r="F110" s="153" t="s">
        <v>119</v>
      </c>
      <c r="G110" s="97" t="s">
        <v>321</v>
      </c>
      <c r="H110" s="153" t="s">
        <v>119</v>
      </c>
      <c r="I110" s="97" t="s">
        <v>323</v>
      </c>
      <c r="J110" s="153" t="s">
        <v>119</v>
      </c>
      <c r="K110" s="220" t="s">
        <v>332</v>
      </c>
      <c r="L110" s="250">
        <v>0</v>
      </c>
      <c r="M110" s="37" t="s">
        <v>96</v>
      </c>
      <c r="N110" s="93">
        <v>1</v>
      </c>
      <c r="O110" s="93"/>
      <c r="P110" s="240">
        <v>0</v>
      </c>
      <c r="Q110" s="22">
        <v>0.2</v>
      </c>
      <c r="R110" s="17">
        <v>0</v>
      </c>
      <c r="S110" s="17">
        <v>0</v>
      </c>
      <c r="T110" s="22"/>
      <c r="U110" s="22"/>
      <c r="V110" s="60"/>
      <c r="W110" s="26"/>
      <c r="Z110" s="290">
        <f t="shared" si="8"/>
        <v>0</v>
      </c>
    </row>
    <row r="111" spans="1:26" s="154" customFormat="1" ht="36.950000000000003" customHeight="1">
      <c r="E111" s="326" t="s">
        <v>120</v>
      </c>
      <c r="F111" s="327"/>
      <c r="G111" s="327"/>
      <c r="H111" s="327"/>
      <c r="I111" s="327"/>
      <c r="J111" s="327"/>
      <c r="K111" s="327"/>
      <c r="L111" s="327"/>
      <c r="M111" s="327"/>
      <c r="N111" s="327"/>
      <c r="O111" s="327"/>
      <c r="P111" s="327"/>
      <c r="Q111" s="327"/>
      <c r="R111" s="328"/>
      <c r="S111" s="169">
        <f>S10+S33+S93+S104</f>
        <v>95.246800000000022</v>
      </c>
      <c r="T111" s="155"/>
      <c r="U111" s="155"/>
      <c r="V111" s="156"/>
      <c r="W111" s="157">
        <f>SUM(W12:W110)</f>
        <v>97.8550726</v>
      </c>
      <c r="Z111" s="290">
        <f t="shared" si="8"/>
        <v>2.6082725999999781</v>
      </c>
    </row>
    <row r="112" spans="1:26">
      <c r="E112" s="329" t="s">
        <v>180</v>
      </c>
      <c r="F112" s="330"/>
      <c r="G112" s="330"/>
      <c r="H112" s="330"/>
      <c r="I112" s="330"/>
      <c r="J112" s="330"/>
      <c r="K112" s="330"/>
      <c r="L112" s="330"/>
      <c r="M112" s="330"/>
      <c r="N112" s="330"/>
      <c r="O112" s="330"/>
      <c r="P112" s="330"/>
      <c r="Q112" s="330"/>
      <c r="R112" s="331"/>
      <c r="S112" s="181" t="str">
        <f>IF(S111&gt;105,"A",IF(AND(S111&gt;100,S111&lt;=105),"B",IF(AND(S111&gt;=95,S111&lt;=100),"C",IF(AND(S111&gt;=90,S111&lt;95),"D",IF(S111&lt;90,"E",0)))))</f>
        <v>C</v>
      </c>
      <c r="T112" s="182"/>
      <c r="U112" s="182"/>
      <c r="V112" s="182"/>
      <c r="W112" s="182"/>
    </row>
    <row r="113" spans="5:24" ht="17.25" customHeight="1">
      <c r="E113" s="39"/>
      <c r="F113" s="39"/>
      <c r="G113" s="158"/>
      <c r="H113" s="66"/>
      <c r="I113" s="66"/>
      <c r="J113" s="66"/>
      <c r="K113" s="8"/>
      <c r="L113" s="243"/>
      <c r="M113" s="40"/>
      <c r="N113" s="159"/>
      <c r="O113" s="159"/>
      <c r="P113" s="279"/>
      <c r="Q113" s="62"/>
      <c r="R113" s="63"/>
    </row>
    <row r="114" spans="5:24" s="43" customFormat="1">
      <c r="E114" s="27"/>
      <c r="F114" s="27"/>
      <c r="G114" s="27"/>
      <c r="H114" s="48" t="s">
        <v>125</v>
      </c>
      <c r="I114" s="48"/>
      <c r="J114" s="48"/>
      <c r="K114" s="42"/>
      <c r="L114" s="36"/>
      <c r="N114" s="325" t="s">
        <v>126</v>
      </c>
      <c r="O114" s="325"/>
      <c r="P114" s="325"/>
      <c r="Q114" s="325"/>
      <c r="R114" s="325"/>
      <c r="S114" s="325"/>
      <c r="T114" s="325"/>
      <c r="U114" s="47"/>
      <c r="V114" s="36"/>
      <c r="W114" s="36"/>
      <c r="X114" s="36"/>
    </row>
    <row r="115" spans="5:24">
      <c r="E115" s="39"/>
      <c r="F115" s="39"/>
      <c r="G115" s="158"/>
      <c r="H115" s="66"/>
      <c r="I115" s="66"/>
      <c r="J115" s="66"/>
      <c r="K115" s="8"/>
      <c r="L115" s="243"/>
      <c r="M115" s="40"/>
      <c r="N115" s="159"/>
      <c r="O115" s="159"/>
      <c r="P115" s="279"/>
      <c r="Q115" s="62"/>
      <c r="R115" s="63"/>
    </row>
    <row r="116" spans="5:24">
      <c r="E116" s="39"/>
      <c r="F116" s="39"/>
      <c r="G116" s="158"/>
      <c r="H116" s="66"/>
      <c r="I116" s="66"/>
      <c r="J116" s="66"/>
      <c r="K116" s="8"/>
      <c r="L116" s="243"/>
      <c r="M116" s="40"/>
      <c r="N116" s="159"/>
      <c r="O116" s="159"/>
      <c r="P116" s="279"/>
      <c r="Q116" s="62"/>
      <c r="R116" s="63"/>
    </row>
    <row r="117" spans="5:24">
      <c r="L117" s="13"/>
    </row>
    <row r="118" spans="5:24">
      <c r="L118" s="13"/>
    </row>
    <row r="119" spans="5:24">
      <c r="L119" s="13"/>
    </row>
    <row r="120" spans="5:24">
      <c r="L120" s="13"/>
    </row>
    <row r="121" spans="5:24">
      <c r="L121" s="13"/>
    </row>
    <row r="122" spans="5:24">
      <c r="L122" s="13"/>
    </row>
    <row r="123" spans="5:24">
      <c r="L123" s="13"/>
    </row>
    <row r="124" spans="5:24">
      <c r="L124" s="13"/>
    </row>
    <row r="125" spans="5:24">
      <c r="L125" s="13"/>
    </row>
    <row r="126" spans="5:24">
      <c r="L126" s="13"/>
    </row>
    <row r="127" spans="5:24">
      <c r="L127" s="13"/>
    </row>
    <row r="128" spans="5:24">
      <c r="L128" s="13"/>
    </row>
    <row r="129" spans="12:12">
      <c r="L129" s="13"/>
    </row>
    <row r="130" spans="12:12">
      <c r="L130" s="13"/>
    </row>
    <row r="131" spans="12:12">
      <c r="L131" s="13"/>
    </row>
    <row r="132" spans="12:12">
      <c r="L132" s="13"/>
    </row>
    <row r="133" spans="12:12">
      <c r="L133" s="13"/>
    </row>
    <row r="134" spans="12:12">
      <c r="L134" s="13"/>
    </row>
    <row r="135" spans="12:12">
      <c r="L135" s="13"/>
    </row>
    <row r="136" spans="12:12">
      <c r="L136" s="13"/>
    </row>
    <row r="137" spans="12:12">
      <c r="L137" s="13"/>
    </row>
    <row r="138" spans="12:12">
      <c r="L138" s="13"/>
    </row>
    <row r="139" spans="12:12">
      <c r="L139" s="13"/>
    </row>
    <row r="140" spans="12:12">
      <c r="L140" s="13"/>
    </row>
    <row r="141" spans="12:12">
      <c r="L141" s="13"/>
    </row>
    <row r="142" spans="12:12">
      <c r="L142" s="13"/>
    </row>
    <row r="143" spans="12:12">
      <c r="L143" s="13"/>
    </row>
    <row r="144" spans="12:12">
      <c r="L144" s="13"/>
    </row>
    <row r="145" spans="12:12">
      <c r="L145" s="13"/>
    </row>
    <row r="146" spans="12:12">
      <c r="L146" s="13"/>
    </row>
    <row r="147" spans="12:12">
      <c r="L147" s="13"/>
    </row>
    <row r="148" spans="12:12">
      <c r="L148" s="13"/>
    </row>
    <row r="149" spans="12:12">
      <c r="L149" s="13"/>
    </row>
    <row r="150" spans="12:12">
      <c r="L150" s="13"/>
    </row>
    <row r="151" spans="12:12">
      <c r="L151" s="13"/>
    </row>
    <row r="152" spans="12:12">
      <c r="L152" s="13"/>
    </row>
    <row r="153" spans="12:12">
      <c r="L153" s="13"/>
    </row>
    <row r="154" spans="12:12">
      <c r="L154" s="13"/>
    </row>
    <row r="155" spans="12:12">
      <c r="L155" s="13"/>
    </row>
    <row r="156" spans="12:12">
      <c r="L156" s="13"/>
    </row>
    <row r="157" spans="12:12">
      <c r="L157" s="13"/>
    </row>
    <row r="158" spans="12:12">
      <c r="L158" s="13"/>
    </row>
    <row r="159" spans="12:12">
      <c r="L159" s="13"/>
    </row>
    <row r="160" spans="12:12">
      <c r="L160" s="13"/>
    </row>
    <row r="161" spans="12:12">
      <c r="L161" s="13"/>
    </row>
    <row r="162" spans="12:12">
      <c r="L162" s="13"/>
    </row>
    <row r="163" spans="12:12">
      <c r="L163" s="13"/>
    </row>
    <row r="164" spans="12:12">
      <c r="L164" s="13"/>
    </row>
    <row r="165" spans="12:12">
      <c r="L165" s="13"/>
    </row>
    <row r="166" spans="12:12">
      <c r="L166" s="13"/>
    </row>
    <row r="167" spans="12:12">
      <c r="L167" s="13"/>
    </row>
    <row r="168" spans="12:12">
      <c r="L168" s="13"/>
    </row>
    <row r="169" spans="12:12">
      <c r="L169" s="13"/>
    </row>
    <row r="170" spans="12:12">
      <c r="L170" s="13"/>
    </row>
    <row r="171" spans="12:12">
      <c r="L171" s="13"/>
    </row>
    <row r="172" spans="12:12">
      <c r="L172" s="13"/>
    </row>
    <row r="173" spans="12:12">
      <c r="L173" s="13"/>
    </row>
    <row r="174" spans="12:12">
      <c r="L174" s="13"/>
    </row>
    <row r="175" spans="12:12">
      <c r="L175" s="13"/>
    </row>
    <row r="176" spans="12:12">
      <c r="L176" s="13"/>
    </row>
    <row r="177" spans="12:12">
      <c r="L177" s="13"/>
    </row>
    <row r="178" spans="12:12">
      <c r="L178" s="13"/>
    </row>
    <row r="179" spans="12:12">
      <c r="L179" s="13"/>
    </row>
    <row r="180" spans="12:12">
      <c r="L180" s="13"/>
    </row>
    <row r="181" spans="12:12">
      <c r="L181" s="13"/>
    </row>
    <row r="182" spans="12:12">
      <c r="L182" s="13"/>
    </row>
    <row r="183" spans="12:12">
      <c r="L183" s="13"/>
    </row>
    <row r="184" spans="12:12">
      <c r="L184" s="13"/>
    </row>
    <row r="185" spans="12:12">
      <c r="L185" s="13"/>
    </row>
    <row r="186" spans="12:12">
      <c r="L186" s="13"/>
    </row>
    <row r="187" spans="12:12">
      <c r="L187" s="13"/>
    </row>
    <row r="188" spans="12:12">
      <c r="L188" s="13"/>
    </row>
    <row r="189" spans="12:12">
      <c r="L189" s="13"/>
    </row>
    <row r="190" spans="12:12">
      <c r="L190" s="13"/>
    </row>
    <row r="191" spans="12:12">
      <c r="L191" s="13"/>
    </row>
    <row r="192" spans="12:12">
      <c r="L192" s="13"/>
    </row>
    <row r="193" spans="12:12">
      <c r="L193" s="13"/>
    </row>
    <row r="194" spans="12:12">
      <c r="L194" s="13"/>
    </row>
    <row r="195" spans="12:12">
      <c r="L195" s="13"/>
    </row>
    <row r="196" spans="12:12">
      <c r="L196" s="13"/>
    </row>
    <row r="197" spans="12:12">
      <c r="L197" s="13"/>
    </row>
    <row r="198" spans="12:12">
      <c r="L198" s="13"/>
    </row>
    <row r="199" spans="12:12">
      <c r="L199" s="13"/>
    </row>
    <row r="200" spans="12:12">
      <c r="L200" s="13"/>
    </row>
    <row r="201" spans="12:12">
      <c r="L201" s="13"/>
    </row>
    <row r="202" spans="12:12">
      <c r="L202" s="13"/>
    </row>
    <row r="203" spans="12:12">
      <c r="L203" s="13"/>
    </row>
    <row r="204" spans="12:12">
      <c r="L204" s="13"/>
    </row>
    <row r="205" spans="12:12">
      <c r="L205" s="13"/>
    </row>
    <row r="206" spans="12:12">
      <c r="L206" s="13"/>
    </row>
    <row r="207" spans="12:12">
      <c r="L207" s="13"/>
    </row>
    <row r="208" spans="12:12">
      <c r="L208" s="13"/>
    </row>
    <row r="209" spans="12:12">
      <c r="L209" s="13"/>
    </row>
    <row r="210" spans="12:12">
      <c r="L210" s="13"/>
    </row>
    <row r="211" spans="12:12">
      <c r="L211" s="13"/>
    </row>
    <row r="212" spans="12:12">
      <c r="L212" s="13"/>
    </row>
    <row r="213" spans="12:12">
      <c r="L213" s="13"/>
    </row>
    <row r="214" spans="12:12">
      <c r="L214" s="13"/>
    </row>
    <row r="215" spans="12:12">
      <c r="L215" s="13"/>
    </row>
    <row r="216" spans="12:12">
      <c r="L216" s="13"/>
    </row>
    <row r="217" spans="12:12">
      <c r="L217" s="13"/>
    </row>
    <row r="218" spans="12:12">
      <c r="L218" s="13"/>
    </row>
    <row r="219" spans="12:12">
      <c r="L219" s="13"/>
    </row>
    <row r="220" spans="12:12">
      <c r="L220" s="13"/>
    </row>
    <row r="221" spans="12:12">
      <c r="L221" s="13"/>
    </row>
    <row r="222" spans="12:12">
      <c r="L222" s="13"/>
    </row>
    <row r="223" spans="12:12">
      <c r="L223" s="13"/>
    </row>
    <row r="224" spans="12:12">
      <c r="L224" s="13"/>
    </row>
    <row r="225" spans="12:12">
      <c r="L225" s="13"/>
    </row>
    <row r="226" spans="12:12">
      <c r="L226" s="13"/>
    </row>
    <row r="227" spans="12:12">
      <c r="L227" s="13"/>
    </row>
    <row r="228" spans="12:12">
      <c r="L228" s="13"/>
    </row>
    <row r="229" spans="12:12">
      <c r="L229" s="13"/>
    </row>
    <row r="230" spans="12:12">
      <c r="L230" s="13"/>
    </row>
    <row r="231" spans="12:12">
      <c r="L231" s="13"/>
    </row>
    <row r="232" spans="12:12">
      <c r="L232" s="13"/>
    </row>
    <row r="233" spans="12:12">
      <c r="L233" s="13"/>
    </row>
    <row r="234" spans="12:12">
      <c r="L234" s="13"/>
    </row>
    <row r="235" spans="12:12">
      <c r="L235" s="13"/>
    </row>
    <row r="236" spans="12:12">
      <c r="L236" s="13"/>
    </row>
    <row r="237" spans="12:12">
      <c r="L237" s="13"/>
    </row>
    <row r="238" spans="12:12">
      <c r="L238" s="13"/>
    </row>
    <row r="239" spans="12:12">
      <c r="L239" s="13"/>
    </row>
    <row r="240" spans="12:12">
      <c r="L240" s="13"/>
    </row>
    <row r="241" spans="12:12">
      <c r="L241" s="13"/>
    </row>
    <row r="242" spans="12:12">
      <c r="L242" s="13"/>
    </row>
    <row r="243" spans="12:12">
      <c r="L243" s="13"/>
    </row>
    <row r="244" spans="12:12">
      <c r="L244" s="13"/>
    </row>
    <row r="245" spans="12:12">
      <c r="L245" s="13"/>
    </row>
    <row r="246" spans="12:12">
      <c r="L246" s="13"/>
    </row>
    <row r="247" spans="12:12">
      <c r="L247" s="13"/>
    </row>
    <row r="248" spans="12:12">
      <c r="L248" s="13"/>
    </row>
    <row r="249" spans="12:12">
      <c r="L249" s="13"/>
    </row>
    <row r="250" spans="12:12">
      <c r="L250" s="13"/>
    </row>
    <row r="251" spans="12:12">
      <c r="L251" s="13"/>
    </row>
    <row r="252" spans="12:12">
      <c r="L252" s="13"/>
    </row>
    <row r="253" spans="12:12">
      <c r="L253" s="13"/>
    </row>
    <row r="254" spans="12:12">
      <c r="L254" s="13"/>
    </row>
    <row r="255" spans="12:12">
      <c r="L255" s="13"/>
    </row>
    <row r="256" spans="12:12">
      <c r="L256" s="13"/>
    </row>
    <row r="257" spans="12:12">
      <c r="L257" s="13"/>
    </row>
    <row r="258" spans="12:12">
      <c r="L258" s="13"/>
    </row>
    <row r="259" spans="12:12">
      <c r="L259" s="13"/>
    </row>
    <row r="260" spans="12:12">
      <c r="L260" s="13"/>
    </row>
    <row r="261" spans="12:12">
      <c r="L261" s="13"/>
    </row>
    <row r="262" spans="12:12">
      <c r="L262" s="13"/>
    </row>
    <row r="263" spans="12:12">
      <c r="L263" s="13"/>
    </row>
    <row r="264" spans="12:12">
      <c r="L264" s="13"/>
    </row>
    <row r="265" spans="12:12">
      <c r="L265" s="13"/>
    </row>
    <row r="266" spans="12:12">
      <c r="L266" s="13"/>
    </row>
    <row r="267" spans="12:12">
      <c r="L267" s="13"/>
    </row>
    <row r="268" spans="12:12">
      <c r="L268" s="13"/>
    </row>
    <row r="269" spans="12:12">
      <c r="L269" s="13"/>
    </row>
    <row r="270" spans="12:12">
      <c r="L270" s="13"/>
    </row>
    <row r="271" spans="12:12">
      <c r="L271" s="13"/>
    </row>
    <row r="272" spans="12:12">
      <c r="L272" s="13"/>
    </row>
    <row r="273" spans="12:12">
      <c r="L273" s="13"/>
    </row>
    <row r="274" spans="12:12">
      <c r="L274" s="13"/>
    </row>
    <row r="275" spans="12:12">
      <c r="L275" s="13"/>
    </row>
    <row r="276" spans="12:12">
      <c r="L276" s="13"/>
    </row>
    <row r="277" spans="12:12">
      <c r="L277" s="13"/>
    </row>
    <row r="278" spans="12:12">
      <c r="L278" s="13"/>
    </row>
    <row r="279" spans="12:12">
      <c r="L279" s="13"/>
    </row>
    <row r="280" spans="12:12">
      <c r="L280" s="13"/>
    </row>
    <row r="281" spans="12:12">
      <c r="L281" s="13"/>
    </row>
    <row r="282" spans="12:12">
      <c r="L282" s="13"/>
    </row>
    <row r="283" spans="12:12">
      <c r="L283" s="13"/>
    </row>
    <row r="284" spans="12:12">
      <c r="L284" s="13"/>
    </row>
    <row r="285" spans="12:12">
      <c r="L285" s="13"/>
    </row>
    <row r="286" spans="12:12">
      <c r="L286" s="13"/>
    </row>
    <row r="287" spans="12:12">
      <c r="L287" s="13"/>
    </row>
    <row r="288" spans="12:12">
      <c r="L288" s="13"/>
    </row>
    <row r="289" spans="12:12">
      <c r="L289" s="13"/>
    </row>
    <row r="290" spans="12:12">
      <c r="L290" s="13"/>
    </row>
    <row r="291" spans="12:12">
      <c r="L291" s="13"/>
    </row>
    <row r="292" spans="12:12">
      <c r="L292" s="13"/>
    </row>
    <row r="293" spans="12:12">
      <c r="L293" s="13"/>
    </row>
    <row r="294" spans="12:12">
      <c r="L294" s="13"/>
    </row>
    <row r="295" spans="12:12">
      <c r="L295" s="13"/>
    </row>
    <row r="296" spans="12:12">
      <c r="L296" s="13"/>
    </row>
    <row r="297" spans="12:12">
      <c r="L297" s="13"/>
    </row>
    <row r="298" spans="12:12">
      <c r="L298" s="13"/>
    </row>
    <row r="299" spans="12:12">
      <c r="L299" s="13"/>
    </row>
    <row r="300" spans="12:12">
      <c r="L300" s="13"/>
    </row>
    <row r="301" spans="12:12">
      <c r="L301" s="13"/>
    </row>
    <row r="302" spans="12:12">
      <c r="L302" s="13"/>
    </row>
    <row r="303" spans="12:12">
      <c r="L303" s="13"/>
    </row>
    <row r="304" spans="12:12">
      <c r="L304" s="13"/>
    </row>
    <row r="305" spans="12:12">
      <c r="L305" s="13"/>
    </row>
    <row r="306" spans="12:12">
      <c r="L306" s="13"/>
    </row>
    <row r="307" spans="12:12">
      <c r="L307" s="13"/>
    </row>
    <row r="308" spans="12:12">
      <c r="L308" s="13"/>
    </row>
    <row r="309" spans="12:12">
      <c r="L309" s="13"/>
    </row>
    <row r="310" spans="12:12">
      <c r="L310" s="13"/>
    </row>
    <row r="311" spans="12:12">
      <c r="L311" s="13"/>
    </row>
    <row r="312" spans="12:12">
      <c r="L312" s="13"/>
    </row>
    <row r="313" spans="12:12">
      <c r="L313" s="13"/>
    </row>
    <row r="314" spans="12:12">
      <c r="L314" s="13"/>
    </row>
    <row r="315" spans="12:12">
      <c r="L315" s="13"/>
    </row>
    <row r="316" spans="12:12">
      <c r="L316" s="13"/>
    </row>
    <row r="317" spans="12:12">
      <c r="L317" s="13"/>
    </row>
    <row r="318" spans="12:12">
      <c r="L318" s="13"/>
    </row>
    <row r="319" spans="12:12">
      <c r="L319" s="13"/>
    </row>
    <row r="320" spans="12:12">
      <c r="L320" s="13"/>
    </row>
    <row r="321" spans="12:12">
      <c r="L321" s="13"/>
    </row>
    <row r="322" spans="12:12">
      <c r="L322" s="13"/>
    </row>
    <row r="323" spans="12:12">
      <c r="L323" s="13"/>
    </row>
    <row r="324" spans="12:12">
      <c r="L324" s="13"/>
    </row>
    <row r="325" spans="12:12">
      <c r="L325" s="13"/>
    </row>
    <row r="326" spans="12:12">
      <c r="L326" s="13"/>
    </row>
    <row r="327" spans="12:12">
      <c r="L327" s="13"/>
    </row>
    <row r="328" spans="12:12">
      <c r="L328" s="13"/>
    </row>
    <row r="329" spans="12:12">
      <c r="L329" s="13"/>
    </row>
    <row r="330" spans="12:12">
      <c r="L330" s="13"/>
    </row>
    <row r="331" spans="12:12">
      <c r="L331" s="13"/>
    </row>
    <row r="332" spans="12:12">
      <c r="L332" s="13"/>
    </row>
    <row r="333" spans="12:12">
      <c r="L333" s="13"/>
    </row>
    <row r="334" spans="12:12">
      <c r="L334" s="13"/>
    </row>
    <row r="335" spans="12:12">
      <c r="L335" s="13"/>
    </row>
    <row r="336" spans="12:12">
      <c r="L336" s="13"/>
    </row>
    <row r="337" spans="12:12">
      <c r="L337" s="13"/>
    </row>
    <row r="338" spans="12:12">
      <c r="L338" s="13"/>
    </row>
    <row r="339" spans="12:12">
      <c r="L339" s="13"/>
    </row>
    <row r="340" spans="12:12">
      <c r="L340" s="13"/>
    </row>
    <row r="341" spans="12:12">
      <c r="L341" s="13"/>
    </row>
    <row r="342" spans="12:12">
      <c r="L342" s="13"/>
    </row>
    <row r="343" spans="12:12">
      <c r="L343" s="13"/>
    </row>
    <row r="344" spans="12:12">
      <c r="L344" s="13"/>
    </row>
    <row r="345" spans="12:12">
      <c r="L345" s="13"/>
    </row>
    <row r="346" spans="12:12">
      <c r="L346" s="13"/>
    </row>
    <row r="347" spans="12:12">
      <c r="L347" s="13"/>
    </row>
    <row r="348" spans="12:12">
      <c r="L348" s="13"/>
    </row>
    <row r="349" spans="12:12">
      <c r="L349" s="13"/>
    </row>
    <row r="350" spans="12:12">
      <c r="L350" s="13"/>
    </row>
    <row r="351" spans="12:12">
      <c r="L351" s="13"/>
    </row>
    <row r="352" spans="12:12">
      <c r="L352" s="13"/>
    </row>
    <row r="353" spans="12:12">
      <c r="L353" s="13"/>
    </row>
    <row r="354" spans="12:12">
      <c r="L354" s="13"/>
    </row>
    <row r="355" spans="12:12">
      <c r="L355" s="13"/>
    </row>
    <row r="356" spans="12:12">
      <c r="L356" s="13"/>
    </row>
    <row r="357" spans="12:12">
      <c r="L357" s="13"/>
    </row>
    <row r="358" spans="12:12">
      <c r="L358" s="13"/>
    </row>
    <row r="359" spans="12:12">
      <c r="L359" s="13"/>
    </row>
    <row r="360" spans="12:12">
      <c r="L360" s="13"/>
    </row>
    <row r="361" spans="12:12">
      <c r="L361" s="13"/>
    </row>
    <row r="362" spans="12:12">
      <c r="L362" s="13"/>
    </row>
    <row r="363" spans="12:12">
      <c r="L363" s="13"/>
    </row>
    <row r="364" spans="12:12">
      <c r="L364" s="13"/>
    </row>
    <row r="365" spans="12:12">
      <c r="L365" s="13"/>
    </row>
    <row r="366" spans="12:12">
      <c r="L366" s="13"/>
    </row>
    <row r="367" spans="12:12">
      <c r="L367" s="13"/>
    </row>
    <row r="368" spans="12:12">
      <c r="L368" s="13"/>
    </row>
    <row r="369" spans="12:12">
      <c r="L369" s="13"/>
    </row>
    <row r="370" spans="12:12">
      <c r="L370" s="13"/>
    </row>
    <row r="371" spans="12:12">
      <c r="L371" s="13"/>
    </row>
    <row r="372" spans="12:12">
      <c r="L372" s="13"/>
    </row>
    <row r="373" spans="12:12">
      <c r="L373" s="13"/>
    </row>
    <row r="374" spans="12:12">
      <c r="L374" s="13"/>
    </row>
    <row r="375" spans="12:12">
      <c r="L375" s="13"/>
    </row>
    <row r="376" spans="12:12">
      <c r="L376" s="13"/>
    </row>
    <row r="377" spans="12:12">
      <c r="L377" s="13"/>
    </row>
    <row r="378" spans="12:12">
      <c r="L378" s="13"/>
    </row>
    <row r="379" spans="12:12">
      <c r="L379" s="13"/>
    </row>
    <row r="380" spans="12:12">
      <c r="L380" s="13"/>
    </row>
    <row r="381" spans="12:12">
      <c r="L381" s="13"/>
    </row>
    <row r="382" spans="12:12">
      <c r="L382" s="13"/>
    </row>
    <row r="383" spans="12:12">
      <c r="L383" s="13"/>
    </row>
    <row r="384" spans="12:12">
      <c r="L384" s="13"/>
    </row>
    <row r="385" spans="12:12">
      <c r="L385" s="13"/>
    </row>
    <row r="386" spans="12:12">
      <c r="L386" s="13"/>
    </row>
    <row r="387" spans="12:12">
      <c r="L387" s="13"/>
    </row>
    <row r="388" spans="12:12">
      <c r="L388" s="13"/>
    </row>
    <row r="389" spans="12:12">
      <c r="L389" s="13"/>
    </row>
    <row r="390" spans="12:12">
      <c r="L390" s="13"/>
    </row>
    <row r="391" spans="12:12">
      <c r="L391" s="13"/>
    </row>
    <row r="392" spans="12:12">
      <c r="L392" s="13"/>
    </row>
    <row r="393" spans="12:12">
      <c r="L393" s="13"/>
    </row>
    <row r="394" spans="12:12">
      <c r="L394" s="13"/>
    </row>
    <row r="395" spans="12:12">
      <c r="L395" s="13"/>
    </row>
    <row r="396" spans="12:12">
      <c r="L396" s="13"/>
    </row>
    <row r="397" spans="12:12">
      <c r="L397" s="13"/>
    </row>
    <row r="398" spans="12:12">
      <c r="L398" s="13"/>
    </row>
    <row r="399" spans="12:12">
      <c r="L399" s="13"/>
    </row>
    <row r="400" spans="12:12">
      <c r="L400" s="13"/>
    </row>
    <row r="401" spans="12:12">
      <c r="L401" s="13"/>
    </row>
    <row r="402" spans="12:12">
      <c r="L402" s="13"/>
    </row>
    <row r="403" spans="12:12">
      <c r="L403" s="13"/>
    </row>
    <row r="404" spans="12:12">
      <c r="L404" s="13"/>
    </row>
    <row r="405" spans="12:12">
      <c r="L405" s="13"/>
    </row>
    <row r="406" spans="12:12">
      <c r="L406" s="13"/>
    </row>
    <row r="407" spans="12:12">
      <c r="L407" s="13"/>
    </row>
    <row r="408" spans="12:12">
      <c r="L408" s="13"/>
    </row>
    <row r="409" spans="12:12">
      <c r="L409" s="13"/>
    </row>
    <row r="410" spans="12:12">
      <c r="L410" s="13"/>
    </row>
    <row r="411" spans="12:12">
      <c r="L411" s="13"/>
    </row>
    <row r="412" spans="12:12">
      <c r="L412" s="13"/>
    </row>
    <row r="413" spans="12:12">
      <c r="L413" s="13"/>
    </row>
    <row r="414" spans="12:12">
      <c r="L414" s="13"/>
    </row>
    <row r="415" spans="12:12">
      <c r="L415" s="13"/>
    </row>
    <row r="416" spans="12:12">
      <c r="L416" s="13"/>
    </row>
    <row r="417" spans="12:12">
      <c r="L417" s="13"/>
    </row>
    <row r="418" spans="12:12">
      <c r="L418" s="13"/>
    </row>
    <row r="419" spans="12:12">
      <c r="L419" s="13"/>
    </row>
    <row r="420" spans="12:12">
      <c r="L420" s="13"/>
    </row>
    <row r="421" spans="12:12">
      <c r="L421" s="13"/>
    </row>
    <row r="422" spans="12:12">
      <c r="L422" s="13"/>
    </row>
    <row r="423" spans="12:12">
      <c r="L423" s="13"/>
    </row>
    <row r="424" spans="12:12">
      <c r="L424" s="13"/>
    </row>
    <row r="425" spans="12:12">
      <c r="L425" s="13"/>
    </row>
    <row r="426" spans="12:12">
      <c r="L426" s="13"/>
    </row>
    <row r="427" spans="12:12">
      <c r="L427" s="13"/>
    </row>
    <row r="428" spans="12:12">
      <c r="L428" s="13"/>
    </row>
    <row r="429" spans="12:12">
      <c r="L429" s="13"/>
    </row>
    <row r="430" spans="12:12">
      <c r="L430" s="13"/>
    </row>
    <row r="431" spans="12:12">
      <c r="L431" s="13"/>
    </row>
    <row r="432" spans="12:12">
      <c r="L432" s="13"/>
    </row>
    <row r="433" spans="12:12">
      <c r="L433" s="13"/>
    </row>
    <row r="434" spans="12:12">
      <c r="L434" s="13"/>
    </row>
    <row r="435" spans="12:12">
      <c r="L435" s="13"/>
    </row>
    <row r="436" spans="12:12">
      <c r="L436" s="13"/>
    </row>
    <row r="437" spans="12:12">
      <c r="L437" s="13"/>
    </row>
    <row r="438" spans="12:12">
      <c r="L438" s="13"/>
    </row>
    <row r="439" spans="12:12">
      <c r="L439" s="13"/>
    </row>
    <row r="440" spans="12:12">
      <c r="L440" s="13"/>
    </row>
    <row r="441" spans="12:12">
      <c r="L441" s="13"/>
    </row>
    <row r="442" spans="12:12">
      <c r="L442" s="13"/>
    </row>
    <row r="443" spans="12:12">
      <c r="L443" s="13"/>
    </row>
    <row r="444" spans="12:12">
      <c r="L444" s="13"/>
    </row>
    <row r="445" spans="12:12">
      <c r="L445" s="13"/>
    </row>
    <row r="446" spans="12:12">
      <c r="L446" s="13"/>
    </row>
    <row r="447" spans="12:12">
      <c r="L447" s="13"/>
    </row>
    <row r="448" spans="12:12">
      <c r="L448" s="13"/>
    </row>
    <row r="449" spans="12:12">
      <c r="L449" s="13"/>
    </row>
    <row r="450" spans="12:12">
      <c r="L450" s="13"/>
    </row>
    <row r="451" spans="12:12">
      <c r="L451" s="13"/>
    </row>
    <row r="452" spans="12:12">
      <c r="L452" s="13"/>
    </row>
    <row r="453" spans="12:12">
      <c r="L453" s="13"/>
    </row>
    <row r="454" spans="12:12">
      <c r="L454" s="13"/>
    </row>
    <row r="455" spans="12:12">
      <c r="L455" s="13"/>
    </row>
    <row r="456" spans="12:12">
      <c r="L456" s="13"/>
    </row>
    <row r="457" spans="12:12">
      <c r="L457" s="13"/>
    </row>
    <row r="458" spans="12:12">
      <c r="L458" s="13"/>
    </row>
    <row r="459" spans="12:12">
      <c r="L459" s="13"/>
    </row>
    <row r="460" spans="12:12">
      <c r="L460" s="13"/>
    </row>
    <row r="461" spans="12:12">
      <c r="L461" s="13"/>
    </row>
    <row r="462" spans="12:12">
      <c r="L462" s="13"/>
    </row>
    <row r="463" spans="12:12">
      <c r="L463" s="13"/>
    </row>
    <row r="464" spans="12:12">
      <c r="L464" s="13"/>
    </row>
    <row r="465" spans="12:12">
      <c r="L465" s="13"/>
    </row>
    <row r="466" spans="12:12">
      <c r="L466" s="13"/>
    </row>
    <row r="467" spans="12:12">
      <c r="L467" s="13"/>
    </row>
    <row r="468" spans="12:12">
      <c r="L468" s="13"/>
    </row>
    <row r="469" spans="12:12">
      <c r="L469" s="13"/>
    </row>
    <row r="470" spans="12:12">
      <c r="L470" s="13"/>
    </row>
    <row r="471" spans="12:12">
      <c r="L471" s="13"/>
    </row>
    <row r="472" spans="12:12">
      <c r="L472" s="13"/>
    </row>
    <row r="473" spans="12:12">
      <c r="L473" s="13"/>
    </row>
    <row r="474" spans="12:12">
      <c r="L474" s="13"/>
    </row>
    <row r="475" spans="12:12">
      <c r="L475" s="13"/>
    </row>
    <row r="476" spans="12:12">
      <c r="L476" s="13"/>
    </row>
    <row r="477" spans="12:12">
      <c r="L477" s="13"/>
    </row>
    <row r="478" spans="12:12">
      <c r="L478" s="13"/>
    </row>
    <row r="479" spans="12:12">
      <c r="L479" s="13"/>
    </row>
    <row r="480" spans="12:12">
      <c r="L480" s="13"/>
    </row>
    <row r="481" spans="12:12">
      <c r="L481" s="13"/>
    </row>
    <row r="482" spans="12:12">
      <c r="L482" s="13"/>
    </row>
    <row r="483" spans="12:12">
      <c r="L483" s="13"/>
    </row>
    <row r="484" spans="12:12">
      <c r="L484" s="13"/>
    </row>
    <row r="485" spans="12:12">
      <c r="L485" s="13"/>
    </row>
    <row r="486" spans="12:12">
      <c r="L486" s="13"/>
    </row>
    <row r="487" spans="12:12">
      <c r="L487" s="13"/>
    </row>
    <row r="488" spans="12:12">
      <c r="L488" s="13"/>
    </row>
    <row r="489" spans="12:12">
      <c r="L489" s="13"/>
    </row>
    <row r="490" spans="12:12">
      <c r="L490" s="13"/>
    </row>
    <row r="491" spans="12:12">
      <c r="L491" s="13"/>
    </row>
    <row r="492" spans="12:12">
      <c r="L492" s="13"/>
    </row>
    <row r="493" spans="12:12">
      <c r="L493" s="13"/>
    </row>
    <row r="494" spans="12:12">
      <c r="L494" s="13"/>
    </row>
    <row r="495" spans="12:12">
      <c r="L495" s="13"/>
    </row>
    <row r="496" spans="12:12">
      <c r="L496" s="13"/>
    </row>
    <row r="497" spans="12:12">
      <c r="L497" s="13"/>
    </row>
    <row r="498" spans="12:12">
      <c r="L498" s="13"/>
    </row>
    <row r="499" spans="12:12">
      <c r="L499" s="13"/>
    </row>
    <row r="500" spans="12:12">
      <c r="L500" s="13"/>
    </row>
    <row r="501" spans="12:12">
      <c r="L501" s="13"/>
    </row>
    <row r="502" spans="12:12">
      <c r="L502" s="13"/>
    </row>
    <row r="503" spans="12:12">
      <c r="L503" s="13"/>
    </row>
    <row r="504" spans="12:12">
      <c r="L504" s="13"/>
    </row>
    <row r="505" spans="12:12">
      <c r="L505" s="13"/>
    </row>
    <row r="506" spans="12:12">
      <c r="L506" s="13"/>
    </row>
    <row r="507" spans="12:12">
      <c r="L507" s="13"/>
    </row>
    <row r="508" spans="12:12">
      <c r="L508" s="13"/>
    </row>
    <row r="509" spans="12:12">
      <c r="L509" s="13"/>
    </row>
    <row r="510" spans="12:12">
      <c r="L510" s="13"/>
    </row>
    <row r="511" spans="12:12">
      <c r="L511" s="13"/>
    </row>
    <row r="512" spans="12:12">
      <c r="L512" s="13"/>
    </row>
    <row r="513" spans="12:12">
      <c r="L513" s="13"/>
    </row>
    <row r="514" spans="12:12">
      <c r="L514" s="13"/>
    </row>
    <row r="515" spans="12:12">
      <c r="L515" s="13"/>
    </row>
    <row r="516" spans="12:12">
      <c r="L516" s="13"/>
    </row>
    <row r="517" spans="12:12">
      <c r="L517" s="13"/>
    </row>
    <row r="518" spans="12:12">
      <c r="L518" s="13"/>
    </row>
    <row r="519" spans="12:12">
      <c r="L519" s="13"/>
    </row>
    <row r="520" spans="12:12">
      <c r="L520" s="13"/>
    </row>
    <row r="521" spans="12:12">
      <c r="L521" s="13"/>
    </row>
    <row r="522" spans="12:12">
      <c r="L522" s="13"/>
    </row>
    <row r="523" spans="12:12">
      <c r="L523" s="13"/>
    </row>
    <row r="524" spans="12:12">
      <c r="L524" s="13"/>
    </row>
    <row r="525" spans="12:12">
      <c r="L525" s="13"/>
    </row>
    <row r="526" spans="12:12">
      <c r="L526" s="13"/>
    </row>
    <row r="527" spans="12:12">
      <c r="L527" s="13"/>
    </row>
    <row r="528" spans="12:12">
      <c r="L528" s="13"/>
    </row>
    <row r="529" spans="12:12">
      <c r="L529" s="13"/>
    </row>
    <row r="530" spans="12:12">
      <c r="L530" s="13"/>
    </row>
    <row r="531" spans="12:12">
      <c r="L531" s="13"/>
    </row>
    <row r="532" spans="12:12">
      <c r="L532" s="13"/>
    </row>
    <row r="533" spans="12:12">
      <c r="L533" s="13"/>
    </row>
    <row r="534" spans="12:12">
      <c r="L534" s="13"/>
    </row>
    <row r="535" spans="12:12">
      <c r="L535" s="13"/>
    </row>
    <row r="536" spans="12:12">
      <c r="L536" s="13"/>
    </row>
    <row r="537" spans="12:12">
      <c r="L537" s="13"/>
    </row>
    <row r="538" spans="12:12">
      <c r="L538" s="13"/>
    </row>
    <row r="539" spans="12:12">
      <c r="L539" s="13"/>
    </row>
    <row r="540" spans="12:12">
      <c r="L540" s="13"/>
    </row>
    <row r="541" spans="12:12">
      <c r="L541" s="13"/>
    </row>
    <row r="542" spans="12:12">
      <c r="L542" s="13"/>
    </row>
    <row r="543" spans="12:12">
      <c r="L543" s="13"/>
    </row>
    <row r="544" spans="12:12">
      <c r="L544" s="13"/>
    </row>
    <row r="545" spans="12:12">
      <c r="L545" s="13"/>
    </row>
    <row r="546" spans="12:12">
      <c r="L546" s="13"/>
    </row>
    <row r="547" spans="12:12">
      <c r="L547" s="13"/>
    </row>
    <row r="548" spans="12:12">
      <c r="L548" s="13"/>
    </row>
    <row r="549" spans="12:12">
      <c r="L549" s="13"/>
    </row>
    <row r="550" spans="12:12">
      <c r="L550" s="13"/>
    </row>
    <row r="551" spans="12:12">
      <c r="L551" s="13"/>
    </row>
    <row r="552" spans="12:12">
      <c r="L552" s="13"/>
    </row>
    <row r="553" spans="12:12">
      <c r="L553" s="13"/>
    </row>
    <row r="554" spans="12:12">
      <c r="L554" s="13"/>
    </row>
    <row r="555" spans="12:12">
      <c r="L555" s="13"/>
    </row>
    <row r="556" spans="12:12">
      <c r="L556" s="13"/>
    </row>
    <row r="557" spans="12:12">
      <c r="L557" s="13"/>
    </row>
    <row r="558" spans="12:12">
      <c r="L558" s="13"/>
    </row>
    <row r="559" spans="12:12">
      <c r="L559" s="13"/>
    </row>
    <row r="560" spans="12:12">
      <c r="L560" s="13"/>
    </row>
    <row r="561" spans="12:12">
      <c r="L561" s="13"/>
    </row>
    <row r="562" spans="12:12">
      <c r="L562" s="13"/>
    </row>
    <row r="563" spans="12:12">
      <c r="L563" s="13"/>
    </row>
    <row r="564" spans="12:12">
      <c r="L564" s="13"/>
    </row>
    <row r="565" spans="12:12">
      <c r="L565" s="13"/>
    </row>
    <row r="566" spans="12:12">
      <c r="L566" s="13"/>
    </row>
    <row r="567" spans="12:12">
      <c r="L567" s="13"/>
    </row>
    <row r="568" spans="12:12">
      <c r="L568" s="13"/>
    </row>
    <row r="569" spans="12:12">
      <c r="L569" s="13"/>
    </row>
    <row r="570" spans="12:12">
      <c r="L570" s="13"/>
    </row>
  </sheetData>
  <mergeCells count="155">
    <mergeCell ref="A9:A102"/>
    <mergeCell ref="B33:B90"/>
    <mergeCell ref="I18:K18"/>
    <mergeCell ref="B93:B102"/>
    <mergeCell ref="F93:M93"/>
    <mergeCell ref="C98:C99"/>
    <mergeCell ref="D98:D99"/>
    <mergeCell ref="E98:E99"/>
    <mergeCell ref="C3:C6"/>
    <mergeCell ref="D3:D6"/>
    <mergeCell ref="E3:E6"/>
    <mergeCell ref="F3:F6"/>
    <mergeCell ref="G3:G6"/>
    <mergeCell ref="H3:H6"/>
    <mergeCell ref="B9:D9"/>
    <mergeCell ref="F9:M9"/>
    <mergeCell ref="B10:B31"/>
    <mergeCell ref="F10:M10"/>
    <mergeCell ref="C11:C15"/>
    <mergeCell ref="E12:E13"/>
    <mergeCell ref="F12:F13"/>
    <mergeCell ref="D12:D13"/>
    <mergeCell ref="C29:C31"/>
    <mergeCell ref="D14:D15"/>
    <mergeCell ref="A1:H2"/>
    <mergeCell ref="I1:R1"/>
    <mergeCell ref="S1:W1"/>
    <mergeCell ref="I2:J2"/>
    <mergeCell ref="P2:R2"/>
    <mergeCell ref="S2:V2"/>
    <mergeCell ref="K2:O2"/>
    <mergeCell ref="A3:A6"/>
    <mergeCell ref="B3:B6"/>
    <mergeCell ref="P3:W4"/>
    <mergeCell ref="K4:K6"/>
    <mergeCell ref="L4:L6"/>
    <mergeCell ref="P5:S5"/>
    <mergeCell ref="T5:W5"/>
    <mergeCell ref="I3:I6"/>
    <mergeCell ref="J3:J6"/>
    <mergeCell ref="O3:O6"/>
    <mergeCell ref="K3:L3"/>
    <mergeCell ref="M3:M6"/>
    <mergeCell ref="N3:N6"/>
    <mergeCell ref="F11:M11"/>
    <mergeCell ref="F19:F21"/>
    <mergeCell ref="F24:F27"/>
    <mergeCell ref="C34:C41"/>
    <mergeCell ref="F34:M34"/>
    <mergeCell ref="E22:E23"/>
    <mergeCell ref="F22:F23"/>
    <mergeCell ref="D24:D27"/>
    <mergeCell ref="C18:C28"/>
    <mergeCell ref="F18:H18"/>
    <mergeCell ref="D19:D21"/>
    <mergeCell ref="E19:E21"/>
    <mergeCell ref="E50:E52"/>
    <mergeCell ref="D35:D39"/>
    <mergeCell ref="E35:E39"/>
    <mergeCell ref="F35:F39"/>
    <mergeCell ref="D45:D48"/>
    <mergeCell ref="E45:E48"/>
    <mergeCell ref="F45:F48"/>
    <mergeCell ref="F43:F44"/>
    <mergeCell ref="E14:E15"/>
    <mergeCell ref="F14:F15"/>
    <mergeCell ref="F16:M16"/>
    <mergeCell ref="F33:M33"/>
    <mergeCell ref="E24:E27"/>
    <mergeCell ref="G25:G26"/>
    <mergeCell ref="H25:H26"/>
    <mergeCell ref="D22:D23"/>
    <mergeCell ref="F29:M29"/>
    <mergeCell ref="D30:D31"/>
    <mergeCell ref="E30:E31"/>
    <mergeCell ref="F30:F31"/>
    <mergeCell ref="J50:J52"/>
    <mergeCell ref="C67:C74"/>
    <mergeCell ref="C59:C61"/>
    <mergeCell ref="F59:M59"/>
    <mergeCell ref="E53:E55"/>
    <mergeCell ref="F53:F55"/>
    <mergeCell ref="G53:G55"/>
    <mergeCell ref="H53:H55"/>
    <mergeCell ref="C62:C66"/>
    <mergeCell ref="F62:M62"/>
    <mergeCell ref="D64:D66"/>
    <mergeCell ref="C57:C58"/>
    <mergeCell ref="F57:M57"/>
    <mergeCell ref="C42:C56"/>
    <mergeCell ref="F42:M42"/>
    <mergeCell ref="D43:D44"/>
    <mergeCell ref="E43:E44"/>
    <mergeCell ref="D53:D55"/>
    <mergeCell ref="I53:I55"/>
    <mergeCell ref="J53:J55"/>
    <mergeCell ref="F50:F52"/>
    <mergeCell ref="G50:G52"/>
    <mergeCell ref="H50:H52"/>
    <mergeCell ref="I50:I52"/>
    <mergeCell ref="D50:D52"/>
    <mergeCell ref="G85:G86"/>
    <mergeCell ref="J68:J69"/>
    <mergeCell ref="D71:D74"/>
    <mergeCell ref="E71:E74"/>
    <mergeCell ref="F71:F74"/>
    <mergeCell ref="G71:G74"/>
    <mergeCell ref="H71:H74"/>
    <mergeCell ref="G78:G79"/>
    <mergeCell ref="F64:F66"/>
    <mergeCell ref="I64:I66"/>
    <mergeCell ref="J64:J66"/>
    <mergeCell ref="F67:M67"/>
    <mergeCell ref="D68:D69"/>
    <mergeCell ref="E68:E69"/>
    <mergeCell ref="F68:F69"/>
    <mergeCell ref="G68:G69"/>
    <mergeCell ref="G64:G66"/>
    <mergeCell ref="H64:H66"/>
    <mergeCell ref="H78:H79"/>
    <mergeCell ref="N114:T114"/>
    <mergeCell ref="E111:R111"/>
    <mergeCell ref="E112:R112"/>
    <mergeCell ref="F90:M90"/>
    <mergeCell ref="E87:E89"/>
    <mergeCell ref="F87:F89"/>
    <mergeCell ref="H98:H99"/>
    <mergeCell ref="F98:F99"/>
    <mergeCell ref="G98:G99"/>
    <mergeCell ref="J88:J89"/>
    <mergeCell ref="G87:G89"/>
    <mergeCell ref="A105:A106"/>
    <mergeCell ref="F107:M107"/>
    <mergeCell ref="H68:H69"/>
    <mergeCell ref="E64:E66"/>
    <mergeCell ref="D85:D86"/>
    <mergeCell ref="E78:E79"/>
    <mergeCell ref="A104:D104"/>
    <mergeCell ref="F104:M104"/>
    <mergeCell ref="D78:D79"/>
    <mergeCell ref="C75:C79"/>
    <mergeCell ref="F78:F79"/>
    <mergeCell ref="D87:D89"/>
    <mergeCell ref="H87:H89"/>
    <mergeCell ref="E85:E86"/>
    <mergeCell ref="I71:I74"/>
    <mergeCell ref="J71:J74"/>
    <mergeCell ref="H85:H86"/>
    <mergeCell ref="F75:M75"/>
    <mergeCell ref="C80:C83"/>
    <mergeCell ref="F80:M80"/>
    <mergeCell ref="C84:C89"/>
    <mergeCell ref="F84:M84"/>
    <mergeCell ref="I68:I69"/>
    <mergeCell ref="F85:F86"/>
  </mergeCells>
  <printOptions horizontalCentered="1"/>
  <pageMargins left="0.35433070866141736" right="0.35433070866141736" top="0.39370078740157483" bottom="0.39370078740157483" header="0.31496062992125984" footer="0.31496062992125984"/>
  <pageSetup paperSize="8" orientation="landscape"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KPI PGĐ KD</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2018-05-21T14:29:44Z</cp:lastPrinted>
  <dcterms:created xsi:type="dcterms:W3CDTF">2016-11-18T02:13:24Z</dcterms:created>
  <dcterms:modified xsi:type="dcterms:W3CDTF">2018-10-17T02:31:01Z</dcterms:modified>
</cp:coreProperties>
</file>