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9440" windowHeight="9390" tabRatio="710"/>
  </bookViews>
  <sheets>
    <sheet name="KPI-TP4 (Sơn)" sheetId="26" r:id="rId1"/>
  </sheets>
  <definedNames>
    <definedName name="_Fill" localSheetId="0" hidden="1">#REF!</definedName>
    <definedName name="_Fill" hidden="1">#REF!</definedName>
    <definedName name="Company2013" localSheetId="0" hidden="1">#REF!</definedName>
    <definedName name="Company2013" hidden="1">#REF!</definedName>
    <definedName name="_xlnm.Print_Titles" localSheetId="0">'KPI-TP4 (Sơn)'!$3:$6</definedName>
    <definedName name="SFF" localSheetId="0" hidden="1">#REF!</definedName>
    <definedName name="SFF" hidden="1">#REF!</definedName>
  </definedNames>
  <calcPr calcId="144525" calcOnSave="0"/>
</workbook>
</file>

<file path=xl/calcChain.xml><?xml version="1.0" encoding="utf-8"?>
<calcChain xmlns="http://schemas.openxmlformats.org/spreadsheetml/2006/main">
  <c r="X18" i="26" l="1"/>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13" i="26"/>
  <c r="X14" i="26"/>
  <c r="X15" i="26"/>
  <c r="X16" i="26"/>
  <c r="X17" i="26"/>
  <c r="X12" i="26"/>
  <c r="V61" i="26" l="1"/>
  <c r="W61" i="26" s="1"/>
  <c r="V60" i="26"/>
  <c r="W60" i="26" s="1"/>
  <c r="U61" i="26"/>
  <c r="U60" i="26"/>
  <c r="O80" i="26"/>
  <c r="O79" i="26"/>
  <c r="W84" i="26"/>
  <c r="W83" i="26"/>
  <c r="W82" i="26"/>
  <c r="W81" i="26"/>
  <c r="W80" i="26"/>
  <c r="W79" i="26"/>
  <c r="V77" i="26"/>
  <c r="W77" i="26" s="1"/>
  <c r="V76" i="26"/>
  <c r="W76" i="26" s="1"/>
  <c r="U76" i="26"/>
  <c r="W75" i="26"/>
  <c r="V75" i="26"/>
  <c r="U74" i="26"/>
  <c r="V74" i="26" s="1"/>
  <c r="W74" i="26" s="1"/>
  <c r="V73" i="26"/>
  <c r="W73" i="26" s="1"/>
  <c r="V72" i="26"/>
  <c r="W72" i="26" s="1"/>
  <c r="V71" i="26"/>
  <c r="W71" i="26" s="1"/>
  <c r="U71" i="26"/>
  <c r="U70" i="26"/>
  <c r="V70" i="26" s="1"/>
  <c r="W70" i="26" s="1"/>
  <c r="V69" i="26"/>
  <c r="W69" i="26" s="1"/>
  <c r="V68" i="26"/>
  <c r="W68" i="26" s="1"/>
  <c r="V67" i="26"/>
  <c r="W67" i="26" s="1"/>
  <c r="V66" i="26"/>
  <c r="W66" i="26" s="1"/>
  <c r="V65" i="26"/>
  <c r="W65" i="26" s="1"/>
  <c r="V63" i="26"/>
  <c r="W63" i="26" s="1"/>
  <c r="U58" i="26"/>
  <c r="V58" i="26" s="1"/>
  <c r="W58" i="26" s="1"/>
  <c r="W57" i="26"/>
  <c r="V57" i="26"/>
  <c r="U56" i="26"/>
  <c r="V56" i="26" s="1"/>
  <c r="W56" i="26" s="1"/>
  <c r="V54" i="26"/>
  <c r="W54" i="26" s="1"/>
  <c r="V53" i="26"/>
  <c r="W53" i="26" s="1"/>
  <c r="V52" i="26"/>
  <c r="W52" i="26" s="1"/>
  <c r="V51" i="26"/>
  <c r="W51" i="26" s="1"/>
  <c r="V50" i="26"/>
  <c r="W50" i="26" s="1"/>
  <c r="V49" i="26"/>
  <c r="W49" i="26" s="1"/>
  <c r="U49" i="26"/>
  <c r="W48" i="26"/>
  <c r="V48" i="26"/>
  <c r="W47" i="26"/>
  <c r="V47" i="26"/>
  <c r="W45" i="26"/>
  <c r="V45" i="26"/>
  <c r="W44" i="26"/>
  <c r="V44" i="26"/>
  <c r="W43" i="26"/>
  <c r="V43" i="26"/>
  <c r="W42" i="26"/>
  <c r="V42" i="26"/>
  <c r="W41" i="26"/>
  <c r="V41" i="26"/>
  <c r="W40" i="26"/>
  <c r="V40" i="26"/>
  <c r="W39" i="26"/>
  <c r="V39" i="26"/>
  <c r="W38" i="26"/>
  <c r="V38" i="26"/>
  <c r="U37" i="26"/>
  <c r="V37" i="26" s="1"/>
  <c r="W37" i="26" s="1"/>
  <c r="V36" i="26"/>
  <c r="W36" i="26" s="1"/>
  <c r="V35" i="26"/>
  <c r="W35" i="26" s="1"/>
  <c r="U35" i="26"/>
  <c r="W34" i="26"/>
  <c r="V34" i="26"/>
  <c r="W33" i="26"/>
  <c r="V33" i="26"/>
  <c r="W32" i="26"/>
  <c r="V32" i="26"/>
  <c r="W31" i="26"/>
  <c r="V31" i="26"/>
  <c r="W30" i="26"/>
  <c r="V30" i="26"/>
  <c r="W29" i="26"/>
  <c r="V29" i="26"/>
  <c r="U28" i="26"/>
  <c r="V28" i="26" s="1"/>
  <c r="W28" i="26" s="1"/>
  <c r="V27" i="26"/>
  <c r="W27" i="26" s="1"/>
  <c r="U27" i="26"/>
  <c r="W26" i="26"/>
  <c r="V26" i="26"/>
  <c r="W24" i="26"/>
  <c r="V24" i="26"/>
  <c r="W22" i="26"/>
  <c r="V22" i="26"/>
  <c r="W20" i="26"/>
  <c r="V20" i="26"/>
  <c r="W17" i="26"/>
  <c r="V17" i="26"/>
  <c r="W16" i="26"/>
  <c r="V16" i="26"/>
  <c r="W15" i="26"/>
  <c r="V15" i="26"/>
  <c r="W14" i="26"/>
  <c r="V14" i="26"/>
  <c r="W13" i="26"/>
  <c r="V13" i="26"/>
  <c r="U12" i="26"/>
  <c r="V12" i="26" s="1"/>
  <c r="W12" i="26" s="1"/>
  <c r="W85" i="26" l="1"/>
  <c r="R80" i="26" l="1"/>
  <c r="R79" i="26"/>
  <c r="R74" i="26"/>
  <c r="R71" i="26"/>
  <c r="R70" i="26"/>
  <c r="R63" i="26"/>
  <c r="R61" i="26"/>
  <c r="R60" i="26"/>
  <c r="R57" i="26"/>
  <c r="R58" i="26"/>
  <c r="R56" i="26"/>
  <c r="R49" i="26"/>
  <c r="R40" i="26"/>
  <c r="R41" i="26"/>
  <c r="R39" i="26"/>
  <c r="R37" i="26"/>
  <c r="R36" i="26"/>
  <c r="R35" i="26"/>
  <c r="R28" i="26"/>
  <c r="R32" i="26"/>
  <c r="R29" i="26"/>
  <c r="R27" i="26"/>
  <c r="R26" i="26"/>
  <c r="C18" i="26"/>
  <c r="O72" i="26" l="1"/>
  <c r="O71" i="26"/>
  <c r="O77" i="26" l="1"/>
  <c r="O76" i="26"/>
  <c r="O75" i="26"/>
  <c r="O74" i="26"/>
  <c r="O73" i="26"/>
  <c r="O70" i="26"/>
  <c r="O69" i="26"/>
  <c r="O68" i="26"/>
  <c r="O66" i="26"/>
  <c r="O67" i="26"/>
  <c r="O65" i="26"/>
  <c r="S70" i="26" l="1"/>
  <c r="O63" i="26"/>
  <c r="O61" i="26"/>
  <c r="O60" i="26"/>
  <c r="O58" i="26"/>
  <c r="O57" i="26"/>
  <c r="S57" i="26" s="1"/>
  <c r="O56" i="26"/>
  <c r="O52" i="26"/>
  <c r="O53" i="26"/>
  <c r="O54" i="26"/>
  <c r="O51" i="26"/>
  <c r="O50" i="26"/>
  <c r="O49" i="26"/>
  <c r="O48" i="26"/>
  <c r="O47" i="26"/>
  <c r="O44" i="26"/>
  <c r="O45" i="26"/>
  <c r="O43" i="26"/>
  <c r="O42" i="26"/>
  <c r="O40" i="26"/>
  <c r="O41" i="26"/>
  <c r="O39" i="26"/>
  <c r="S39" i="26" s="1"/>
  <c r="O38" i="26"/>
  <c r="O37" i="26"/>
  <c r="O36" i="26"/>
  <c r="O34" i="26"/>
  <c r="O35" i="26"/>
  <c r="O33" i="26"/>
  <c r="O32" i="26"/>
  <c r="O31" i="26"/>
  <c r="O30" i="26"/>
  <c r="O29" i="26"/>
  <c r="S29" i="26" s="1"/>
  <c r="O28" i="26"/>
  <c r="O27" i="26"/>
  <c r="S27" i="26" s="1"/>
  <c r="O26" i="26"/>
  <c r="O24" i="26"/>
  <c r="O22" i="26"/>
  <c r="O20" i="26"/>
  <c r="O13" i="26"/>
  <c r="O14" i="26"/>
  <c r="O15" i="26"/>
  <c r="O16" i="26"/>
  <c r="O17" i="26"/>
  <c r="O12" i="26"/>
  <c r="R73" i="26"/>
  <c r="R72" i="26"/>
  <c r="R69" i="26"/>
  <c r="R68" i="26"/>
  <c r="R67" i="26"/>
  <c r="R66" i="26"/>
  <c r="R65" i="26"/>
  <c r="S60" i="26"/>
  <c r="R54" i="26"/>
  <c r="R53" i="26"/>
  <c r="R52" i="26"/>
  <c r="R51" i="26"/>
  <c r="R50" i="26"/>
  <c r="R48" i="26"/>
  <c r="R47" i="26"/>
  <c r="R45" i="26"/>
  <c r="R44" i="26"/>
  <c r="R43" i="26"/>
  <c r="R42" i="26"/>
  <c r="R38" i="26"/>
  <c r="R34" i="26"/>
  <c r="R33" i="26"/>
  <c r="R31" i="26"/>
  <c r="R30" i="26"/>
  <c r="R24" i="26"/>
  <c r="R22" i="26"/>
  <c r="R20" i="26"/>
  <c r="R14" i="26"/>
  <c r="R15" i="26"/>
  <c r="R16" i="26"/>
  <c r="R17" i="26"/>
  <c r="R13" i="26"/>
  <c r="S77" i="26"/>
  <c r="S82" i="26"/>
  <c r="S83" i="26"/>
  <c r="S84" i="26"/>
  <c r="C64" i="26"/>
  <c r="C10" i="26"/>
  <c r="S81" i="26" l="1"/>
  <c r="S44" i="26"/>
  <c r="S52" i="26"/>
  <c r="S54" i="26"/>
  <c r="S16" i="26"/>
  <c r="O85" i="26"/>
  <c r="S75" i="26"/>
  <c r="S73" i="26"/>
  <c r="S68" i="26"/>
  <c r="S71" i="26"/>
  <c r="S13" i="26"/>
  <c r="S63" i="26"/>
  <c r="S20" i="26"/>
  <c r="S74" i="26"/>
  <c r="S69" i="26"/>
  <c r="S65" i="26"/>
  <c r="S14" i="26"/>
  <c r="S33" i="26"/>
  <c r="S26" i="26"/>
  <c r="S66" i="26"/>
  <c r="S17" i="26"/>
  <c r="S80" i="26"/>
  <c r="S41" i="26"/>
  <c r="S37" i="26"/>
  <c r="S40" i="26"/>
  <c r="S36" i="26"/>
  <c r="S32" i="26"/>
  <c r="S48" i="26"/>
  <c r="S43" i="26"/>
  <c r="S22" i="26"/>
  <c r="S50" i="26"/>
  <c r="S45" i="26"/>
  <c r="S28" i="26"/>
  <c r="S24" i="26"/>
  <c r="S15" i="26"/>
  <c r="S79" i="26"/>
  <c r="S58" i="26"/>
  <c r="S53" i="26"/>
  <c r="S49" i="26"/>
  <c r="S42" i="26"/>
  <c r="S61" i="26"/>
  <c r="S38" i="26"/>
  <c r="S56" i="26"/>
  <c r="S34" i="26"/>
  <c r="S30" i="26"/>
  <c r="S31" i="26"/>
  <c r="S51" i="26"/>
  <c r="S35" i="26"/>
  <c r="S76" i="26"/>
  <c r="S72" i="26"/>
  <c r="S67" i="26"/>
  <c r="S47" i="26"/>
  <c r="S12" i="26"/>
  <c r="S78" i="26" l="1"/>
  <c r="S9" i="26"/>
  <c r="W2" i="26"/>
  <c r="S85" i="26" l="1"/>
  <c r="S86" i="26" s="1"/>
</calcChain>
</file>

<file path=xl/sharedStrings.xml><?xml version="1.0" encoding="utf-8"?>
<sst xmlns="http://schemas.openxmlformats.org/spreadsheetml/2006/main" count="467" uniqueCount="338">
  <si>
    <t>I2</t>
  </si>
  <si>
    <t>Nâng cao hiệu suất vận hành hệ thống</t>
  </si>
  <si>
    <t>I4</t>
  </si>
  <si>
    <t>I5</t>
  </si>
  <si>
    <t>Cải tiến công nghệ</t>
  </si>
  <si>
    <t>C1</t>
  </si>
  <si>
    <t>C2</t>
  </si>
  <si>
    <t>ĐVT</t>
  </si>
  <si>
    <t>%</t>
  </si>
  <si>
    <t>Năm</t>
  </si>
  <si>
    <t>Quý</t>
  </si>
  <si>
    <t>An toàn, bảo vệ môi trường</t>
  </si>
  <si>
    <t>Cải thiện sự hài lòng của khách hàng về chất lượng điện, chất lượng dịch vụ và hình ảnh thương hiệu EVN  trách nhiệm &amp; minh bạch</t>
  </si>
  <si>
    <t>Số lần bị cơ quan chức năng nhắc nhở bằng văn bản về kiểm soát chất thải nguy hại</t>
  </si>
  <si>
    <t>Tổn thất điện năng /kế hoạch</t>
  </si>
  <si>
    <t>CL1</t>
  </si>
  <si>
    <t xml:space="preserve">Lập kế hoạch SXKD dài hạn của Công ty </t>
  </si>
  <si>
    <t>C</t>
  </si>
  <si>
    <t>KH5</t>
  </si>
  <si>
    <t xml:space="preserve">Lập, triển khai kế hoạch CCHC của Công ty </t>
  </si>
  <si>
    <t>KH6</t>
  </si>
  <si>
    <t xml:space="preserve">Lập, triển khai kế hoạch thực hiện Quy chế dân chủ của Công ty </t>
  </si>
  <si>
    <t>AT2</t>
  </si>
  <si>
    <t>Thực hiện công tác điều tra tai nạn lao động, các vụ cháy nổ lớn, sự cố lưới điện</t>
  </si>
  <si>
    <t>HC1</t>
  </si>
  <si>
    <t>Công tác Văn thư</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</si>
  <si>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</si>
  <si>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</si>
  <si>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</si>
  <si>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</si>
  <si>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</si>
  <si>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</si>
  <si>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</si>
  <si>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</si>
  <si>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KH1</t>
  </si>
  <si>
    <t>VT4</t>
  </si>
  <si>
    <t>Thực hiện tiếp nhận tài sản các công trình điện khách hàng bàn giao.</t>
  </si>
  <si>
    <t>KT1</t>
  </si>
  <si>
    <t>Quản lý kỹ thuật, sửa chữa hệ thống điện</t>
  </si>
  <si>
    <t>KT3</t>
  </si>
  <si>
    <t>Quản lý, vận hành rơ le bảo vệ, tự động và điều khiển từ xa.</t>
  </si>
  <si>
    <t>KT4</t>
  </si>
  <si>
    <t>Quản lý tổn thất điện năng</t>
  </si>
  <si>
    <t>AT4</t>
  </si>
  <si>
    <t>Tổ chức phòng chống và khắc phục thiên tai</t>
  </si>
  <si>
    <t>AT5</t>
  </si>
  <si>
    <t>Công tác bảo vệ môi trường</t>
  </si>
  <si>
    <t>XD2</t>
  </si>
  <si>
    <t>Thực hiện công tác chuẩn bị đầu tư.</t>
  </si>
  <si>
    <t>XD5</t>
  </si>
  <si>
    <t>Thực hiện nghiệm thu, quyết toán A-B</t>
  </si>
  <si>
    <t>SC2</t>
  </si>
  <si>
    <t>Triển khai lập, thẩm định phương án, dự toán các công trình SCL</t>
  </si>
  <si>
    <t>SC3</t>
  </si>
  <si>
    <t>Thực hiện nghiệm thu công trình SCL</t>
  </si>
  <si>
    <t>SX1</t>
  </si>
  <si>
    <t>Tổ chức, thực hiện các hoạt động SXK</t>
  </si>
  <si>
    <t>Đơn vị đo</t>
  </si>
  <si>
    <t>Số lượng sai sót</t>
  </si>
  <si>
    <t>Tháng</t>
  </si>
  <si>
    <t>Tham gia tiếp nhận tài sản các công trình điện khách hàng bàn giao.</t>
  </si>
  <si>
    <t>Tham gia công tác chỉnh trang lưới điện</t>
  </si>
  <si>
    <t>Lập các báo cáo định kỳ</t>
  </si>
  <si>
    <t>Bồi huấn cho CBCNV các đơn vị về đào tạo quy trình vận hành đường dây, TBA, TBĐ; quy phạm; quy định của nhà nước trong công tác QLKT.</t>
  </si>
  <si>
    <t>Xây dựng ngân hàng câu hỏi thi nâng bậc công nhân, thi chuyển ngạch, lĩnh vực thí nghiệm, quản lý kỹ thuật vận hành.</t>
  </si>
  <si>
    <t>Triển khai thực hiện những nội dung trong đề án BVMT được cơ quan QLNN duyệt</t>
  </si>
  <si>
    <t>Tham gia nghiệm thu kỹ thuật công trình</t>
  </si>
  <si>
    <t xml:space="preserve">Tư vấn thiết kế, dự toán đối với các công trình điện áp từ 35 kV trở xuống theo phân cấp </t>
  </si>
  <si>
    <t>Tham gia lập, thẩm định phương án kỹ thuật khắc phục thiệt hại do thiên tai.</t>
  </si>
  <si>
    <t>Ngày ....... tháng ...... năm 2018</t>
  </si>
  <si>
    <t xml:space="preserve">KPI cấp công ty </t>
  </si>
  <si>
    <t>KPI của Phòng</t>
  </si>
  <si>
    <t>KPI cá nhân</t>
  </si>
  <si>
    <t>Mục tiêu trong kỳ</t>
  </si>
  <si>
    <t xml:space="preserve">Tần suất </t>
  </si>
  <si>
    <t>Kết quả thực hiện</t>
  </si>
  <si>
    <t>Chỉ tiêu kế hoạch</t>
  </si>
  <si>
    <t>Cá nhân tự chấm</t>
  </si>
  <si>
    <t>Kết quả</t>
  </si>
  <si>
    <t>Điểm chấm</t>
  </si>
  <si>
    <t>Điểm qui đổi</t>
  </si>
  <si>
    <t>A</t>
  </si>
  <si>
    <t>A.1</t>
  </si>
  <si>
    <t>Theo KH</t>
  </si>
  <si>
    <t>A.2</t>
  </si>
  <si>
    <t>B</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</si>
  <si>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</si>
  <si>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</si>
  <si>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</si>
  <si>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</si>
  <si>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</si>
  <si>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</si>
  <si>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</si>
  <si>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 xml:space="preserve">Người lập </t>
  </si>
  <si>
    <t>Người duyệt</t>
  </si>
  <si>
    <t>Tỷ lệ thực hiện</t>
  </si>
  <si>
    <t>Nghiên cứu áp dụng công nghệ mới vào SXKD</t>
  </si>
  <si>
    <t>CÔNG TY ĐIỆN LỰC YÊN BÁI</t>
  </si>
  <si>
    <t>Mã cấp 1</t>
  </si>
  <si>
    <t>KPI</t>
  </si>
  <si>
    <t>Mã cấp 2</t>
  </si>
  <si>
    <t>Mã cấp 3</t>
  </si>
  <si>
    <t>NHÓM CÁC CHỈ TIÊU THỰC HIỆN NHIỆM VỤ (Cấp 1)</t>
  </si>
  <si>
    <t>NHÓM KPI THEO MỤC TIÊU (Cấp 2)</t>
  </si>
  <si>
    <t>số lần sai sót</t>
  </si>
  <si>
    <t>I</t>
  </si>
  <si>
    <t>Viễn cảnh hoạt động nội bộ (Cấp 3)</t>
  </si>
  <si>
    <t>NHÓM KPI THEO MTCV (Cấp 2)</t>
  </si>
  <si>
    <t>CL</t>
  </si>
  <si>
    <t>Quản trị chiến lược (Cấp 3)</t>
  </si>
  <si>
    <t>Ý THỨC, TRÁCH NHIỆM VỚI CÔNG VIỆC (Cấp 1)</t>
  </si>
  <si>
    <t>BGĐ chấm</t>
  </si>
  <si>
    <t>Phòng: Kỹ thuật</t>
  </si>
  <si>
    <t>KH</t>
  </si>
  <si>
    <t>Lập kế hoạch SXKD (Cấp 3)</t>
  </si>
  <si>
    <t>Mua sắm, quản lý vật tư thiết bị, tài sản(Cấp 3)</t>
  </si>
  <si>
    <t>VT</t>
  </si>
  <si>
    <t>KT</t>
  </si>
  <si>
    <t>Quản lý kỹ thuật-vận hành (Cấp 3)</t>
  </si>
  <si>
    <t>AT</t>
  </si>
  <si>
    <t>ATLĐ-môi trường</t>
  </si>
  <si>
    <t>Đầu tư xây dựng</t>
  </si>
  <si>
    <t>XD</t>
  </si>
  <si>
    <t>Sửa chữa lớn</t>
  </si>
  <si>
    <t>SC</t>
  </si>
  <si>
    <t>SX</t>
  </si>
  <si>
    <t>Dịch vụ SXK</t>
  </si>
  <si>
    <t>Mức</t>
  </si>
  <si>
    <t>việc bổ sung</t>
  </si>
  <si>
    <t>Có sáng kiến được công nhận</t>
  </si>
  <si>
    <t>Có cải tiến, hợp lý hóa sản xuất được công nhận</t>
  </si>
  <si>
    <t>cải tiến, HLH</t>
  </si>
  <si>
    <t>Sáng kiến</t>
  </si>
  <si>
    <t>Thực hiện tốt công tác dịch vụ khách hàng, không vi phạm về quy định giao tiếp khách hàng.</t>
  </si>
  <si>
    <t xml:space="preserve">Triển khai kế hoạch thực hiện Quy chế dân chủ của Công ty </t>
  </si>
  <si>
    <t xml:space="preserve">Triển khai kế hoạch CCHC của Công ty </t>
  </si>
  <si>
    <t>Soạn thảo văn bản</t>
  </si>
  <si>
    <t>Văn thư phòng kỹ thuật</t>
  </si>
  <si>
    <t>Tham gia lập kế hoạch SXKD dài hạn của Công ty</t>
  </si>
  <si>
    <t>Tham gia lập kế hoạch SXKD năm của Công ty</t>
  </si>
  <si>
    <t>Quản lý hồ sơ kỹ thuật lưới điện.</t>
  </si>
  <si>
    <t>Triển khai công tác Thí nghiệm định kỳ</t>
  </si>
  <si>
    <t>Kiểm tra kỹ thuật lưới điện</t>
  </si>
  <si>
    <t>Lưu trữ, phổ biến quy phạm, quy trình, quy định, tiêu chuẩn kỹ thuật.</t>
  </si>
  <si>
    <t>Lập, thẩm định phương án kỹ thuật sửa chữa thường xuyên lưới điện trung áp; thiết bị điện.</t>
  </si>
  <si>
    <t>Bồi huấn, đào tạo</t>
  </si>
  <si>
    <t>Tham gia Thực hiện công tác điều tra tai nạn lao động, các vụ cháy nổ lớn.</t>
  </si>
  <si>
    <t>Tham gia điều tra, phân tích nguyên nhân sự cố lưới điện, đề xuất biện pháp giảm sự cố</t>
  </si>
  <si>
    <t xml:space="preserve"> sai sót</t>
  </si>
  <si>
    <t xml:space="preserve">Nghiên cứu áp dụng khoa học công nghệ và sáng kiến  cải tiến </t>
  </si>
  <si>
    <t>Soạn thảo và rà soát kỹ các văn bản, báo cáo, quy trình, quy định của P4 trước khi trình ký đảm bảo đúng đủ về nội dung và thể thức trình bầy</t>
  </si>
  <si>
    <t>Bảo vệ môi trường</t>
  </si>
  <si>
    <t xml:space="preserve">Xếp loại: </t>
  </si>
  <si>
    <t>Có sáng kiến cải tiến, hợp lý hóa sản xuất được công nhận</t>
  </si>
  <si>
    <t>XẾP LOẠI</t>
  </si>
  <si>
    <t>Triển khai Quản lý chất thải theo quy trình 714-01/P4</t>
  </si>
  <si>
    <t>Tham gia lập các phương án đầu tư theo phân công</t>
  </si>
  <si>
    <t>Xây dựng, triển khai duy trì áp dụng và cải tiến hệ thống quản lý chất lượng ISO 9001:2015 của phòng</t>
  </si>
  <si>
    <t>Triển khai duy trì áp dụng  5S trong phòng</t>
  </si>
  <si>
    <t>QT2.1.1</t>
  </si>
  <si>
    <t>QT2.1.2</t>
  </si>
  <si>
    <t>Mã chức danh: Trưởng phòng</t>
  </si>
  <si>
    <t>Bộ phận: TRƯỞNG P4</t>
  </si>
  <si>
    <t>Tham gia thẩm định dự án đầu tư về điện theo phân công</t>
  </si>
  <si>
    <t>Thực hiện công tác Văn hóa Doanh nghiệp trong đơn vị theo quy định của Công ty và Tổng Công ty Điện lực Miền Bắc</t>
  </si>
  <si>
    <t>B1.1</t>
  </si>
  <si>
    <t>B.2.1</t>
  </si>
  <si>
    <t>B1.1.1</t>
  </si>
  <si>
    <t>B.2.1.1</t>
  </si>
  <si>
    <t>Cung cấp số liệu lưới điện, tổn thất kỹ thuật dự kiến năm tiếp theo</t>
  </si>
  <si>
    <t>Soạn đề thi thợ giỏi cấp Công ty, tổ chức bồi huấn hướng dẫn đội thi thợ giỏi cấp trên.</t>
  </si>
  <si>
    <t>Lập, thẩm định PAKTSCL theo phân công</t>
  </si>
  <si>
    <t xml:space="preserve">Triển khai, thực hiện kế hoạch CCHC của Công ty </t>
  </si>
  <si>
    <t>Triển khai, thực hiện tốt công tác dịch vụ khách hàng, không vi phạm về quy định giao tiếp khách hàng.</t>
  </si>
  <si>
    <t>Chỉ đạo tổng hợp hồ sơ họp xét công nhận sáng kiến, cải tiến kỹ thuật hàng quý.</t>
  </si>
  <si>
    <t>Chỉ đạo lập báo cáo đăng ký sáng kiến, cải tiến kỹ thuật của Công ty lên cấp trên.</t>
  </si>
  <si>
    <t>Chỉ đạo tổng hợp xét cải tiến hàng tháng</t>
  </si>
  <si>
    <t xml:space="preserve">Thực hiện Quy chế dân chủ của Công ty </t>
  </si>
  <si>
    <t>Triển khai lập, thẩm định phương án kỹ thuật sửa chữa thường xuyên lưới điện trung áp; thiết bị điện.</t>
  </si>
  <si>
    <t>Triển khai Lập kế hoạch thí nghiệm định kỳ</t>
  </si>
  <si>
    <t>Chỉ đạo theo dõi các Đơn vị thực hiện thí nghiệm định kỳ, khắc phục các tồn tại.</t>
  </si>
  <si>
    <t>Triển khai lập kế hoạch kiểm tra kỹ thuật lưới điện</t>
  </si>
  <si>
    <t>Triển khai kiểm tra kỹ thuật lưới điện, tổng hợp tồn tại, báo cáo khắc phục từ các Điện lực, phúc tra công tác khắc phục tồn tại của đơn vị.</t>
  </si>
  <si>
    <t xml:space="preserve">Chỉ đạo Soạn thảo quy trình vận hành: đường dây, trạm biến áp, thiết bị điện,…  </t>
  </si>
  <si>
    <t>Triển khai Lập, thẩm định PA bó gọn cáp VT, TT bám trên cột điện.</t>
  </si>
  <si>
    <t>Chỉ đạo thực hiện lập các báo cáo định kỳ</t>
  </si>
  <si>
    <t>Triển khai lập chương trình giảm tổn thất điện năng quý, năm.</t>
  </si>
  <si>
    <t>Chỉ đạo phân tích tổn thất đường dây trung - hạ áp, đánh giá nguyên nhân tổn thất tăng cao và biện pháp giảm TTĐN</t>
  </si>
  <si>
    <t xml:space="preserve">Chỉ đạo Giám sát, đôn đốc các Điện lực lập chương trình giảm tổn thất hàng tháng, quý, năm </t>
  </si>
  <si>
    <t>Tham gia Nghiệm thu công trình khắc phục thiệt hại do thiên tai.</t>
  </si>
  <si>
    <t>Triển khai Hướng dẫn các phòng ban, đơn vị trực thuộc thực hiện đúng các quy định về bảo vệ môi trường của EVN NPC, EVN và của Nhà nước.</t>
  </si>
  <si>
    <t>Chỉ đạo lập Báo cáo định kỳ công tác BVMT.</t>
  </si>
  <si>
    <t>Triển khai nghiệm thu kỹ thuật công trình</t>
  </si>
  <si>
    <t>Triển khai Lập, thẩm định PAKTSCL theo phân công</t>
  </si>
  <si>
    <t xml:space="preserve">Triển khai tư vấn thiết kế, dự toán đối với các công trình điện áp từ 35 kV trở xuống theo phân cấp </t>
  </si>
  <si>
    <t>Chỉ đạo thực hiện công tác Văn thư P4, lưu trữ theo đúng quy trình, quy định EVN NPC, PCYB ban hành</t>
  </si>
  <si>
    <t>Chỉ đạo Khai thác hiệu quả các phần mềm dùng chung được trang bị như Eoffice; Microsoft Office; visio</t>
  </si>
  <si>
    <t>Triển khai, Thực hiện, duy trì áp dụng và cải tiến hệ thống quản lý chất lượng ISO 9001:2015 trong phòng, lập báo cáo.</t>
  </si>
  <si>
    <t>Chỉ đạo Giám sát và theo dõi đánh giá việc thực hiện công tác ISO của CBCNV trong phòng</t>
  </si>
  <si>
    <t>Triển khai, Thực hiện, duy trì áp dụng  5S trong phòng, lập báo cáo.</t>
  </si>
  <si>
    <t>Chỉ đạo Giám sát và theo dõi đánh giá việc thực hiện công tác 5S của CBCNV trong phòng</t>
  </si>
  <si>
    <t>Chỉ đạo cập nhật, phổ biến các quy trình quy phạm, quy định nhà nước về công tác quản lý kỹ thuật.</t>
  </si>
  <si>
    <t>Chỉ đạo cập nhật, phổ biến tiêu chuẩn kỹ thuật vận hành</t>
  </si>
  <si>
    <t>C1.1</t>
  </si>
  <si>
    <t>I2.1</t>
  </si>
  <si>
    <t>I4.1</t>
  </si>
  <si>
    <t>I5.2</t>
  </si>
  <si>
    <t>CL1.1</t>
  </si>
  <si>
    <t>KH1.1</t>
  </si>
  <si>
    <t>KH5.1</t>
  </si>
  <si>
    <t>KH6.1</t>
  </si>
  <si>
    <t>VT4.1</t>
  </si>
  <si>
    <t>KT1.1</t>
  </si>
  <si>
    <t>KT1.2</t>
  </si>
  <si>
    <t>KT1.3</t>
  </si>
  <si>
    <t>KT1.4</t>
  </si>
  <si>
    <t>KT1.5</t>
  </si>
  <si>
    <t>KT1.6</t>
  </si>
  <si>
    <t>KT1.7</t>
  </si>
  <si>
    <t>KT1.9</t>
  </si>
  <si>
    <t>KT3.1</t>
  </si>
  <si>
    <t>KT4.1</t>
  </si>
  <si>
    <t>AT2.1</t>
  </si>
  <si>
    <t>AT4.1</t>
  </si>
  <si>
    <t>AT5.1</t>
  </si>
  <si>
    <t>XD2.1</t>
  </si>
  <si>
    <t>XD5.1</t>
  </si>
  <si>
    <t>SC2.1</t>
  </si>
  <si>
    <t>SC3.1</t>
  </si>
  <si>
    <t>SX1.1</t>
  </si>
  <si>
    <t>HC1.1</t>
  </si>
  <si>
    <t>HC1.2</t>
  </si>
  <si>
    <t>CN3.1</t>
  </si>
  <si>
    <t>QT1.1</t>
  </si>
  <si>
    <t>QT2.1</t>
  </si>
  <si>
    <t>VH1.1</t>
  </si>
  <si>
    <t>C2.1</t>
  </si>
  <si>
    <t>C2.1.1</t>
  </si>
  <si>
    <t>C1.1.1</t>
  </si>
  <si>
    <t>VH1.1.1</t>
  </si>
  <si>
    <t>QT1.1.2</t>
  </si>
  <si>
    <t>QT1.1.1</t>
  </si>
  <si>
    <t>CN3.1.2</t>
  </si>
  <si>
    <t>CN3.1.1</t>
  </si>
  <si>
    <t>HC1.2.1</t>
  </si>
  <si>
    <t>HC1.1.1</t>
  </si>
  <si>
    <t>SX1.1.1</t>
  </si>
  <si>
    <t>SC3.1.1</t>
  </si>
  <si>
    <t>SC2.1.1</t>
  </si>
  <si>
    <t>XD5.1.1</t>
  </si>
  <si>
    <t>XD2.1.2</t>
  </si>
  <si>
    <t>XD2.1.1</t>
  </si>
  <si>
    <t>AT5.1.5</t>
  </si>
  <si>
    <t>AT5.1.4</t>
  </si>
  <si>
    <t>AT5.1.3</t>
  </si>
  <si>
    <t>AT5.1.1</t>
  </si>
  <si>
    <t>AT4.1.2</t>
  </si>
  <si>
    <t>AT4.1.1</t>
  </si>
  <si>
    <t>AT2.1.2</t>
  </si>
  <si>
    <t>AT2.1.1</t>
  </si>
  <si>
    <t>KT4.1.4</t>
  </si>
  <si>
    <t>KT4.1.3</t>
  </si>
  <si>
    <t>KT4.1.1</t>
  </si>
  <si>
    <t>KT3.1.1</t>
  </si>
  <si>
    <t>KT1.9.3</t>
  </si>
  <si>
    <t>KT1.9.2</t>
  </si>
  <si>
    <t>KT1.9.1</t>
  </si>
  <si>
    <t>KT1.1.7</t>
  </si>
  <si>
    <t>KT1.6.2</t>
  </si>
  <si>
    <t>KT1.6.1</t>
  </si>
  <si>
    <t>KT1.5.3</t>
  </si>
  <si>
    <t>KT1.5.2</t>
  </si>
  <si>
    <t>KT1.5.1</t>
  </si>
  <si>
    <t>KT1.4.2</t>
  </si>
  <si>
    <t>KT1.4.1</t>
  </si>
  <si>
    <t>KT1.3.2</t>
  </si>
  <si>
    <t>KT1.3.1</t>
  </si>
  <si>
    <t>KT1.2.2</t>
  </si>
  <si>
    <t>KT1.2.1</t>
  </si>
  <si>
    <t>KT1.1.1</t>
  </si>
  <si>
    <t>VT4.1.1</t>
  </si>
  <si>
    <t>KH6.1.1</t>
  </si>
  <si>
    <t>KH5.1.1</t>
  </si>
  <si>
    <t>KH1.1.1</t>
  </si>
  <si>
    <t>CL1.1.1</t>
  </si>
  <si>
    <t>I5.2.1</t>
  </si>
  <si>
    <t>I4.1.4</t>
  </si>
  <si>
    <t>I4.1.3</t>
  </si>
  <si>
    <t>I4.1.2</t>
  </si>
  <si>
    <t>I4.1.1</t>
  </si>
  <si>
    <t>I2.1.1</t>
  </si>
  <si>
    <t>C1.1.2</t>
  </si>
  <si>
    <t>a1</t>
  </si>
  <si>
    <t>a2</t>
  </si>
  <si>
    <t>a3</t>
  </si>
  <si>
    <t>Trọng số chung (a)</t>
  </si>
  <si>
    <t>TS</t>
  </si>
  <si>
    <t>a4</t>
  </si>
  <si>
    <t>KQ</t>
  </si>
  <si>
    <t>TL=TH/KH; TH-KH; Hệ số</t>
  </si>
  <si>
    <t>G</t>
  </si>
  <si>
    <t>Gqđ=G*a</t>
  </si>
  <si>
    <t>A3- NHÓM CÁC CHỈ TIÊU CHUNG (KPI CHUNG)</t>
  </si>
  <si>
    <t>Số lượng Công trình</t>
  </si>
  <si>
    <t>Số lượng PA</t>
  </si>
  <si>
    <t>Số lượng hồ sơ</t>
  </si>
  <si>
    <t>Số lần kiểm tra</t>
  </si>
  <si>
    <t>Số lượng quy trình</t>
  </si>
  <si>
    <t>Số lượng công trình</t>
  </si>
  <si>
    <t>Số lần đào tạo, bồi huấn</t>
  </si>
  <si>
    <t>Số lượng bộ câu hỏi</t>
  </si>
  <si>
    <t>Số lượng đề thi</t>
  </si>
  <si>
    <t>Số lượng PA</t>
  </si>
  <si>
    <t>Số lượng DA</t>
  </si>
  <si>
    <t>Số lượng NV thành thạo các PM</t>
  </si>
  <si>
    <t>Lập, cập nhật và khai thác hồ sơ kỹ thuật lưới điện, TBĐ do phòng quản lý</t>
  </si>
  <si>
    <t>Kiểm tra, giám sát, đôn đốc việc lập, cập nhật và khai thác hồ sơ kỹ thuật lưới điện, TBĐ do Điện lực quản lý</t>
  </si>
  <si>
    <t>Triển khai lập, thẩm định PAKT,thiết kế định hình 5S lưới điện</t>
  </si>
  <si>
    <t>Nghiệm thu kỹ thuật công trình SCL</t>
  </si>
  <si>
    <t xml:space="preserve">Trọng số cấp 1 </t>
  </si>
  <si>
    <t>Trọng số cấp 2</t>
  </si>
  <si>
    <t xml:space="preserve">Trọng số cấp 3 </t>
  </si>
  <si>
    <t>Trọng số cấp 4</t>
  </si>
  <si>
    <t>a=a1*a2*a3*a4*a5</t>
  </si>
  <si>
    <t>a5</t>
  </si>
  <si>
    <t xml:space="preserve">Trọng số chỉ tiêu </t>
  </si>
  <si>
    <t>HC4</t>
  </si>
  <si>
    <t>Công tác Quan hệ cộng đồng</t>
  </si>
  <si>
    <t>HC4.1</t>
  </si>
  <si>
    <t>Thực hiện viết bài cho trang website của Công ty theo quy định</t>
  </si>
  <si>
    <t>HC4.1.1</t>
  </si>
  <si>
    <t>Số lượng bài viết</t>
  </si>
  <si>
    <t>Triển khai, khai thác hiệu quả các phần mềm chuyên môn</t>
  </si>
  <si>
    <t>Số lượng phiếu NC</t>
  </si>
  <si>
    <t>Số lần kiểm tra nội bộ</t>
  </si>
  <si>
    <t>Điểm</t>
  </si>
  <si>
    <t>≥70</t>
  </si>
  <si>
    <t>Số lượng Công trình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</si>
</sst>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0_);_(* \(#,##0\);_(* &quot;-&quot;_);_(@_)"/>
    <numFmt numFmtId="44" formatCode="_(&quot;$&quot;* #,##0.00_);_(&quot;$&quot;* \(#,##0.00\);_(&quot;$&quot;* &quot;-&quot;??_);_(@_)"/>
    <numFmt numFmtId="43" formatCode="_(* #,##0.00_);_(* \(#,##0.00\);_(* &quot;-&quot;??_);_(@_)"/>
    <numFmt numFmtId="164" formatCode="_-* #,##0.00\ _₫_-;\-* #,##0.00\ _₫_-;_-* &quot;-&quot;??\ _₫_-;_-@_-"/>
    <numFmt numFmtId="165" formatCode="_-* #,##0.00_-;\-* #,##0.00_-;_-* &quot;-&quot;??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_(* #,##0.00_);_(* \(#,##0.00\);_(* &quot;-&quot;?_);_(@_)"/>
  </numFmts>
  <fonts count="38">
    <font>
      <sz val="12"/>
      <color theme="1"/>
      <name val="Calibri"/>
      <family val="2"/>
      <scheme val="minor"/>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sz val="14"/>
      <name val="Times New Roman"/>
      <family val="1"/>
      <charset val="1"/>
    </font>
    <font>
      <sz val="11"/>
      <color indexed="8"/>
      <name val="Calibri"/>
      <family val="2"/>
      <charset val="1"/>
    </font>
    <font>
      <b/>
      <sz val="12"/>
      <name val="Times New Roman"/>
      <family val="1"/>
    </font>
    <font>
      <sz val="12"/>
      <name val="Times New Roman"/>
      <family val="1"/>
    </font>
    <font>
      <i/>
      <sz val="12"/>
      <name val="Times New Roman"/>
      <family val="1"/>
    </font>
    <font>
      <sz val="12"/>
      <color indexed="8"/>
      <name val="Times New Roman"/>
      <family val="1"/>
    </font>
    <font>
      <b/>
      <sz val="12"/>
      <color indexed="8"/>
      <name val="Times New Roman"/>
      <family val="1"/>
    </font>
    <font>
      <b/>
      <sz val="14"/>
      <name val="Times New Roman"/>
      <family val="1"/>
    </font>
    <font>
      <b/>
      <sz val="11"/>
      <name val="Times New Roman"/>
      <family val="1"/>
    </font>
    <font>
      <sz val="11"/>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FF0000"/>
      <name val="Times New Roman"/>
      <family val="1"/>
    </font>
    <font>
      <i/>
      <sz val="12"/>
      <color rgb="FFFF0000"/>
      <name val="Times New Roman"/>
      <family val="1"/>
    </font>
    <font>
      <b/>
      <sz val="12"/>
      <color rgb="FFFF0000"/>
      <name val="Times New Roman"/>
      <family val="1"/>
    </font>
    <font>
      <sz val="12"/>
      <color theme="0"/>
      <name val="Times New Roman"/>
      <family val="1"/>
    </font>
    <font>
      <i/>
      <sz val="12"/>
      <color theme="0"/>
      <name val="Times New Roman"/>
      <family val="1"/>
    </font>
    <font>
      <b/>
      <sz val="12"/>
      <color theme="0"/>
      <name val="Times New Roman"/>
      <family val="1"/>
    </font>
    <font>
      <sz val="12"/>
      <name val="Calibri"/>
      <family val="2"/>
    </font>
    <font>
      <b/>
      <i/>
      <sz val="12"/>
      <name val="Times New Roman"/>
      <family val="1"/>
    </font>
    <font>
      <b/>
      <i/>
      <sz val="12"/>
      <color rgb="FFFF0000"/>
      <name val="Times New Roman"/>
      <family val="1"/>
    </font>
  </fonts>
  <fills count="10">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s>
  <borders count="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10">
    <xf numFmtId="0" fontId="0" fillId="0" borderId="0"/>
    <xf numFmtId="166" fontId="3" fillId="0" borderId="0" applyFont="0" applyFill="0" applyBorder="0" applyAlignment="0" applyProtection="0"/>
    <xf numFmtId="0" fontId="4" fillId="0" borderId="0" applyFont="0" applyFill="0" applyBorder="0" applyAlignment="0" applyProtection="0"/>
    <xf numFmtId="167" fontId="3" fillId="0" borderId="0" applyFont="0" applyFill="0" applyBorder="0" applyAlignment="0" applyProtection="0"/>
    <xf numFmtId="40" fontId="4" fillId="0" borderId="0" applyFont="0" applyFill="0" applyBorder="0" applyAlignment="0" applyProtection="0"/>
    <xf numFmtId="38" fontId="4" fillId="0" borderId="0" applyFont="0" applyFill="0" applyBorder="0" applyAlignment="0" applyProtection="0"/>
    <xf numFmtId="10" fontId="3" fillId="0" borderId="0" applyFont="0" applyFill="0" applyBorder="0" applyAlignment="0" applyProtection="0"/>
    <xf numFmtId="0" fontId="5" fillId="0" borderId="0"/>
    <xf numFmtId="41"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164"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4"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169" fontId="10" fillId="0" borderId="0" applyFont="0" applyFill="0" applyBorder="0" applyAlignment="0" applyProtection="0"/>
    <xf numFmtId="165" fontId="1" fillId="0" borderId="0" applyFont="0" applyFill="0" applyBorder="0" applyAlignment="0" applyProtection="0"/>
    <xf numFmtId="3" fontId="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70" fontId="3" fillId="0" borderId="0" applyFont="0" applyFill="0" applyBorder="0" applyAlignment="0" applyProtection="0"/>
    <xf numFmtId="0" fontId="3" fillId="0" borderId="0" applyFont="0" applyFill="0" applyBorder="0" applyAlignment="0" applyProtection="0"/>
    <xf numFmtId="171" fontId="7" fillId="0" borderId="0" applyBorder="0" applyProtection="0"/>
    <xf numFmtId="171" fontId="15" fillId="0" borderId="0" applyBorder="0" applyProtection="0"/>
    <xf numFmtId="172" fontId="7" fillId="0" borderId="0" applyBorder="0" applyProtection="0"/>
    <xf numFmtId="172" fontId="7" fillId="0" borderId="0" applyBorder="0" applyProtection="0"/>
    <xf numFmtId="172" fontId="15" fillId="0" borderId="0" applyBorder="0" applyProtection="0"/>
    <xf numFmtId="0" fontId="11" fillId="0" borderId="0"/>
    <xf numFmtId="0" fontId="14" fillId="0" borderId="0"/>
    <xf numFmtId="0" fontId="11" fillId="0" borderId="0"/>
    <xf numFmtId="0" fontId="12" fillId="0" borderId="0">
      <alignment vertical="center"/>
    </xf>
    <xf numFmtId="9" fontId="7" fillId="0" borderId="0" applyBorder="0" applyProtection="0"/>
    <xf numFmtId="9" fontId="15" fillId="0" borderId="0" applyBorder="0" applyProtection="0"/>
    <xf numFmtId="9" fontId="7" fillId="0" borderId="0" applyBorder="0" applyProtection="0"/>
    <xf numFmtId="9" fontId="7" fillId="0" borderId="0" applyBorder="0" applyProtection="0"/>
    <xf numFmtId="9" fontId="7" fillId="0" borderId="0" applyBorder="0" applyProtection="0"/>
    <xf numFmtId="9" fontId="7" fillId="0" borderId="0" applyBorder="0" applyProtection="0"/>
    <xf numFmtId="9" fontId="15" fillId="0" borderId="0" applyBorder="0" applyProtection="0"/>
    <xf numFmtId="0" fontId="13" fillId="0" borderId="0">
      <alignment vertical="center"/>
    </xf>
    <xf numFmtId="0" fontId="3" fillId="0" borderId="0">
      <alignment vertical="center"/>
    </xf>
    <xf numFmtId="2" fontId="3" fillId="0" borderId="0" applyFont="0" applyFill="0" applyBorder="0" applyAlignment="0" applyProtection="0"/>
    <xf numFmtId="0" fontId="2" fillId="0" borderId="1" applyNumberFormat="0" applyAlignment="0" applyProtection="0">
      <alignment horizontal="left" vertical="center"/>
    </xf>
    <xf numFmtId="0" fontId="2" fillId="0" borderId="2">
      <alignment horizontal="left" vertical="center"/>
    </xf>
    <xf numFmtId="0" fontId="25" fillId="0" borderId="0" applyNumberFormat="0" applyFill="0" applyBorder="0" applyAlignment="0" applyProtection="0"/>
    <xf numFmtId="0" fontId="3" fillId="0" borderId="0"/>
    <xf numFmtId="0" fontId="3" fillId="0" borderId="0"/>
    <xf numFmtId="0" fontId="3" fillId="0" borderId="0"/>
    <xf numFmtId="0" fontId="26" fillId="0" borderId="0"/>
    <xf numFmtId="0" fontId="27" fillId="0" borderId="0"/>
    <xf numFmtId="0" fontId="24" fillId="0" borderId="0"/>
    <xf numFmtId="0" fontId="24" fillId="0" borderId="0"/>
    <xf numFmtId="0" fontId="24" fillId="0" borderId="0"/>
    <xf numFmtId="0" fontId="6" fillId="0" borderId="0"/>
    <xf numFmtId="0" fontId="3" fillId="0" borderId="0"/>
    <xf numFmtId="0" fontId="28" fillId="0" borderId="0"/>
    <xf numFmtId="0" fontId="12" fillId="0" borderId="0">
      <alignment vertical="center"/>
    </xf>
    <xf numFmtId="0" fontId="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 fillId="0" borderId="0"/>
    <xf numFmtId="0" fontId="3" fillId="0" borderId="0"/>
    <xf numFmtId="0" fontId="3" fillId="0" borderId="0"/>
    <xf numFmtId="0" fontId="3" fillId="0" borderId="0"/>
    <xf numFmtId="0" fontId="6" fillId="0" borderId="0"/>
    <xf numFmtId="0" fontId="3" fillId="0" borderId="0"/>
    <xf numFmtId="0" fontId="28"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 fillId="0" borderId="0"/>
    <xf numFmtId="0" fontId="3" fillId="0" borderId="0"/>
    <xf numFmtId="0" fontId="3" fillId="0" borderId="0"/>
    <xf numFmtId="0" fontId="3" fillId="0" borderId="0"/>
    <xf numFmtId="9" fontId="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alignment vertical="center"/>
    </xf>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238">
    <xf numFmtId="0" fontId="0" fillId="0" borderId="0" xfId="0"/>
    <xf numFmtId="0" fontId="17" fillId="0" borderId="3" xfId="0" applyFont="1" applyFill="1" applyBorder="1" applyAlignment="1">
      <alignment horizontal="center" vertical="center" wrapText="1"/>
    </xf>
    <xf numFmtId="0" fontId="17" fillId="0" borderId="3" xfId="0" applyFont="1" applyBorder="1" applyAlignment="1">
      <alignment horizontal="center" vertical="center"/>
    </xf>
    <xf numFmtId="0"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vertical="center" wrapText="1"/>
    </xf>
    <xf numFmtId="0" fontId="16" fillId="2" borderId="3" xfId="52" applyFont="1" applyFill="1" applyBorder="1" applyAlignment="1" applyProtection="1">
      <alignment horizontal="left"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6" fillId="4" borderId="3" xfId="0" applyNumberFormat="1" applyFont="1" applyFill="1" applyBorder="1" applyAlignment="1">
      <alignment horizontal="center" vertical="center" wrapText="1"/>
    </xf>
    <xf numFmtId="0" fontId="16" fillId="0" borderId="3" xfId="0" applyFont="1" applyFill="1" applyBorder="1" applyAlignment="1">
      <alignment horizontal="center" vertical="center"/>
    </xf>
    <xf numFmtId="0" fontId="17" fillId="0" borderId="3" xfId="0" applyFont="1" applyFill="1" applyBorder="1" applyAlignment="1">
      <alignment horizontal="left" vertical="center" wrapText="1"/>
    </xf>
    <xf numFmtId="0" fontId="16" fillId="2" borderId="3" xfId="0" applyNumberFormat="1" applyFont="1" applyFill="1" applyBorder="1" applyAlignment="1">
      <alignment horizontal="center" vertical="center" wrapText="1"/>
    </xf>
    <xf numFmtId="0" fontId="17" fillId="2" borderId="3" xfId="59" applyFont="1" applyFill="1" applyBorder="1" applyAlignment="1">
      <alignment vertical="center" wrapText="1"/>
    </xf>
    <xf numFmtId="0" fontId="17" fillId="0" borderId="3" xfId="59" applyFont="1" applyFill="1" applyBorder="1" applyAlignment="1">
      <alignment horizontal="center" vertical="center" wrapText="1"/>
    </xf>
    <xf numFmtId="0" fontId="17" fillId="2" borderId="3" xfId="0" applyFont="1" applyFill="1" applyBorder="1" applyAlignment="1">
      <alignment horizontal="center" vertical="center" wrapText="1"/>
    </xf>
    <xf numFmtId="9" fontId="17" fillId="0" borderId="3" xfId="101" applyFont="1" applyFill="1" applyBorder="1" applyAlignment="1">
      <alignment horizontal="center" vertical="center" wrapText="1"/>
    </xf>
    <xf numFmtId="173" fontId="18" fillId="0" borderId="3" xfId="9" applyNumberFormat="1" applyFont="1" applyFill="1" applyBorder="1" applyAlignment="1" applyProtection="1">
      <alignment horizontal="center" vertical="center" wrapText="1"/>
    </xf>
    <xf numFmtId="0" fontId="17" fillId="2" borderId="3" xfId="96" applyFont="1" applyFill="1" applyBorder="1" applyAlignment="1">
      <alignment horizontal="center" vertical="center" wrapText="1"/>
    </xf>
    <xf numFmtId="0" fontId="17" fillId="0" borderId="3" xfId="96" applyFont="1" applyFill="1" applyBorder="1" applyAlignment="1">
      <alignment horizontal="center" vertical="center" wrapText="1"/>
    </xf>
    <xf numFmtId="9" fontId="17" fillId="0" borderId="3" xfId="0" applyNumberFormat="1" applyFont="1" applyFill="1" applyBorder="1" applyAlignment="1">
      <alignment horizontal="center" vertical="center" wrapText="1"/>
    </xf>
    <xf numFmtId="0" fontId="16" fillId="0" borderId="3" xfId="0" applyFont="1" applyFill="1" applyBorder="1" applyAlignment="1">
      <alignment vertical="center"/>
    </xf>
    <xf numFmtId="0" fontId="16" fillId="0" borderId="0" xfId="0" applyFont="1" applyFill="1" applyBorder="1" applyAlignment="1">
      <alignment horizontal="center" vertical="center"/>
    </xf>
    <xf numFmtId="0" fontId="20" fillId="2" borderId="0" xfId="0" applyFont="1" applyFill="1" applyBorder="1" applyAlignment="1">
      <alignment horizontal="left" vertical="center" wrapText="1"/>
    </xf>
    <xf numFmtId="0" fontId="16" fillId="0" borderId="0" xfId="0" applyNumberFormat="1" applyFont="1" applyAlignment="1">
      <alignment horizontal="center"/>
    </xf>
    <xf numFmtId="0" fontId="16" fillId="0" borderId="0" xfId="0" applyFont="1" applyAlignment="1">
      <alignment horizontal="left"/>
    </xf>
    <xf numFmtId="0" fontId="16" fillId="0" borderId="0" xfId="0" applyFont="1"/>
    <xf numFmtId="0" fontId="16" fillId="0" borderId="0" xfId="0" applyFont="1" applyFill="1"/>
    <xf numFmtId="0" fontId="16" fillId="0" borderId="3" xfId="0" applyNumberFormat="1" applyFont="1" applyFill="1" applyBorder="1" applyAlignment="1">
      <alignment horizontal="center" vertical="center" wrapText="1"/>
    </xf>
    <xf numFmtId="0" fontId="17" fillId="0" borderId="0" xfId="0" applyFont="1" applyFill="1" applyAlignment="1">
      <alignment horizontal="center"/>
    </xf>
    <xf numFmtId="0" fontId="16" fillId="0" borderId="0" xfId="0" applyFont="1" applyFill="1" applyAlignment="1">
      <alignment horizontal="center"/>
    </xf>
    <xf numFmtId="0" fontId="17" fillId="0" borderId="0" xfId="0" applyFont="1"/>
    <xf numFmtId="0" fontId="17" fillId="0" borderId="0" xfId="0" applyFont="1" applyFill="1"/>
    <xf numFmtId="0" fontId="16" fillId="0" borderId="3" xfId="0" applyFont="1" applyBorder="1" applyAlignment="1">
      <alignment horizontal="center"/>
    </xf>
    <xf numFmtId="0" fontId="17" fillId="0" borderId="0" xfId="0" applyFont="1" applyAlignment="1">
      <alignment horizontal="center"/>
    </xf>
    <xf numFmtId="0" fontId="17" fillId="4" borderId="3" xfId="0" applyFont="1" applyFill="1" applyBorder="1"/>
    <xf numFmtId="0" fontId="17" fillId="0" borderId="3" xfId="0" applyFont="1" applyBorder="1"/>
    <xf numFmtId="9" fontId="16" fillId="0" borderId="3" xfId="0" applyNumberFormat="1" applyFont="1" applyFill="1" applyBorder="1" applyAlignment="1">
      <alignment horizontal="center" vertical="center" wrapText="1"/>
    </xf>
    <xf numFmtId="173" fontId="17" fillId="0" borderId="3" xfId="0" applyNumberFormat="1" applyFont="1" applyFill="1" applyBorder="1"/>
    <xf numFmtId="0" fontId="17" fillId="0" borderId="3" xfId="0" applyFont="1" applyFill="1" applyBorder="1"/>
    <xf numFmtId="0" fontId="16" fillId="4" borderId="3" xfId="0" applyFont="1" applyFill="1" applyBorder="1" applyAlignment="1">
      <alignment horizontal="center" vertical="center" wrapText="1"/>
    </xf>
    <xf numFmtId="9" fontId="17" fillId="5" borderId="3" xfId="0" applyNumberFormat="1" applyFont="1" applyFill="1" applyBorder="1" applyAlignment="1">
      <alignment horizontal="center" vertical="center" textRotation="90"/>
    </xf>
    <xf numFmtId="9" fontId="17" fillId="0" borderId="3" xfId="0" applyNumberFormat="1" applyFont="1" applyFill="1" applyBorder="1" applyAlignment="1"/>
    <xf numFmtId="0" fontId="19"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17" fillId="2" borderId="0" xfId="96" quotePrefix="1" applyFont="1" applyFill="1" applyBorder="1" applyAlignment="1">
      <alignment vertical="center" wrapText="1"/>
    </xf>
    <xf numFmtId="0" fontId="17" fillId="2" borderId="0" xfId="96" applyFont="1" applyFill="1" applyBorder="1" applyAlignment="1">
      <alignment horizontal="center" vertical="center" wrapText="1"/>
    </xf>
    <xf numFmtId="9" fontId="16" fillId="0" borderId="0" xfId="0" applyNumberFormat="1"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0" fontId="17" fillId="0" borderId="0" xfId="0" applyFont="1" applyAlignment="1">
      <alignment horizontal="left"/>
    </xf>
    <xf numFmtId="0" fontId="17" fillId="0" borderId="0" xfId="0" applyFont="1" applyFill="1" applyAlignment="1">
      <alignment horizontal="left"/>
    </xf>
    <xf numFmtId="0" fontId="16" fillId="2" borderId="3" xfId="59" applyFont="1" applyFill="1" applyBorder="1" applyAlignment="1">
      <alignment vertical="center" wrapText="1"/>
    </xf>
    <xf numFmtId="0" fontId="18" fillId="0" borderId="3" xfId="108" applyNumberFormat="1" applyFont="1" applyFill="1" applyBorder="1" applyAlignment="1" applyProtection="1">
      <alignment horizontal="center" vertical="center" wrapText="1"/>
    </xf>
    <xf numFmtId="9" fontId="17" fillId="5" borderId="3" xfId="0" applyNumberFormat="1" applyFont="1" applyFill="1" applyBorder="1"/>
    <xf numFmtId="173" fontId="16" fillId="7" borderId="3" xfId="0" applyNumberFormat="1" applyFont="1" applyFill="1" applyBorder="1" applyAlignment="1">
      <alignment horizontal="left" vertical="center" wrapText="1"/>
    </xf>
    <xf numFmtId="0" fontId="17" fillId="0" borderId="3" xfId="0" applyNumberFormat="1" applyFont="1" applyFill="1" applyBorder="1" applyAlignment="1">
      <alignment horizontal="left" vertical="center" wrapText="1"/>
    </xf>
    <xf numFmtId="0" fontId="17" fillId="8" borderId="3" xfId="0" applyNumberFormat="1" applyFont="1" applyFill="1" applyBorder="1" applyAlignment="1">
      <alignment vertical="center" wrapText="1"/>
    </xf>
    <xf numFmtId="9" fontId="16" fillId="0" borderId="3" xfId="81" applyNumberFormat="1" applyFont="1" applyFill="1" applyBorder="1" applyAlignment="1">
      <alignment horizontal="center" vertical="center" wrapText="1"/>
    </xf>
    <xf numFmtId="9" fontId="17" fillId="0" borderId="3" xfId="81" applyNumberFormat="1" applyFont="1" applyFill="1" applyBorder="1" applyAlignment="1">
      <alignment horizontal="center" vertical="center" wrapText="1"/>
    </xf>
    <xf numFmtId="0" fontId="17" fillId="0" borderId="3" xfId="81" applyFont="1" applyFill="1" applyBorder="1" applyAlignment="1">
      <alignment horizontal="justify" vertical="center" wrapText="1"/>
    </xf>
    <xf numFmtId="0" fontId="17" fillId="0" borderId="3" xfId="17" applyNumberFormat="1" applyFont="1" applyFill="1" applyBorder="1" applyAlignment="1">
      <alignment horizontal="center" vertical="center" wrapText="1"/>
    </xf>
    <xf numFmtId="9" fontId="16" fillId="0" borderId="3" xfId="81" applyNumberFormat="1" applyFont="1" applyFill="1" applyBorder="1" applyAlignment="1">
      <alignment horizontal="center" vertical="center" textRotation="90"/>
    </xf>
    <xf numFmtId="0" fontId="17" fillId="0" borderId="3" xfId="81" applyFont="1" applyFill="1" applyBorder="1" applyAlignment="1">
      <alignment horizontal="center" vertical="center" wrapText="1"/>
    </xf>
    <xf numFmtId="0" fontId="16" fillId="0" borderId="5" xfId="0" applyFont="1" applyBorder="1" applyAlignment="1">
      <alignment horizontal="center" vertical="center" wrapText="1"/>
    </xf>
    <xf numFmtId="0" fontId="19" fillId="2" borderId="3" xfId="0" applyFont="1" applyFill="1" applyBorder="1" applyAlignment="1">
      <alignment horizontal="center" vertical="center" wrapText="1"/>
    </xf>
    <xf numFmtId="0" fontId="19" fillId="0" borderId="3" xfId="0" applyFont="1" applyFill="1" applyBorder="1" applyAlignment="1">
      <alignment horizontal="center" vertical="center"/>
    </xf>
    <xf numFmtId="0" fontId="19" fillId="0" borderId="3" xfId="0" applyFont="1" applyFill="1" applyBorder="1" applyAlignment="1">
      <alignment horizontal="left" vertical="center"/>
    </xf>
    <xf numFmtId="0" fontId="16" fillId="9" borderId="3" xfId="0" applyFont="1" applyFill="1" applyBorder="1" applyAlignment="1">
      <alignment horizontal="center" vertical="center" wrapText="1"/>
    </xf>
    <xf numFmtId="0" fontId="16" fillId="0" borderId="3" xfId="59" applyFont="1" applyFill="1" applyBorder="1" applyAlignment="1">
      <alignment horizontal="center" vertical="center" wrapText="1"/>
    </xf>
    <xf numFmtId="0" fontId="22" fillId="0" borderId="3" xfId="0" applyNumberFormat="1" applyFont="1" applyFill="1" applyBorder="1" applyAlignment="1">
      <alignment horizontal="center" vertical="center" wrapText="1"/>
    </xf>
    <xf numFmtId="0" fontId="22" fillId="0" borderId="3" xfId="0" applyNumberFormat="1" applyFont="1" applyFill="1" applyBorder="1" applyAlignment="1">
      <alignment vertical="center" wrapText="1"/>
    </xf>
    <xf numFmtId="0" fontId="22" fillId="0" borderId="3" xfId="0" applyFont="1" applyFill="1" applyBorder="1" applyAlignment="1">
      <alignment horizontal="center" vertical="center" wrapText="1"/>
    </xf>
    <xf numFmtId="168" fontId="17" fillId="0" borderId="3" xfId="101" applyNumberFormat="1" applyFont="1" applyFill="1" applyBorder="1" applyAlignment="1">
      <alignment horizontal="center" vertical="center" wrapText="1"/>
    </xf>
    <xf numFmtId="168" fontId="17" fillId="0" borderId="3" xfId="0" applyNumberFormat="1" applyFont="1" applyFill="1" applyBorder="1" applyAlignment="1">
      <alignment horizontal="center" vertical="center" wrapText="1"/>
    </xf>
    <xf numFmtId="168" fontId="23" fillId="6" borderId="3" xfId="0" applyNumberFormat="1" applyFont="1" applyFill="1" applyBorder="1" applyAlignment="1">
      <alignment horizontal="center" vertical="center"/>
    </xf>
    <xf numFmtId="0" fontId="16" fillId="2" borderId="3" xfId="0" applyFont="1" applyFill="1" applyBorder="1" applyAlignment="1">
      <alignment horizontal="left" vertical="center" wrapText="1"/>
    </xf>
    <xf numFmtId="0" fontId="17" fillId="2" borderId="0" xfId="0" applyFont="1" applyFill="1"/>
    <xf numFmtId="0" fontId="17" fillId="0" borderId="3" xfId="0" applyFont="1" applyBorder="1" applyAlignment="1">
      <alignment wrapText="1"/>
    </xf>
    <xf numFmtId="0" fontId="29" fillId="0" borderId="3" xfId="96" applyFont="1" applyFill="1" applyBorder="1" applyAlignment="1">
      <alignment horizontal="center" vertical="center" wrapText="1"/>
    </xf>
    <xf numFmtId="0" fontId="29" fillId="0" borderId="3" xfId="0" applyFont="1" applyFill="1" applyBorder="1" applyAlignment="1">
      <alignment horizontal="center" vertical="center" wrapText="1"/>
    </xf>
    <xf numFmtId="168" fontId="29" fillId="0" borderId="3" xfId="101" applyNumberFormat="1" applyFont="1" applyFill="1" applyBorder="1" applyAlignment="1">
      <alignment horizontal="center" vertical="center" wrapText="1"/>
    </xf>
    <xf numFmtId="0" fontId="29" fillId="0" borderId="3" xfId="59" applyFont="1" applyFill="1" applyBorder="1" applyAlignment="1">
      <alignment horizontal="center" vertical="center" wrapText="1"/>
    </xf>
    <xf numFmtId="0" fontId="30" fillId="0" borderId="3" xfId="108" applyNumberFormat="1" applyFont="1" applyFill="1" applyBorder="1" applyAlignment="1" applyProtection="1">
      <alignment horizontal="center" vertical="center" wrapText="1"/>
    </xf>
    <xf numFmtId="173" fontId="30" fillId="0" borderId="3" xfId="9" applyNumberFormat="1" applyFont="1" applyFill="1" applyBorder="1" applyAlignment="1" applyProtection="1">
      <alignment horizontal="center" vertical="center" wrapText="1"/>
    </xf>
    <xf numFmtId="0" fontId="29" fillId="0" borderId="0" xfId="0" applyFont="1" applyFill="1"/>
    <xf numFmtId="9" fontId="31" fillId="0" borderId="3" xfId="81" applyNumberFormat="1" applyFont="1" applyFill="1" applyBorder="1" applyAlignment="1">
      <alignment horizontal="center" vertical="center" wrapText="1"/>
    </xf>
    <xf numFmtId="0" fontId="29" fillId="0" borderId="3" xfId="81" applyFont="1" applyFill="1" applyBorder="1" applyAlignment="1">
      <alignment horizontal="justify" vertical="center" wrapText="1"/>
    </xf>
    <xf numFmtId="0" fontId="29" fillId="2" borderId="3" xfId="0" applyFont="1" applyFill="1" applyBorder="1" applyAlignment="1">
      <alignment horizontal="center" vertical="center" wrapText="1"/>
    </xf>
    <xf numFmtId="0" fontId="29" fillId="2" borderId="3" xfId="96" applyFont="1" applyFill="1" applyBorder="1" applyAlignment="1">
      <alignment horizontal="center" vertical="center" wrapText="1"/>
    </xf>
    <xf numFmtId="0" fontId="29" fillId="0" borderId="3" xfId="17" applyNumberFormat="1" applyFont="1" applyFill="1" applyBorder="1" applyAlignment="1">
      <alignment horizontal="center" vertical="center" wrapText="1"/>
    </xf>
    <xf numFmtId="9" fontId="29" fillId="0" borderId="3" xfId="81" applyNumberFormat="1" applyFont="1" applyFill="1" applyBorder="1" applyAlignment="1">
      <alignment horizontal="center" vertical="center" wrapText="1"/>
    </xf>
    <xf numFmtId="0" fontId="29" fillId="2" borderId="0" xfId="0" applyFont="1" applyFill="1"/>
    <xf numFmtId="0" fontId="29" fillId="0" borderId="3" xfId="0" applyNumberFormat="1" applyFont="1" applyFill="1" applyBorder="1" applyAlignment="1">
      <alignment horizontal="left" vertical="center" wrapText="1"/>
    </xf>
    <xf numFmtId="0" fontId="33" fillId="0" borderId="3" xfId="108" applyNumberFormat="1" applyFont="1" applyFill="1" applyBorder="1" applyAlignment="1" applyProtection="1">
      <alignment horizontal="center" vertical="center" wrapText="1"/>
    </xf>
    <xf numFmtId="173" fontId="33" fillId="0" borderId="3" xfId="9" applyNumberFormat="1" applyFont="1" applyFill="1" applyBorder="1" applyAlignment="1" applyProtection="1">
      <alignment horizontal="center" vertical="center" wrapText="1"/>
    </xf>
    <xf numFmtId="0" fontId="32" fillId="0" borderId="3" xfId="0" applyFont="1" applyFill="1" applyBorder="1" applyAlignment="1">
      <alignment horizontal="center" vertical="center" wrapText="1"/>
    </xf>
    <xf numFmtId="0" fontId="32" fillId="0" borderId="3" xfId="0" applyFont="1" applyFill="1" applyBorder="1"/>
    <xf numFmtId="0" fontId="34" fillId="6" borderId="3" xfId="0" applyFont="1" applyFill="1" applyBorder="1" applyAlignment="1">
      <alignment horizontal="center" vertical="center" wrapText="1"/>
    </xf>
    <xf numFmtId="9" fontId="17" fillId="0" borderId="3" xfId="97"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0" fontId="17" fillId="0" borderId="5" xfId="0" applyFont="1" applyBorder="1" applyAlignment="1">
      <alignment horizontal="center" vertical="center" wrapText="1"/>
    </xf>
    <xf numFmtId="0" fontId="17" fillId="5" borderId="3" xfId="0" applyFont="1" applyFill="1" applyBorder="1"/>
    <xf numFmtId="0" fontId="17" fillId="0" borderId="5" xfId="0" applyFont="1" applyBorder="1" applyAlignment="1">
      <alignment horizontal="left" vertical="center" wrapText="1"/>
    </xf>
    <xf numFmtId="0" fontId="29" fillId="0" borderId="3" xfId="0" applyFont="1" applyFill="1" applyBorder="1" applyAlignment="1">
      <alignment horizontal="left" vertical="center" wrapText="1"/>
    </xf>
    <xf numFmtId="9" fontId="16" fillId="4" borderId="3" xfId="0" applyNumberFormat="1" applyFont="1" applyFill="1" applyBorder="1" applyAlignment="1">
      <alignment horizontal="center" vertical="center" wrapText="1"/>
    </xf>
    <xf numFmtId="0" fontId="16" fillId="5" borderId="3" xfId="0" applyNumberFormat="1" applyFont="1" applyFill="1" applyBorder="1" applyAlignment="1">
      <alignment horizontal="center" vertical="center"/>
    </xf>
    <xf numFmtId="9" fontId="16" fillId="5" borderId="3" xfId="97" applyFont="1" applyFill="1" applyBorder="1" applyAlignment="1">
      <alignment horizontal="center" vertical="center" wrapText="1"/>
    </xf>
    <xf numFmtId="9" fontId="16" fillId="6" borderId="3" xfId="0" applyNumberFormat="1" applyFont="1" applyFill="1" applyBorder="1" applyAlignment="1">
      <alignment horizontal="center" vertical="center" textRotation="90"/>
    </xf>
    <xf numFmtId="0" fontId="16" fillId="6" borderId="3" xfId="0" applyFont="1" applyFill="1" applyBorder="1" applyAlignment="1">
      <alignment horizontal="center" vertical="center"/>
    </xf>
    <xf numFmtId="9" fontId="16" fillId="0" borderId="3" xfId="97" applyFont="1" applyFill="1" applyBorder="1" applyAlignment="1">
      <alignment horizontal="center" vertical="center" wrapText="1"/>
    </xf>
    <xf numFmtId="0" fontId="16" fillId="5"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9" fontId="16" fillId="6" borderId="3" xfId="0" applyNumberFormat="1" applyFont="1" applyFill="1" applyBorder="1" applyAlignment="1">
      <alignment horizontal="center" vertical="center" wrapText="1"/>
    </xf>
    <xf numFmtId="9" fontId="17" fillId="6" borderId="3" xfId="97" applyFont="1" applyFill="1" applyBorder="1" applyAlignment="1">
      <alignment horizontal="center" vertical="center" wrapText="1"/>
    </xf>
    <xf numFmtId="9" fontId="16" fillId="6" borderId="3" xfId="0" applyNumberFormat="1" applyFont="1" applyFill="1" applyBorder="1" applyAlignment="1">
      <alignment horizontal="center" vertical="center"/>
    </xf>
    <xf numFmtId="0" fontId="16" fillId="0" borderId="3" xfId="0" applyNumberFormat="1" applyFont="1" applyFill="1" applyBorder="1" applyAlignment="1">
      <alignment vertical="center" wrapText="1"/>
    </xf>
    <xf numFmtId="0" fontId="17" fillId="2" borderId="3" xfId="0" applyFont="1" applyFill="1" applyBorder="1" applyAlignment="1">
      <alignment horizontal="left" vertical="center" wrapText="1"/>
    </xf>
    <xf numFmtId="173" fontId="16" fillId="7" borderId="3" xfId="0" applyNumberFormat="1" applyFont="1" applyFill="1" applyBorder="1"/>
    <xf numFmtId="0" fontId="16" fillId="2" borderId="3" xfId="0" applyFont="1" applyFill="1" applyBorder="1" applyAlignment="1">
      <alignment vertical="center" wrapText="1"/>
    </xf>
    <xf numFmtId="0" fontId="16" fillId="4" borderId="3" xfId="0" applyFont="1" applyFill="1" applyBorder="1" applyAlignment="1">
      <alignment horizontal="center" vertical="center"/>
    </xf>
    <xf numFmtId="0" fontId="16" fillId="8" borderId="3" xfId="0" applyNumberFormat="1" applyFont="1" applyFill="1" applyBorder="1" applyAlignment="1">
      <alignment vertical="center" wrapText="1"/>
    </xf>
    <xf numFmtId="0" fontId="17" fillId="2" borderId="3" xfId="0" applyFont="1" applyFill="1" applyBorder="1" applyAlignment="1">
      <alignment horizontal="justify" vertical="center"/>
    </xf>
    <xf numFmtId="0" fontId="17" fillId="2" borderId="3" xfId="0" applyNumberFormat="1" applyFont="1" applyFill="1" applyBorder="1" applyAlignment="1">
      <alignment horizontal="center" vertical="center" wrapText="1"/>
    </xf>
    <xf numFmtId="0" fontId="17" fillId="2" borderId="7" xfId="0" applyFont="1" applyFill="1" applyBorder="1" applyAlignment="1">
      <alignment horizontal="justify" vertical="center"/>
    </xf>
    <xf numFmtId="0" fontId="17" fillId="2" borderId="3" xfId="0" applyNumberFormat="1" applyFont="1" applyFill="1" applyBorder="1" applyAlignment="1">
      <alignment vertical="center" wrapText="1"/>
    </xf>
    <xf numFmtId="9" fontId="16" fillId="5" borderId="3" xfId="0" applyNumberFormat="1" applyFont="1" applyFill="1" applyBorder="1" applyAlignment="1">
      <alignment horizontal="center" vertical="center" textRotation="90"/>
    </xf>
    <xf numFmtId="0" fontId="16" fillId="0" borderId="3" xfId="0" applyFont="1" applyFill="1" applyBorder="1" applyAlignment="1">
      <alignment horizontal="center" vertical="center" wrapText="1"/>
    </xf>
    <xf numFmtId="9" fontId="16" fillId="6" borderId="3" xfId="0" applyNumberFormat="1" applyFont="1" applyFill="1" applyBorder="1" applyAlignment="1">
      <alignment horizontal="center" vertical="center" textRotation="90"/>
    </xf>
    <xf numFmtId="0" fontId="16" fillId="0" borderId="3" xfId="0" applyNumberFormat="1" applyFont="1" applyFill="1" applyBorder="1" applyAlignment="1">
      <alignment horizontal="center" vertical="center" wrapText="1"/>
    </xf>
    <xf numFmtId="0" fontId="31" fillId="0" borderId="3" xfId="0" applyFont="1" applyBorder="1" applyAlignment="1">
      <alignment horizontal="center" vertical="center" wrapText="1"/>
    </xf>
    <xf numFmtId="0" fontId="17" fillId="0" borderId="3" xfId="0" applyFont="1" applyBorder="1" applyAlignment="1">
      <alignment horizontal="left" vertical="center" wrapText="1"/>
    </xf>
    <xf numFmtId="0" fontId="16"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7" fillId="0" borderId="3" xfId="0" applyNumberFormat="1" applyFont="1" applyFill="1" applyBorder="1" applyAlignment="1">
      <alignment horizontal="left" vertical="center" wrapText="1"/>
    </xf>
    <xf numFmtId="0" fontId="17" fillId="8" borderId="3" xfId="0" applyFont="1" applyFill="1" applyBorder="1" applyAlignment="1">
      <alignment horizontal="center" vertical="center" wrapText="1"/>
    </xf>
    <xf numFmtId="0" fontId="16" fillId="0" borderId="3" xfId="0" applyFont="1" applyFill="1" applyBorder="1" applyAlignment="1">
      <alignment horizontal="center" vertical="center"/>
    </xf>
    <xf numFmtId="0" fontId="16" fillId="8" borderId="3" xfId="0" applyNumberFormat="1" applyFont="1" applyFill="1" applyBorder="1" applyAlignment="1">
      <alignment horizontal="center" vertical="center" wrapText="1"/>
    </xf>
    <xf numFmtId="9" fontId="17" fillId="6" borderId="3" xfId="0" applyNumberFormat="1" applyFont="1" applyFill="1" applyBorder="1" applyAlignment="1">
      <alignment horizontal="center" vertical="center" textRotation="90"/>
    </xf>
    <xf numFmtId="9" fontId="17" fillId="6" borderId="3" xfId="0" applyNumberFormat="1" applyFont="1" applyFill="1" applyBorder="1" applyAlignment="1">
      <alignment horizontal="center" vertical="center" textRotation="90"/>
    </xf>
    <xf numFmtId="0" fontId="16" fillId="0" borderId="3" xfId="0"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9" fontId="31" fillId="6" borderId="3" xfId="0" applyNumberFormat="1" applyFont="1" applyFill="1" applyBorder="1" applyAlignment="1">
      <alignment horizontal="center" vertical="center" textRotation="90"/>
    </xf>
    <xf numFmtId="2" fontId="17" fillId="2" borderId="3" xfId="96" applyNumberFormat="1" applyFont="1" applyFill="1" applyBorder="1" applyAlignment="1">
      <alignment horizontal="center" vertical="center" wrapText="1"/>
    </xf>
    <xf numFmtId="0" fontId="35" fillId="2" borderId="3" xfId="0" applyFont="1" applyFill="1" applyBorder="1" applyAlignment="1">
      <alignment horizontal="center" vertical="center" wrapText="1"/>
    </xf>
    <xf numFmtId="173" fontId="16" fillId="7" borderId="3" xfId="9" applyNumberFormat="1" applyFont="1" applyFill="1" applyBorder="1" applyAlignment="1" applyProtection="1">
      <alignment horizontal="center" vertical="center" wrapText="1"/>
    </xf>
    <xf numFmtId="0" fontId="36" fillId="0" borderId="3" xfId="108" applyNumberFormat="1" applyFont="1" applyFill="1" applyBorder="1" applyAlignment="1" applyProtection="1">
      <alignment horizontal="center" vertical="center" wrapText="1"/>
    </xf>
    <xf numFmtId="9" fontId="16" fillId="0" borderId="3" xfId="0" applyNumberFormat="1" applyFont="1" applyFill="1" applyBorder="1"/>
    <xf numFmtId="0" fontId="16" fillId="0" borderId="3" xfId="0" applyFont="1" applyFill="1" applyBorder="1"/>
    <xf numFmtId="0" fontId="16" fillId="0" borderId="3" xfId="96" applyFont="1" applyFill="1" applyBorder="1" applyAlignment="1">
      <alignment horizontal="center" vertical="center" wrapText="1"/>
    </xf>
    <xf numFmtId="174" fontId="22" fillId="9" borderId="3" xfId="0" applyNumberFormat="1" applyFont="1" applyFill="1" applyBorder="1"/>
    <xf numFmtId="174" fontId="16" fillId="0" borderId="3" xfId="0" applyNumberFormat="1" applyFont="1" applyFill="1" applyBorder="1"/>
    <xf numFmtId="9" fontId="17" fillId="0" borderId="3" xfId="97" applyNumberFormat="1" applyFont="1" applyFill="1" applyBorder="1" applyAlignment="1">
      <alignment horizontal="center" vertical="center" wrapText="1"/>
    </xf>
    <xf numFmtId="9" fontId="29" fillId="0" borderId="3" xfId="97" applyNumberFormat="1" applyFont="1" applyFill="1" applyBorder="1" applyAlignment="1">
      <alignment horizontal="center" vertical="center" wrapText="1"/>
    </xf>
    <xf numFmtId="9" fontId="30" fillId="6" borderId="3" xfId="0" applyNumberFormat="1" applyFont="1" applyFill="1" applyBorder="1" applyAlignment="1">
      <alignment horizontal="center" vertical="center" textRotation="90"/>
    </xf>
    <xf numFmtId="0" fontId="30" fillId="0" borderId="3" xfId="0" applyNumberFormat="1" applyFont="1" applyFill="1" applyBorder="1" applyAlignment="1">
      <alignment horizontal="center" vertical="center" wrapText="1"/>
    </xf>
    <xf numFmtId="0" fontId="30" fillId="0" borderId="3" xfId="0" applyNumberFormat="1" applyFont="1" applyFill="1" applyBorder="1" applyAlignment="1">
      <alignment vertical="center" wrapText="1"/>
    </xf>
    <xf numFmtId="0" fontId="37"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left" vertical="center" wrapText="1"/>
    </xf>
    <xf numFmtId="0" fontId="30" fillId="0" borderId="3" xfId="96" applyFont="1" applyFill="1" applyBorder="1" applyAlignment="1">
      <alignment horizontal="center" vertical="center" wrapText="1"/>
    </xf>
    <xf numFmtId="0" fontId="30" fillId="0" borderId="3" xfId="0" applyFont="1" applyFill="1" applyBorder="1" applyAlignment="1">
      <alignment horizontal="center" vertical="center" wrapText="1"/>
    </xf>
    <xf numFmtId="9" fontId="30" fillId="0" borderId="3" xfId="97" applyFont="1" applyFill="1" applyBorder="1" applyAlignment="1">
      <alignment horizontal="center" vertical="center" wrapText="1"/>
    </xf>
    <xf numFmtId="168" fontId="30" fillId="0" borderId="3" xfId="101" applyNumberFormat="1" applyFont="1" applyFill="1" applyBorder="1" applyAlignment="1">
      <alignment horizontal="center" vertical="center" wrapText="1"/>
    </xf>
    <xf numFmtId="0" fontId="30" fillId="0" borderId="3" xfId="59" applyFont="1" applyFill="1" applyBorder="1" applyAlignment="1">
      <alignment horizontal="center" vertical="center" wrapText="1"/>
    </xf>
    <xf numFmtId="0" fontId="30" fillId="0" borderId="0" xfId="0" applyFont="1" applyFill="1"/>
    <xf numFmtId="0" fontId="37" fillId="0" borderId="3" xfId="0" applyFont="1" applyFill="1" applyBorder="1" applyAlignment="1">
      <alignment horizontal="center" vertical="center" wrapText="1"/>
    </xf>
    <xf numFmtId="0" fontId="30" fillId="8" borderId="3" xfId="0" applyNumberFormat="1" applyFont="1" applyFill="1" applyBorder="1" applyAlignment="1">
      <alignment vertical="center" wrapText="1"/>
    </xf>
    <xf numFmtId="0" fontId="37" fillId="0" borderId="3" xfId="0" applyNumberFormat="1" applyFont="1" applyFill="1" applyBorder="1" applyAlignment="1">
      <alignment horizontal="left" vertical="center" wrapText="1"/>
    </xf>
    <xf numFmtId="9" fontId="37" fillId="0" borderId="3" xfId="0" applyNumberFormat="1" applyFont="1" applyFill="1" applyBorder="1" applyAlignment="1">
      <alignment horizontal="center" vertical="center" wrapText="1"/>
    </xf>
    <xf numFmtId="0" fontId="33" fillId="0" borderId="3" xfId="59" applyFont="1" applyFill="1" applyBorder="1" applyAlignment="1">
      <alignment horizontal="center" vertical="center" wrapText="1"/>
    </xf>
    <xf numFmtId="0" fontId="33" fillId="0" borderId="3" xfId="0" applyFont="1" applyFill="1" applyBorder="1" applyAlignment="1">
      <alignment horizontal="center" vertical="center" wrapText="1"/>
    </xf>
    <xf numFmtId="0" fontId="30" fillId="0" borderId="0" xfId="0" applyFont="1" applyFill="1" applyAlignment="1">
      <alignment horizontal="center"/>
    </xf>
    <xf numFmtId="0" fontId="37" fillId="0" borderId="3" xfId="0" applyFont="1" applyFill="1" applyBorder="1" applyAlignment="1">
      <alignment horizontal="center" vertical="center"/>
    </xf>
    <xf numFmtId="0" fontId="37" fillId="0" borderId="3" xfId="0" applyNumberFormat="1" applyFont="1" applyFill="1" applyBorder="1" applyAlignment="1">
      <alignment horizontal="center" vertical="center" wrapText="1"/>
    </xf>
    <xf numFmtId="9" fontId="30" fillId="6" borderId="3" xfId="0" applyNumberFormat="1" applyFont="1" applyFill="1" applyBorder="1" applyAlignment="1">
      <alignment horizontal="center" vertical="center" textRotation="90"/>
    </xf>
    <xf numFmtId="9" fontId="30" fillId="0" borderId="3" xfId="101" applyFont="1" applyFill="1" applyBorder="1" applyAlignment="1">
      <alignment horizontal="center" vertical="center" wrapText="1"/>
    </xf>
    <xf numFmtId="0" fontId="30" fillId="0" borderId="3" xfId="0" applyFont="1" applyFill="1" applyBorder="1" applyAlignment="1">
      <alignment wrapText="1"/>
    </xf>
    <xf numFmtId="0" fontId="30" fillId="0" borderId="3" xfId="0" applyFont="1" applyFill="1" applyBorder="1" applyAlignment="1">
      <alignment horizontal="left" vertical="center" wrapText="1"/>
    </xf>
    <xf numFmtId="0" fontId="17" fillId="0" borderId="3" xfId="108" applyNumberFormat="1" applyFont="1" applyFill="1" applyBorder="1" applyAlignment="1" applyProtection="1">
      <alignment horizontal="center" vertical="center" wrapText="1"/>
    </xf>
    <xf numFmtId="173" fontId="17" fillId="0" borderId="3" xfId="9" applyNumberFormat="1" applyFont="1" applyFill="1" applyBorder="1" applyAlignment="1" applyProtection="1">
      <alignment horizontal="center" vertical="center" wrapText="1"/>
    </xf>
    <xf numFmtId="0" fontId="17"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0" fontId="17" fillId="0" borderId="3" xfId="0"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10" fontId="17" fillId="0" borderId="3" xfId="101" applyNumberFormat="1" applyFont="1" applyFill="1" applyBorder="1" applyAlignment="1">
      <alignment horizontal="center" vertical="center" wrapText="1"/>
    </xf>
    <xf numFmtId="0" fontId="31" fillId="0" borderId="3" xfId="0" applyFont="1" applyBorder="1" applyAlignment="1">
      <alignment horizontal="center" vertical="center" wrapText="1"/>
    </xf>
    <xf numFmtId="0" fontId="16" fillId="0"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6" fillId="0" borderId="3" xfId="0" applyFont="1" applyFill="1" applyBorder="1" applyAlignment="1">
      <alignment horizontal="center" vertical="center"/>
    </xf>
    <xf numFmtId="0" fontId="29" fillId="0" borderId="3" xfId="108" applyNumberFormat="1" applyFont="1" applyFill="1" applyBorder="1" applyAlignment="1" applyProtection="1">
      <alignment horizontal="center" vertical="center" wrapText="1"/>
    </xf>
    <xf numFmtId="173" fontId="29" fillId="0" borderId="3" xfId="9" applyNumberFormat="1" applyFont="1" applyFill="1" applyBorder="1" applyAlignment="1" applyProtection="1">
      <alignment horizontal="center" vertical="center" wrapText="1"/>
    </xf>
    <xf numFmtId="2" fontId="17" fillId="0" borderId="3" xfId="0" applyNumberFormat="1" applyFont="1" applyFill="1" applyBorder="1" applyAlignment="1">
      <alignment horizontal="center" vertical="center" wrapText="1"/>
    </xf>
    <xf numFmtId="1" fontId="17" fillId="0" borderId="3" xfId="0" applyNumberFormat="1" applyFont="1" applyFill="1" applyBorder="1" applyAlignment="1">
      <alignment horizontal="center" vertical="center" wrapText="1"/>
    </xf>
    <xf numFmtId="43" fontId="17" fillId="0" borderId="3" xfId="59" applyNumberFormat="1" applyFont="1" applyFill="1" applyBorder="1" applyAlignment="1">
      <alignment horizontal="center" vertical="center" wrapText="1"/>
    </xf>
    <xf numFmtId="175" fontId="22" fillId="6" borderId="3" xfId="0" applyNumberFormat="1" applyFont="1" applyFill="1" applyBorder="1"/>
    <xf numFmtId="9" fontId="17" fillId="6" borderId="5" xfId="0" applyNumberFormat="1" applyFont="1" applyFill="1" applyBorder="1" applyAlignment="1">
      <alignment horizontal="center" vertical="center" textRotation="90"/>
    </xf>
    <xf numFmtId="9" fontId="17" fillId="6" borderId="4" xfId="0" applyNumberFormat="1" applyFont="1" applyFill="1" applyBorder="1" applyAlignment="1">
      <alignment horizontal="center" vertical="center" textRotation="90"/>
    </xf>
    <xf numFmtId="9" fontId="17" fillId="6" borderId="6" xfId="0" applyNumberFormat="1" applyFont="1" applyFill="1" applyBorder="1" applyAlignment="1">
      <alignment horizontal="center" vertical="center" textRotation="90"/>
    </xf>
    <xf numFmtId="9" fontId="17" fillId="6" borderId="3" xfId="0" applyNumberFormat="1" applyFont="1" applyFill="1" applyBorder="1" applyAlignment="1">
      <alignment horizontal="center" vertical="center" textRotation="90"/>
    </xf>
    <xf numFmtId="0" fontId="16" fillId="0" borderId="3" xfId="0" applyFont="1" applyFill="1" applyBorder="1" applyAlignment="1">
      <alignment horizontal="center" vertical="center" wrapText="1"/>
    </xf>
    <xf numFmtId="9" fontId="29" fillId="6" borderId="5" xfId="0" applyNumberFormat="1" applyFont="1" applyFill="1" applyBorder="1" applyAlignment="1">
      <alignment horizontal="center" vertical="center" textRotation="90"/>
    </xf>
    <xf numFmtId="9" fontId="29" fillId="6" borderId="6" xfId="0" applyNumberFormat="1" applyFont="1" applyFill="1" applyBorder="1" applyAlignment="1">
      <alignment horizontal="center" vertical="center" textRotation="90"/>
    </xf>
    <xf numFmtId="9" fontId="29" fillId="6" borderId="4" xfId="0" applyNumberFormat="1" applyFont="1" applyFill="1" applyBorder="1" applyAlignment="1">
      <alignment horizontal="center" vertical="center" textRotation="90"/>
    </xf>
    <xf numFmtId="0" fontId="17" fillId="8" borderId="3" xfId="0" applyFont="1" applyFill="1" applyBorder="1" applyAlignment="1">
      <alignment horizontal="center" vertical="center" wrapText="1"/>
    </xf>
    <xf numFmtId="0" fontId="16" fillId="8" borderId="3" xfId="0"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0" fontId="16" fillId="0" borderId="3" xfId="0" applyNumberFormat="1" applyFont="1" applyFill="1" applyBorder="1" applyAlignment="1">
      <alignment horizontal="center" vertical="center" wrapText="1"/>
    </xf>
    <xf numFmtId="9" fontId="16" fillId="6" borderId="3" xfId="0" applyNumberFormat="1" applyFont="1" applyFill="1" applyBorder="1" applyAlignment="1">
      <alignment horizontal="left" vertical="center"/>
    </xf>
    <xf numFmtId="0" fontId="16" fillId="5" borderId="3" xfId="0" applyNumberFormat="1" applyFont="1" applyFill="1" applyBorder="1" applyAlignment="1">
      <alignment horizontal="left" vertical="center" wrapText="1"/>
    </xf>
    <xf numFmtId="0" fontId="17"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6" fillId="4" borderId="3" xfId="0" applyFont="1" applyFill="1" applyBorder="1" applyAlignment="1">
      <alignment horizontal="left" vertical="center" wrapText="1"/>
    </xf>
    <xf numFmtId="9" fontId="17" fillId="4" borderId="3" xfId="0" applyNumberFormat="1" applyFont="1" applyFill="1" applyBorder="1" applyAlignment="1">
      <alignment horizontal="center" vertical="center" textRotation="90"/>
    </xf>
    <xf numFmtId="0" fontId="16" fillId="0" borderId="0" xfId="0" applyFont="1" applyFill="1" applyAlignment="1">
      <alignment horizontal="center"/>
    </xf>
    <xf numFmtId="0" fontId="16" fillId="0" borderId="0" xfId="0" applyFont="1" applyAlignment="1">
      <alignment horizontal="center"/>
    </xf>
    <xf numFmtId="0" fontId="20" fillId="2" borderId="3"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6" fillId="0" borderId="3" xfId="0" applyFont="1" applyFill="1" applyBorder="1" applyAlignment="1">
      <alignment horizontal="center" vertical="center"/>
    </xf>
    <xf numFmtId="0" fontId="17" fillId="0" borderId="3" xfId="0" applyNumberFormat="1" applyFont="1" applyFill="1" applyBorder="1" applyAlignment="1">
      <alignment horizontal="left" vertical="center" wrapText="1"/>
    </xf>
    <xf numFmtId="0" fontId="17" fillId="0" borderId="3" xfId="0" applyFont="1" applyBorder="1" applyAlignment="1">
      <alignment horizontal="center"/>
    </xf>
    <xf numFmtId="0" fontId="31" fillId="0" borderId="3" xfId="0" applyFont="1" applyBorder="1" applyAlignment="1">
      <alignment horizontal="center" vertical="center" wrapText="1"/>
    </xf>
    <xf numFmtId="0" fontId="16" fillId="0" borderId="3" xfId="0" applyFont="1" applyBorder="1" applyAlignment="1">
      <alignment horizontal="center" vertical="center"/>
    </xf>
    <xf numFmtId="0" fontId="16" fillId="2" borderId="3" xfId="0" applyFont="1" applyFill="1" applyBorder="1" applyAlignment="1">
      <alignment horizontal="center" vertical="center" wrapText="1"/>
    </xf>
    <xf numFmtId="0" fontId="16" fillId="6" borderId="3" xfId="0" applyNumberFormat="1" applyFont="1" applyFill="1" applyBorder="1" applyAlignment="1">
      <alignment horizontal="left" vertical="center" wrapText="1"/>
    </xf>
    <xf numFmtId="0" fontId="29" fillId="0" borderId="3" xfId="0" applyFont="1" applyBorder="1" applyAlignment="1">
      <alignment horizontal="left" vertical="center" wrapText="1"/>
    </xf>
    <xf numFmtId="9" fontId="16" fillId="5" borderId="3" xfId="0" applyNumberFormat="1" applyFont="1" applyFill="1" applyBorder="1" applyAlignment="1">
      <alignment horizontal="center" vertical="center" textRotation="90"/>
    </xf>
    <xf numFmtId="0" fontId="16" fillId="3" borderId="3" xfId="0" applyFont="1" applyFill="1" applyBorder="1" applyAlignment="1">
      <alignment horizontal="left" vertical="center" wrapText="1"/>
    </xf>
    <xf numFmtId="0" fontId="17" fillId="0" borderId="3" xfId="81" applyFont="1" applyFill="1" applyBorder="1" applyAlignment="1">
      <alignment horizontal="center" vertical="center" wrapText="1"/>
    </xf>
    <xf numFmtId="9" fontId="16" fillId="0" borderId="3" xfId="81" applyNumberFormat="1" applyFont="1" applyFill="1" applyBorder="1" applyAlignment="1">
      <alignment horizontal="center" vertical="center" wrapText="1"/>
    </xf>
    <xf numFmtId="9" fontId="16" fillId="4" borderId="3" xfId="0" applyNumberFormat="1" applyFont="1" applyFill="1" applyBorder="1" applyAlignment="1">
      <alignment horizontal="center" vertical="center" textRotation="90"/>
    </xf>
    <xf numFmtId="9" fontId="21" fillId="5" borderId="3" xfId="0" applyNumberFormat="1" applyFont="1" applyFill="1" applyBorder="1" applyAlignment="1">
      <alignment horizontal="center" vertical="center" textRotation="90"/>
    </xf>
    <xf numFmtId="9" fontId="16" fillId="0" borderId="3" xfId="81" applyNumberFormat="1" applyFont="1" applyFill="1" applyBorder="1" applyAlignment="1">
      <alignment horizontal="center" vertical="center" textRotation="90"/>
    </xf>
    <xf numFmtId="0" fontId="16" fillId="6" borderId="3" xfId="0" applyFont="1" applyFill="1" applyBorder="1" applyAlignment="1">
      <alignment horizontal="left" vertical="center"/>
    </xf>
    <xf numFmtId="9" fontId="16" fillId="6" borderId="3" xfId="0" applyNumberFormat="1" applyFont="1" applyFill="1" applyBorder="1" applyAlignment="1">
      <alignment horizontal="center" vertical="center" textRotation="90"/>
    </xf>
    <xf numFmtId="0" fontId="16" fillId="5" borderId="3" xfId="0" applyNumberFormat="1" applyFont="1" applyFill="1" applyBorder="1" applyAlignment="1">
      <alignment horizontal="left" vertical="center"/>
    </xf>
    <xf numFmtId="173" fontId="17" fillId="2" borderId="0" xfId="0" applyNumberFormat="1" applyFont="1" applyFill="1"/>
  </cellXfs>
  <cellStyles count="110">
    <cellStyle name="??" xfId="1"/>
    <cellStyle name="?? [0.00]_PRODUCT DETAIL Q1" xfId="2"/>
    <cellStyle name="?? [0]" xfId="3"/>
    <cellStyle name="???? [0.00]_PRODUCT DETAIL Q1" xfId="4"/>
    <cellStyle name="????_PRODUCT DETAIL Q1" xfId="5"/>
    <cellStyle name="???_HOBONG" xfId="6"/>
    <cellStyle name="??_(????)??????" xfId="7"/>
    <cellStyle name="Comma [0] 2" xfId="8"/>
    <cellStyle name="Comma 10" xfId="9"/>
    <cellStyle name="Comma 10 2" xfId="10"/>
    <cellStyle name="Comma 2" xfId="11"/>
    <cellStyle name="Comma 2 2" xfId="12"/>
    <cellStyle name="Comma 3" xfId="13"/>
    <cellStyle name="Comma 3 2" xfId="14"/>
    <cellStyle name="Comma 4" xfId="15"/>
    <cellStyle name="Comma 5" xfId="16"/>
    <cellStyle name="Comma 6" xfId="17"/>
    <cellStyle name="Comma 6 2" xfId="18"/>
    <cellStyle name="Comma 6 2 2" xfId="19"/>
    <cellStyle name="Comma 6 3" xfId="20"/>
    <cellStyle name="Comma 7" xfId="21"/>
    <cellStyle name="Comma 7 2" xfId="22"/>
    <cellStyle name="Comma 8" xfId="23"/>
    <cellStyle name="Comma 8 2" xfId="24"/>
    <cellStyle name="Comma 9" xfId="25"/>
    <cellStyle name="Comma0" xfId="26"/>
    <cellStyle name="Currency 2" xfId="27"/>
    <cellStyle name="Currency 2 2" xfId="28"/>
    <cellStyle name="Currency0" xfId="29"/>
    <cellStyle name="Date" xfId="30"/>
    <cellStyle name="Excel Built-in Excel Built-in Excel Built-in Comma 7 2" xfId="31"/>
    <cellStyle name="Excel Built-in Excel Built-in Excel Built-in Comma 7 2 2" xfId="32"/>
    <cellStyle name="Excel Built-in Excel Built-in Excel Built-in Comma 8" xfId="33"/>
    <cellStyle name="Excel Built-in Excel Built-in Excel Built-in Comma 8 2" xfId="34"/>
    <cellStyle name="Excel Built-in Excel Built-in Excel Built-in Comma 8 3" xfId="35"/>
    <cellStyle name="Excel Built-in Excel Built-in Excel Built-in Normal 8" xfId="36"/>
    <cellStyle name="Excel Built-in Excel Built-in Excel Built-in Normal 8 2" xfId="37"/>
    <cellStyle name="Excel Built-in Excel Built-in Excel Built-in Normal 8 2 2" xfId="38"/>
    <cellStyle name="Excel Built-in Excel Built-in Excel Built-in Normal_Sheet1" xfId="39"/>
    <cellStyle name="Excel Built-in Excel Built-in Excel Built-in Percent 3 2" xfId="40"/>
    <cellStyle name="Excel Built-in Excel Built-in Excel Built-in Percent 3 2 2" xfId="41"/>
    <cellStyle name="Excel Built-in Excel Built-in Excel Built-in Percent 3 2 2 2" xfId="42"/>
    <cellStyle name="Excel Built-in Excel Built-in Excel Built-in Percent 5 2" xfId="43"/>
    <cellStyle name="Excel Built-in Excel Built-in Excel Built-in Percent 5 3" xfId="44"/>
    <cellStyle name="Excel Built-in Excel Built-in Excel Built-in Percent 6" xfId="45"/>
    <cellStyle name="Excel Built-in Excel Built-in Excel Built-in Percent 6 2" xfId="46"/>
    <cellStyle name="Excel Built-in Normal" xfId="47"/>
    <cellStyle name="Excel Built-in Normal 2" xfId="48"/>
    <cellStyle name="Fixed" xfId="49"/>
    <cellStyle name="Header1" xfId="50"/>
    <cellStyle name="Header2" xfId="51"/>
    <cellStyle name="Hyperlink" xfId="52" builtinId="8"/>
    <cellStyle name="Normal" xfId="0" builtinId="0"/>
    <cellStyle name="Normal - Style1" xfId="53"/>
    <cellStyle name="Normal 10" xfId="54"/>
    <cellStyle name="Normal 10 2" xfId="55"/>
    <cellStyle name="Normal 11" xfId="56"/>
    <cellStyle name="Normal 12" xfId="57"/>
    <cellStyle name="Normal 13" xfId="58"/>
    <cellStyle name="Normal 2" xfId="59"/>
    <cellStyle name="Normal 2 11 2 2" xfId="60"/>
    <cellStyle name="Normal 2 2" xfId="61"/>
    <cellStyle name="Normal 2 2 2" xfId="62"/>
    <cellStyle name="Normal 2 2 3" xfId="63"/>
    <cellStyle name="Normal 2 3" xfId="64"/>
    <cellStyle name="Normal 2 4" xfId="65"/>
    <cellStyle name="Normal 2 5" xfId="66"/>
    <cellStyle name="Normal 2 5 2" xfId="67"/>
    <cellStyle name="Normal 2 5 3" xfId="68"/>
    <cellStyle name="Normal 2 5 5 2" xfId="69"/>
    <cellStyle name="Normal 2 6" xfId="70"/>
    <cellStyle name="Normal 2 6 2" xfId="71"/>
    <cellStyle name="Normal 2 7" xfId="72"/>
    <cellStyle name="Normal 2 7 2" xfId="73"/>
    <cellStyle name="Normal 2_2_Template for BSC-KPI planning_PayNet 11.12.09 KTTC" xfId="74"/>
    <cellStyle name="Normal 3" xfId="75"/>
    <cellStyle name="Normal 3 2" xfId="76"/>
    <cellStyle name="Normal 4" xfId="77"/>
    <cellStyle name="Normal 5" xfId="78"/>
    <cellStyle name="Normal 5 4" xfId="79"/>
    <cellStyle name="Normal 6" xfId="80"/>
    <cellStyle name="Normal 7" xfId="81"/>
    <cellStyle name="Normal 7 2" xfId="82"/>
    <cellStyle name="Normal 7 2 2" xfId="83"/>
    <cellStyle name="Normal 7 3" xfId="84"/>
    <cellStyle name="Normal 7 3 2" xfId="85"/>
    <cellStyle name="Normal 7 3 3" xfId="86"/>
    <cellStyle name="Normal 7 3 4" xfId="87"/>
    <cellStyle name="Normal 7 4" xfId="88"/>
    <cellStyle name="Normal 7 5" xfId="89"/>
    <cellStyle name="Normal 7 5 2" xfId="90"/>
    <cellStyle name="Normal 7 6" xfId="91"/>
    <cellStyle name="Normal 7 7" xfId="92"/>
    <cellStyle name="Normal 8" xfId="93"/>
    <cellStyle name="Normal 9" xfId="94"/>
    <cellStyle name="Normal 9 2" xfId="95"/>
    <cellStyle name="Normal_VTU" xfId="96"/>
    <cellStyle name="Percent" xfId="97" builtinId="5"/>
    <cellStyle name="Percent 2" xfId="98"/>
    <cellStyle name="Percent 2 2" xfId="99"/>
    <cellStyle name="Percent 2 3" xfId="100"/>
    <cellStyle name="Percent 3" xfId="101"/>
    <cellStyle name="Percent 3 2" xfId="102"/>
    <cellStyle name="Percent 4" xfId="103"/>
    <cellStyle name="Percent 5" xfId="104"/>
    <cellStyle name="Percent 5 2" xfId="105"/>
    <cellStyle name="Percent 5 3" xfId="106"/>
    <cellStyle name="Percent 6" xfId="107"/>
    <cellStyle name="Percent 7" xfId="108"/>
    <cellStyle name="Percent 7 2" xfId="10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9"/>
  <sheetViews>
    <sheetView tabSelected="1" topLeftCell="F3" zoomScale="85" zoomScaleNormal="85" workbookViewId="0">
      <pane ySplit="4" topLeftCell="A82" activePane="bottomLeft" state="frozen"/>
      <selection activeCell="A3" sqref="A3"/>
      <selection pane="bottomLeft" activeCell="X12" sqref="X12:X85"/>
    </sheetView>
  </sheetViews>
  <sheetFormatPr defaultColWidth="8" defaultRowHeight="53.25" customHeight="1"/>
  <cols>
    <col min="1" max="2" width="6.375" style="30" customWidth="1"/>
    <col min="3" max="4" width="6.5" style="30" customWidth="1"/>
    <col min="5" max="5" width="5.75" style="23" customWidth="1"/>
    <col min="6" max="6" width="17.5" style="49" customWidth="1"/>
    <col min="7" max="7" width="6.375" style="24" customWidth="1"/>
    <col min="8" max="8" width="25.25" style="49" customWidth="1"/>
    <col min="9" max="9" width="7.75" style="24" bestFit="1" customWidth="1"/>
    <col min="10" max="10" width="31.5" style="49" customWidth="1"/>
    <col min="11" max="11" width="8.375" style="30" customWidth="1"/>
    <col min="12" max="12" width="6.375" style="30" customWidth="1"/>
    <col min="13" max="13" width="8.875" style="30" customWidth="1"/>
    <col min="14" max="14" width="10.375" style="29" customWidth="1"/>
    <col min="15" max="15" width="7.125" style="29" customWidth="1"/>
    <col min="16" max="16" width="5.75" style="28" customWidth="1"/>
    <col min="17" max="17" width="6.125" style="28" customWidth="1"/>
    <col min="18" max="18" width="7.125" style="50" customWidth="1"/>
    <col min="19" max="19" width="6.875" style="31" customWidth="1"/>
    <col min="20" max="21" width="5.625" style="31" customWidth="1"/>
    <col min="22" max="22" width="6.5" style="31" customWidth="1"/>
    <col min="23" max="23" width="10.75" style="31" customWidth="1"/>
    <col min="24" max="24" width="8" style="30" customWidth="1"/>
    <col min="25" max="16384" width="8" style="30"/>
  </cols>
  <sheetData>
    <row r="1" spans="1:24" ht="15.75">
      <c r="A1" s="223" t="s">
        <v>97</v>
      </c>
      <c r="B1" s="223"/>
      <c r="C1" s="223"/>
      <c r="D1" s="223"/>
      <c r="E1" s="223"/>
      <c r="F1" s="223"/>
      <c r="G1" s="223"/>
      <c r="H1" s="5" t="s">
        <v>112</v>
      </c>
      <c r="I1" s="224"/>
      <c r="J1" s="224"/>
      <c r="K1" s="224"/>
      <c r="L1" s="224"/>
      <c r="M1" s="224"/>
      <c r="N1" s="224"/>
      <c r="O1" s="224"/>
      <c r="P1" s="224"/>
      <c r="Q1" s="224"/>
      <c r="R1" s="224"/>
      <c r="S1" s="221" t="s">
        <v>69</v>
      </c>
      <c r="T1" s="221"/>
      <c r="U1" s="221"/>
      <c r="V1" s="221"/>
      <c r="W1" s="221"/>
    </row>
    <row r="2" spans="1:24" ht="15.75">
      <c r="A2" s="223"/>
      <c r="B2" s="223"/>
      <c r="C2" s="223"/>
      <c r="D2" s="223"/>
      <c r="E2" s="223"/>
      <c r="F2" s="223"/>
      <c r="G2" s="223"/>
      <c r="H2" s="5" t="s">
        <v>162</v>
      </c>
      <c r="I2" s="224"/>
      <c r="J2" s="224"/>
      <c r="K2" s="224"/>
      <c r="L2" s="224"/>
      <c r="M2" s="223" t="s">
        <v>161</v>
      </c>
      <c r="N2" s="223"/>
      <c r="O2" s="223"/>
      <c r="P2" s="223"/>
      <c r="Q2" s="223"/>
      <c r="R2" s="223"/>
      <c r="S2" s="222" t="s">
        <v>152</v>
      </c>
      <c r="T2" s="222"/>
      <c r="U2" s="222"/>
      <c r="V2" s="222"/>
      <c r="W2" s="97" t="str">
        <f>IF(W85&gt;105, "A", IF(100&lt;W85,"B", IF(95&lt;=W85, "C", IF(90&lt;=W85,"D","E"))))</f>
        <v>B</v>
      </c>
    </row>
    <row r="3" spans="1:24" s="31" customFormat="1" ht="53.25" customHeight="1">
      <c r="A3" s="201" t="s">
        <v>319</v>
      </c>
      <c r="B3" s="201" t="s">
        <v>320</v>
      </c>
      <c r="C3" s="201" t="s">
        <v>321</v>
      </c>
      <c r="D3" s="201" t="s">
        <v>322</v>
      </c>
      <c r="E3" s="201" t="s">
        <v>70</v>
      </c>
      <c r="F3" s="201"/>
      <c r="G3" s="201" t="s">
        <v>71</v>
      </c>
      <c r="H3" s="201"/>
      <c r="I3" s="201" t="s">
        <v>72</v>
      </c>
      <c r="J3" s="201"/>
      <c r="K3" s="201" t="s">
        <v>73</v>
      </c>
      <c r="L3" s="201"/>
      <c r="M3" s="201" t="s">
        <v>74</v>
      </c>
      <c r="N3" s="201" t="s">
        <v>325</v>
      </c>
      <c r="O3" s="201" t="s">
        <v>295</v>
      </c>
      <c r="P3" s="201" t="s">
        <v>75</v>
      </c>
      <c r="Q3" s="201"/>
      <c r="R3" s="201"/>
      <c r="S3" s="201"/>
      <c r="T3" s="201"/>
      <c r="U3" s="201"/>
      <c r="V3" s="201"/>
      <c r="W3" s="201"/>
    </row>
    <row r="4" spans="1:24" s="28" customFormat="1" ht="15.75">
      <c r="A4" s="201"/>
      <c r="B4" s="201"/>
      <c r="C4" s="201"/>
      <c r="D4" s="201"/>
      <c r="E4" s="208" t="s">
        <v>98</v>
      </c>
      <c r="F4" s="201" t="s">
        <v>99</v>
      </c>
      <c r="G4" s="208" t="s">
        <v>100</v>
      </c>
      <c r="H4" s="201" t="s">
        <v>99</v>
      </c>
      <c r="I4" s="208" t="s">
        <v>101</v>
      </c>
      <c r="J4" s="201" t="s">
        <v>99</v>
      </c>
      <c r="K4" s="201" t="s">
        <v>57</v>
      </c>
      <c r="L4" s="201" t="s">
        <v>76</v>
      </c>
      <c r="M4" s="201"/>
      <c r="N4" s="201"/>
      <c r="O4" s="201"/>
      <c r="P4" s="201"/>
      <c r="Q4" s="201"/>
      <c r="R4" s="201"/>
      <c r="S4" s="201"/>
      <c r="T4" s="201"/>
      <c r="U4" s="201"/>
      <c r="V4" s="201"/>
      <c r="W4" s="201"/>
    </row>
    <row r="5" spans="1:24" s="31" customFormat="1" ht="15.75">
      <c r="A5" s="201"/>
      <c r="B5" s="201"/>
      <c r="C5" s="201"/>
      <c r="D5" s="201"/>
      <c r="E5" s="208"/>
      <c r="F5" s="201"/>
      <c r="G5" s="208"/>
      <c r="H5" s="201"/>
      <c r="I5" s="208"/>
      <c r="J5" s="201"/>
      <c r="K5" s="201"/>
      <c r="L5" s="201"/>
      <c r="M5" s="201"/>
      <c r="N5" s="201"/>
      <c r="O5" s="201"/>
      <c r="P5" s="201" t="s">
        <v>77</v>
      </c>
      <c r="Q5" s="201"/>
      <c r="R5" s="201"/>
      <c r="S5" s="201"/>
      <c r="T5" s="201" t="s">
        <v>111</v>
      </c>
      <c r="U5" s="201"/>
      <c r="V5" s="201"/>
      <c r="W5" s="201"/>
    </row>
    <row r="6" spans="1:24" s="31" customFormat="1" ht="47.25">
      <c r="A6" s="201"/>
      <c r="B6" s="201"/>
      <c r="C6" s="201"/>
      <c r="D6" s="201"/>
      <c r="E6" s="208"/>
      <c r="F6" s="201"/>
      <c r="G6" s="208"/>
      <c r="H6" s="201"/>
      <c r="I6" s="208"/>
      <c r="J6" s="201"/>
      <c r="K6" s="201"/>
      <c r="L6" s="201"/>
      <c r="M6" s="201"/>
      <c r="N6" s="201"/>
      <c r="O6" s="201"/>
      <c r="P6" s="6" t="s">
        <v>78</v>
      </c>
      <c r="Q6" s="6" t="s">
        <v>95</v>
      </c>
      <c r="R6" s="7" t="s">
        <v>79</v>
      </c>
      <c r="S6" s="7" t="s">
        <v>80</v>
      </c>
      <c r="T6" s="7" t="s">
        <v>78</v>
      </c>
      <c r="U6" s="6" t="s">
        <v>95</v>
      </c>
      <c r="V6" s="7" t="s">
        <v>79</v>
      </c>
      <c r="W6" s="7" t="s">
        <v>80</v>
      </c>
    </row>
    <row r="7" spans="1:24" s="33" customFormat="1" ht="15.75" hidden="1">
      <c r="A7" s="32">
        <v>1</v>
      </c>
      <c r="B7" s="32">
        <v>2</v>
      </c>
      <c r="C7" s="32">
        <v>3</v>
      </c>
      <c r="D7" s="32">
        <v>4</v>
      </c>
      <c r="E7" s="32">
        <v>5</v>
      </c>
      <c r="F7" s="32">
        <v>6</v>
      </c>
      <c r="G7" s="32">
        <v>7</v>
      </c>
      <c r="H7" s="32">
        <v>8</v>
      </c>
      <c r="I7" s="32">
        <v>9</v>
      </c>
      <c r="J7" s="32">
        <v>10</v>
      </c>
      <c r="K7" s="32">
        <v>11</v>
      </c>
      <c r="L7" s="32">
        <v>12</v>
      </c>
      <c r="M7" s="32">
        <v>13</v>
      </c>
      <c r="N7" s="32">
        <v>14</v>
      </c>
      <c r="O7" s="32">
        <v>15</v>
      </c>
      <c r="P7" s="32">
        <v>16</v>
      </c>
      <c r="Q7" s="32">
        <v>17</v>
      </c>
      <c r="R7" s="32">
        <v>18</v>
      </c>
      <c r="S7" s="32">
        <v>19</v>
      </c>
      <c r="T7" s="32">
        <v>20</v>
      </c>
      <c r="U7" s="32">
        <v>21</v>
      </c>
      <c r="V7" s="32">
        <v>22</v>
      </c>
      <c r="W7" s="32">
        <v>23</v>
      </c>
    </row>
    <row r="8" spans="1:24" s="33" customFormat="1" ht="53.25" hidden="1" customHeight="1">
      <c r="A8" s="2" t="s">
        <v>292</v>
      </c>
      <c r="B8" s="2" t="s">
        <v>293</v>
      </c>
      <c r="C8" s="2" t="s">
        <v>294</v>
      </c>
      <c r="D8" s="2" t="s">
        <v>297</v>
      </c>
      <c r="E8" s="2"/>
      <c r="F8" s="69"/>
      <c r="G8" s="70"/>
      <c r="H8" s="69"/>
      <c r="I8" s="6"/>
      <c r="J8" s="69"/>
      <c r="K8" s="71" t="s">
        <v>7</v>
      </c>
      <c r="L8" s="6" t="s">
        <v>113</v>
      </c>
      <c r="M8" s="71" t="s">
        <v>296</v>
      </c>
      <c r="N8" s="6" t="s">
        <v>324</v>
      </c>
      <c r="O8" s="6" t="s">
        <v>323</v>
      </c>
      <c r="P8" s="6" t="s">
        <v>298</v>
      </c>
      <c r="Q8" s="6" t="s">
        <v>299</v>
      </c>
      <c r="R8" s="6" t="s">
        <v>300</v>
      </c>
      <c r="S8" s="6" t="s">
        <v>301</v>
      </c>
      <c r="T8" s="6" t="s">
        <v>298</v>
      </c>
      <c r="U8" s="6" t="s">
        <v>299</v>
      </c>
      <c r="V8" s="6" t="s">
        <v>300</v>
      </c>
      <c r="W8" s="6" t="s">
        <v>301</v>
      </c>
    </row>
    <row r="9" spans="1:24" s="31" customFormat="1" ht="15.75">
      <c r="A9" s="231">
        <v>0.85</v>
      </c>
      <c r="B9" s="34"/>
      <c r="C9" s="34"/>
      <c r="D9" s="34"/>
      <c r="E9" s="8" t="s">
        <v>81</v>
      </c>
      <c r="F9" s="213" t="s">
        <v>102</v>
      </c>
      <c r="G9" s="213"/>
      <c r="H9" s="213"/>
      <c r="I9" s="213"/>
      <c r="J9" s="213"/>
      <c r="K9" s="213"/>
      <c r="L9" s="213"/>
      <c r="M9" s="213"/>
      <c r="N9" s="104"/>
      <c r="O9" s="104"/>
      <c r="P9" s="6"/>
      <c r="Q9" s="6"/>
      <c r="R9" s="27"/>
      <c r="S9" s="54">
        <f>SUM(S12:S77)</f>
        <v>85.42500000000004</v>
      </c>
      <c r="T9" s="7"/>
      <c r="U9" s="7"/>
      <c r="V9" s="7"/>
      <c r="W9" s="54"/>
    </row>
    <row r="10" spans="1:24" s="31" customFormat="1" ht="15.75">
      <c r="A10" s="231"/>
      <c r="B10" s="227">
        <v>0.1</v>
      </c>
      <c r="C10" s="53">
        <f>+C11</f>
        <v>1</v>
      </c>
      <c r="D10" s="53"/>
      <c r="E10" s="105" t="s">
        <v>82</v>
      </c>
      <c r="F10" s="236" t="s">
        <v>103</v>
      </c>
      <c r="G10" s="236"/>
      <c r="H10" s="236"/>
      <c r="I10" s="236"/>
      <c r="J10" s="236"/>
      <c r="K10" s="236"/>
      <c r="L10" s="236"/>
      <c r="M10" s="236"/>
      <c r="N10" s="106"/>
      <c r="O10" s="106"/>
      <c r="P10" s="6"/>
      <c r="Q10" s="6"/>
      <c r="R10" s="27"/>
      <c r="S10" s="7"/>
      <c r="T10" s="6"/>
      <c r="U10" s="6"/>
      <c r="V10" s="7"/>
      <c r="W10" s="7"/>
    </row>
    <row r="11" spans="1:24" ht="15.75">
      <c r="A11" s="231"/>
      <c r="B11" s="227"/>
      <c r="C11" s="235">
        <v>1</v>
      </c>
      <c r="D11" s="107"/>
      <c r="E11" s="108" t="s">
        <v>105</v>
      </c>
      <c r="F11" s="234" t="s">
        <v>106</v>
      </c>
      <c r="G11" s="234"/>
      <c r="H11" s="234"/>
      <c r="I11" s="234"/>
      <c r="J11" s="234"/>
      <c r="K11" s="234"/>
      <c r="L11" s="234"/>
      <c r="M11" s="234"/>
      <c r="N11" s="109"/>
      <c r="O11" s="109"/>
      <c r="P11" s="6"/>
      <c r="Q11" s="6"/>
      <c r="R11" s="52"/>
      <c r="S11" s="16"/>
      <c r="T11" s="6"/>
      <c r="U11" s="6"/>
      <c r="V11" s="52"/>
      <c r="W11" s="16"/>
    </row>
    <row r="12" spans="1:24" s="76" customFormat="1" ht="31.5">
      <c r="A12" s="231"/>
      <c r="B12" s="227"/>
      <c r="C12" s="235"/>
      <c r="D12" s="107">
        <v>0.25</v>
      </c>
      <c r="E12" s="61" t="s">
        <v>0</v>
      </c>
      <c r="F12" s="62" t="s">
        <v>1</v>
      </c>
      <c r="G12" s="57" t="s">
        <v>204</v>
      </c>
      <c r="H12" s="62" t="s">
        <v>1</v>
      </c>
      <c r="I12" s="57" t="s">
        <v>290</v>
      </c>
      <c r="J12" s="59" t="s">
        <v>14</v>
      </c>
      <c r="K12" s="17" t="s">
        <v>8</v>
      </c>
      <c r="L12" s="145">
        <v>6.13</v>
      </c>
      <c r="M12" s="60" t="s">
        <v>59</v>
      </c>
      <c r="N12" s="58">
        <v>1</v>
      </c>
      <c r="O12" s="72">
        <f>N12*D12*$C$11*$B$10*$A$9</f>
        <v>2.1250000000000002E-2</v>
      </c>
      <c r="P12" s="13">
        <v>2.69</v>
      </c>
      <c r="Q12" s="13"/>
      <c r="R12" s="52">
        <v>120</v>
      </c>
      <c r="S12" s="16">
        <f t="shared" ref="S12:S17" si="0">+O12*R12</f>
        <v>2.5500000000000003</v>
      </c>
      <c r="T12" s="189">
        <v>2.69</v>
      </c>
      <c r="U12" s="193">
        <f>T12-L12</f>
        <v>-3.44</v>
      </c>
      <c r="V12" s="194">
        <f>IF(AND((100-U12*100)&gt;30,(100-U12*100)&lt;120),(100-U12*100),IF((100-U12*100)&gt;=120,120,0))</f>
        <v>120</v>
      </c>
      <c r="W12" s="16">
        <f t="shared" ref="W12" si="1">V12*O12</f>
        <v>2.5500000000000003</v>
      </c>
      <c r="X12" s="237">
        <f>W12-S12</f>
        <v>0</v>
      </c>
    </row>
    <row r="13" spans="1:24" s="91" customFormat="1" ht="31.5">
      <c r="A13" s="231"/>
      <c r="B13" s="227"/>
      <c r="C13" s="235"/>
      <c r="D13" s="144">
        <v>0</v>
      </c>
      <c r="E13" s="233" t="s">
        <v>2</v>
      </c>
      <c r="F13" s="229" t="s">
        <v>4</v>
      </c>
      <c r="G13" s="230" t="s">
        <v>205</v>
      </c>
      <c r="H13" s="229" t="s">
        <v>149</v>
      </c>
      <c r="I13" s="85" t="s">
        <v>289</v>
      </c>
      <c r="J13" s="86" t="s">
        <v>96</v>
      </c>
      <c r="K13" s="87" t="s">
        <v>104</v>
      </c>
      <c r="L13" s="88">
        <v>0</v>
      </c>
      <c r="M13" s="89" t="s">
        <v>59</v>
      </c>
      <c r="N13" s="90">
        <v>1</v>
      </c>
      <c r="O13" s="80">
        <f t="shared" ref="O13:O17" si="2">N13*D13*$C$11*$B$10*$A$9</f>
        <v>0</v>
      </c>
      <c r="P13" s="81">
        <v>0</v>
      </c>
      <c r="Q13" s="81"/>
      <c r="R13" s="82">
        <f>100-(P13-L13)*10</f>
        <v>100</v>
      </c>
      <c r="S13" s="83">
        <f t="shared" si="0"/>
        <v>0</v>
      </c>
      <c r="T13" s="13">
        <v>0</v>
      </c>
      <c r="U13" s="13"/>
      <c r="V13" s="52">
        <f>100-(T13-L13)*10</f>
        <v>100</v>
      </c>
      <c r="W13" s="16">
        <f t="shared" ref="W13" si="3">+V13*O13</f>
        <v>0</v>
      </c>
      <c r="X13" s="237">
        <f t="shared" ref="X13:X76" si="4">W13-S13</f>
        <v>0</v>
      </c>
    </row>
    <row r="14" spans="1:24" s="76" customFormat="1" ht="53.25" customHeight="1">
      <c r="A14" s="231"/>
      <c r="B14" s="227"/>
      <c r="C14" s="235"/>
      <c r="D14" s="107">
        <v>0.15</v>
      </c>
      <c r="E14" s="233"/>
      <c r="F14" s="229"/>
      <c r="G14" s="230"/>
      <c r="H14" s="229"/>
      <c r="I14" s="57" t="s">
        <v>288</v>
      </c>
      <c r="J14" s="55" t="s">
        <v>174</v>
      </c>
      <c r="K14" s="14" t="s">
        <v>104</v>
      </c>
      <c r="L14" s="17">
        <v>0</v>
      </c>
      <c r="M14" s="60" t="s">
        <v>10</v>
      </c>
      <c r="N14" s="58">
        <v>1</v>
      </c>
      <c r="O14" s="72">
        <f t="shared" si="2"/>
        <v>1.2749999999999999E-2</v>
      </c>
      <c r="P14" s="13">
        <v>0</v>
      </c>
      <c r="Q14" s="13"/>
      <c r="R14" s="52">
        <f>100-(P14-L14)*10</f>
        <v>100</v>
      </c>
      <c r="S14" s="16">
        <f t="shared" si="0"/>
        <v>1.2749999999999999</v>
      </c>
      <c r="T14" s="188">
        <v>0</v>
      </c>
      <c r="U14" s="188">
        <v>10</v>
      </c>
      <c r="V14" s="52">
        <f t="shared" ref="V14:V17" si="5">100-U14*T14</f>
        <v>100</v>
      </c>
      <c r="W14" s="16">
        <f t="shared" ref="W14:W17" si="6">V14*O14</f>
        <v>1.2749999999999999</v>
      </c>
      <c r="X14" s="237">
        <f t="shared" si="4"/>
        <v>0</v>
      </c>
    </row>
    <row r="15" spans="1:24" s="76" customFormat="1" ht="53.25" customHeight="1">
      <c r="A15" s="231"/>
      <c r="B15" s="227"/>
      <c r="C15" s="235"/>
      <c r="D15" s="107">
        <v>0.15</v>
      </c>
      <c r="E15" s="233"/>
      <c r="F15" s="229"/>
      <c r="G15" s="230"/>
      <c r="H15" s="229"/>
      <c r="I15" s="57" t="s">
        <v>287</v>
      </c>
      <c r="J15" s="55" t="s">
        <v>175</v>
      </c>
      <c r="K15" s="14" t="s">
        <v>104</v>
      </c>
      <c r="L15" s="17">
        <v>0</v>
      </c>
      <c r="M15" s="60" t="s">
        <v>10</v>
      </c>
      <c r="N15" s="58">
        <v>1</v>
      </c>
      <c r="O15" s="72">
        <f t="shared" si="2"/>
        <v>1.2749999999999999E-2</v>
      </c>
      <c r="P15" s="13">
        <v>0</v>
      </c>
      <c r="Q15" s="13"/>
      <c r="R15" s="52">
        <f>100-(P15-L15)*10</f>
        <v>100</v>
      </c>
      <c r="S15" s="16">
        <f t="shared" si="0"/>
        <v>1.2749999999999999</v>
      </c>
      <c r="T15" s="188">
        <v>0</v>
      </c>
      <c r="U15" s="188">
        <v>10</v>
      </c>
      <c r="V15" s="52">
        <f t="shared" si="5"/>
        <v>100</v>
      </c>
      <c r="W15" s="16">
        <f t="shared" si="6"/>
        <v>1.2749999999999999</v>
      </c>
      <c r="X15" s="237">
        <f t="shared" si="4"/>
        <v>0</v>
      </c>
    </row>
    <row r="16" spans="1:24" s="76" customFormat="1" ht="53.25" customHeight="1">
      <c r="A16" s="231"/>
      <c r="B16" s="227"/>
      <c r="C16" s="235"/>
      <c r="D16" s="107">
        <v>0.2</v>
      </c>
      <c r="E16" s="233"/>
      <c r="F16" s="229"/>
      <c r="G16" s="230"/>
      <c r="H16" s="229"/>
      <c r="I16" s="57" t="s">
        <v>286</v>
      </c>
      <c r="J16" s="55" t="s">
        <v>176</v>
      </c>
      <c r="K16" s="14" t="s">
        <v>104</v>
      </c>
      <c r="L16" s="17">
        <v>0</v>
      </c>
      <c r="M16" s="60" t="s">
        <v>59</v>
      </c>
      <c r="N16" s="58">
        <v>1</v>
      </c>
      <c r="O16" s="72">
        <f t="shared" si="2"/>
        <v>1.7000000000000001E-2</v>
      </c>
      <c r="P16" s="13">
        <v>0</v>
      </c>
      <c r="Q16" s="13"/>
      <c r="R16" s="52">
        <f>100-(P16-L16)*10</f>
        <v>100</v>
      </c>
      <c r="S16" s="16">
        <f t="shared" si="0"/>
        <v>1.7000000000000002</v>
      </c>
      <c r="T16" s="188">
        <v>0</v>
      </c>
      <c r="U16" s="188">
        <v>10</v>
      </c>
      <c r="V16" s="52">
        <f t="shared" si="5"/>
        <v>100</v>
      </c>
      <c r="W16" s="16">
        <f t="shared" si="6"/>
        <v>1.7000000000000002</v>
      </c>
      <c r="X16" s="237">
        <f t="shared" si="4"/>
        <v>0</v>
      </c>
    </row>
    <row r="17" spans="1:24" s="76" customFormat="1" ht="53.25" customHeight="1">
      <c r="A17" s="231"/>
      <c r="B17" s="227"/>
      <c r="C17" s="235"/>
      <c r="D17" s="107">
        <v>0.25</v>
      </c>
      <c r="E17" s="61" t="s">
        <v>3</v>
      </c>
      <c r="F17" s="62" t="s">
        <v>11</v>
      </c>
      <c r="G17" s="57" t="s">
        <v>206</v>
      </c>
      <c r="H17" s="62" t="s">
        <v>151</v>
      </c>
      <c r="I17" s="57" t="s">
        <v>285</v>
      </c>
      <c r="J17" s="59" t="s">
        <v>13</v>
      </c>
      <c r="K17" s="14" t="s">
        <v>104</v>
      </c>
      <c r="L17" s="17">
        <v>0</v>
      </c>
      <c r="M17" s="60" t="s">
        <v>59</v>
      </c>
      <c r="N17" s="58">
        <v>1</v>
      </c>
      <c r="O17" s="72">
        <f t="shared" si="2"/>
        <v>2.1250000000000002E-2</v>
      </c>
      <c r="P17" s="13">
        <v>0</v>
      </c>
      <c r="Q17" s="13"/>
      <c r="R17" s="52">
        <f>100-(P17-L17)*10</f>
        <v>100</v>
      </c>
      <c r="S17" s="16">
        <f t="shared" si="0"/>
        <v>2.125</v>
      </c>
      <c r="T17" s="188">
        <v>0</v>
      </c>
      <c r="U17" s="188">
        <v>10</v>
      </c>
      <c r="V17" s="52">
        <f t="shared" si="5"/>
        <v>100</v>
      </c>
      <c r="W17" s="16">
        <f t="shared" si="6"/>
        <v>2.125</v>
      </c>
      <c r="X17" s="237">
        <f t="shared" si="4"/>
        <v>0</v>
      </c>
    </row>
    <row r="18" spans="1:24" ht="15.75">
      <c r="A18" s="231"/>
      <c r="B18" s="101"/>
      <c r="C18" s="53">
        <f>SUM(C20:C63)</f>
        <v>1</v>
      </c>
      <c r="D18" s="53"/>
      <c r="E18" s="110" t="s">
        <v>84</v>
      </c>
      <c r="F18" s="228" t="s">
        <v>107</v>
      </c>
      <c r="G18" s="228"/>
      <c r="H18" s="228"/>
      <c r="I18" s="228"/>
      <c r="J18" s="228"/>
      <c r="K18" s="228"/>
      <c r="L18" s="228"/>
      <c r="M18" s="228"/>
      <c r="N18" s="36"/>
      <c r="O18" s="36"/>
      <c r="P18" s="1"/>
      <c r="Q18" s="1"/>
      <c r="R18" s="3"/>
      <c r="S18" s="37"/>
      <c r="T18" s="95"/>
      <c r="U18" s="95"/>
      <c r="V18" s="93"/>
      <c r="W18" s="94"/>
      <c r="X18" s="237">
        <f t="shared" si="4"/>
        <v>0</v>
      </c>
    </row>
    <row r="19" spans="1:24" ht="15.75">
      <c r="A19" s="231"/>
      <c r="B19" s="227">
        <v>0.77</v>
      </c>
      <c r="C19" s="35"/>
      <c r="D19" s="35"/>
      <c r="E19" s="111" t="s">
        <v>108</v>
      </c>
      <c r="F19" s="225" t="s">
        <v>109</v>
      </c>
      <c r="G19" s="225"/>
      <c r="H19" s="225"/>
      <c r="I19" s="225"/>
      <c r="J19" s="225"/>
      <c r="K19" s="225"/>
      <c r="L19" s="225"/>
      <c r="M19" s="225"/>
      <c r="N19" s="112"/>
      <c r="O19" s="112"/>
      <c r="P19" s="1"/>
      <c r="Q19" s="1"/>
      <c r="R19" s="3"/>
      <c r="S19" s="37"/>
      <c r="T19" s="95"/>
      <c r="U19" s="95"/>
      <c r="V19" s="93"/>
      <c r="W19" s="94"/>
      <c r="X19" s="237">
        <f t="shared" si="4"/>
        <v>0</v>
      </c>
    </row>
    <row r="20" spans="1:24" s="173" customFormat="1" ht="53.25" customHeight="1">
      <c r="A20" s="231"/>
      <c r="B20" s="227"/>
      <c r="C20" s="156">
        <v>0</v>
      </c>
      <c r="D20" s="156">
        <v>1</v>
      </c>
      <c r="E20" s="174" t="s">
        <v>15</v>
      </c>
      <c r="F20" s="162" t="s">
        <v>16</v>
      </c>
      <c r="G20" s="159" t="s">
        <v>207</v>
      </c>
      <c r="H20" s="168" t="s">
        <v>138</v>
      </c>
      <c r="I20" s="159" t="s">
        <v>284</v>
      </c>
      <c r="J20" s="168" t="s">
        <v>138</v>
      </c>
      <c r="K20" s="161" t="s">
        <v>58</v>
      </c>
      <c r="L20" s="161">
        <v>0</v>
      </c>
      <c r="M20" s="162" t="s">
        <v>83</v>
      </c>
      <c r="N20" s="163">
        <v>1</v>
      </c>
      <c r="O20" s="164">
        <f>N20*D20*C20*B19*A9</f>
        <v>0</v>
      </c>
      <c r="P20" s="165">
        <v>0</v>
      </c>
      <c r="Q20" s="165"/>
      <c r="R20" s="82">
        <f>100-(P20-L20)*10</f>
        <v>100</v>
      </c>
      <c r="S20" s="83">
        <f>+O20*R20</f>
        <v>0</v>
      </c>
      <c r="T20" s="171">
        <v>0</v>
      </c>
      <c r="U20" s="172"/>
      <c r="V20" s="93">
        <f>100-(T20-L20)*10</f>
        <v>100</v>
      </c>
      <c r="W20" s="94">
        <f>+V20*O20</f>
        <v>0</v>
      </c>
      <c r="X20" s="237">
        <f t="shared" si="4"/>
        <v>0</v>
      </c>
    </row>
    <row r="21" spans="1:24" s="28" customFormat="1" ht="15.75">
      <c r="A21" s="231"/>
      <c r="B21" s="227"/>
      <c r="C21" s="99"/>
      <c r="D21" s="99"/>
      <c r="E21" s="111" t="s">
        <v>113</v>
      </c>
      <c r="F21" s="225" t="s">
        <v>114</v>
      </c>
      <c r="G21" s="225"/>
      <c r="H21" s="225"/>
      <c r="I21" s="225"/>
      <c r="J21" s="225"/>
      <c r="K21" s="225"/>
      <c r="L21" s="225"/>
      <c r="M21" s="225"/>
      <c r="N21" s="112"/>
      <c r="O21" s="112"/>
      <c r="P21" s="1"/>
      <c r="Q21" s="1"/>
      <c r="R21" s="52"/>
      <c r="S21" s="16"/>
      <c r="T21" s="95"/>
      <c r="U21" s="95"/>
      <c r="V21" s="93"/>
      <c r="W21" s="94"/>
      <c r="X21" s="237">
        <f t="shared" si="4"/>
        <v>0</v>
      </c>
    </row>
    <row r="22" spans="1:24" s="173" customFormat="1" ht="53.25" customHeight="1">
      <c r="A22" s="231"/>
      <c r="B22" s="227"/>
      <c r="C22" s="156">
        <v>0</v>
      </c>
      <c r="D22" s="156">
        <v>1</v>
      </c>
      <c r="E22" s="167" t="s">
        <v>34</v>
      </c>
      <c r="F22" s="160" t="s">
        <v>139</v>
      </c>
      <c r="G22" s="159" t="s">
        <v>208</v>
      </c>
      <c r="H22" s="168" t="s">
        <v>169</v>
      </c>
      <c r="I22" s="159" t="s">
        <v>283</v>
      </c>
      <c r="J22" s="168" t="s">
        <v>169</v>
      </c>
      <c r="K22" s="161" t="s">
        <v>58</v>
      </c>
      <c r="L22" s="169">
        <v>0</v>
      </c>
      <c r="M22" s="162" t="s">
        <v>9</v>
      </c>
      <c r="N22" s="170">
        <v>1</v>
      </c>
      <c r="O22" s="164">
        <f>N22*D22*C22*B19*A9</f>
        <v>0</v>
      </c>
      <c r="P22" s="165">
        <v>0</v>
      </c>
      <c r="Q22" s="162"/>
      <c r="R22" s="82">
        <f>100-(P22-L22)*10</f>
        <v>100</v>
      </c>
      <c r="S22" s="83">
        <f t="shared" ref="S22:S63" si="7">+O22*R22</f>
        <v>0</v>
      </c>
      <c r="T22" s="171">
        <v>0</v>
      </c>
      <c r="U22" s="172"/>
      <c r="V22" s="93">
        <f>100-(T22-L22)*10</f>
        <v>100</v>
      </c>
      <c r="W22" s="94">
        <f>+V22*O22</f>
        <v>0</v>
      </c>
      <c r="X22" s="237">
        <f t="shared" si="4"/>
        <v>0</v>
      </c>
    </row>
    <row r="23" spans="1:24" s="31" customFormat="1" ht="15.75">
      <c r="A23" s="231"/>
      <c r="B23" s="227"/>
      <c r="C23" s="99"/>
      <c r="D23" s="99"/>
      <c r="E23" s="111" t="s">
        <v>116</v>
      </c>
      <c r="F23" s="225" t="s">
        <v>115</v>
      </c>
      <c r="G23" s="225"/>
      <c r="H23" s="225"/>
      <c r="I23" s="225"/>
      <c r="J23" s="225"/>
      <c r="K23" s="225"/>
      <c r="L23" s="225"/>
      <c r="M23" s="225"/>
      <c r="N23" s="113"/>
      <c r="O23" s="113"/>
      <c r="P23" s="1"/>
      <c r="Q23" s="1"/>
      <c r="R23" s="52"/>
      <c r="S23" s="16"/>
      <c r="T23" s="95"/>
      <c r="U23" s="95"/>
      <c r="V23" s="93"/>
      <c r="W23" s="94"/>
      <c r="X23" s="237">
        <f t="shared" si="4"/>
        <v>0</v>
      </c>
    </row>
    <row r="24" spans="1:24" s="166" customFormat="1" ht="81.75" customHeight="1">
      <c r="A24" s="231"/>
      <c r="B24" s="227"/>
      <c r="C24" s="156">
        <v>0</v>
      </c>
      <c r="D24" s="156">
        <v>1</v>
      </c>
      <c r="E24" s="157" t="s">
        <v>35</v>
      </c>
      <c r="F24" s="158" t="s">
        <v>36</v>
      </c>
      <c r="G24" s="159" t="s">
        <v>211</v>
      </c>
      <c r="H24" s="160" t="s">
        <v>60</v>
      </c>
      <c r="I24" s="159" t="s">
        <v>280</v>
      </c>
      <c r="J24" s="160" t="s">
        <v>60</v>
      </c>
      <c r="K24" s="161" t="s">
        <v>303</v>
      </c>
      <c r="L24" s="161">
        <v>0</v>
      </c>
      <c r="M24" s="162" t="s">
        <v>59</v>
      </c>
      <c r="N24" s="163">
        <v>1</v>
      </c>
      <c r="O24" s="164">
        <f>N24*D24*C24*B19*A9</f>
        <v>0</v>
      </c>
      <c r="P24" s="165">
        <v>0</v>
      </c>
      <c r="Q24" s="165"/>
      <c r="R24" s="82">
        <f>100-(P24-L24)*10</f>
        <v>100</v>
      </c>
      <c r="S24" s="83">
        <f t="shared" si="7"/>
        <v>0</v>
      </c>
      <c r="T24" s="165">
        <v>0</v>
      </c>
      <c r="U24" s="162"/>
      <c r="V24" s="82">
        <f>100-(T24-L24)*10</f>
        <v>100</v>
      </c>
      <c r="W24" s="83">
        <f>+V24*O24</f>
        <v>0</v>
      </c>
      <c r="X24" s="237">
        <f t="shared" si="4"/>
        <v>0</v>
      </c>
    </row>
    <row r="25" spans="1:24" s="31" customFormat="1" ht="15.75">
      <c r="A25" s="231"/>
      <c r="B25" s="227"/>
      <c r="C25" s="99"/>
      <c r="D25" s="99"/>
      <c r="E25" s="111" t="s">
        <v>117</v>
      </c>
      <c r="F25" s="225" t="s">
        <v>118</v>
      </c>
      <c r="G25" s="225"/>
      <c r="H25" s="225"/>
      <c r="I25" s="225"/>
      <c r="J25" s="225"/>
      <c r="K25" s="225"/>
      <c r="L25" s="225"/>
      <c r="M25" s="225"/>
      <c r="N25" s="113"/>
      <c r="O25" s="113"/>
      <c r="P25" s="1"/>
      <c r="Q25" s="1"/>
      <c r="R25" s="52"/>
      <c r="S25" s="16"/>
      <c r="T25" s="95"/>
      <c r="U25" s="95"/>
      <c r="V25" s="93"/>
      <c r="W25" s="94"/>
      <c r="X25" s="237">
        <f t="shared" si="4"/>
        <v>0</v>
      </c>
    </row>
    <row r="26" spans="1:24" s="31" customFormat="1" ht="76.5" customHeight="1">
      <c r="A26" s="231"/>
      <c r="B26" s="227"/>
      <c r="C26" s="200">
        <v>0.6</v>
      </c>
      <c r="D26" s="138">
        <v>0.05</v>
      </c>
      <c r="E26" s="211" t="s">
        <v>37</v>
      </c>
      <c r="F26" s="211" t="s">
        <v>38</v>
      </c>
      <c r="G26" s="131" t="s">
        <v>212</v>
      </c>
      <c r="H26" s="130" t="s">
        <v>144</v>
      </c>
      <c r="I26" s="131" t="s">
        <v>279</v>
      </c>
      <c r="J26" s="130" t="s">
        <v>178</v>
      </c>
      <c r="K26" s="18" t="s">
        <v>304</v>
      </c>
      <c r="L26" s="18">
        <v>1</v>
      </c>
      <c r="M26" s="132" t="s">
        <v>59</v>
      </c>
      <c r="N26" s="154">
        <v>1</v>
      </c>
      <c r="O26" s="72">
        <f>N26*D26*C26*B19*A9</f>
        <v>1.9635E-2</v>
      </c>
      <c r="P26" s="13">
        <v>1</v>
      </c>
      <c r="Q26" s="13"/>
      <c r="R26" s="52">
        <f>100+(P26-L26)*10</f>
        <v>100</v>
      </c>
      <c r="S26" s="16">
        <f t="shared" si="7"/>
        <v>1.9635</v>
      </c>
      <c r="T26" s="195">
        <v>1</v>
      </c>
      <c r="U26" s="189"/>
      <c r="V26" s="52">
        <f t="shared" ref="V26:V73" si="8">100-(T26-L26)*10</f>
        <v>100</v>
      </c>
      <c r="W26" s="16">
        <f t="shared" ref="W26:W45" si="9">+V26*O26</f>
        <v>1.9635</v>
      </c>
      <c r="X26" s="237">
        <f t="shared" si="4"/>
        <v>0</v>
      </c>
    </row>
    <row r="27" spans="1:24" s="31" customFormat="1" ht="53.25" customHeight="1">
      <c r="A27" s="231"/>
      <c r="B27" s="227"/>
      <c r="C27" s="200"/>
      <c r="D27" s="197">
        <v>0.3</v>
      </c>
      <c r="E27" s="211"/>
      <c r="F27" s="211"/>
      <c r="G27" s="212" t="s">
        <v>213</v>
      </c>
      <c r="H27" s="211" t="s">
        <v>140</v>
      </c>
      <c r="I27" s="131" t="s">
        <v>278</v>
      </c>
      <c r="J27" s="130" t="s">
        <v>315</v>
      </c>
      <c r="K27" s="18" t="s">
        <v>8</v>
      </c>
      <c r="L27" s="18">
        <v>1</v>
      </c>
      <c r="M27" s="132" t="s">
        <v>59</v>
      </c>
      <c r="N27" s="154">
        <v>0.5</v>
      </c>
      <c r="O27" s="72">
        <f>N27*$D$27*$C$26*$B$19*$A$9</f>
        <v>5.8904999999999999E-2</v>
      </c>
      <c r="P27" s="13">
        <v>1</v>
      </c>
      <c r="Q27" s="13"/>
      <c r="R27" s="52">
        <f t="shared" ref="R27" si="10">100+(P27-L27)*10</f>
        <v>100</v>
      </c>
      <c r="S27" s="16">
        <f t="shared" si="7"/>
        <v>5.8905000000000003</v>
      </c>
      <c r="T27" s="13">
        <v>1</v>
      </c>
      <c r="U27" s="189">
        <f>T27/L27*100</f>
        <v>100</v>
      </c>
      <c r="V27" s="194">
        <f>IF(AND(U27&gt;30,U27&lt;100),U27,IF(U27&gt;=100,100,0))</f>
        <v>100</v>
      </c>
      <c r="W27" s="16">
        <f t="shared" si="9"/>
        <v>5.8905000000000003</v>
      </c>
      <c r="X27" s="237">
        <f t="shared" si="4"/>
        <v>0</v>
      </c>
    </row>
    <row r="28" spans="1:24" s="31" customFormat="1" ht="63" customHeight="1">
      <c r="A28" s="231"/>
      <c r="B28" s="227"/>
      <c r="C28" s="200"/>
      <c r="D28" s="198"/>
      <c r="E28" s="211"/>
      <c r="F28" s="211"/>
      <c r="G28" s="212"/>
      <c r="H28" s="211"/>
      <c r="I28" s="131" t="s">
        <v>277</v>
      </c>
      <c r="J28" s="130" t="s">
        <v>316</v>
      </c>
      <c r="K28" s="18" t="s">
        <v>305</v>
      </c>
      <c r="L28" s="18">
        <v>1</v>
      </c>
      <c r="M28" s="132" t="s">
        <v>59</v>
      </c>
      <c r="N28" s="154">
        <v>0.5</v>
      </c>
      <c r="O28" s="72">
        <f>N28*$D$27*$C$26*$B$19*$A$9</f>
        <v>5.8904999999999999E-2</v>
      </c>
      <c r="P28" s="13">
        <v>1</v>
      </c>
      <c r="Q28" s="13"/>
      <c r="R28" s="52">
        <f>100+(P28-L28)*10</f>
        <v>100</v>
      </c>
      <c r="S28" s="16">
        <f t="shared" si="7"/>
        <v>5.8905000000000003</v>
      </c>
      <c r="T28" s="13">
        <v>1</v>
      </c>
      <c r="U28" s="189">
        <f>T28/L28*100</f>
        <v>100</v>
      </c>
      <c r="V28" s="194">
        <f>IF(AND(U28&gt;30,U28&lt;100),U28,IF(U28&gt;=100,100,0))</f>
        <v>100</v>
      </c>
      <c r="W28" s="16">
        <f t="shared" si="9"/>
        <v>5.8905000000000003</v>
      </c>
      <c r="X28" s="237">
        <f t="shared" si="4"/>
        <v>0</v>
      </c>
    </row>
    <row r="29" spans="1:24" s="84" customFormat="1" ht="53.25" customHeight="1">
      <c r="A29" s="231"/>
      <c r="B29" s="227"/>
      <c r="C29" s="200"/>
      <c r="D29" s="197">
        <v>0.05</v>
      </c>
      <c r="E29" s="211"/>
      <c r="F29" s="211"/>
      <c r="G29" s="212" t="s">
        <v>214</v>
      </c>
      <c r="H29" s="211" t="s">
        <v>141</v>
      </c>
      <c r="I29" s="129" t="s">
        <v>276</v>
      </c>
      <c r="J29" s="92" t="s">
        <v>179</v>
      </c>
      <c r="K29" s="78" t="s">
        <v>58</v>
      </c>
      <c r="L29" s="78">
        <v>0</v>
      </c>
      <c r="M29" s="79" t="s">
        <v>59</v>
      </c>
      <c r="N29" s="155">
        <v>0</v>
      </c>
      <c r="O29" s="80">
        <f>N29*$D$29*$C$26*$B$19*$A$9</f>
        <v>0</v>
      </c>
      <c r="P29" s="81">
        <v>0</v>
      </c>
      <c r="Q29" s="81"/>
      <c r="R29" s="82">
        <f>100-(P29-L29)*10</f>
        <v>100</v>
      </c>
      <c r="S29" s="83">
        <f t="shared" si="7"/>
        <v>0</v>
      </c>
      <c r="T29" s="81">
        <v>0</v>
      </c>
      <c r="U29" s="79"/>
      <c r="V29" s="82">
        <f t="shared" si="8"/>
        <v>100</v>
      </c>
      <c r="W29" s="83">
        <f t="shared" si="9"/>
        <v>0</v>
      </c>
      <c r="X29" s="237">
        <f t="shared" si="4"/>
        <v>0</v>
      </c>
    </row>
    <row r="30" spans="1:24" s="31" customFormat="1" ht="53.25" customHeight="1">
      <c r="A30" s="231"/>
      <c r="B30" s="227"/>
      <c r="C30" s="200"/>
      <c r="D30" s="198"/>
      <c r="E30" s="211"/>
      <c r="F30" s="211"/>
      <c r="G30" s="212"/>
      <c r="H30" s="211"/>
      <c r="I30" s="131" t="s">
        <v>275</v>
      </c>
      <c r="J30" s="10" t="s">
        <v>180</v>
      </c>
      <c r="K30" s="18" t="s">
        <v>58</v>
      </c>
      <c r="L30" s="18">
        <v>0</v>
      </c>
      <c r="M30" s="132" t="s">
        <v>59</v>
      </c>
      <c r="N30" s="154">
        <v>1</v>
      </c>
      <c r="O30" s="72">
        <f>N30*$D$29*$C$26*$B$19*$A$9</f>
        <v>1.9635E-2</v>
      </c>
      <c r="P30" s="13">
        <v>0</v>
      </c>
      <c r="Q30" s="13"/>
      <c r="R30" s="52">
        <f t="shared" ref="R30:R45" si="11">100-(P30-L30)*10</f>
        <v>100</v>
      </c>
      <c r="S30" s="16">
        <f t="shared" si="7"/>
        <v>1.9635</v>
      </c>
      <c r="T30" s="13">
        <v>0</v>
      </c>
      <c r="U30" s="189"/>
      <c r="V30" s="52">
        <f t="shared" si="8"/>
        <v>100</v>
      </c>
      <c r="W30" s="16">
        <f t="shared" si="9"/>
        <v>1.9635</v>
      </c>
      <c r="X30" s="237">
        <f t="shared" si="4"/>
        <v>0</v>
      </c>
    </row>
    <row r="31" spans="1:24" s="84" customFormat="1" ht="53.25" customHeight="1">
      <c r="A31" s="231"/>
      <c r="B31" s="227"/>
      <c r="C31" s="200"/>
      <c r="D31" s="197">
        <v>0.1</v>
      </c>
      <c r="E31" s="211"/>
      <c r="F31" s="211"/>
      <c r="G31" s="212" t="s">
        <v>215</v>
      </c>
      <c r="H31" s="211" t="s">
        <v>142</v>
      </c>
      <c r="I31" s="129" t="s">
        <v>274</v>
      </c>
      <c r="J31" s="92" t="s">
        <v>181</v>
      </c>
      <c r="K31" s="78" t="s">
        <v>58</v>
      </c>
      <c r="L31" s="78">
        <v>0</v>
      </c>
      <c r="M31" s="79" t="s">
        <v>59</v>
      </c>
      <c r="N31" s="155">
        <v>0</v>
      </c>
      <c r="O31" s="80">
        <f>N31*$D$31*$C$26*$B$19*$A$9</f>
        <v>0</v>
      </c>
      <c r="P31" s="81">
        <v>0</v>
      </c>
      <c r="Q31" s="81"/>
      <c r="R31" s="82">
        <f t="shared" si="11"/>
        <v>100</v>
      </c>
      <c r="S31" s="83">
        <f t="shared" si="7"/>
        <v>0</v>
      </c>
      <c r="T31" s="81">
        <v>0</v>
      </c>
      <c r="U31" s="79"/>
      <c r="V31" s="82">
        <f t="shared" si="8"/>
        <v>100</v>
      </c>
      <c r="W31" s="83">
        <f t="shared" si="9"/>
        <v>0</v>
      </c>
      <c r="X31" s="237">
        <f t="shared" si="4"/>
        <v>0</v>
      </c>
    </row>
    <row r="32" spans="1:24" s="31" customFormat="1" ht="86.25" customHeight="1">
      <c r="A32" s="231"/>
      <c r="B32" s="227"/>
      <c r="C32" s="200"/>
      <c r="D32" s="198"/>
      <c r="E32" s="211"/>
      <c r="F32" s="211"/>
      <c r="G32" s="212"/>
      <c r="H32" s="211"/>
      <c r="I32" s="131" t="s">
        <v>273</v>
      </c>
      <c r="J32" s="10" t="s">
        <v>182</v>
      </c>
      <c r="K32" s="18" t="s">
        <v>306</v>
      </c>
      <c r="L32" s="18">
        <v>1</v>
      </c>
      <c r="M32" s="132" t="s">
        <v>59</v>
      </c>
      <c r="N32" s="154">
        <v>1</v>
      </c>
      <c r="O32" s="72">
        <f>N32*$D$31*$C$26*$B$19*$A$9</f>
        <v>3.9269999999999999E-2</v>
      </c>
      <c r="P32" s="13">
        <v>1</v>
      </c>
      <c r="Q32" s="13"/>
      <c r="R32" s="52">
        <f t="shared" ref="R32" si="12">100+(P32-L32)*10</f>
        <v>100</v>
      </c>
      <c r="S32" s="16">
        <f t="shared" si="7"/>
        <v>3.927</v>
      </c>
      <c r="T32" s="13">
        <v>1</v>
      </c>
      <c r="U32" s="189"/>
      <c r="V32" s="52">
        <f t="shared" si="8"/>
        <v>100</v>
      </c>
      <c r="W32" s="16">
        <f t="shared" si="9"/>
        <v>3.927</v>
      </c>
      <c r="X32" s="237">
        <f t="shared" si="4"/>
        <v>0</v>
      </c>
    </row>
    <row r="33" spans="1:24" s="31" customFormat="1" ht="53.25" customHeight="1">
      <c r="A33" s="231"/>
      <c r="B33" s="227"/>
      <c r="C33" s="200"/>
      <c r="D33" s="197">
        <v>0.1</v>
      </c>
      <c r="E33" s="211"/>
      <c r="F33" s="211"/>
      <c r="G33" s="212" t="s">
        <v>216</v>
      </c>
      <c r="H33" s="211" t="s">
        <v>143</v>
      </c>
      <c r="I33" s="131" t="s">
        <v>272</v>
      </c>
      <c r="J33" s="10" t="s">
        <v>201</v>
      </c>
      <c r="K33" s="18" t="s">
        <v>58</v>
      </c>
      <c r="L33" s="18">
        <v>0</v>
      </c>
      <c r="M33" s="132" t="s">
        <v>59</v>
      </c>
      <c r="N33" s="154">
        <v>0.3</v>
      </c>
      <c r="O33" s="72">
        <f>N33*$D$33*$C$26*$B$19*$A$9</f>
        <v>1.1780999999999998E-2</v>
      </c>
      <c r="P33" s="13">
        <v>0</v>
      </c>
      <c r="Q33" s="13"/>
      <c r="R33" s="52">
        <f t="shared" si="11"/>
        <v>100</v>
      </c>
      <c r="S33" s="16">
        <f t="shared" si="7"/>
        <v>1.1780999999999997</v>
      </c>
      <c r="T33" s="13">
        <v>0</v>
      </c>
      <c r="U33" s="189"/>
      <c r="V33" s="52">
        <f t="shared" si="8"/>
        <v>100</v>
      </c>
      <c r="W33" s="16">
        <f t="shared" si="9"/>
        <v>1.1780999999999997</v>
      </c>
      <c r="X33" s="237">
        <f t="shared" si="4"/>
        <v>0</v>
      </c>
    </row>
    <row r="34" spans="1:24" s="31" customFormat="1" ht="53.25" customHeight="1">
      <c r="A34" s="231"/>
      <c r="B34" s="227"/>
      <c r="C34" s="200"/>
      <c r="D34" s="199"/>
      <c r="E34" s="211"/>
      <c r="F34" s="211"/>
      <c r="G34" s="212"/>
      <c r="H34" s="211"/>
      <c r="I34" s="131" t="s">
        <v>271</v>
      </c>
      <c r="J34" s="10" t="s">
        <v>202</v>
      </c>
      <c r="K34" s="18" t="s">
        <v>58</v>
      </c>
      <c r="L34" s="18">
        <v>0</v>
      </c>
      <c r="M34" s="132" t="s">
        <v>59</v>
      </c>
      <c r="N34" s="154">
        <v>0.3</v>
      </c>
      <c r="O34" s="72">
        <f t="shared" ref="O34:O35" si="13">N34*$D$33*$C$26*$B$19*$A$9</f>
        <v>1.1780999999999998E-2</v>
      </c>
      <c r="P34" s="13">
        <v>0</v>
      </c>
      <c r="Q34" s="13"/>
      <c r="R34" s="52">
        <f t="shared" si="11"/>
        <v>100</v>
      </c>
      <c r="S34" s="16">
        <f t="shared" si="7"/>
        <v>1.1780999999999997</v>
      </c>
      <c r="T34" s="13">
        <v>0</v>
      </c>
      <c r="U34" s="189"/>
      <c r="V34" s="52">
        <f t="shared" si="8"/>
        <v>100</v>
      </c>
      <c r="W34" s="16">
        <f t="shared" si="9"/>
        <v>1.1780999999999997</v>
      </c>
      <c r="X34" s="237">
        <f t="shared" si="4"/>
        <v>0</v>
      </c>
    </row>
    <row r="35" spans="1:24" s="31" customFormat="1" ht="53.25" customHeight="1">
      <c r="A35" s="231"/>
      <c r="B35" s="227"/>
      <c r="C35" s="200"/>
      <c r="D35" s="198"/>
      <c r="E35" s="211"/>
      <c r="F35" s="211"/>
      <c r="G35" s="212"/>
      <c r="H35" s="211"/>
      <c r="I35" s="131" t="s">
        <v>270</v>
      </c>
      <c r="J35" s="10" t="s">
        <v>183</v>
      </c>
      <c r="K35" s="18" t="s">
        <v>307</v>
      </c>
      <c r="L35" s="18">
        <v>1</v>
      </c>
      <c r="M35" s="132" t="s">
        <v>59</v>
      </c>
      <c r="N35" s="154">
        <v>0.4</v>
      </c>
      <c r="O35" s="72">
        <f t="shared" si="13"/>
        <v>1.5708000000000003E-2</v>
      </c>
      <c r="P35" s="13">
        <v>1</v>
      </c>
      <c r="Q35" s="13"/>
      <c r="R35" s="52">
        <f>100+(P35-L35)*10</f>
        <v>100</v>
      </c>
      <c r="S35" s="16">
        <f t="shared" si="7"/>
        <v>1.5708000000000004</v>
      </c>
      <c r="T35" s="13">
        <v>1</v>
      </c>
      <c r="U35" s="189">
        <f>T35/L35*100</f>
        <v>100</v>
      </c>
      <c r="V35" s="194">
        <f>IF(AND(U35&gt;30,U35&lt;100),U35,IF(U35&gt;=100,100,0))</f>
        <v>100</v>
      </c>
      <c r="W35" s="16">
        <f t="shared" si="9"/>
        <v>1.5708000000000004</v>
      </c>
      <c r="X35" s="237">
        <f t="shared" si="4"/>
        <v>0</v>
      </c>
    </row>
    <row r="36" spans="1:24" s="84" customFormat="1" ht="53.25" customHeight="1">
      <c r="A36" s="231"/>
      <c r="B36" s="227"/>
      <c r="C36" s="200"/>
      <c r="D36" s="197">
        <v>0.1</v>
      </c>
      <c r="E36" s="211"/>
      <c r="F36" s="211"/>
      <c r="G36" s="212" t="s">
        <v>217</v>
      </c>
      <c r="H36" s="218" t="s">
        <v>61</v>
      </c>
      <c r="I36" s="187" t="s">
        <v>269</v>
      </c>
      <c r="J36" s="103" t="s">
        <v>317</v>
      </c>
      <c r="K36" s="78" t="s">
        <v>304</v>
      </c>
      <c r="L36" s="78">
        <v>0</v>
      </c>
      <c r="M36" s="79" t="s">
        <v>59</v>
      </c>
      <c r="N36" s="155">
        <v>0</v>
      </c>
      <c r="O36" s="80">
        <f>N36*$D$36*$C$26*$B$19*$A$9</f>
        <v>0</v>
      </c>
      <c r="P36" s="81">
        <v>0</v>
      </c>
      <c r="Q36" s="81"/>
      <c r="R36" s="191">
        <f>100+(P36-L36)*10</f>
        <v>100</v>
      </c>
      <c r="S36" s="192">
        <f t="shared" si="7"/>
        <v>0</v>
      </c>
      <c r="T36" s="13">
        <v>0</v>
      </c>
      <c r="U36" s="189"/>
      <c r="V36" s="52">
        <f t="shared" si="8"/>
        <v>100</v>
      </c>
      <c r="W36" s="16">
        <f t="shared" si="9"/>
        <v>0</v>
      </c>
      <c r="X36" s="237">
        <f t="shared" si="4"/>
        <v>0</v>
      </c>
    </row>
    <row r="37" spans="1:24" s="31" customFormat="1" ht="53.25" customHeight="1">
      <c r="A37" s="231"/>
      <c r="B37" s="227"/>
      <c r="C37" s="200"/>
      <c r="D37" s="199"/>
      <c r="E37" s="211"/>
      <c r="F37" s="211"/>
      <c r="G37" s="212"/>
      <c r="H37" s="218"/>
      <c r="I37" s="131" t="s">
        <v>268</v>
      </c>
      <c r="J37" s="10" t="s">
        <v>184</v>
      </c>
      <c r="K37" s="18" t="s">
        <v>304</v>
      </c>
      <c r="L37" s="18">
        <v>1</v>
      </c>
      <c r="M37" s="132" t="s">
        <v>59</v>
      </c>
      <c r="N37" s="154">
        <v>1</v>
      </c>
      <c r="O37" s="72">
        <f>N37*$D$36*$C$26*$B$19*$A$9</f>
        <v>3.9269999999999999E-2</v>
      </c>
      <c r="P37" s="13">
        <v>1</v>
      </c>
      <c r="Q37" s="13"/>
      <c r="R37" s="52">
        <f>100+(P37-L37)*10</f>
        <v>100</v>
      </c>
      <c r="S37" s="16">
        <f t="shared" si="7"/>
        <v>3.927</v>
      </c>
      <c r="T37" s="13">
        <v>1</v>
      </c>
      <c r="U37" s="189">
        <f>T37/L37*100</f>
        <v>100</v>
      </c>
      <c r="V37" s="194">
        <f>IF(AND(U37&gt;30,U37&lt;100),U37,IF(U37&gt;=100,100,0))</f>
        <v>100</v>
      </c>
      <c r="W37" s="16">
        <f t="shared" si="9"/>
        <v>3.927</v>
      </c>
      <c r="X37" s="237">
        <f t="shared" si="4"/>
        <v>0</v>
      </c>
    </row>
    <row r="38" spans="1:24" s="31" customFormat="1" ht="53.25" customHeight="1">
      <c r="A38" s="231"/>
      <c r="B38" s="227"/>
      <c r="C38" s="200"/>
      <c r="D38" s="138">
        <v>0.1</v>
      </c>
      <c r="E38" s="211"/>
      <c r="F38" s="211"/>
      <c r="G38" s="131" t="s">
        <v>218</v>
      </c>
      <c r="H38" s="10" t="s">
        <v>62</v>
      </c>
      <c r="I38" s="131" t="s">
        <v>267</v>
      </c>
      <c r="J38" s="10" t="s">
        <v>185</v>
      </c>
      <c r="K38" s="18" t="s">
        <v>58</v>
      </c>
      <c r="L38" s="18">
        <v>0</v>
      </c>
      <c r="M38" s="132" t="s">
        <v>59</v>
      </c>
      <c r="N38" s="154">
        <v>1</v>
      </c>
      <c r="O38" s="72">
        <f>N38*D38*C26*B19*A9</f>
        <v>3.9269999999999999E-2</v>
      </c>
      <c r="P38" s="13">
        <v>0</v>
      </c>
      <c r="Q38" s="13"/>
      <c r="R38" s="52">
        <f t="shared" si="11"/>
        <v>100</v>
      </c>
      <c r="S38" s="16">
        <f t="shared" si="7"/>
        <v>3.927</v>
      </c>
      <c r="T38" s="13">
        <v>0</v>
      </c>
      <c r="U38" s="189"/>
      <c r="V38" s="52">
        <f t="shared" si="8"/>
        <v>100</v>
      </c>
      <c r="W38" s="16">
        <f t="shared" si="9"/>
        <v>3.927</v>
      </c>
      <c r="X38" s="237">
        <f t="shared" si="4"/>
        <v>0</v>
      </c>
    </row>
    <row r="39" spans="1:24" s="84" customFormat="1" ht="72" customHeight="1">
      <c r="A39" s="231"/>
      <c r="B39" s="227"/>
      <c r="C39" s="200"/>
      <c r="D39" s="202">
        <v>0</v>
      </c>
      <c r="E39" s="211"/>
      <c r="F39" s="211"/>
      <c r="G39" s="222" t="s">
        <v>219</v>
      </c>
      <c r="H39" s="226" t="s">
        <v>145</v>
      </c>
      <c r="I39" s="129" t="s">
        <v>266</v>
      </c>
      <c r="J39" s="103" t="s">
        <v>63</v>
      </c>
      <c r="K39" s="78" t="s">
        <v>309</v>
      </c>
      <c r="L39" s="78">
        <v>0</v>
      </c>
      <c r="M39" s="79" t="s">
        <v>59</v>
      </c>
      <c r="N39" s="155">
        <v>0.4</v>
      </c>
      <c r="O39" s="80">
        <f>N39*$D$39*$C$26*$B$19*$A$9</f>
        <v>0</v>
      </c>
      <c r="P39" s="81">
        <v>0</v>
      </c>
      <c r="Q39" s="81"/>
      <c r="R39" s="82">
        <f>100+(P39-L39)*10</f>
        <v>100</v>
      </c>
      <c r="S39" s="83">
        <f t="shared" si="7"/>
        <v>0</v>
      </c>
      <c r="T39" s="81">
        <v>0</v>
      </c>
      <c r="U39" s="79"/>
      <c r="V39" s="82">
        <f t="shared" si="8"/>
        <v>100</v>
      </c>
      <c r="W39" s="83">
        <f t="shared" si="9"/>
        <v>0</v>
      </c>
      <c r="X39" s="237">
        <f t="shared" si="4"/>
        <v>0</v>
      </c>
    </row>
    <row r="40" spans="1:24" s="84" customFormat="1" ht="53.25" customHeight="1">
      <c r="A40" s="231"/>
      <c r="B40" s="227"/>
      <c r="C40" s="200"/>
      <c r="D40" s="203"/>
      <c r="E40" s="211"/>
      <c r="F40" s="211"/>
      <c r="G40" s="222"/>
      <c r="H40" s="226"/>
      <c r="I40" s="129" t="s">
        <v>265</v>
      </c>
      <c r="J40" s="103" t="s">
        <v>64</v>
      </c>
      <c r="K40" s="78" t="s">
        <v>310</v>
      </c>
      <c r="L40" s="78">
        <v>0</v>
      </c>
      <c r="M40" s="79" t="s">
        <v>59</v>
      </c>
      <c r="N40" s="155">
        <v>0.3</v>
      </c>
      <c r="O40" s="80">
        <f t="shared" ref="O40:O41" si="14">N40*$D$39*$C$26*$B$19*$A$9</f>
        <v>0</v>
      </c>
      <c r="P40" s="81">
        <v>0</v>
      </c>
      <c r="Q40" s="81"/>
      <c r="R40" s="82">
        <f t="shared" ref="R40:R41" si="15">100+(P40-L40)*10</f>
        <v>100</v>
      </c>
      <c r="S40" s="83">
        <f t="shared" si="7"/>
        <v>0</v>
      </c>
      <c r="T40" s="81">
        <v>0</v>
      </c>
      <c r="U40" s="79"/>
      <c r="V40" s="82">
        <f t="shared" si="8"/>
        <v>100</v>
      </c>
      <c r="W40" s="83">
        <f t="shared" si="9"/>
        <v>0</v>
      </c>
      <c r="X40" s="237">
        <f t="shared" si="4"/>
        <v>0</v>
      </c>
    </row>
    <row r="41" spans="1:24" s="84" customFormat="1" ht="53.25" customHeight="1">
      <c r="A41" s="231"/>
      <c r="B41" s="227"/>
      <c r="C41" s="200"/>
      <c r="D41" s="204"/>
      <c r="E41" s="211"/>
      <c r="F41" s="211"/>
      <c r="G41" s="222"/>
      <c r="H41" s="226"/>
      <c r="I41" s="129" t="s">
        <v>264</v>
      </c>
      <c r="J41" s="103" t="s">
        <v>170</v>
      </c>
      <c r="K41" s="78" t="s">
        <v>311</v>
      </c>
      <c r="L41" s="78">
        <v>0</v>
      </c>
      <c r="M41" s="79" t="s">
        <v>59</v>
      </c>
      <c r="N41" s="155">
        <v>0.3</v>
      </c>
      <c r="O41" s="80">
        <f t="shared" si="14"/>
        <v>0</v>
      </c>
      <c r="P41" s="81">
        <v>0</v>
      </c>
      <c r="Q41" s="81"/>
      <c r="R41" s="82">
        <f t="shared" si="15"/>
        <v>100</v>
      </c>
      <c r="S41" s="83">
        <f t="shared" si="7"/>
        <v>0</v>
      </c>
      <c r="T41" s="81">
        <v>0</v>
      </c>
      <c r="U41" s="79"/>
      <c r="V41" s="82">
        <f t="shared" si="8"/>
        <v>100</v>
      </c>
      <c r="W41" s="83">
        <f t="shared" si="9"/>
        <v>0</v>
      </c>
      <c r="X41" s="237">
        <f t="shared" si="4"/>
        <v>0</v>
      </c>
    </row>
    <row r="42" spans="1:24" s="31" customFormat="1" ht="69" customHeight="1">
      <c r="A42" s="231"/>
      <c r="B42" s="227"/>
      <c r="C42" s="200"/>
      <c r="D42" s="138">
        <v>0.05</v>
      </c>
      <c r="E42" s="100" t="s">
        <v>39</v>
      </c>
      <c r="F42" s="100" t="s">
        <v>40</v>
      </c>
      <c r="G42" s="63" t="s">
        <v>220</v>
      </c>
      <c r="H42" s="102" t="s">
        <v>40</v>
      </c>
      <c r="I42" s="131" t="s">
        <v>263</v>
      </c>
      <c r="J42" s="10" t="s">
        <v>40</v>
      </c>
      <c r="K42" s="18" t="s">
        <v>58</v>
      </c>
      <c r="L42" s="18">
        <v>0</v>
      </c>
      <c r="M42" s="132" t="s">
        <v>59</v>
      </c>
      <c r="N42" s="154">
        <v>1</v>
      </c>
      <c r="O42" s="72">
        <f>N42*D42*C26*B19*A9</f>
        <v>1.9635E-2</v>
      </c>
      <c r="P42" s="13">
        <v>0</v>
      </c>
      <c r="Q42" s="13"/>
      <c r="R42" s="52">
        <f t="shared" si="11"/>
        <v>100</v>
      </c>
      <c r="S42" s="16">
        <f t="shared" si="7"/>
        <v>1.9635</v>
      </c>
      <c r="T42" s="13">
        <v>0</v>
      </c>
      <c r="U42" s="189"/>
      <c r="V42" s="52">
        <f t="shared" si="8"/>
        <v>100</v>
      </c>
      <c r="W42" s="16">
        <f t="shared" si="9"/>
        <v>1.9635</v>
      </c>
      <c r="X42" s="237">
        <f t="shared" si="4"/>
        <v>0</v>
      </c>
    </row>
    <row r="43" spans="1:24" s="31" customFormat="1" ht="53.25" customHeight="1">
      <c r="A43" s="231"/>
      <c r="B43" s="227"/>
      <c r="C43" s="200"/>
      <c r="D43" s="197">
        <v>0.15</v>
      </c>
      <c r="E43" s="211" t="s">
        <v>41</v>
      </c>
      <c r="F43" s="211" t="s">
        <v>42</v>
      </c>
      <c r="G43" s="212" t="s">
        <v>221</v>
      </c>
      <c r="H43" s="211" t="s">
        <v>42</v>
      </c>
      <c r="I43" s="131" t="s">
        <v>262</v>
      </c>
      <c r="J43" s="134" t="s">
        <v>186</v>
      </c>
      <c r="K43" s="18" t="s">
        <v>58</v>
      </c>
      <c r="L43" s="18">
        <v>0</v>
      </c>
      <c r="M43" s="132" t="s">
        <v>10</v>
      </c>
      <c r="N43" s="154">
        <v>0.25</v>
      </c>
      <c r="O43" s="72">
        <f>N43*$D$43*$C$26*$B$19*$A$9</f>
        <v>1.472625E-2</v>
      </c>
      <c r="P43" s="13">
        <v>0</v>
      </c>
      <c r="Q43" s="13"/>
      <c r="R43" s="52">
        <f t="shared" si="11"/>
        <v>100</v>
      </c>
      <c r="S43" s="16">
        <f t="shared" si="7"/>
        <v>1.4726250000000001</v>
      </c>
      <c r="T43" s="13">
        <v>0</v>
      </c>
      <c r="U43" s="189"/>
      <c r="V43" s="52">
        <f t="shared" si="8"/>
        <v>100</v>
      </c>
      <c r="W43" s="16">
        <f t="shared" si="9"/>
        <v>1.4726250000000001</v>
      </c>
      <c r="X43" s="237">
        <f t="shared" si="4"/>
        <v>0</v>
      </c>
    </row>
    <row r="44" spans="1:24" s="31" customFormat="1" ht="69.75" customHeight="1">
      <c r="A44" s="231"/>
      <c r="B44" s="227"/>
      <c r="C44" s="200"/>
      <c r="D44" s="199"/>
      <c r="E44" s="211"/>
      <c r="F44" s="211"/>
      <c r="G44" s="212"/>
      <c r="H44" s="211"/>
      <c r="I44" s="131" t="s">
        <v>261</v>
      </c>
      <c r="J44" s="130" t="s">
        <v>187</v>
      </c>
      <c r="K44" s="18" t="s">
        <v>58</v>
      </c>
      <c r="L44" s="18">
        <v>0</v>
      </c>
      <c r="M44" s="132" t="s">
        <v>59</v>
      </c>
      <c r="N44" s="154">
        <v>0.5</v>
      </c>
      <c r="O44" s="72">
        <f t="shared" ref="O44:O45" si="16">N44*$D$43*$C$26*$B$19*$A$9</f>
        <v>2.94525E-2</v>
      </c>
      <c r="P44" s="13">
        <v>0</v>
      </c>
      <c r="Q44" s="13"/>
      <c r="R44" s="52">
        <f t="shared" si="11"/>
        <v>100</v>
      </c>
      <c r="S44" s="16">
        <f t="shared" si="7"/>
        <v>2.9452500000000001</v>
      </c>
      <c r="T44" s="13">
        <v>0</v>
      </c>
      <c r="U44" s="189"/>
      <c r="V44" s="52">
        <f t="shared" si="8"/>
        <v>100</v>
      </c>
      <c r="W44" s="16">
        <f t="shared" si="9"/>
        <v>2.9452500000000001</v>
      </c>
      <c r="X44" s="237">
        <f t="shared" si="4"/>
        <v>0</v>
      </c>
    </row>
    <row r="45" spans="1:24" s="31" customFormat="1" ht="53.25" customHeight="1">
      <c r="A45" s="231"/>
      <c r="B45" s="227"/>
      <c r="C45" s="200"/>
      <c r="D45" s="198"/>
      <c r="E45" s="211"/>
      <c r="F45" s="211"/>
      <c r="G45" s="212"/>
      <c r="H45" s="211"/>
      <c r="I45" s="131" t="s">
        <v>260</v>
      </c>
      <c r="J45" s="130" t="s">
        <v>188</v>
      </c>
      <c r="K45" s="18" t="s">
        <v>58</v>
      </c>
      <c r="L45" s="18">
        <v>0</v>
      </c>
      <c r="M45" s="132" t="s">
        <v>59</v>
      </c>
      <c r="N45" s="154">
        <v>0.25</v>
      </c>
      <c r="O45" s="72">
        <f t="shared" si="16"/>
        <v>1.472625E-2</v>
      </c>
      <c r="P45" s="13">
        <v>0</v>
      </c>
      <c r="Q45" s="13"/>
      <c r="R45" s="52">
        <f t="shared" si="11"/>
        <v>100</v>
      </c>
      <c r="S45" s="16">
        <f t="shared" si="7"/>
        <v>1.4726250000000001</v>
      </c>
      <c r="T45" s="13">
        <v>0</v>
      </c>
      <c r="U45" s="189"/>
      <c r="V45" s="52">
        <f t="shared" si="8"/>
        <v>100</v>
      </c>
      <c r="W45" s="16">
        <f t="shared" si="9"/>
        <v>1.4726250000000001</v>
      </c>
      <c r="X45" s="237">
        <f t="shared" si="4"/>
        <v>0</v>
      </c>
    </row>
    <row r="46" spans="1:24" s="31" customFormat="1" ht="15.75">
      <c r="A46" s="231"/>
      <c r="B46" s="227"/>
      <c r="C46" s="138"/>
      <c r="D46" s="138"/>
      <c r="E46" s="114" t="s">
        <v>119</v>
      </c>
      <c r="F46" s="209" t="s">
        <v>120</v>
      </c>
      <c r="G46" s="209"/>
      <c r="H46" s="209"/>
      <c r="I46" s="209"/>
      <c r="J46" s="209"/>
      <c r="K46" s="209"/>
      <c r="L46" s="209"/>
      <c r="M46" s="209"/>
      <c r="N46" s="138"/>
      <c r="O46" s="138"/>
      <c r="P46" s="132"/>
      <c r="Q46" s="132"/>
      <c r="R46" s="52"/>
      <c r="S46" s="16"/>
      <c r="T46" s="189"/>
      <c r="U46" s="189"/>
      <c r="V46" s="52"/>
      <c r="W46" s="16"/>
      <c r="X46" s="237">
        <f t="shared" si="4"/>
        <v>0</v>
      </c>
    </row>
    <row r="47" spans="1:24" s="31" customFormat="1" ht="53.25" customHeight="1">
      <c r="A47" s="231"/>
      <c r="B47" s="227"/>
      <c r="C47" s="200">
        <v>0.2</v>
      </c>
      <c r="D47" s="197">
        <v>0.22</v>
      </c>
      <c r="E47" s="207" t="s">
        <v>22</v>
      </c>
      <c r="F47" s="207" t="s">
        <v>23</v>
      </c>
      <c r="G47" s="208" t="s">
        <v>222</v>
      </c>
      <c r="H47" s="207" t="s">
        <v>23</v>
      </c>
      <c r="I47" s="185" t="s">
        <v>259</v>
      </c>
      <c r="J47" s="134" t="s">
        <v>146</v>
      </c>
      <c r="K47" s="18" t="s">
        <v>58</v>
      </c>
      <c r="L47" s="18">
        <v>0</v>
      </c>
      <c r="M47" s="184" t="s">
        <v>59</v>
      </c>
      <c r="N47" s="154">
        <v>0.5</v>
      </c>
      <c r="O47" s="186">
        <f>N47*$D$47*$C$47*$B$19*$A$9</f>
        <v>1.4399000000000002E-2</v>
      </c>
      <c r="P47" s="13">
        <v>0</v>
      </c>
      <c r="Q47" s="13"/>
      <c r="R47" s="180">
        <f t="shared" ref="R47:R54" si="17">100-(P47-L47)*10</f>
        <v>100</v>
      </c>
      <c r="S47" s="181">
        <f t="shared" si="7"/>
        <v>1.4399000000000002</v>
      </c>
      <c r="T47" s="13">
        <v>0</v>
      </c>
      <c r="U47" s="189"/>
      <c r="V47" s="180">
        <f t="shared" si="8"/>
        <v>100</v>
      </c>
      <c r="W47" s="181">
        <f t="shared" ref="W47:W54" si="18">+V47*O47</f>
        <v>1.4399000000000002</v>
      </c>
      <c r="X47" s="237">
        <f t="shared" si="4"/>
        <v>0</v>
      </c>
    </row>
    <row r="48" spans="1:24" s="31" customFormat="1" ht="53.25" customHeight="1">
      <c r="A48" s="231"/>
      <c r="B48" s="227"/>
      <c r="C48" s="200"/>
      <c r="D48" s="198"/>
      <c r="E48" s="207"/>
      <c r="F48" s="207"/>
      <c r="G48" s="208"/>
      <c r="H48" s="207"/>
      <c r="I48" s="185" t="s">
        <v>258</v>
      </c>
      <c r="J48" s="134" t="s">
        <v>147</v>
      </c>
      <c r="K48" s="18" t="s">
        <v>58</v>
      </c>
      <c r="L48" s="18">
        <v>0</v>
      </c>
      <c r="M48" s="184" t="s">
        <v>59</v>
      </c>
      <c r="N48" s="154">
        <v>0.5</v>
      </c>
      <c r="O48" s="186">
        <f>N48*$D$47*$C$47*$B$19*$A$9</f>
        <v>1.4399000000000002E-2</v>
      </c>
      <c r="P48" s="13">
        <v>0</v>
      </c>
      <c r="Q48" s="13"/>
      <c r="R48" s="180">
        <f t="shared" si="17"/>
        <v>100</v>
      </c>
      <c r="S48" s="181">
        <f t="shared" si="7"/>
        <v>1.4399000000000002</v>
      </c>
      <c r="T48" s="13">
        <v>0</v>
      </c>
      <c r="U48" s="189"/>
      <c r="V48" s="180">
        <f t="shared" si="8"/>
        <v>100</v>
      </c>
      <c r="W48" s="181">
        <f t="shared" si="18"/>
        <v>1.4399000000000002</v>
      </c>
      <c r="X48" s="237">
        <f t="shared" si="4"/>
        <v>0</v>
      </c>
    </row>
    <row r="49" spans="1:24" s="31" customFormat="1" ht="53.25" customHeight="1">
      <c r="A49" s="231"/>
      <c r="B49" s="227"/>
      <c r="C49" s="200"/>
      <c r="D49" s="197">
        <v>0.22</v>
      </c>
      <c r="E49" s="207" t="s">
        <v>43</v>
      </c>
      <c r="F49" s="207" t="s">
        <v>44</v>
      </c>
      <c r="G49" s="208" t="s">
        <v>223</v>
      </c>
      <c r="H49" s="207" t="s">
        <v>44</v>
      </c>
      <c r="I49" s="185" t="s">
        <v>257</v>
      </c>
      <c r="J49" s="134" t="s">
        <v>68</v>
      </c>
      <c r="K49" s="18" t="s">
        <v>312</v>
      </c>
      <c r="L49" s="18">
        <v>2</v>
      </c>
      <c r="M49" s="184" t="s">
        <v>59</v>
      </c>
      <c r="N49" s="154">
        <v>0.5</v>
      </c>
      <c r="O49" s="186">
        <f>N49*$D$49*$C$47*$B$19*$A$9</f>
        <v>1.4399000000000002E-2</v>
      </c>
      <c r="P49" s="13">
        <v>2</v>
      </c>
      <c r="Q49" s="13"/>
      <c r="R49" s="180">
        <f>100+(P49-L49)*10</f>
        <v>100</v>
      </c>
      <c r="S49" s="181">
        <f t="shared" si="7"/>
        <v>1.4399000000000002</v>
      </c>
      <c r="T49" s="13">
        <v>2</v>
      </c>
      <c r="U49" s="189">
        <f>T49/L49*100</f>
        <v>100</v>
      </c>
      <c r="V49" s="194">
        <f>IF(AND(U49&gt;30,U49&lt;100),U49,IF(U49&gt;=100,100,0))</f>
        <v>100</v>
      </c>
      <c r="W49" s="181">
        <f t="shared" si="18"/>
        <v>1.4399000000000002</v>
      </c>
      <c r="X49" s="237">
        <f t="shared" si="4"/>
        <v>0</v>
      </c>
    </row>
    <row r="50" spans="1:24" s="31" customFormat="1" ht="78" customHeight="1">
      <c r="A50" s="231"/>
      <c r="B50" s="227"/>
      <c r="C50" s="200"/>
      <c r="D50" s="198"/>
      <c r="E50" s="207"/>
      <c r="F50" s="207"/>
      <c r="G50" s="208"/>
      <c r="H50" s="207"/>
      <c r="I50" s="185" t="s">
        <v>256</v>
      </c>
      <c r="J50" s="134" t="s">
        <v>189</v>
      </c>
      <c r="K50" s="18" t="s">
        <v>308</v>
      </c>
      <c r="L50" s="18">
        <v>2</v>
      </c>
      <c r="M50" s="184" t="s">
        <v>59</v>
      </c>
      <c r="N50" s="154">
        <v>0.5</v>
      </c>
      <c r="O50" s="186">
        <f>N50*$D$49*$C$47*$B$19*$A$9</f>
        <v>1.4399000000000002E-2</v>
      </c>
      <c r="P50" s="13">
        <v>2</v>
      </c>
      <c r="Q50" s="13"/>
      <c r="R50" s="180">
        <f t="shared" si="17"/>
        <v>100</v>
      </c>
      <c r="S50" s="181">
        <f t="shared" si="7"/>
        <v>1.4399000000000002</v>
      </c>
      <c r="T50" s="13">
        <v>2</v>
      </c>
      <c r="U50" s="189"/>
      <c r="V50" s="180">
        <f t="shared" si="8"/>
        <v>100</v>
      </c>
      <c r="W50" s="181">
        <f t="shared" si="18"/>
        <v>1.4399000000000002</v>
      </c>
      <c r="X50" s="237">
        <f t="shared" si="4"/>
        <v>0</v>
      </c>
    </row>
    <row r="51" spans="1:24" s="31" customFormat="1" ht="53.25" customHeight="1">
      <c r="A51" s="231"/>
      <c r="B51" s="227"/>
      <c r="C51" s="200"/>
      <c r="D51" s="197">
        <v>0.56000000000000005</v>
      </c>
      <c r="E51" s="207" t="s">
        <v>45</v>
      </c>
      <c r="F51" s="207" t="s">
        <v>46</v>
      </c>
      <c r="G51" s="208" t="s">
        <v>224</v>
      </c>
      <c r="H51" s="220" t="s">
        <v>46</v>
      </c>
      <c r="I51" s="185" t="s">
        <v>255</v>
      </c>
      <c r="J51" s="134" t="s">
        <v>190</v>
      </c>
      <c r="K51" s="18" t="s">
        <v>58</v>
      </c>
      <c r="L51" s="18">
        <v>0</v>
      </c>
      <c r="M51" s="184" t="s">
        <v>59</v>
      </c>
      <c r="N51" s="154">
        <v>0.25</v>
      </c>
      <c r="O51" s="186">
        <f>N51*$D$51*$C$47*$B$19*$A$9</f>
        <v>1.8326000000000002E-2</v>
      </c>
      <c r="P51" s="13">
        <v>0</v>
      </c>
      <c r="Q51" s="13"/>
      <c r="R51" s="180">
        <f t="shared" si="17"/>
        <v>100</v>
      </c>
      <c r="S51" s="181">
        <f t="shared" si="7"/>
        <v>1.8326000000000002</v>
      </c>
      <c r="T51" s="13">
        <v>0</v>
      </c>
      <c r="U51" s="189"/>
      <c r="V51" s="180">
        <f t="shared" si="8"/>
        <v>100</v>
      </c>
      <c r="W51" s="181">
        <f t="shared" si="18"/>
        <v>1.8326000000000002</v>
      </c>
      <c r="X51" s="237">
        <f t="shared" si="4"/>
        <v>0</v>
      </c>
    </row>
    <row r="52" spans="1:24" s="31" customFormat="1" ht="53.25" customHeight="1">
      <c r="A52" s="231"/>
      <c r="B52" s="227"/>
      <c r="C52" s="200"/>
      <c r="D52" s="199"/>
      <c r="E52" s="207"/>
      <c r="F52" s="207"/>
      <c r="G52" s="208"/>
      <c r="H52" s="220"/>
      <c r="I52" s="185" t="s">
        <v>254</v>
      </c>
      <c r="J52" s="134" t="s">
        <v>191</v>
      </c>
      <c r="K52" s="18" t="s">
        <v>58</v>
      </c>
      <c r="L52" s="18">
        <v>0</v>
      </c>
      <c r="M52" s="184" t="s">
        <v>59</v>
      </c>
      <c r="N52" s="154">
        <v>0.25</v>
      </c>
      <c r="O52" s="186">
        <f t="shared" ref="O52:O54" si="19">N52*$D$51*$C$47*$B$19*$A$9</f>
        <v>1.8326000000000002E-2</v>
      </c>
      <c r="P52" s="13">
        <v>0</v>
      </c>
      <c r="Q52" s="13"/>
      <c r="R52" s="180">
        <f t="shared" si="17"/>
        <v>100</v>
      </c>
      <c r="S52" s="181">
        <f t="shared" si="7"/>
        <v>1.8326000000000002</v>
      </c>
      <c r="T52" s="13">
        <v>0</v>
      </c>
      <c r="U52" s="189"/>
      <c r="V52" s="180">
        <f t="shared" si="8"/>
        <v>100</v>
      </c>
      <c r="W52" s="181">
        <f t="shared" si="18"/>
        <v>1.8326000000000002</v>
      </c>
      <c r="X52" s="237">
        <f t="shared" si="4"/>
        <v>0</v>
      </c>
    </row>
    <row r="53" spans="1:24" s="31" customFormat="1" ht="53.25" customHeight="1">
      <c r="A53" s="231"/>
      <c r="B53" s="227"/>
      <c r="C53" s="200"/>
      <c r="D53" s="199"/>
      <c r="E53" s="207"/>
      <c r="F53" s="207"/>
      <c r="G53" s="208"/>
      <c r="H53" s="220"/>
      <c r="I53" s="185" t="s">
        <v>253</v>
      </c>
      <c r="J53" s="134" t="s">
        <v>155</v>
      </c>
      <c r="K53" s="18" t="s">
        <v>58</v>
      </c>
      <c r="L53" s="18">
        <v>0</v>
      </c>
      <c r="M53" s="184" t="s">
        <v>59</v>
      </c>
      <c r="N53" s="154">
        <v>0.25</v>
      </c>
      <c r="O53" s="186">
        <f t="shared" si="19"/>
        <v>1.8326000000000002E-2</v>
      </c>
      <c r="P53" s="13">
        <v>0</v>
      </c>
      <c r="Q53" s="13"/>
      <c r="R53" s="180">
        <f t="shared" si="17"/>
        <v>100</v>
      </c>
      <c r="S53" s="181">
        <f t="shared" si="7"/>
        <v>1.8326000000000002</v>
      </c>
      <c r="T53" s="13">
        <v>0</v>
      </c>
      <c r="U53" s="189"/>
      <c r="V53" s="180">
        <f t="shared" si="8"/>
        <v>100</v>
      </c>
      <c r="W53" s="181">
        <f t="shared" si="18"/>
        <v>1.8326000000000002</v>
      </c>
      <c r="X53" s="237">
        <f t="shared" si="4"/>
        <v>0</v>
      </c>
    </row>
    <row r="54" spans="1:24" s="31" customFormat="1" ht="53.25" customHeight="1">
      <c r="A54" s="231"/>
      <c r="B54" s="227"/>
      <c r="C54" s="200"/>
      <c r="D54" s="198"/>
      <c r="E54" s="207"/>
      <c r="F54" s="207"/>
      <c r="G54" s="208"/>
      <c r="H54" s="220"/>
      <c r="I54" s="185" t="s">
        <v>252</v>
      </c>
      <c r="J54" s="134" t="s">
        <v>65</v>
      </c>
      <c r="K54" s="18" t="s">
        <v>58</v>
      </c>
      <c r="L54" s="18">
        <v>0</v>
      </c>
      <c r="M54" s="184" t="s">
        <v>59</v>
      </c>
      <c r="N54" s="154">
        <v>0.25</v>
      </c>
      <c r="O54" s="186">
        <f t="shared" si="19"/>
        <v>1.8326000000000002E-2</v>
      </c>
      <c r="P54" s="13">
        <v>0</v>
      </c>
      <c r="Q54" s="13"/>
      <c r="R54" s="180">
        <f t="shared" si="17"/>
        <v>100</v>
      </c>
      <c r="S54" s="181">
        <f t="shared" si="7"/>
        <v>1.8326000000000002</v>
      </c>
      <c r="T54" s="13">
        <v>0</v>
      </c>
      <c r="U54" s="189"/>
      <c r="V54" s="180">
        <f t="shared" si="8"/>
        <v>100</v>
      </c>
      <c r="W54" s="181">
        <f t="shared" si="18"/>
        <v>1.8326000000000002</v>
      </c>
      <c r="X54" s="237">
        <f t="shared" si="4"/>
        <v>0</v>
      </c>
    </row>
    <row r="55" spans="1:24" s="31" customFormat="1" ht="15.75">
      <c r="A55" s="231"/>
      <c r="B55" s="227"/>
      <c r="C55" s="138"/>
      <c r="D55" s="138"/>
      <c r="E55" s="114" t="s">
        <v>122</v>
      </c>
      <c r="F55" s="209" t="s">
        <v>121</v>
      </c>
      <c r="G55" s="209"/>
      <c r="H55" s="209"/>
      <c r="I55" s="209"/>
      <c r="J55" s="209"/>
      <c r="K55" s="209"/>
      <c r="L55" s="209"/>
      <c r="M55" s="209"/>
      <c r="N55" s="138"/>
      <c r="O55" s="138"/>
      <c r="P55" s="132"/>
      <c r="Q55" s="132"/>
      <c r="R55" s="52"/>
      <c r="S55" s="16"/>
      <c r="T55" s="189"/>
      <c r="U55" s="189"/>
      <c r="V55" s="52"/>
      <c r="W55" s="16"/>
      <c r="X55" s="237">
        <f t="shared" si="4"/>
        <v>0</v>
      </c>
    </row>
    <row r="56" spans="1:24" s="31" customFormat="1" ht="42.75" customHeight="1">
      <c r="A56" s="231"/>
      <c r="B56" s="227"/>
      <c r="C56" s="197">
        <v>0.1</v>
      </c>
      <c r="D56" s="197">
        <v>0.7</v>
      </c>
      <c r="E56" s="212" t="s">
        <v>47</v>
      </c>
      <c r="F56" s="211" t="s">
        <v>48</v>
      </c>
      <c r="G56" s="212" t="s">
        <v>225</v>
      </c>
      <c r="H56" s="211" t="s">
        <v>48</v>
      </c>
      <c r="I56" s="183" t="s">
        <v>251</v>
      </c>
      <c r="J56" s="130" t="s">
        <v>156</v>
      </c>
      <c r="K56" s="18" t="s">
        <v>304</v>
      </c>
      <c r="L56" s="18">
        <v>1</v>
      </c>
      <c r="M56" s="182" t="s">
        <v>59</v>
      </c>
      <c r="N56" s="98">
        <v>0.5</v>
      </c>
      <c r="O56" s="72">
        <f>N56*$D$56*$C$56*$B$19*$A$9</f>
        <v>2.2907499999999997E-2</v>
      </c>
      <c r="P56" s="18">
        <v>1</v>
      </c>
      <c r="Q56" s="13"/>
      <c r="R56" s="52">
        <f>100+(P56-L56)*10</f>
        <v>100</v>
      </c>
      <c r="S56" s="16">
        <f t="shared" si="7"/>
        <v>2.2907499999999996</v>
      </c>
      <c r="T56" s="13">
        <v>1</v>
      </c>
      <c r="U56" s="189">
        <f>T56/L56*100</f>
        <v>100</v>
      </c>
      <c r="V56" s="194">
        <f>IF(AND(U56&gt;30,U56&lt;100),U56,IF(U56&gt;=100,100,0))</f>
        <v>100</v>
      </c>
      <c r="W56" s="16">
        <f>+V56*O56</f>
        <v>2.2907499999999996</v>
      </c>
      <c r="X56" s="237">
        <f t="shared" si="4"/>
        <v>0</v>
      </c>
    </row>
    <row r="57" spans="1:24" s="31" customFormat="1" ht="31.5">
      <c r="A57" s="231"/>
      <c r="B57" s="227"/>
      <c r="C57" s="199"/>
      <c r="D57" s="198"/>
      <c r="E57" s="212"/>
      <c r="F57" s="211"/>
      <c r="G57" s="212"/>
      <c r="H57" s="211"/>
      <c r="I57" s="183" t="s">
        <v>250</v>
      </c>
      <c r="J57" s="130" t="s">
        <v>163</v>
      </c>
      <c r="K57" s="18" t="s">
        <v>313</v>
      </c>
      <c r="L57" s="18">
        <v>0</v>
      </c>
      <c r="M57" s="182" t="s">
        <v>59</v>
      </c>
      <c r="N57" s="98">
        <v>0.5</v>
      </c>
      <c r="O57" s="72">
        <f t="shared" ref="O57" si="20">N57*$D$56*$C$56*$B$19*$A$9</f>
        <v>2.2907499999999997E-2</v>
      </c>
      <c r="P57" s="18">
        <v>0</v>
      </c>
      <c r="Q57" s="13"/>
      <c r="R57" s="52">
        <f t="shared" ref="R57:R63" si="21">100+(P57-L57)*10</f>
        <v>100</v>
      </c>
      <c r="S57" s="16">
        <f t="shared" si="7"/>
        <v>2.2907499999999996</v>
      </c>
      <c r="T57" s="13">
        <v>0</v>
      </c>
      <c r="U57" s="189"/>
      <c r="V57" s="52">
        <f t="shared" si="8"/>
        <v>100</v>
      </c>
      <c r="W57" s="16">
        <f>+V57*O57</f>
        <v>2.2907499999999996</v>
      </c>
      <c r="X57" s="237">
        <f t="shared" si="4"/>
        <v>0</v>
      </c>
    </row>
    <row r="58" spans="1:24" s="31" customFormat="1" ht="47.25">
      <c r="A58" s="231"/>
      <c r="B58" s="227"/>
      <c r="C58" s="198"/>
      <c r="D58" s="138">
        <v>0.3</v>
      </c>
      <c r="E58" s="131" t="s">
        <v>49</v>
      </c>
      <c r="F58" s="77" t="s">
        <v>50</v>
      </c>
      <c r="G58" s="131" t="s">
        <v>226</v>
      </c>
      <c r="H58" s="130" t="s">
        <v>66</v>
      </c>
      <c r="I58" s="131" t="s">
        <v>249</v>
      </c>
      <c r="J58" s="130" t="s">
        <v>192</v>
      </c>
      <c r="K58" s="18" t="s">
        <v>337</v>
      </c>
      <c r="L58" s="18">
        <v>3</v>
      </c>
      <c r="M58" s="132" t="s">
        <v>59</v>
      </c>
      <c r="N58" s="98">
        <v>1</v>
      </c>
      <c r="O58" s="72">
        <f>N58*D58*$C$56*$B$19*$A$9</f>
        <v>1.9635E-2</v>
      </c>
      <c r="P58" s="18">
        <v>3</v>
      </c>
      <c r="Q58" s="13"/>
      <c r="R58" s="52">
        <f t="shared" si="21"/>
        <v>100</v>
      </c>
      <c r="S58" s="16">
        <f t="shared" si="7"/>
        <v>1.9635</v>
      </c>
      <c r="T58" s="13">
        <v>3</v>
      </c>
      <c r="U58" s="189">
        <f>T58/L58*100</f>
        <v>100</v>
      </c>
      <c r="V58" s="194">
        <f>IF(AND(U58&gt;30,U58&lt;100),U58,IF(U58&gt;=100,100,0))</f>
        <v>100</v>
      </c>
      <c r="W58" s="16">
        <f>+V58*O58</f>
        <v>1.9635</v>
      </c>
      <c r="X58" s="237">
        <f t="shared" si="4"/>
        <v>0</v>
      </c>
    </row>
    <row r="59" spans="1:24" s="31" customFormat="1" ht="15.75">
      <c r="A59" s="231"/>
      <c r="B59" s="227"/>
      <c r="C59" s="138"/>
      <c r="D59" s="138"/>
      <c r="E59" s="114" t="s">
        <v>124</v>
      </c>
      <c r="F59" s="209" t="s">
        <v>123</v>
      </c>
      <c r="G59" s="209"/>
      <c r="H59" s="209"/>
      <c r="I59" s="209"/>
      <c r="J59" s="209"/>
      <c r="K59" s="209"/>
      <c r="L59" s="209"/>
      <c r="M59" s="209"/>
      <c r="N59" s="138"/>
      <c r="O59" s="138"/>
      <c r="P59" s="132"/>
      <c r="Q59" s="132"/>
      <c r="R59" s="52"/>
      <c r="S59" s="16"/>
      <c r="T59" s="189"/>
      <c r="U59" s="189"/>
      <c r="V59" s="52"/>
      <c r="W59" s="16"/>
      <c r="X59" s="237">
        <f t="shared" si="4"/>
        <v>0</v>
      </c>
    </row>
    <row r="60" spans="1:24" s="31" customFormat="1" ht="61.5" customHeight="1">
      <c r="A60" s="231"/>
      <c r="B60" s="227"/>
      <c r="C60" s="197">
        <v>0.05</v>
      </c>
      <c r="D60" s="139">
        <v>0.5</v>
      </c>
      <c r="E60" s="141" t="s">
        <v>51</v>
      </c>
      <c r="F60" s="4" t="s">
        <v>52</v>
      </c>
      <c r="G60" s="142" t="s">
        <v>227</v>
      </c>
      <c r="H60" s="4" t="s">
        <v>171</v>
      </c>
      <c r="I60" s="140" t="s">
        <v>248</v>
      </c>
      <c r="J60" s="4" t="s">
        <v>193</v>
      </c>
      <c r="K60" s="18" t="s">
        <v>304</v>
      </c>
      <c r="L60" s="18">
        <v>5</v>
      </c>
      <c r="M60" s="143" t="s">
        <v>59</v>
      </c>
      <c r="N60" s="98">
        <v>1</v>
      </c>
      <c r="O60" s="72">
        <f>N60*D60*$C$60*$B$19*$A$9</f>
        <v>1.6362500000000002E-2</v>
      </c>
      <c r="P60" s="13">
        <v>5</v>
      </c>
      <c r="Q60" s="13"/>
      <c r="R60" s="52">
        <f t="shared" si="21"/>
        <v>100</v>
      </c>
      <c r="S60" s="16">
        <f t="shared" si="7"/>
        <v>1.6362500000000002</v>
      </c>
      <c r="T60" s="13">
        <v>5</v>
      </c>
      <c r="U60" s="189">
        <f>T60/L60*100</f>
        <v>100</v>
      </c>
      <c r="V60" s="194">
        <f>IF(AND(U60&gt;30,U60&lt;100),U60,IF(U60&gt;=100,100,0))</f>
        <v>100</v>
      </c>
      <c r="W60" s="16">
        <f>+V60*O60</f>
        <v>1.6362500000000002</v>
      </c>
      <c r="X60" s="237">
        <f t="shared" si="4"/>
        <v>0</v>
      </c>
    </row>
    <row r="61" spans="1:24" s="31" customFormat="1" ht="72" customHeight="1">
      <c r="A61" s="231"/>
      <c r="B61" s="227"/>
      <c r="C61" s="198"/>
      <c r="D61" s="138">
        <v>0.5</v>
      </c>
      <c r="E61" s="133" t="s">
        <v>53</v>
      </c>
      <c r="F61" s="4" t="s">
        <v>54</v>
      </c>
      <c r="G61" s="128" t="s">
        <v>228</v>
      </c>
      <c r="H61" s="4" t="s">
        <v>318</v>
      </c>
      <c r="I61" s="126" t="s">
        <v>247</v>
      </c>
      <c r="J61" s="4" t="s">
        <v>318</v>
      </c>
      <c r="K61" s="18" t="s">
        <v>308</v>
      </c>
      <c r="L61" s="18">
        <v>2</v>
      </c>
      <c r="M61" s="132" t="s">
        <v>59</v>
      </c>
      <c r="N61" s="98">
        <v>1</v>
      </c>
      <c r="O61" s="72">
        <f>N61*D61*$C$60*$B$19*$A$9</f>
        <v>1.6362500000000002E-2</v>
      </c>
      <c r="P61" s="13">
        <v>2</v>
      </c>
      <c r="Q61" s="13"/>
      <c r="R61" s="52">
        <f t="shared" si="21"/>
        <v>100</v>
      </c>
      <c r="S61" s="16">
        <f t="shared" si="7"/>
        <v>1.6362500000000002</v>
      </c>
      <c r="T61" s="13">
        <v>2</v>
      </c>
      <c r="U61" s="189">
        <f>T61/L61*100</f>
        <v>100</v>
      </c>
      <c r="V61" s="194">
        <f>IF(AND(U61&gt;30,U61&lt;100),U61,IF(U61&gt;=100,100,0))</f>
        <v>100</v>
      </c>
      <c r="W61" s="16">
        <f>+V61*O61</f>
        <v>1.6362500000000002</v>
      </c>
      <c r="X61" s="237">
        <f t="shared" si="4"/>
        <v>0</v>
      </c>
    </row>
    <row r="62" spans="1:24" s="31" customFormat="1" ht="15.75">
      <c r="A62" s="231"/>
      <c r="B62" s="227"/>
      <c r="C62" s="138"/>
      <c r="D62" s="138"/>
      <c r="E62" s="114" t="s">
        <v>125</v>
      </c>
      <c r="F62" s="209" t="s">
        <v>126</v>
      </c>
      <c r="G62" s="209"/>
      <c r="H62" s="209"/>
      <c r="I62" s="209"/>
      <c r="J62" s="209"/>
      <c r="K62" s="209"/>
      <c r="L62" s="209"/>
      <c r="M62" s="209"/>
      <c r="N62" s="138"/>
      <c r="O62" s="138"/>
      <c r="P62" s="132"/>
      <c r="Q62" s="132"/>
      <c r="R62" s="52"/>
      <c r="S62" s="16"/>
      <c r="T62" s="189"/>
      <c r="U62" s="189"/>
      <c r="V62" s="52"/>
      <c r="W62" s="16"/>
      <c r="X62" s="237">
        <f t="shared" si="4"/>
        <v>0</v>
      </c>
    </row>
    <row r="63" spans="1:24" s="31" customFormat="1" ht="63" customHeight="1">
      <c r="A63" s="231"/>
      <c r="B63" s="227"/>
      <c r="C63" s="138">
        <v>0.05</v>
      </c>
      <c r="D63" s="138">
        <v>1</v>
      </c>
      <c r="E63" s="133" t="s">
        <v>55</v>
      </c>
      <c r="F63" s="4" t="s">
        <v>56</v>
      </c>
      <c r="G63" s="128" t="s">
        <v>229</v>
      </c>
      <c r="H63" s="4" t="s">
        <v>67</v>
      </c>
      <c r="I63" s="126" t="s">
        <v>246</v>
      </c>
      <c r="J63" s="4" t="s">
        <v>194</v>
      </c>
      <c r="K63" s="18" t="s">
        <v>308</v>
      </c>
      <c r="L63" s="18">
        <v>0</v>
      </c>
      <c r="M63" s="132" t="s">
        <v>59</v>
      </c>
      <c r="N63" s="98">
        <v>1</v>
      </c>
      <c r="O63" s="72">
        <f>D63*C63*B19*A9</f>
        <v>3.2725000000000004E-2</v>
      </c>
      <c r="P63" s="13">
        <v>0</v>
      </c>
      <c r="Q63" s="13"/>
      <c r="R63" s="52">
        <f t="shared" si="21"/>
        <v>100</v>
      </c>
      <c r="S63" s="16">
        <f t="shared" si="7"/>
        <v>3.2725000000000004</v>
      </c>
      <c r="T63" s="13">
        <v>0</v>
      </c>
      <c r="U63" s="189"/>
      <c r="V63" s="52">
        <f t="shared" si="8"/>
        <v>100</v>
      </c>
      <c r="W63" s="16">
        <f>+V63*O63</f>
        <v>3.2725000000000004</v>
      </c>
      <c r="X63" s="237">
        <f t="shared" si="4"/>
        <v>0</v>
      </c>
    </row>
    <row r="64" spans="1:24" s="31" customFormat="1" ht="15.75">
      <c r="A64" s="231"/>
      <c r="B64" s="125"/>
      <c r="C64" s="74">
        <f>SUM(C65:C77)</f>
        <v>0.99999999999999989</v>
      </c>
      <c r="D64" s="74"/>
      <c r="E64" s="210" t="s">
        <v>302</v>
      </c>
      <c r="F64" s="210"/>
      <c r="G64" s="210"/>
      <c r="H64" s="210"/>
      <c r="I64" s="210"/>
      <c r="J64" s="210"/>
      <c r="K64" s="210"/>
      <c r="L64" s="210"/>
      <c r="M64" s="210"/>
      <c r="N64" s="210"/>
      <c r="O64" s="72"/>
      <c r="P64" s="13"/>
      <c r="Q64" s="13"/>
      <c r="R64" s="52"/>
      <c r="S64" s="16"/>
      <c r="T64" s="13"/>
      <c r="U64" s="189"/>
      <c r="V64" s="52"/>
      <c r="W64" s="16"/>
      <c r="X64" s="237">
        <f t="shared" si="4"/>
        <v>0</v>
      </c>
    </row>
    <row r="65" spans="1:24" s="76" customFormat="1" ht="72" customHeight="1">
      <c r="A65" s="231"/>
      <c r="B65" s="232">
        <v>0.13</v>
      </c>
      <c r="C65" s="139">
        <v>0.1</v>
      </c>
      <c r="D65" s="139">
        <v>1</v>
      </c>
      <c r="E65" s="11" t="s">
        <v>5</v>
      </c>
      <c r="F65" s="12" t="s">
        <v>12</v>
      </c>
      <c r="G65" s="51" t="s">
        <v>203</v>
      </c>
      <c r="H65" s="12" t="s">
        <v>133</v>
      </c>
      <c r="I65" s="68" t="s">
        <v>238</v>
      </c>
      <c r="J65" s="12" t="s">
        <v>173</v>
      </c>
      <c r="K65" s="14" t="s">
        <v>148</v>
      </c>
      <c r="L65" s="14">
        <v>0</v>
      </c>
      <c r="M65" s="14" t="s">
        <v>59</v>
      </c>
      <c r="N65" s="15">
        <v>1</v>
      </c>
      <c r="O65" s="72">
        <f>N65*D65*C65*$B$65*$A$9</f>
        <v>1.1050000000000001E-2</v>
      </c>
      <c r="P65" s="13">
        <v>0</v>
      </c>
      <c r="Q65" s="13"/>
      <c r="R65" s="180">
        <f t="shared" ref="R65:R73" si="22">100-(P65-L65)*10</f>
        <v>100</v>
      </c>
      <c r="S65" s="181">
        <f>+O65*R65</f>
        <v>1.105</v>
      </c>
      <c r="T65" s="13">
        <v>0</v>
      </c>
      <c r="U65" s="189"/>
      <c r="V65" s="180">
        <f t="shared" si="8"/>
        <v>100</v>
      </c>
      <c r="W65" s="181">
        <f>+V65*O65</f>
        <v>1.105</v>
      </c>
      <c r="X65" s="237">
        <f t="shared" si="4"/>
        <v>0</v>
      </c>
    </row>
    <row r="66" spans="1:24" s="166" customFormat="1" ht="53.25" customHeight="1">
      <c r="A66" s="231"/>
      <c r="B66" s="232"/>
      <c r="C66" s="176">
        <v>0</v>
      </c>
      <c r="D66" s="176">
        <v>1</v>
      </c>
      <c r="E66" s="175" t="s">
        <v>18</v>
      </c>
      <c r="F66" s="178" t="s">
        <v>19</v>
      </c>
      <c r="G66" s="175" t="s">
        <v>209</v>
      </c>
      <c r="H66" s="179" t="s">
        <v>135</v>
      </c>
      <c r="I66" s="175" t="s">
        <v>282</v>
      </c>
      <c r="J66" s="179" t="s">
        <v>172</v>
      </c>
      <c r="K66" s="161" t="s">
        <v>58</v>
      </c>
      <c r="L66" s="161">
        <v>0</v>
      </c>
      <c r="M66" s="162" t="s">
        <v>59</v>
      </c>
      <c r="N66" s="177">
        <v>1</v>
      </c>
      <c r="O66" s="164">
        <f t="shared" ref="O66:O67" si="23">N66*D66*C66*$B$65*$A$9</f>
        <v>0</v>
      </c>
      <c r="P66" s="165">
        <v>0</v>
      </c>
      <c r="Q66" s="165"/>
      <c r="R66" s="82">
        <f t="shared" si="22"/>
        <v>100</v>
      </c>
      <c r="S66" s="83">
        <f t="shared" ref="S66:S72" si="24">+O66*R66</f>
        <v>0</v>
      </c>
      <c r="T66" s="165">
        <v>0</v>
      </c>
      <c r="U66" s="162"/>
      <c r="V66" s="82">
        <f t="shared" si="8"/>
        <v>100</v>
      </c>
      <c r="W66" s="83">
        <f>+V66*O66</f>
        <v>0</v>
      </c>
      <c r="X66" s="237">
        <f t="shared" si="4"/>
        <v>0</v>
      </c>
    </row>
    <row r="67" spans="1:24" s="166" customFormat="1" ht="53.25" customHeight="1">
      <c r="A67" s="231"/>
      <c r="B67" s="232"/>
      <c r="C67" s="176">
        <v>0</v>
      </c>
      <c r="D67" s="176">
        <v>1</v>
      </c>
      <c r="E67" s="175" t="s">
        <v>20</v>
      </c>
      <c r="F67" s="178" t="s">
        <v>21</v>
      </c>
      <c r="G67" s="175" t="s">
        <v>210</v>
      </c>
      <c r="H67" s="179" t="s">
        <v>134</v>
      </c>
      <c r="I67" s="175" t="s">
        <v>281</v>
      </c>
      <c r="J67" s="179" t="s">
        <v>177</v>
      </c>
      <c r="K67" s="161" t="s">
        <v>58</v>
      </c>
      <c r="L67" s="161">
        <v>0</v>
      </c>
      <c r="M67" s="162" t="s">
        <v>59</v>
      </c>
      <c r="N67" s="177">
        <v>1</v>
      </c>
      <c r="O67" s="164">
        <f t="shared" si="23"/>
        <v>0</v>
      </c>
      <c r="P67" s="165">
        <v>0</v>
      </c>
      <c r="Q67" s="165"/>
      <c r="R67" s="82">
        <f t="shared" si="22"/>
        <v>100</v>
      </c>
      <c r="S67" s="83">
        <f t="shared" si="24"/>
        <v>0</v>
      </c>
      <c r="T67" s="165">
        <v>0</v>
      </c>
      <c r="U67" s="162"/>
      <c r="V67" s="82">
        <f t="shared" si="8"/>
        <v>100</v>
      </c>
      <c r="W67" s="83">
        <f>+V67*O67</f>
        <v>0</v>
      </c>
      <c r="X67" s="237">
        <f t="shared" si="4"/>
        <v>0</v>
      </c>
    </row>
    <row r="68" spans="1:24" s="31" customFormat="1" ht="63" customHeight="1">
      <c r="A68" s="231"/>
      <c r="B68" s="232"/>
      <c r="C68" s="200">
        <v>0.15</v>
      </c>
      <c r="D68" s="138">
        <v>0.5</v>
      </c>
      <c r="E68" s="208" t="s">
        <v>24</v>
      </c>
      <c r="F68" s="207" t="s">
        <v>25</v>
      </c>
      <c r="G68" s="115" t="s">
        <v>230</v>
      </c>
      <c r="H68" s="134" t="s">
        <v>136</v>
      </c>
      <c r="I68" s="128" t="s">
        <v>245</v>
      </c>
      <c r="J68" s="134" t="s">
        <v>150</v>
      </c>
      <c r="K68" s="18" t="s">
        <v>58</v>
      </c>
      <c r="L68" s="18">
        <v>0</v>
      </c>
      <c r="M68" s="132" t="s">
        <v>59</v>
      </c>
      <c r="N68" s="15">
        <v>1</v>
      </c>
      <c r="O68" s="72">
        <f>N68*D68*$C$68*$B$65*$A$9</f>
        <v>8.2874999999999997E-3</v>
      </c>
      <c r="P68" s="13">
        <v>0</v>
      </c>
      <c r="Q68" s="13"/>
      <c r="R68" s="52">
        <f t="shared" si="22"/>
        <v>100</v>
      </c>
      <c r="S68" s="16">
        <f t="shared" si="24"/>
        <v>0.82874999999999999</v>
      </c>
      <c r="T68" s="13">
        <v>0</v>
      </c>
      <c r="U68" s="189"/>
      <c r="V68" s="52">
        <f t="shared" si="8"/>
        <v>100</v>
      </c>
      <c r="W68" s="16">
        <f>+V68*O68</f>
        <v>0.82874999999999999</v>
      </c>
      <c r="X68" s="237">
        <f t="shared" si="4"/>
        <v>0</v>
      </c>
    </row>
    <row r="69" spans="1:24" s="31" customFormat="1" ht="53.25" customHeight="1">
      <c r="A69" s="231"/>
      <c r="B69" s="232"/>
      <c r="C69" s="200"/>
      <c r="D69" s="138">
        <v>0.5</v>
      </c>
      <c r="E69" s="208"/>
      <c r="F69" s="207"/>
      <c r="G69" s="115" t="s">
        <v>231</v>
      </c>
      <c r="H69" s="134" t="s">
        <v>137</v>
      </c>
      <c r="I69" s="128" t="s">
        <v>244</v>
      </c>
      <c r="J69" s="134" t="s">
        <v>195</v>
      </c>
      <c r="K69" s="18" t="s">
        <v>58</v>
      </c>
      <c r="L69" s="18">
        <v>0</v>
      </c>
      <c r="M69" s="132" t="s">
        <v>59</v>
      </c>
      <c r="N69" s="98">
        <v>1</v>
      </c>
      <c r="O69" s="72">
        <f>N69*D69*$C$68*$B$65*$A$9</f>
        <v>8.2874999999999997E-3</v>
      </c>
      <c r="P69" s="13">
        <v>0</v>
      </c>
      <c r="Q69" s="13"/>
      <c r="R69" s="52">
        <f t="shared" si="22"/>
        <v>100</v>
      </c>
      <c r="S69" s="16">
        <f>+O69*R69</f>
        <v>0.82874999999999999</v>
      </c>
      <c r="T69" s="13">
        <v>0</v>
      </c>
      <c r="U69" s="189"/>
      <c r="V69" s="52">
        <f t="shared" si="8"/>
        <v>100</v>
      </c>
      <c r="W69" s="16">
        <f>+V69*O69</f>
        <v>0.82874999999999999</v>
      </c>
      <c r="X69" s="237">
        <f t="shared" si="4"/>
        <v>0</v>
      </c>
    </row>
    <row r="70" spans="1:24" s="31" customFormat="1" ht="53.25" customHeight="1">
      <c r="A70" s="231"/>
      <c r="B70" s="232"/>
      <c r="C70" s="127">
        <v>0.09</v>
      </c>
      <c r="D70" s="127">
        <v>1</v>
      </c>
      <c r="E70" s="56" t="s">
        <v>326</v>
      </c>
      <c r="F70" s="56" t="s">
        <v>327</v>
      </c>
      <c r="G70" s="120" t="s">
        <v>328</v>
      </c>
      <c r="H70" s="121" t="s">
        <v>329</v>
      </c>
      <c r="I70" s="122" t="s">
        <v>330</v>
      </c>
      <c r="J70" s="123" t="s">
        <v>329</v>
      </c>
      <c r="K70" s="14" t="s">
        <v>331</v>
      </c>
      <c r="L70" s="14">
        <v>0</v>
      </c>
      <c r="M70" s="132" t="s">
        <v>59</v>
      </c>
      <c r="N70" s="98">
        <v>1</v>
      </c>
      <c r="O70" s="72">
        <f>N70*D70*C70*B65*A9</f>
        <v>9.9450000000000007E-3</v>
      </c>
      <c r="P70" s="13">
        <v>0</v>
      </c>
      <c r="Q70" s="13"/>
      <c r="R70" s="52">
        <f t="shared" ref="R70" si="25">100+(P70-L70)*10</f>
        <v>100</v>
      </c>
      <c r="S70" s="16">
        <f>+O70*R70</f>
        <v>0.99450000000000005</v>
      </c>
      <c r="T70" s="13">
        <v>1</v>
      </c>
      <c r="U70" s="189">
        <f>T70-L70</f>
        <v>1</v>
      </c>
      <c r="V70" s="52">
        <f>IF(U70&gt;=0,100,0)</f>
        <v>100</v>
      </c>
      <c r="W70" s="16">
        <f>V70*O70</f>
        <v>0.99450000000000005</v>
      </c>
      <c r="X70" s="237">
        <f t="shared" si="4"/>
        <v>0</v>
      </c>
    </row>
    <row r="71" spans="1:24" s="31" customFormat="1" ht="65.25" customHeight="1">
      <c r="A71" s="231"/>
      <c r="B71" s="232"/>
      <c r="C71" s="200">
        <v>0.2</v>
      </c>
      <c r="D71" s="197">
        <v>1</v>
      </c>
      <c r="E71" s="207" t="s">
        <v>26</v>
      </c>
      <c r="F71" s="207" t="s">
        <v>27</v>
      </c>
      <c r="G71" s="208" t="s">
        <v>232</v>
      </c>
      <c r="H71" s="207" t="s">
        <v>27</v>
      </c>
      <c r="I71" s="128" t="s">
        <v>243</v>
      </c>
      <c r="J71" s="56" t="s">
        <v>196</v>
      </c>
      <c r="K71" s="18" t="s">
        <v>314</v>
      </c>
      <c r="L71" s="18">
        <v>4</v>
      </c>
      <c r="M71" s="132" t="s">
        <v>59</v>
      </c>
      <c r="N71" s="98">
        <v>0.5</v>
      </c>
      <c r="O71" s="72">
        <f>N71*$D$71*$C$71*$B$65*$A$9</f>
        <v>1.1050000000000001E-2</v>
      </c>
      <c r="P71" s="13">
        <v>4</v>
      </c>
      <c r="Q71" s="13"/>
      <c r="R71" s="52">
        <f>100+(P71-L71)*10</f>
        <v>100</v>
      </c>
      <c r="S71" s="16">
        <f t="shared" si="24"/>
        <v>1.105</v>
      </c>
      <c r="T71" s="13">
        <v>4</v>
      </c>
      <c r="U71" s="189">
        <f>T71-L71</f>
        <v>0</v>
      </c>
      <c r="V71" s="52">
        <f>IF(U71&gt;=0,100,0)</f>
        <v>100</v>
      </c>
      <c r="W71" s="16">
        <f t="shared" ref="W71:W72" si="26">+V71*O71</f>
        <v>1.105</v>
      </c>
      <c r="X71" s="237">
        <f t="shared" si="4"/>
        <v>0</v>
      </c>
    </row>
    <row r="72" spans="1:24" s="31" customFormat="1" ht="64.5" customHeight="1">
      <c r="A72" s="231"/>
      <c r="B72" s="232"/>
      <c r="C72" s="200"/>
      <c r="D72" s="198"/>
      <c r="E72" s="207"/>
      <c r="F72" s="207"/>
      <c r="G72" s="208"/>
      <c r="H72" s="207"/>
      <c r="I72" s="122" t="s">
        <v>242</v>
      </c>
      <c r="J72" s="124" t="s">
        <v>332</v>
      </c>
      <c r="K72" s="18" t="s">
        <v>58</v>
      </c>
      <c r="L72" s="18">
        <v>0</v>
      </c>
      <c r="M72" s="132" t="s">
        <v>59</v>
      </c>
      <c r="N72" s="98">
        <v>0.5</v>
      </c>
      <c r="O72" s="72">
        <f>N72*$D$71*$C$71*$B$65*$A$9</f>
        <v>1.1050000000000001E-2</v>
      </c>
      <c r="P72" s="13">
        <v>0</v>
      </c>
      <c r="Q72" s="13"/>
      <c r="R72" s="52">
        <f t="shared" si="22"/>
        <v>100</v>
      </c>
      <c r="S72" s="16">
        <f t="shared" si="24"/>
        <v>1.105</v>
      </c>
      <c r="T72" s="13">
        <v>0</v>
      </c>
      <c r="U72" s="189"/>
      <c r="V72" s="52">
        <f t="shared" si="8"/>
        <v>100</v>
      </c>
      <c r="W72" s="16">
        <f t="shared" si="26"/>
        <v>1.105</v>
      </c>
      <c r="X72" s="237">
        <f t="shared" si="4"/>
        <v>0</v>
      </c>
    </row>
    <row r="73" spans="1:24" s="31" customFormat="1" ht="63">
      <c r="A73" s="231"/>
      <c r="B73" s="232"/>
      <c r="C73" s="200">
        <v>0.18</v>
      </c>
      <c r="D73" s="197">
        <v>1</v>
      </c>
      <c r="E73" s="208" t="s">
        <v>28</v>
      </c>
      <c r="F73" s="207" t="s">
        <v>29</v>
      </c>
      <c r="G73" s="208" t="s">
        <v>233</v>
      </c>
      <c r="H73" s="205" t="s">
        <v>157</v>
      </c>
      <c r="I73" s="128" t="s">
        <v>241</v>
      </c>
      <c r="J73" s="56" t="s">
        <v>197</v>
      </c>
      <c r="K73" s="14" t="s">
        <v>333</v>
      </c>
      <c r="L73" s="18">
        <v>0</v>
      </c>
      <c r="M73" s="132" t="s">
        <v>59</v>
      </c>
      <c r="N73" s="98">
        <v>0.5</v>
      </c>
      <c r="O73" s="72">
        <f>N73*$D$73*$C$73*$B$65*$A$9</f>
        <v>9.9450000000000007E-3</v>
      </c>
      <c r="P73" s="13">
        <v>0</v>
      </c>
      <c r="Q73" s="13"/>
      <c r="R73" s="52">
        <f t="shared" si="22"/>
        <v>100</v>
      </c>
      <c r="S73" s="16">
        <f>+O73*R73</f>
        <v>0.99450000000000005</v>
      </c>
      <c r="T73" s="13">
        <v>0</v>
      </c>
      <c r="U73" s="189"/>
      <c r="V73" s="52">
        <f t="shared" si="8"/>
        <v>100</v>
      </c>
      <c r="W73" s="16">
        <f>+V73*O73</f>
        <v>0.99450000000000005</v>
      </c>
      <c r="X73" s="237">
        <f t="shared" si="4"/>
        <v>0</v>
      </c>
    </row>
    <row r="74" spans="1:24" s="31" customFormat="1" ht="53.25" customHeight="1">
      <c r="A74" s="231"/>
      <c r="B74" s="232"/>
      <c r="C74" s="200"/>
      <c r="D74" s="198"/>
      <c r="E74" s="208"/>
      <c r="F74" s="207"/>
      <c r="G74" s="208"/>
      <c r="H74" s="205"/>
      <c r="I74" s="128" t="s">
        <v>240</v>
      </c>
      <c r="J74" s="56" t="s">
        <v>198</v>
      </c>
      <c r="K74" s="14" t="s">
        <v>334</v>
      </c>
      <c r="L74" s="18">
        <v>1</v>
      </c>
      <c r="M74" s="132" t="s">
        <v>59</v>
      </c>
      <c r="N74" s="98">
        <v>0.5</v>
      </c>
      <c r="O74" s="72">
        <f>N74*$D$73*$C$73*$B$65*$A$9</f>
        <v>9.9450000000000007E-3</v>
      </c>
      <c r="P74" s="13">
        <v>1</v>
      </c>
      <c r="Q74" s="13"/>
      <c r="R74" s="52">
        <f>100+(P74-L74)*10</f>
        <v>100</v>
      </c>
      <c r="S74" s="16">
        <f>+O74*R74</f>
        <v>0.99450000000000005</v>
      </c>
      <c r="T74" s="13">
        <v>1</v>
      </c>
      <c r="U74" s="189">
        <f>T74-L74</f>
        <v>0</v>
      </c>
      <c r="V74" s="52">
        <f>IF(U74&gt;=0,100,0)</f>
        <v>100</v>
      </c>
      <c r="W74" s="16">
        <f>+V74*O74</f>
        <v>0.99450000000000005</v>
      </c>
      <c r="X74" s="237">
        <f t="shared" si="4"/>
        <v>0</v>
      </c>
    </row>
    <row r="75" spans="1:24" s="31" customFormat="1" ht="53.25" customHeight="1">
      <c r="A75" s="231"/>
      <c r="B75" s="232"/>
      <c r="C75" s="200">
        <v>0.18</v>
      </c>
      <c r="D75" s="197">
        <v>1</v>
      </c>
      <c r="E75" s="208" t="s">
        <v>30</v>
      </c>
      <c r="F75" s="207" t="s">
        <v>31</v>
      </c>
      <c r="G75" s="206" t="s">
        <v>234</v>
      </c>
      <c r="H75" s="205" t="s">
        <v>158</v>
      </c>
      <c r="I75" s="11" t="s">
        <v>159</v>
      </c>
      <c r="J75" s="56" t="s">
        <v>199</v>
      </c>
      <c r="K75" s="14" t="s">
        <v>335</v>
      </c>
      <c r="L75" s="146" t="s">
        <v>336</v>
      </c>
      <c r="M75" s="132" t="s">
        <v>59</v>
      </c>
      <c r="N75" s="98">
        <v>0.5</v>
      </c>
      <c r="O75" s="72">
        <f>N75*$D$75*$C$75*$B$65*$A$9</f>
        <v>9.9450000000000007E-3</v>
      </c>
      <c r="P75" s="13">
        <v>0</v>
      </c>
      <c r="Q75" s="13"/>
      <c r="R75" s="52">
        <v>100</v>
      </c>
      <c r="S75" s="16">
        <f>+O75*R75</f>
        <v>0.99450000000000005</v>
      </c>
      <c r="T75" s="13">
        <v>73</v>
      </c>
      <c r="U75" s="189"/>
      <c r="V75" s="52">
        <f>IF(T75&gt;=70,100,0)</f>
        <v>100</v>
      </c>
      <c r="W75" s="16">
        <f>+V75*O75</f>
        <v>0.99450000000000005</v>
      </c>
      <c r="X75" s="237">
        <f t="shared" si="4"/>
        <v>0</v>
      </c>
    </row>
    <row r="76" spans="1:24" s="31" customFormat="1" ht="53.25" customHeight="1">
      <c r="A76" s="231"/>
      <c r="B76" s="232"/>
      <c r="C76" s="200"/>
      <c r="D76" s="198"/>
      <c r="E76" s="208"/>
      <c r="F76" s="207"/>
      <c r="G76" s="206"/>
      <c r="H76" s="205"/>
      <c r="I76" s="11" t="s">
        <v>160</v>
      </c>
      <c r="J76" s="56" t="s">
        <v>200</v>
      </c>
      <c r="K76" s="14" t="s">
        <v>334</v>
      </c>
      <c r="L76" s="14">
        <v>1</v>
      </c>
      <c r="M76" s="132" t="s">
        <v>59</v>
      </c>
      <c r="N76" s="98">
        <v>0.5</v>
      </c>
      <c r="O76" s="72">
        <f>N76*$D$75*$C$75*$B$65*$A$9</f>
        <v>9.9450000000000007E-3</v>
      </c>
      <c r="P76" s="13">
        <v>1</v>
      </c>
      <c r="Q76" s="13"/>
      <c r="R76" s="52">
        <v>100</v>
      </c>
      <c r="S76" s="16">
        <f>+O76*R76</f>
        <v>0.99450000000000005</v>
      </c>
      <c r="T76" s="13">
        <v>1</v>
      </c>
      <c r="U76" s="189">
        <f>T76-L76</f>
        <v>0</v>
      </c>
      <c r="V76" s="52">
        <f>IF(U76&gt;=0,100,0)</f>
        <v>100</v>
      </c>
      <c r="W76" s="16">
        <f>+V76*O76</f>
        <v>0.99450000000000005</v>
      </c>
      <c r="X76" s="237">
        <f t="shared" si="4"/>
        <v>0</v>
      </c>
    </row>
    <row r="77" spans="1:24" s="31" customFormat="1" ht="93.75" customHeight="1">
      <c r="A77" s="231"/>
      <c r="B77" s="232"/>
      <c r="C77" s="138">
        <v>0.1</v>
      </c>
      <c r="D77" s="138">
        <v>1</v>
      </c>
      <c r="E77" s="128" t="s">
        <v>32</v>
      </c>
      <c r="F77" s="133" t="s">
        <v>33</v>
      </c>
      <c r="G77" s="137" t="s">
        <v>235</v>
      </c>
      <c r="H77" s="135" t="s">
        <v>164</v>
      </c>
      <c r="I77" s="75" t="s">
        <v>239</v>
      </c>
      <c r="J77" s="116" t="s">
        <v>164</v>
      </c>
      <c r="K77" s="14" t="s">
        <v>335</v>
      </c>
      <c r="L77" s="18">
        <v>100</v>
      </c>
      <c r="M77" s="132" t="s">
        <v>59</v>
      </c>
      <c r="N77" s="98">
        <v>1</v>
      </c>
      <c r="O77" s="72">
        <f>N77*D77*C77*B65*A9</f>
        <v>1.1050000000000001E-2</v>
      </c>
      <c r="P77" s="13">
        <v>100</v>
      </c>
      <c r="Q77" s="13"/>
      <c r="R77" s="52">
        <v>100</v>
      </c>
      <c r="S77" s="16">
        <f>+O77*R77</f>
        <v>1.105</v>
      </c>
      <c r="T77" s="13">
        <v>100</v>
      </c>
      <c r="U77" s="189"/>
      <c r="V77" s="52">
        <f>IF(T77&gt;=95,100,0)</f>
        <v>100</v>
      </c>
      <c r="W77" s="16">
        <f>+V77*O77</f>
        <v>1.105</v>
      </c>
      <c r="X77" s="237">
        <f t="shared" ref="X77:X85" si="27">W77-S77</f>
        <v>0</v>
      </c>
    </row>
    <row r="78" spans="1:24" s="31" customFormat="1" ht="53.25" customHeight="1">
      <c r="A78" s="214">
        <v>0.15</v>
      </c>
      <c r="B78" s="38"/>
      <c r="C78" s="38"/>
      <c r="D78" s="38"/>
      <c r="E78" s="39" t="s">
        <v>85</v>
      </c>
      <c r="F78" s="213" t="s">
        <v>110</v>
      </c>
      <c r="G78" s="213"/>
      <c r="H78" s="213"/>
      <c r="I78" s="213"/>
      <c r="J78" s="213"/>
      <c r="K78" s="213"/>
      <c r="L78" s="213"/>
      <c r="M78" s="213"/>
      <c r="N78" s="36"/>
      <c r="O78" s="36"/>
      <c r="P78" s="132"/>
      <c r="Q78" s="132"/>
      <c r="R78" s="133"/>
      <c r="S78" s="117">
        <f>SUM(S79:S80)</f>
        <v>15</v>
      </c>
      <c r="T78" s="189"/>
      <c r="U78" s="189"/>
      <c r="V78" s="52"/>
      <c r="W78" s="117"/>
      <c r="X78" s="237">
        <f t="shared" si="27"/>
        <v>-15</v>
      </c>
    </row>
    <row r="79" spans="1:24" s="31" customFormat="1" ht="53.25" customHeight="1">
      <c r="A79" s="214"/>
      <c r="B79" s="40">
        <v>0.7</v>
      </c>
      <c r="C79" s="138">
        <v>1</v>
      </c>
      <c r="D79" s="138">
        <v>1</v>
      </c>
      <c r="E79" s="20" t="s">
        <v>86</v>
      </c>
      <c r="F79" s="134" t="s">
        <v>87</v>
      </c>
      <c r="G79" s="118" t="s">
        <v>165</v>
      </c>
      <c r="H79" s="134" t="s">
        <v>87</v>
      </c>
      <c r="I79" s="118" t="s">
        <v>167</v>
      </c>
      <c r="J79" s="134" t="s">
        <v>87</v>
      </c>
      <c r="K79" s="18" t="s">
        <v>127</v>
      </c>
      <c r="L79" s="18">
        <v>5</v>
      </c>
      <c r="M79" s="132" t="s">
        <v>59</v>
      </c>
      <c r="N79" s="19">
        <v>1</v>
      </c>
      <c r="O79" s="73">
        <f>N79*D79*C79*B79*$A$78</f>
        <v>0.105</v>
      </c>
      <c r="P79" s="132">
        <v>4</v>
      </c>
      <c r="Q79" s="132"/>
      <c r="R79" s="52">
        <f>IF(P79=5, 110, IF(P79=4, 100, IF(P79=3, 80, IF(P79=2, 50, IF(P79=1,0,0)))))</f>
        <v>100</v>
      </c>
      <c r="S79" s="16">
        <f>+O79*R79</f>
        <v>10.5</v>
      </c>
      <c r="T79" s="189"/>
      <c r="U79" s="189"/>
      <c r="V79" s="52">
        <v>100</v>
      </c>
      <c r="W79" s="16">
        <f>+V79*O79</f>
        <v>10.5</v>
      </c>
      <c r="X79" s="237">
        <f t="shared" si="27"/>
        <v>0</v>
      </c>
    </row>
    <row r="80" spans="1:24" s="31" customFormat="1" ht="53.25" customHeight="1">
      <c r="A80" s="214"/>
      <c r="B80" s="40">
        <v>0.3</v>
      </c>
      <c r="C80" s="138">
        <v>1</v>
      </c>
      <c r="D80" s="138">
        <v>1</v>
      </c>
      <c r="E80" s="20" t="s">
        <v>88</v>
      </c>
      <c r="F80" s="134" t="s">
        <v>89</v>
      </c>
      <c r="G80" s="20" t="s">
        <v>166</v>
      </c>
      <c r="H80" s="134" t="s">
        <v>89</v>
      </c>
      <c r="I80" s="20" t="s">
        <v>168</v>
      </c>
      <c r="J80" s="134" t="s">
        <v>89</v>
      </c>
      <c r="K80" s="18" t="s">
        <v>127</v>
      </c>
      <c r="L80" s="18">
        <v>3</v>
      </c>
      <c r="M80" s="132" t="s">
        <v>59</v>
      </c>
      <c r="N80" s="19">
        <v>1</v>
      </c>
      <c r="O80" s="73">
        <f>N80*D80*C80*B80*$A$78</f>
        <v>4.4999999999999998E-2</v>
      </c>
      <c r="P80" s="132">
        <v>3</v>
      </c>
      <c r="Q80" s="132"/>
      <c r="R80" s="52">
        <f>IF(P80=3, 100, IF(P80=2, 50, IF(P80=1, 0, 0)))</f>
        <v>100</v>
      </c>
      <c r="S80" s="16">
        <f>+O80*R80</f>
        <v>4.5</v>
      </c>
      <c r="T80" s="189"/>
      <c r="U80" s="189"/>
      <c r="V80" s="52">
        <v>100</v>
      </c>
      <c r="W80" s="16">
        <f>+V80*O80</f>
        <v>4.5</v>
      </c>
      <c r="X80" s="237">
        <f t="shared" si="27"/>
        <v>0</v>
      </c>
    </row>
    <row r="81" spans="1:24" s="31" customFormat="1" ht="53.25" customHeight="1">
      <c r="A81" s="41"/>
      <c r="B81" s="38"/>
      <c r="C81" s="38"/>
      <c r="D81" s="38"/>
      <c r="E81" s="119" t="s">
        <v>17</v>
      </c>
      <c r="F81" s="213" t="s">
        <v>90</v>
      </c>
      <c r="G81" s="213"/>
      <c r="H81" s="213"/>
      <c r="I81" s="213"/>
      <c r="J81" s="213"/>
      <c r="K81" s="213"/>
      <c r="L81" s="213"/>
      <c r="M81" s="213"/>
      <c r="N81" s="19"/>
      <c r="O81" s="19"/>
      <c r="P81" s="132"/>
      <c r="Q81" s="132"/>
      <c r="R81" s="52"/>
      <c r="S81" s="147">
        <f>SUM(S82:S84)</f>
        <v>0</v>
      </c>
      <c r="T81" s="189">
        <v>0</v>
      </c>
      <c r="U81" s="189"/>
      <c r="V81" s="148"/>
      <c r="W81" s="147">
        <f>2*T81</f>
        <v>0</v>
      </c>
      <c r="X81" s="237">
        <f t="shared" si="27"/>
        <v>0</v>
      </c>
    </row>
    <row r="82" spans="1:24" s="31" customFormat="1" ht="53.25" customHeight="1">
      <c r="A82" s="41"/>
      <c r="B82" s="38"/>
      <c r="C82" s="38"/>
      <c r="D82" s="38"/>
      <c r="E82" s="219" t="s">
        <v>5</v>
      </c>
      <c r="F82" s="218" t="s">
        <v>153</v>
      </c>
      <c r="G82" s="201" t="s">
        <v>203</v>
      </c>
      <c r="H82" s="218" t="s">
        <v>153</v>
      </c>
      <c r="I82" s="7" t="s">
        <v>238</v>
      </c>
      <c r="J82" s="10" t="s">
        <v>129</v>
      </c>
      <c r="K82" s="18" t="s">
        <v>132</v>
      </c>
      <c r="L82" s="18">
        <v>0</v>
      </c>
      <c r="M82" s="132" t="s">
        <v>59</v>
      </c>
      <c r="N82" s="19">
        <v>1</v>
      </c>
      <c r="O82" s="19"/>
      <c r="P82" s="132"/>
      <c r="Q82" s="132"/>
      <c r="R82" s="133"/>
      <c r="S82" s="16">
        <f>+P82*2</f>
        <v>0</v>
      </c>
      <c r="T82" s="189"/>
      <c r="U82" s="189"/>
      <c r="V82" s="52"/>
      <c r="W82" s="16">
        <f>+T82*2</f>
        <v>0</v>
      </c>
      <c r="X82" s="237">
        <f t="shared" si="27"/>
        <v>0</v>
      </c>
    </row>
    <row r="83" spans="1:24" s="31" customFormat="1" ht="53.25" customHeight="1">
      <c r="A83" s="41"/>
      <c r="B83" s="38"/>
      <c r="C83" s="38"/>
      <c r="D83" s="38"/>
      <c r="E83" s="219"/>
      <c r="F83" s="218"/>
      <c r="G83" s="201"/>
      <c r="H83" s="218"/>
      <c r="I83" s="7" t="s">
        <v>291</v>
      </c>
      <c r="J83" s="10" t="s">
        <v>130</v>
      </c>
      <c r="K83" s="132" t="s">
        <v>131</v>
      </c>
      <c r="L83" s="18">
        <v>0</v>
      </c>
      <c r="M83" s="132" t="s">
        <v>59</v>
      </c>
      <c r="N83" s="19"/>
      <c r="O83" s="19"/>
      <c r="P83" s="132"/>
      <c r="Q83" s="132"/>
      <c r="R83" s="133"/>
      <c r="S83" s="16">
        <f>+P83*0.5</f>
        <v>0</v>
      </c>
      <c r="T83" s="189"/>
      <c r="U83" s="189"/>
      <c r="V83" s="52"/>
      <c r="W83" s="16">
        <f>+T83*0.5</f>
        <v>0</v>
      </c>
      <c r="X83" s="237">
        <f t="shared" si="27"/>
        <v>0</v>
      </c>
    </row>
    <row r="84" spans="1:24" ht="53.25" customHeight="1">
      <c r="A84" s="41"/>
      <c r="B84" s="35"/>
      <c r="C84" s="35"/>
      <c r="D84" s="35"/>
      <c r="E84" s="20" t="s">
        <v>6</v>
      </c>
      <c r="F84" s="116" t="s">
        <v>91</v>
      </c>
      <c r="G84" s="75" t="s">
        <v>236</v>
      </c>
      <c r="H84" s="116" t="s">
        <v>91</v>
      </c>
      <c r="I84" s="75" t="s">
        <v>237</v>
      </c>
      <c r="J84" s="116" t="s">
        <v>91</v>
      </c>
      <c r="K84" s="17" t="s">
        <v>128</v>
      </c>
      <c r="L84" s="17">
        <v>0</v>
      </c>
      <c r="M84" s="14" t="s">
        <v>59</v>
      </c>
      <c r="N84" s="19">
        <v>1</v>
      </c>
      <c r="O84" s="19"/>
      <c r="P84" s="132"/>
      <c r="Q84" s="132"/>
      <c r="R84" s="133"/>
      <c r="S84" s="16">
        <f>0.2*P84</f>
        <v>0</v>
      </c>
      <c r="T84" s="189"/>
      <c r="U84" s="189"/>
      <c r="V84" s="52"/>
      <c r="W84" s="16">
        <f>+T84*0.2</f>
        <v>0</v>
      </c>
      <c r="X84" s="237">
        <f t="shared" si="27"/>
        <v>0</v>
      </c>
    </row>
    <row r="85" spans="1:24" s="26" customFormat="1" ht="53.25" customHeight="1">
      <c r="A85" s="149"/>
      <c r="B85" s="150"/>
      <c r="C85" s="150"/>
      <c r="D85" s="150"/>
      <c r="E85" s="136"/>
      <c r="F85" s="201" t="s">
        <v>92</v>
      </c>
      <c r="G85" s="201"/>
      <c r="H85" s="201"/>
      <c r="I85" s="201"/>
      <c r="J85" s="201"/>
      <c r="K85" s="151"/>
      <c r="L85" s="151"/>
      <c r="M85" s="126"/>
      <c r="N85" s="36"/>
      <c r="O85" s="36">
        <f>SUM(O12:O84)</f>
        <v>0.99999999999999989</v>
      </c>
      <c r="P85" s="136"/>
      <c r="Q85" s="136"/>
      <c r="R85" s="69"/>
      <c r="S85" s="152">
        <f>+S81+S78+S9</f>
        <v>100.42500000000004</v>
      </c>
      <c r="T85" s="190"/>
      <c r="U85" s="190"/>
      <c r="V85" s="153"/>
      <c r="W85" s="196">
        <f>SUM(W12:W84)</f>
        <v>100.42500000000004</v>
      </c>
      <c r="X85" s="237">
        <f t="shared" si="27"/>
        <v>0</v>
      </c>
    </row>
    <row r="86" spans="1:24" ht="53.25" customHeight="1">
      <c r="A86" s="35"/>
      <c r="B86" s="35"/>
      <c r="C86" s="35"/>
      <c r="D86" s="35"/>
      <c r="E86" s="9"/>
      <c r="F86" s="217" t="s">
        <v>154</v>
      </c>
      <c r="G86" s="217"/>
      <c r="H86" s="217"/>
      <c r="I86" s="217"/>
      <c r="J86" s="217"/>
      <c r="K86" s="17"/>
      <c r="L86" s="17"/>
      <c r="M86" s="64"/>
      <c r="N86" s="36"/>
      <c r="O86" s="36"/>
      <c r="P86" s="65"/>
      <c r="Q86" s="65"/>
      <c r="R86" s="66"/>
      <c r="S86" s="67" t="str">
        <f>IF(S85&gt;105, "A", IF(100&lt;S85,"B", IF(95&lt;=S85, "C", IF(90&lt;=S85,"D","E"))))</f>
        <v>B</v>
      </c>
      <c r="T86" s="96"/>
      <c r="U86" s="96"/>
      <c r="V86" s="96"/>
      <c r="W86" s="97"/>
    </row>
    <row r="87" spans="1:24" ht="53.25" customHeight="1">
      <c r="E87" s="21"/>
      <c r="F87" s="42"/>
      <c r="G87" s="22"/>
      <c r="H87" s="43"/>
      <c r="I87" s="22"/>
      <c r="J87" s="44"/>
      <c r="K87" s="45"/>
      <c r="L87" s="45"/>
      <c r="M87" s="43"/>
      <c r="N87" s="46"/>
      <c r="O87" s="46"/>
      <c r="P87" s="47"/>
      <c r="Q87" s="47"/>
      <c r="R87" s="48"/>
    </row>
    <row r="89" spans="1:24" s="25" customFormat="1" ht="53.25" customHeight="1">
      <c r="E89" s="23"/>
      <c r="F89" s="216" t="s">
        <v>93</v>
      </c>
      <c r="G89" s="216"/>
      <c r="H89" s="216"/>
      <c r="I89" s="24"/>
      <c r="J89" s="24"/>
      <c r="M89" s="215" t="s">
        <v>94</v>
      </c>
      <c r="N89" s="215"/>
      <c r="O89" s="215"/>
      <c r="P89" s="215"/>
      <c r="Q89" s="215"/>
      <c r="R89" s="215"/>
      <c r="S89" s="215"/>
      <c r="T89" s="26"/>
      <c r="U89" s="26"/>
      <c r="V89" s="26"/>
      <c r="W89" s="26"/>
    </row>
  </sheetData>
  <mergeCells count="131">
    <mergeCell ref="H39:H41"/>
    <mergeCell ref="G39:G41"/>
    <mergeCell ref="H36:H37"/>
    <mergeCell ref="G36:G37"/>
    <mergeCell ref="N3:N6"/>
    <mergeCell ref="M3:M6"/>
    <mergeCell ref="K3:L3"/>
    <mergeCell ref="I1:R1"/>
    <mergeCell ref="B19:B63"/>
    <mergeCell ref="F18:M18"/>
    <mergeCell ref="H13:H16"/>
    <mergeCell ref="G13:G16"/>
    <mergeCell ref="A1:G2"/>
    <mergeCell ref="A9:A77"/>
    <mergeCell ref="B65:B77"/>
    <mergeCell ref="C3:C6"/>
    <mergeCell ref="B3:B6"/>
    <mergeCell ref="A3:A6"/>
    <mergeCell ref="F13:F16"/>
    <mergeCell ref="E13:E16"/>
    <mergeCell ref="F11:M11"/>
    <mergeCell ref="C11:C17"/>
    <mergeCell ref="F10:M10"/>
    <mergeCell ref="B10:B17"/>
    <mergeCell ref="F9:M9"/>
    <mergeCell ref="E4:E6"/>
    <mergeCell ref="F4:F6"/>
    <mergeCell ref="E3:F3"/>
    <mergeCell ref="G33:G35"/>
    <mergeCell ref="H31:H32"/>
    <mergeCell ref="G31:G32"/>
    <mergeCell ref="H29:H30"/>
    <mergeCell ref="G29:G30"/>
    <mergeCell ref="H33:H35"/>
    <mergeCell ref="F25:M25"/>
    <mergeCell ref="F23:M23"/>
    <mergeCell ref="F21:M21"/>
    <mergeCell ref="F19:M19"/>
    <mergeCell ref="H27:H28"/>
    <mergeCell ref="G27:G28"/>
    <mergeCell ref="S1:W1"/>
    <mergeCell ref="H4:H6"/>
    <mergeCell ref="G4:G6"/>
    <mergeCell ref="I3:J3"/>
    <mergeCell ref="G3:H3"/>
    <mergeCell ref="T5:W5"/>
    <mergeCell ref="K4:K6"/>
    <mergeCell ref="J4:J6"/>
    <mergeCell ref="L4:L6"/>
    <mergeCell ref="O3:O6"/>
    <mergeCell ref="P3:W4"/>
    <mergeCell ref="I4:I6"/>
    <mergeCell ref="S2:V2"/>
    <mergeCell ref="M2:R2"/>
    <mergeCell ref="I2:L2"/>
    <mergeCell ref="P5:S5"/>
    <mergeCell ref="F56:F57"/>
    <mergeCell ref="E56:E57"/>
    <mergeCell ref="F55:M55"/>
    <mergeCell ref="G43:G45"/>
    <mergeCell ref="F43:F45"/>
    <mergeCell ref="E43:E45"/>
    <mergeCell ref="H49:H50"/>
    <mergeCell ref="G49:G50"/>
    <mergeCell ref="F49:F50"/>
    <mergeCell ref="E49:E50"/>
    <mergeCell ref="H47:H48"/>
    <mergeCell ref="G47:G48"/>
    <mergeCell ref="F47:F48"/>
    <mergeCell ref="E47:E48"/>
    <mergeCell ref="F46:M46"/>
    <mergeCell ref="H51:H54"/>
    <mergeCell ref="G51:G54"/>
    <mergeCell ref="F51:F54"/>
    <mergeCell ref="E51:E54"/>
    <mergeCell ref="H43:H45"/>
    <mergeCell ref="F78:M78"/>
    <mergeCell ref="E73:E74"/>
    <mergeCell ref="F73:F74"/>
    <mergeCell ref="G73:G74"/>
    <mergeCell ref="A78:A80"/>
    <mergeCell ref="M89:S89"/>
    <mergeCell ref="F89:H89"/>
    <mergeCell ref="F86:J86"/>
    <mergeCell ref="F85:J85"/>
    <mergeCell ref="H73:H74"/>
    <mergeCell ref="H82:H83"/>
    <mergeCell ref="G82:G83"/>
    <mergeCell ref="F82:F83"/>
    <mergeCell ref="E82:E83"/>
    <mergeCell ref="F81:M81"/>
    <mergeCell ref="D3:D6"/>
    <mergeCell ref="D27:D28"/>
    <mergeCell ref="D29:D30"/>
    <mergeCell ref="D31:D32"/>
    <mergeCell ref="D33:D35"/>
    <mergeCell ref="D36:D37"/>
    <mergeCell ref="D39:D41"/>
    <mergeCell ref="H75:H76"/>
    <mergeCell ref="G75:G76"/>
    <mergeCell ref="F75:F76"/>
    <mergeCell ref="E75:E76"/>
    <mergeCell ref="F68:F69"/>
    <mergeCell ref="E68:E69"/>
    <mergeCell ref="F59:M59"/>
    <mergeCell ref="E71:E72"/>
    <mergeCell ref="E64:N64"/>
    <mergeCell ref="E26:E41"/>
    <mergeCell ref="F26:F41"/>
    <mergeCell ref="H71:H72"/>
    <mergeCell ref="G71:G72"/>
    <mergeCell ref="F71:F72"/>
    <mergeCell ref="F62:M62"/>
    <mergeCell ref="H56:H57"/>
    <mergeCell ref="G56:G57"/>
    <mergeCell ref="C60:C61"/>
    <mergeCell ref="D75:D76"/>
    <mergeCell ref="D73:D74"/>
    <mergeCell ref="D43:D45"/>
    <mergeCell ref="D47:D48"/>
    <mergeCell ref="D49:D50"/>
    <mergeCell ref="D51:D54"/>
    <mergeCell ref="C56:C58"/>
    <mergeCell ref="D56:D57"/>
    <mergeCell ref="C73:C74"/>
    <mergeCell ref="C75:C76"/>
    <mergeCell ref="C68:C69"/>
    <mergeCell ref="C71:C72"/>
    <mergeCell ref="C47:C54"/>
    <mergeCell ref="C26:C45"/>
    <mergeCell ref="D71:D72"/>
  </mergeCells>
  <pageMargins left="0" right="0" top="0" bottom="0"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KPI-TP4 (Sơn)</vt:lpstr>
      <vt:lpstr>'KPI-TP4 (Sơn)'!Print_Titles</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2018-05-25T08:30:53Z</cp:lastPrinted>
  <dcterms:created xsi:type="dcterms:W3CDTF">2016-11-18T02:13:24Z</dcterms:created>
  <dcterms:modified xsi:type="dcterms:W3CDTF">2018-10-16T16:36:14Z</dcterms:modified>
</cp:coreProperties>
</file>