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38860" yWindow="1120" windowWidth="22940" windowHeight="14000"/>
  </bookViews>
  <sheets>
    <sheet name="Finished Goods" sheetId="1" r:id="rId1"/>
  </sheets>
  <definedNames>
    <definedName name="_xlnm.Print_Titles" localSheetId="0">'Finished Goods'!$3:$5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54" i="1" l="1"/>
  <c r="A1654" i="1"/>
  <c r="E1653" i="1"/>
  <c r="A1653" i="1"/>
  <c r="E1652" i="1"/>
  <c r="A1652" i="1"/>
  <c r="E1651" i="1"/>
  <c r="A1651" i="1"/>
  <c r="E1650" i="1"/>
  <c r="A1650" i="1"/>
  <c r="E1649" i="1"/>
  <c r="A1649" i="1"/>
  <c r="E1648" i="1"/>
  <c r="A1648" i="1"/>
  <c r="E1647" i="1"/>
  <c r="A1647" i="1"/>
  <c r="E1646" i="1"/>
  <c r="A1646" i="1"/>
  <c r="E1645" i="1"/>
  <c r="A1645" i="1"/>
  <c r="E1644" i="1"/>
  <c r="A1644" i="1"/>
  <c r="E1643" i="1"/>
  <c r="A1643" i="1"/>
  <c r="E1642" i="1"/>
  <c r="A1642" i="1"/>
  <c r="E1641" i="1"/>
  <c r="A1641" i="1"/>
  <c r="E1640" i="1"/>
  <c r="A1640" i="1"/>
  <c r="E1639" i="1"/>
  <c r="A1639" i="1"/>
  <c r="E1638" i="1"/>
  <c r="A1638" i="1"/>
  <c r="E1637" i="1"/>
  <c r="A1637" i="1"/>
  <c r="E1636" i="1"/>
  <c r="A1636" i="1"/>
  <c r="E1635" i="1"/>
  <c r="A1635" i="1"/>
  <c r="E1634" i="1"/>
  <c r="A1634" i="1"/>
  <c r="E1633" i="1"/>
  <c r="A1633" i="1"/>
  <c r="E1632" i="1"/>
  <c r="A1632" i="1"/>
  <c r="E1631" i="1"/>
  <c r="A1631" i="1"/>
  <c r="E1630" i="1"/>
  <c r="A1630" i="1"/>
  <c r="E1629" i="1"/>
  <c r="A1629" i="1"/>
  <c r="E1628" i="1"/>
  <c r="A1628" i="1"/>
  <c r="E1627" i="1"/>
  <c r="A1627" i="1"/>
  <c r="E1626" i="1"/>
  <c r="A1626" i="1"/>
  <c r="E1625" i="1"/>
  <c r="A1625" i="1"/>
  <c r="E1624" i="1"/>
  <c r="A1624" i="1"/>
  <c r="E1623" i="1"/>
  <c r="A1623" i="1"/>
  <c r="E1622" i="1"/>
  <c r="A1622" i="1"/>
  <c r="E1621" i="1"/>
  <c r="A1621" i="1"/>
  <c r="E1620" i="1"/>
  <c r="A1620" i="1"/>
  <c r="E1619" i="1"/>
  <c r="A1619" i="1"/>
  <c r="E1618" i="1"/>
  <c r="A1618" i="1"/>
  <c r="E1617" i="1"/>
  <c r="A1617" i="1"/>
  <c r="E1616" i="1"/>
  <c r="A1616" i="1"/>
  <c r="E1615" i="1"/>
  <c r="A1615" i="1"/>
  <c r="E1614" i="1"/>
  <c r="A1614" i="1"/>
  <c r="E1613" i="1"/>
  <c r="A1613" i="1"/>
  <c r="E1612" i="1"/>
  <c r="A1612" i="1"/>
  <c r="E1611" i="1"/>
  <c r="A1611" i="1"/>
  <c r="E1610" i="1"/>
  <c r="A1610" i="1"/>
  <c r="E1609" i="1"/>
  <c r="A1609" i="1"/>
  <c r="E1608" i="1"/>
  <c r="A1608" i="1"/>
  <c r="E1607" i="1"/>
  <c r="A1607" i="1"/>
  <c r="E1606" i="1"/>
  <c r="A1606" i="1"/>
  <c r="E1605" i="1"/>
  <c r="A1605" i="1"/>
  <c r="E1604" i="1"/>
  <c r="A1604" i="1"/>
  <c r="E1603" i="1"/>
  <c r="A1603" i="1"/>
  <c r="E1602" i="1"/>
  <c r="A1602" i="1"/>
  <c r="E1601" i="1"/>
  <c r="A1601" i="1"/>
  <c r="E1600" i="1"/>
  <c r="A1600" i="1"/>
  <c r="E1599" i="1"/>
  <c r="A1599" i="1"/>
  <c r="E1598" i="1"/>
  <c r="A1598" i="1"/>
  <c r="E1597" i="1"/>
  <c r="A1597" i="1"/>
  <c r="E1596" i="1"/>
  <c r="A1596" i="1"/>
  <c r="E1595" i="1"/>
  <c r="A1595" i="1"/>
  <c r="E1594" i="1"/>
  <c r="A1594" i="1"/>
  <c r="E1593" i="1"/>
  <c r="A1593" i="1"/>
  <c r="E1592" i="1"/>
  <c r="A1592" i="1"/>
  <c r="E1591" i="1"/>
  <c r="A1591" i="1"/>
  <c r="E1590" i="1"/>
  <c r="A1590" i="1"/>
  <c r="E1589" i="1"/>
  <c r="A1589" i="1"/>
  <c r="E1588" i="1"/>
  <c r="A1588" i="1"/>
  <c r="E1587" i="1"/>
  <c r="A1587" i="1"/>
  <c r="E1584" i="1"/>
  <c r="A1584" i="1"/>
  <c r="E1583" i="1"/>
  <c r="A1583" i="1"/>
  <c r="E1582" i="1"/>
  <c r="A1582" i="1"/>
  <c r="E1581" i="1"/>
  <c r="A1581" i="1"/>
  <c r="E1580" i="1"/>
  <c r="A1580" i="1"/>
  <c r="E1579" i="1"/>
  <c r="A1579" i="1"/>
  <c r="E1578" i="1"/>
  <c r="A1578" i="1"/>
  <c r="E1577" i="1"/>
  <c r="A1577" i="1"/>
  <c r="E1576" i="1"/>
  <c r="A1576" i="1"/>
  <c r="E1575" i="1"/>
  <c r="A1575" i="1"/>
  <c r="E1574" i="1"/>
  <c r="A1574" i="1"/>
  <c r="E1573" i="1"/>
  <c r="A1573" i="1"/>
  <c r="E1572" i="1"/>
  <c r="A1572" i="1"/>
  <c r="E1571" i="1"/>
  <c r="A1571" i="1"/>
  <c r="E1570" i="1"/>
  <c r="A1570" i="1"/>
  <c r="E1569" i="1"/>
  <c r="A1569" i="1"/>
  <c r="E1568" i="1"/>
  <c r="A1568" i="1"/>
  <c r="E1567" i="1"/>
  <c r="A1567" i="1"/>
  <c r="E1566" i="1"/>
  <c r="A1566" i="1"/>
  <c r="E1565" i="1"/>
  <c r="A1565" i="1"/>
  <c r="E1564" i="1"/>
  <c r="A1564" i="1"/>
  <c r="E1563" i="1"/>
  <c r="A1563" i="1"/>
  <c r="E1562" i="1"/>
  <c r="A1562" i="1"/>
  <c r="E1561" i="1"/>
  <c r="A1561" i="1"/>
  <c r="E1560" i="1"/>
  <c r="A1560" i="1"/>
  <c r="E1559" i="1"/>
  <c r="A1559" i="1"/>
  <c r="E1558" i="1"/>
  <c r="A1558" i="1"/>
  <c r="E1557" i="1"/>
  <c r="A1557" i="1"/>
  <c r="E1556" i="1"/>
  <c r="A1556" i="1"/>
  <c r="E1555" i="1"/>
  <c r="A1555" i="1"/>
  <c r="E1554" i="1"/>
  <c r="A1554" i="1"/>
  <c r="E1553" i="1"/>
  <c r="A1553" i="1"/>
  <c r="E1552" i="1"/>
  <c r="A1552" i="1"/>
  <c r="E1551" i="1"/>
  <c r="A1551" i="1"/>
  <c r="E1550" i="1"/>
  <c r="A1550" i="1"/>
  <c r="E1549" i="1"/>
  <c r="A1549" i="1"/>
  <c r="E1548" i="1"/>
  <c r="A1548" i="1"/>
  <c r="E1547" i="1"/>
  <c r="A1547" i="1"/>
  <c r="E1546" i="1"/>
  <c r="A1546" i="1"/>
  <c r="E1545" i="1"/>
  <c r="A1545" i="1"/>
  <c r="E1544" i="1"/>
  <c r="A1544" i="1"/>
  <c r="E1543" i="1"/>
  <c r="A1543" i="1"/>
  <c r="E1542" i="1"/>
  <c r="A1542" i="1"/>
  <c r="E1541" i="1"/>
  <c r="A1541" i="1"/>
  <c r="E1540" i="1"/>
  <c r="A1540" i="1"/>
  <c r="E1539" i="1"/>
  <c r="A1539" i="1"/>
  <c r="E1538" i="1"/>
  <c r="A1538" i="1"/>
  <c r="E1537" i="1"/>
  <c r="A1537" i="1"/>
  <c r="E1536" i="1"/>
  <c r="A1536" i="1"/>
  <c r="E1535" i="1"/>
  <c r="A1535" i="1"/>
  <c r="E1534" i="1"/>
  <c r="A1534" i="1"/>
  <c r="E1533" i="1"/>
  <c r="A1533" i="1"/>
  <c r="E1532" i="1"/>
  <c r="A1532" i="1"/>
  <c r="E1531" i="1"/>
  <c r="A1531" i="1"/>
  <c r="E1530" i="1"/>
  <c r="A1530" i="1"/>
  <c r="E1529" i="1"/>
  <c r="A1529" i="1"/>
  <c r="E1528" i="1"/>
  <c r="A1528" i="1"/>
  <c r="E1527" i="1"/>
  <c r="A1527" i="1"/>
  <c r="E1526" i="1"/>
  <c r="A1526" i="1"/>
  <c r="E1525" i="1"/>
  <c r="A1525" i="1"/>
  <c r="E1524" i="1"/>
  <c r="A1524" i="1"/>
  <c r="E1523" i="1"/>
  <c r="A1523" i="1"/>
  <c r="E1522" i="1"/>
  <c r="A1522" i="1"/>
  <c r="E1521" i="1"/>
  <c r="A1521" i="1"/>
  <c r="E1520" i="1"/>
  <c r="A1520" i="1"/>
  <c r="E1519" i="1"/>
  <c r="A1519" i="1"/>
  <c r="E1518" i="1"/>
  <c r="A1518" i="1"/>
  <c r="E1517" i="1"/>
  <c r="A1517" i="1"/>
  <c r="E1516" i="1"/>
  <c r="A1516" i="1"/>
  <c r="E1515" i="1"/>
  <c r="A1515" i="1"/>
  <c r="E1514" i="1"/>
  <c r="A1514" i="1"/>
  <c r="E1513" i="1"/>
  <c r="A1513" i="1"/>
  <c r="E1512" i="1"/>
  <c r="A1512" i="1"/>
  <c r="E1511" i="1"/>
  <c r="A1511" i="1"/>
  <c r="E1510" i="1"/>
  <c r="A1510" i="1"/>
  <c r="E1509" i="1"/>
  <c r="A1509" i="1"/>
  <c r="E1508" i="1"/>
  <c r="A1508" i="1"/>
  <c r="E1507" i="1"/>
  <c r="A1507" i="1"/>
  <c r="E1506" i="1"/>
  <c r="A1506" i="1"/>
  <c r="E1505" i="1"/>
  <c r="A1505" i="1"/>
  <c r="E1504" i="1"/>
  <c r="A1504" i="1"/>
  <c r="E1503" i="1"/>
  <c r="A1503" i="1"/>
  <c r="E1502" i="1"/>
  <c r="A1502" i="1"/>
  <c r="E1501" i="1"/>
  <c r="A1501" i="1"/>
  <c r="E1500" i="1"/>
  <c r="A1500" i="1"/>
  <c r="E1499" i="1"/>
  <c r="A1499" i="1"/>
  <c r="E1498" i="1"/>
  <c r="A1498" i="1"/>
  <c r="E1497" i="1"/>
  <c r="A1497" i="1"/>
  <c r="E1496" i="1"/>
  <c r="A1496" i="1"/>
  <c r="E1495" i="1"/>
  <c r="A1495" i="1"/>
  <c r="E1492" i="1"/>
  <c r="A1492" i="1"/>
  <c r="E1491" i="1"/>
  <c r="A1491" i="1"/>
  <c r="E1490" i="1"/>
  <c r="A1490" i="1"/>
  <c r="E1489" i="1"/>
  <c r="A1489" i="1"/>
  <c r="E1488" i="1"/>
  <c r="A1488" i="1"/>
  <c r="E1487" i="1"/>
  <c r="A1487" i="1"/>
  <c r="E1486" i="1"/>
  <c r="A1486" i="1"/>
  <c r="E1485" i="1"/>
  <c r="A1485" i="1"/>
  <c r="E1484" i="1"/>
  <c r="A1484" i="1"/>
  <c r="E1483" i="1"/>
  <c r="A1483" i="1"/>
  <c r="E1482" i="1"/>
  <c r="A1482" i="1"/>
  <c r="E1481" i="1"/>
  <c r="A1481" i="1"/>
  <c r="E1480" i="1"/>
  <c r="A1480" i="1"/>
  <c r="E1479" i="1"/>
  <c r="A1479" i="1"/>
  <c r="E1478" i="1"/>
  <c r="A1478" i="1"/>
  <c r="E1477" i="1"/>
  <c r="A1477" i="1"/>
  <c r="E1476" i="1"/>
  <c r="A1476" i="1"/>
  <c r="E1475" i="1"/>
  <c r="A1475" i="1"/>
  <c r="E1474" i="1"/>
  <c r="A1474" i="1"/>
  <c r="E1473" i="1"/>
  <c r="A1473" i="1"/>
  <c r="E1472" i="1"/>
  <c r="A1472" i="1"/>
  <c r="E1471" i="1"/>
  <c r="A1471" i="1"/>
  <c r="E1470" i="1"/>
  <c r="A1470" i="1"/>
  <c r="E1469" i="1"/>
  <c r="A1469" i="1"/>
  <c r="E1468" i="1"/>
  <c r="A1468" i="1"/>
  <c r="E1467" i="1"/>
  <c r="A1467" i="1"/>
  <c r="E1466" i="1"/>
  <c r="A1466" i="1"/>
  <c r="E1465" i="1"/>
  <c r="A1465" i="1"/>
  <c r="E1464" i="1"/>
  <c r="A1464" i="1"/>
  <c r="E1463" i="1"/>
  <c r="A1463" i="1"/>
  <c r="E1462" i="1"/>
  <c r="A1462" i="1"/>
  <c r="E1461" i="1"/>
  <c r="A1461" i="1"/>
  <c r="E1460" i="1"/>
  <c r="A1460" i="1"/>
  <c r="E1459" i="1"/>
  <c r="A1459" i="1"/>
  <c r="E1458" i="1"/>
  <c r="A1458" i="1"/>
  <c r="E1457" i="1"/>
  <c r="A1457" i="1"/>
  <c r="E1456" i="1"/>
  <c r="A1456" i="1"/>
  <c r="E1455" i="1"/>
  <c r="A1455" i="1"/>
  <c r="E1454" i="1"/>
  <c r="A1454" i="1"/>
  <c r="E1453" i="1"/>
  <c r="A1453" i="1"/>
  <c r="E1452" i="1"/>
  <c r="A1452" i="1"/>
  <c r="E1451" i="1"/>
  <c r="A1451" i="1"/>
  <c r="E1450" i="1"/>
  <c r="A1450" i="1"/>
  <c r="E1449" i="1"/>
  <c r="A1449" i="1"/>
  <c r="E1448" i="1"/>
  <c r="A1448" i="1"/>
  <c r="E1447" i="1"/>
  <c r="A1447" i="1"/>
  <c r="E1446" i="1"/>
  <c r="A1446" i="1"/>
  <c r="E1445" i="1"/>
  <c r="A1445" i="1"/>
  <c r="E1444" i="1"/>
  <c r="A1444" i="1"/>
  <c r="E1443" i="1"/>
  <c r="A1443" i="1"/>
  <c r="E1442" i="1"/>
  <c r="A1442" i="1"/>
  <c r="E1441" i="1"/>
  <c r="A1441" i="1"/>
  <c r="E1440" i="1"/>
  <c r="A1440" i="1"/>
  <c r="E1439" i="1"/>
  <c r="A1439" i="1"/>
  <c r="E1438" i="1"/>
  <c r="A1438" i="1"/>
  <c r="E1437" i="1"/>
  <c r="A1437" i="1"/>
  <c r="E1436" i="1"/>
  <c r="A1436" i="1"/>
  <c r="E1435" i="1"/>
  <c r="A1435" i="1"/>
  <c r="E1434" i="1"/>
  <c r="A1434" i="1"/>
  <c r="E1433" i="1"/>
  <c r="A1433" i="1"/>
  <c r="E1432" i="1"/>
  <c r="A1432" i="1"/>
  <c r="E1431" i="1"/>
  <c r="A1431" i="1"/>
  <c r="E1430" i="1"/>
  <c r="A1430" i="1"/>
  <c r="E1429" i="1"/>
  <c r="A1429" i="1"/>
  <c r="E1428" i="1"/>
  <c r="A1428" i="1"/>
  <c r="E1427" i="1"/>
  <c r="A1427" i="1"/>
  <c r="E1426" i="1"/>
  <c r="A1426" i="1"/>
  <c r="E1425" i="1"/>
  <c r="A1425" i="1"/>
  <c r="E1424" i="1"/>
  <c r="A1424" i="1"/>
  <c r="E1423" i="1"/>
  <c r="A1423" i="1"/>
  <c r="E1422" i="1"/>
  <c r="A1422" i="1"/>
  <c r="E1421" i="1"/>
  <c r="A1421" i="1"/>
  <c r="E1420" i="1"/>
  <c r="A1420" i="1"/>
  <c r="E1419" i="1"/>
  <c r="A1419" i="1"/>
  <c r="E1418" i="1"/>
  <c r="A1418" i="1"/>
  <c r="E1417" i="1"/>
  <c r="A1417" i="1"/>
  <c r="E1416" i="1"/>
  <c r="A1416" i="1"/>
  <c r="E1415" i="1"/>
  <c r="A1415" i="1"/>
  <c r="E1414" i="1"/>
  <c r="A1414" i="1"/>
  <c r="E1413" i="1"/>
  <c r="A1413" i="1"/>
  <c r="E1412" i="1"/>
  <c r="A1412" i="1"/>
  <c r="E1411" i="1"/>
  <c r="A1411" i="1"/>
  <c r="E1410" i="1"/>
  <c r="A1410" i="1"/>
  <c r="E1409" i="1"/>
  <c r="A1409" i="1"/>
  <c r="E1408" i="1"/>
  <c r="A1408" i="1"/>
  <c r="E1407" i="1"/>
  <c r="A1407" i="1"/>
  <c r="E1406" i="1"/>
  <c r="A1406" i="1"/>
  <c r="E1405" i="1"/>
  <c r="A1405" i="1"/>
  <c r="E1404" i="1"/>
  <c r="A1404" i="1"/>
  <c r="E1403" i="1"/>
  <c r="A1403" i="1"/>
  <c r="E1402" i="1"/>
  <c r="A1402" i="1"/>
  <c r="E1401" i="1"/>
  <c r="A1401" i="1"/>
  <c r="E1400" i="1"/>
  <c r="A1400" i="1"/>
  <c r="E1399" i="1"/>
  <c r="A1399" i="1"/>
  <c r="E1398" i="1"/>
  <c r="A1398" i="1"/>
  <c r="E1397" i="1"/>
  <c r="A1397" i="1"/>
  <c r="E1396" i="1"/>
  <c r="A1396" i="1"/>
  <c r="E1395" i="1"/>
  <c r="A1395" i="1"/>
  <c r="E1394" i="1"/>
  <c r="A1394" i="1"/>
  <c r="E1393" i="1"/>
  <c r="A1393" i="1"/>
  <c r="E1392" i="1"/>
  <c r="A1392" i="1"/>
  <c r="E1391" i="1"/>
  <c r="A1391" i="1"/>
  <c r="E1390" i="1"/>
  <c r="A1390" i="1"/>
  <c r="E1389" i="1"/>
  <c r="A1389" i="1"/>
  <c r="E1388" i="1"/>
  <c r="A1388" i="1"/>
  <c r="E1387" i="1"/>
  <c r="A1387" i="1"/>
  <c r="E1386" i="1"/>
  <c r="A1386" i="1"/>
  <c r="E1385" i="1"/>
  <c r="A1385" i="1"/>
  <c r="E1384" i="1"/>
  <c r="A1384" i="1"/>
  <c r="E1383" i="1"/>
  <c r="A1383" i="1"/>
  <c r="E1382" i="1"/>
  <c r="A1382" i="1"/>
  <c r="E1381" i="1"/>
  <c r="A1381" i="1"/>
  <c r="E1380" i="1"/>
  <c r="A1380" i="1"/>
  <c r="E1379" i="1"/>
  <c r="A1379" i="1"/>
  <c r="E1378" i="1"/>
  <c r="A1378" i="1"/>
  <c r="E1377" i="1"/>
  <c r="A1377" i="1"/>
  <c r="E1376" i="1"/>
  <c r="A1376" i="1"/>
  <c r="E1375" i="1"/>
  <c r="A1375" i="1"/>
  <c r="E1374" i="1"/>
  <c r="A1374" i="1"/>
  <c r="E1373" i="1"/>
  <c r="A1373" i="1"/>
  <c r="E1372" i="1"/>
  <c r="A1372" i="1"/>
  <c r="E1371" i="1"/>
  <c r="A1371" i="1"/>
  <c r="E1370" i="1"/>
  <c r="A1370" i="1"/>
  <c r="E1369" i="1"/>
  <c r="A1369" i="1"/>
  <c r="E1368" i="1"/>
  <c r="A1368" i="1"/>
  <c r="E1367" i="1"/>
  <c r="A1367" i="1"/>
  <c r="E1366" i="1"/>
  <c r="A1366" i="1"/>
  <c r="E1365" i="1"/>
  <c r="A1365" i="1"/>
  <c r="E1364" i="1"/>
  <c r="A1364" i="1"/>
  <c r="E1363" i="1"/>
  <c r="A1363" i="1"/>
  <c r="E1362" i="1"/>
  <c r="A1362" i="1"/>
  <c r="E1361" i="1"/>
  <c r="A1361" i="1"/>
  <c r="E1360" i="1"/>
  <c r="A1360" i="1"/>
  <c r="E1359" i="1"/>
  <c r="A1359" i="1"/>
  <c r="E1358" i="1"/>
  <c r="A1358" i="1"/>
  <c r="E1357" i="1"/>
  <c r="A1357" i="1"/>
  <c r="E1354" i="1"/>
  <c r="A1354" i="1"/>
  <c r="E1353" i="1"/>
  <c r="A1353" i="1"/>
  <c r="E1352" i="1"/>
  <c r="A1352" i="1"/>
  <c r="E1351" i="1"/>
  <c r="A1351" i="1"/>
  <c r="E1350" i="1"/>
  <c r="A1350" i="1"/>
  <c r="E1349" i="1"/>
  <c r="A1349" i="1"/>
  <c r="E1348" i="1"/>
  <c r="A1348" i="1"/>
  <c r="E1347" i="1"/>
  <c r="A1347" i="1"/>
  <c r="E1346" i="1"/>
  <c r="A1346" i="1"/>
  <c r="E1345" i="1"/>
  <c r="A1345" i="1"/>
  <c r="E1344" i="1"/>
  <c r="A1344" i="1"/>
  <c r="E1343" i="1"/>
  <c r="A1343" i="1"/>
  <c r="E1342" i="1"/>
  <c r="A1342" i="1"/>
  <c r="E1341" i="1"/>
  <c r="A1341" i="1"/>
  <c r="E1340" i="1"/>
  <c r="A1340" i="1"/>
  <c r="E1339" i="1"/>
  <c r="A1339" i="1"/>
  <c r="E1338" i="1"/>
  <c r="A1338" i="1"/>
  <c r="E1337" i="1"/>
  <c r="A1337" i="1"/>
  <c r="E1336" i="1"/>
  <c r="A1336" i="1"/>
  <c r="E1335" i="1"/>
  <c r="A1335" i="1"/>
  <c r="E1334" i="1"/>
  <c r="A1334" i="1"/>
  <c r="E1333" i="1"/>
  <c r="A1333" i="1"/>
  <c r="E1332" i="1"/>
  <c r="A1332" i="1"/>
  <c r="E1331" i="1"/>
  <c r="A1331" i="1"/>
  <c r="E1330" i="1"/>
  <c r="A1330" i="1"/>
  <c r="E1329" i="1"/>
  <c r="A1329" i="1"/>
  <c r="E1328" i="1"/>
  <c r="A1328" i="1"/>
  <c r="E1327" i="1"/>
  <c r="A1327" i="1"/>
  <c r="E1326" i="1"/>
  <c r="A1326" i="1"/>
  <c r="E1325" i="1"/>
  <c r="A1325" i="1"/>
  <c r="E1324" i="1"/>
  <c r="A1324" i="1"/>
  <c r="E1323" i="1"/>
  <c r="A1323" i="1"/>
  <c r="E1322" i="1"/>
  <c r="A1322" i="1"/>
  <c r="E1321" i="1"/>
  <c r="A1321" i="1"/>
  <c r="E1320" i="1"/>
  <c r="A1320" i="1"/>
  <c r="E1319" i="1"/>
  <c r="A1319" i="1"/>
  <c r="E1318" i="1"/>
  <c r="A1318" i="1"/>
  <c r="E1317" i="1"/>
  <c r="A1317" i="1"/>
  <c r="E1316" i="1"/>
  <c r="A1316" i="1"/>
  <c r="E1315" i="1"/>
  <c r="A1315" i="1"/>
  <c r="E1314" i="1"/>
  <c r="A1314" i="1"/>
  <c r="E1313" i="1"/>
  <c r="A1313" i="1"/>
  <c r="E1312" i="1"/>
  <c r="A1312" i="1"/>
  <c r="E1311" i="1"/>
  <c r="A1311" i="1"/>
  <c r="E1310" i="1"/>
  <c r="A1310" i="1"/>
  <c r="E1309" i="1"/>
  <c r="A1309" i="1"/>
  <c r="E1308" i="1"/>
  <c r="A1308" i="1"/>
  <c r="E1307" i="1"/>
  <c r="A1307" i="1"/>
  <c r="E1306" i="1"/>
  <c r="A1306" i="1"/>
  <c r="E1305" i="1"/>
  <c r="A1305" i="1"/>
  <c r="E1304" i="1"/>
  <c r="A1304" i="1"/>
  <c r="E1303" i="1"/>
  <c r="A1303" i="1"/>
  <c r="E1302" i="1"/>
  <c r="A1302" i="1"/>
  <c r="E1301" i="1"/>
  <c r="A1301" i="1"/>
  <c r="E1300" i="1"/>
  <c r="A1300" i="1"/>
  <c r="E1299" i="1"/>
  <c r="A1299" i="1"/>
  <c r="E1298" i="1"/>
  <c r="A1298" i="1"/>
  <c r="E1297" i="1"/>
  <c r="A1297" i="1"/>
  <c r="E1296" i="1"/>
  <c r="A1296" i="1"/>
  <c r="E1295" i="1"/>
  <c r="A1295" i="1"/>
  <c r="E1294" i="1"/>
  <c r="A1294" i="1"/>
  <c r="E1293" i="1"/>
  <c r="A1293" i="1"/>
  <c r="E1292" i="1"/>
  <c r="A1292" i="1"/>
  <c r="E1291" i="1"/>
  <c r="A1291" i="1"/>
  <c r="E1290" i="1"/>
  <c r="A1290" i="1"/>
  <c r="E1289" i="1"/>
  <c r="A1289" i="1"/>
  <c r="E1288" i="1"/>
  <c r="A1288" i="1"/>
  <c r="E1287" i="1"/>
  <c r="A1287" i="1"/>
  <c r="E1286" i="1"/>
  <c r="A1286" i="1"/>
  <c r="E1285" i="1"/>
  <c r="A1285" i="1"/>
  <c r="E1284" i="1"/>
  <c r="A1284" i="1"/>
  <c r="E1283" i="1"/>
  <c r="A1283" i="1"/>
  <c r="E1282" i="1"/>
  <c r="A1282" i="1"/>
  <c r="E1281" i="1"/>
  <c r="A1281" i="1"/>
  <c r="E1280" i="1"/>
  <c r="A1280" i="1"/>
  <c r="E1279" i="1"/>
  <c r="A1279" i="1"/>
  <c r="E1278" i="1"/>
  <c r="A1278" i="1"/>
  <c r="E1277" i="1"/>
  <c r="A1277" i="1"/>
  <c r="E1276" i="1"/>
  <c r="A1276" i="1"/>
  <c r="E1275" i="1"/>
  <c r="A1275" i="1"/>
  <c r="E1274" i="1"/>
  <c r="A1274" i="1"/>
  <c r="E1273" i="1"/>
  <c r="A1273" i="1"/>
  <c r="E1272" i="1"/>
  <c r="A1272" i="1"/>
  <c r="E1271" i="1"/>
  <c r="A1271" i="1"/>
  <c r="E1270" i="1"/>
  <c r="A1270" i="1"/>
  <c r="E1269" i="1"/>
  <c r="A1269" i="1"/>
  <c r="E1268" i="1"/>
  <c r="A1268" i="1"/>
  <c r="E1267" i="1"/>
  <c r="A1267" i="1"/>
  <c r="E1266" i="1"/>
  <c r="A1266" i="1"/>
  <c r="E1265" i="1"/>
  <c r="A1265" i="1"/>
  <c r="E1262" i="1"/>
  <c r="A1262" i="1"/>
  <c r="E1261" i="1"/>
  <c r="A1261" i="1"/>
  <c r="E1260" i="1"/>
  <c r="A1260" i="1"/>
  <c r="E1259" i="1"/>
  <c r="A1259" i="1"/>
  <c r="E1258" i="1"/>
  <c r="A1258" i="1"/>
  <c r="E1257" i="1"/>
  <c r="A1257" i="1"/>
  <c r="E1256" i="1"/>
  <c r="A1256" i="1"/>
  <c r="E1255" i="1"/>
  <c r="A1255" i="1"/>
  <c r="E1254" i="1"/>
  <c r="A1254" i="1"/>
  <c r="E1253" i="1"/>
  <c r="A1253" i="1"/>
  <c r="E1252" i="1"/>
  <c r="A1252" i="1"/>
  <c r="E1251" i="1"/>
  <c r="A1251" i="1"/>
  <c r="E1250" i="1"/>
  <c r="A1250" i="1"/>
  <c r="E1249" i="1"/>
  <c r="A1249" i="1"/>
  <c r="E1248" i="1"/>
  <c r="A1248" i="1"/>
  <c r="E1247" i="1"/>
  <c r="A1247" i="1"/>
  <c r="E1246" i="1"/>
  <c r="A1246" i="1"/>
  <c r="E1245" i="1"/>
  <c r="A1245" i="1"/>
  <c r="E1244" i="1"/>
  <c r="A1244" i="1"/>
  <c r="E1243" i="1"/>
  <c r="A1243" i="1"/>
  <c r="E1242" i="1"/>
  <c r="A1242" i="1"/>
  <c r="E1241" i="1"/>
  <c r="A1241" i="1"/>
  <c r="E1240" i="1"/>
  <c r="A1240" i="1"/>
  <c r="E1239" i="1"/>
  <c r="A1239" i="1"/>
  <c r="E1238" i="1"/>
  <c r="A1238" i="1"/>
  <c r="E1237" i="1"/>
  <c r="A1237" i="1"/>
  <c r="E1236" i="1"/>
  <c r="A1236" i="1"/>
  <c r="E1235" i="1"/>
  <c r="A1235" i="1"/>
  <c r="E1234" i="1"/>
  <c r="A1234" i="1"/>
  <c r="E1233" i="1"/>
  <c r="A1233" i="1"/>
  <c r="E1232" i="1"/>
  <c r="A1232" i="1"/>
  <c r="E1231" i="1"/>
  <c r="A1231" i="1"/>
  <c r="E1230" i="1"/>
  <c r="A1230" i="1"/>
  <c r="E1229" i="1"/>
  <c r="A1229" i="1"/>
  <c r="E1228" i="1"/>
  <c r="A1228" i="1"/>
  <c r="E1227" i="1"/>
  <c r="A1227" i="1"/>
  <c r="E1226" i="1"/>
  <c r="A1226" i="1"/>
  <c r="E1225" i="1"/>
  <c r="A1225" i="1"/>
  <c r="E1224" i="1"/>
  <c r="A1224" i="1"/>
  <c r="E1223" i="1"/>
  <c r="A1223" i="1"/>
  <c r="E1222" i="1"/>
  <c r="A1222" i="1"/>
  <c r="E1221" i="1"/>
  <c r="A1221" i="1"/>
  <c r="E1220" i="1"/>
  <c r="A1220" i="1"/>
  <c r="E1219" i="1"/>
  <c r="A1219" i="1"/>
  <c r="E1216" i="1"/>
  <c r="A1216" i="1"/>
  <c r="E1215" i="1"/>
  <c r="A1215" i="1"/>
  <c r="E1214" i="1"/>
  <c r="A1214" i="1"/>
  <c r="E1213" i="1"/>
  <c r="A1213" i="1"/>
  <c r="E1212" i="1"/>
  <c r="A1212" i="1"/>
  <c r="E1211" i="1"/>
  <c r="A1211" i="1"/>
  <c r="E1210" i="1"/>
  <c r="A1210" i="1"/>
  <c r="E1209" i="1"/>
  <c r="A1209" i="1"/>
  <c r="E1208" i="1"/>
  <c r="A1208" i="1"/>
  <c r="E1207" i="1"/>
  <c r="A1207" i="1"/>
  <c r="E1206" i="1"/>
  <c r="A1206" i="1"/>
  <c r="E1205" i="1"/>
  <c r="A1205" i="1"/>
  <c r="E1204" i="1"/>
  <c r="A1204" i="1"/>
  <c r="E1203" i="1"/>
  <c r="A1203" i="1"/>
  <c r="E1202" i="1"/>
  <c r="A1202" i="1"/>
  <c r="E1201" i="1"/>
  <c r="A1201" i="1"/>
  <c r="E1200" i="1"/>
  <c r="A1200" i="1"/>
  <c r="E1199" i="1"/>
  <c r="A1199" i="1"/>
  <c r="E1198" i="1"/>
  <c r="A1198" i="1"/>
  <c r="E1197" i="1"/>
  <c r="A1197" i="1"/>
  <c r="E1196" i="1"/>
  <c r="A1196" i="1"/>
  <c r="E1195" i="1"/>
  <c r="A1195" i="1"/>
  <c r="E1194" i="1"/>
  <c r="A1194" i="1"/>
  <c r="E1193" i="1"/>
  <c r="A1193" i="1"/>
  <c r="E1192" i="1"/>
  <c r="A1192" i="1"/>
  <c r="E1191" i="1"/>
  <c r="A1191" i="1"/>
  <c r="E1190" i="1"/>
  <c r="A1190" i="1"/>
  <c r="E1189" i="1"/>
  <c r="A1189" i="1"/>
  <c r="E1188" i="1"/>
  <c r="A1188" i="1"/>
  <c r="E1187" i="1"/>
  <c r="A1187" i="1"/>
  <c r="E1186" i="1"/>
  <c r="A1186" i="1"/>
  <c r="E1185" i="1"/>
  <c r="A1185" i="1"/>
  <c r="E1184" i="1"/>
  <c r="A1184" i="1"/>
  <c r="E1183" i="1"/>
  <c r="A1183" i="1"/>
  <c r="E1182" i="1"/>
  <c r="A1182" i="1"/>
  <c r="E1181" i="1"/>
  <c r="A1181" i="1"/>
  <c r="E1180" i="1"/>
  <c r="A1180" i="1"/>
  <c r="E1179" i="1"/>
  <c r="A1179" i="1"/>
  <c r="E1178" i="1"/>
  <c r="A1178" i="1"/>
  <c r="E1177" i="1"/>
  <c r="A1177" i="1"/>
  <c r="E1176" i="1"/>
  <c r="A1176" i="1"/>
  <c r="E1175" i="1"/>
  <c r="A1175" i="1"/>
  <c r="E1174" i="1"/>
  <c r="A1174" i="1"/>
  <c r="E1173" i="1"/>
  <c r="A1173" i="1"/>
  <c r="E1172" i="1"/>
  <c r="A1172" i="1"/>
  <c r="E1171" i="1"/>
  <c r="A1171" i="1"/>
  <c r="E1170" i="1"/>
  <c r="A1170" i="1"/>
  <c r="E1169" i="1"/>
  <c r="A1169" i="1"/>
  <c r="E1168" i="1"/>
  <c r="A1168" i="1"/>
  <c r="E1167" i="1"/>
  <c r="A1167" i="1"/>
  <c r="E1166" i="1"/>
  <c r="A1166" i="1"/>
  <c r="E1165" i="1"/>
  <c r="A1165" i="1"/>
  <c r="E1164" i="1"/>
  <c r="A1164" i="1"/>
  <c r="E1163" i="1"/>
  <c r="A1163" i="1"/>
  <c r="E1162" i="1"/>
  <c r="A1162" i="1"/>
  <c r="E1161" i="1"/>
  <c r="A1161" i="1"/>
  <c r="E1160" i="1"/>
  <c r="A1160" i="1"/>
  <c r="E1159" i="1"/>
  <c r="A1159" i="1"/>
  <c r="E1158" i="1"/>
  <c r="A1158" i="1"/>
  <c r="E1157" i="1"/>
  <c r="A1157" i="1"/>
  <c r="E1156" i="1"/>
  <c r="A1156" i="1"/>
  <c r="E1155" i="1"/>
  <c r="A1155" i="1"/>
  <c r="E1154" i="1"/>
  <c r="A1154" i="1"/>
  <c r="E1153" i="1"/>
  <c r="A1153" i="1"/>
  <c r="E1152" i="1"/>
  <c r="A1152" i="1"/>
  <c r="E1151" i="1"/>
  <c r="A1151" i="1"/>
  <c r="E1150" i="1"/>
  <c r="A1150" i="1"/>
  <c r="E1149" i="1"/>
  <c r="A1149" i="1"/>
  <c r="E1148" i="1"/>
  <c r="A1148" i="1"/>
  <c r="E1147" i="1"/>
  <c r="A1147" i="1"/>
  <c r="E1146" i="1"/>
  <c r="A1146" i="1"/>
  <c r="E1145" i="1"/>
  <c r="A1145" i="1"/>
  <c r="E1144" i="1"/>
  <c r="A1144" i="1"/>
  <c r="E1143" i="1"/>
  <c r="A1143" i="1"/>
  <c r="E1142" i="1"/>
  <c r="A1142" i="1"/>
  <c r="E1141" i="1"/>
  <c r="A1141" i="1"/>
  <c r="E1140" i="1"/>
  <c r="A1140" i="1"/>
  <c r="E1139" i="1"/>
  <c r="A1139" i="1"/>
  <c r="E1138" i="1"/>
  <c r="A1138" i="1"/>
  <c r="E1137" i="1"/>
  <c r="A1137" i="1"/>
  <c r="E1136" i="1"/>
  <c r="A1136" i="1"/>
  <c r="E1135" i="1"/>
  <c r="A1135" i="1"/>
  <c r="E1134" i="1"/>
  <c r="A1134" i="1"/>
  <c r="E1133" i="1"/>
  <c r="A1133" i="1"/>
  <c r="E1132" i="1"/>
  <c r="A1132" i="1"/>
  <c r="E1131" i="1"/>
  <c r="A1131" i="1"/>
  <c r="E1130" i="1"/>
  <c r="A1130" i="1"/>
  <c r="E1129" i="1"/>
  <c r="A1129" i="1"/>
  <c r="E1128" i="1"/>
  <c r="A1128" i="1"/>
  <c r="E1127" i="1"/>
  <c r="A1127" i="1"/>
  <c r="E1124" i="1"/>
  <c r="A1124" i="1"/>
  <c r="E1123" i="1"/>
  <c r="A1123" i="1"/>
  <c r="E1122" i="1"/>
  <c r="A1122" i="1"/>
  <c r="E1121" i="1"/>
  <c r="A1121" i="1"/>
  <c r="E1120" i="1"/>
  <c r="A1120" i="1"/>
  <c r="E1119" i="1"/>
  <c r="A1119" i="1"/>
  <c r="E1118" i="1"/>
  <c r="A1118" i="1"/>
  <c r="E1117" i="1"/>
  <c r="A1117" i="1"/>
  <c r="E1116" i="1"/>
  <c r="A1116" i="1"/>
  <c r="E1115" i="1"/>
  <c r="A1115" i="1"/>
  <c r="E1114" i="1"/>
  <c r="A1114" i="1"/>
  <c r="E1113" i="1"/>
  <c r="A1113" i="1"/>
  <c r="E1112" i="1"/>
  <c r="A1112" i="1"/>
  <c r="E1111" i="1"/>
  <c r="A1111" i="1"/>
  <c r="E1110" i="1"/>
  <c r="A1110" i="1"/>
  <c r="E1109" i="1"/>
  <c r="A1109" i="1"/>
  <c r="E1108" i="1"/>
  <c r="A1108" i="1"/>
  <c r="E1107" i="1"/>
  <c r="A1107" i="1"/>
  <c r="E1106" i="1"/>
  <c r="A1106" i="1"/>
  <c r="E1105" i="1"/>
  <c r="A1105" i="1"/>
  <c r="E1104" i="1"/>
  <c r="A1104" i="1"/>
  <c r="E1103" i="1"/>
  <c r="A1103" i="1"/>
  <c r="E1102" i="1"/>
  <c r="A1102" i="1"/>
  <c r="E1101" i="1"/>
  <c r="A1101" i="1"/>
  <c r="E1100" i="1"/>
  <c r="A1100" i="1"/>
  <c r="E1099" i="1"/>
  <c r="A1099" i="1"/>
  <c r="E1098" i="1"/>
  <c r="A1098" i="1"/>
  <c r="E1097" i="1"/>
  <c r="A1097" i="1"/>
  <c r="E1096" i="1"/>
  <c r="A1096" i="1"/>
  <c r="E1095" i="1"/>
  <c r="A1095" i="1"/>
  <c r="E1094" i="1"/>
  <c r="A1094" i="1"/>
  <c r="E1093" i="1"/>
  <c r="A1093" i="1"/>
  <c r="E1092" i="1"/>
  <c r="A1092" i="1"/>
  <c r="E1091" i="1"/>
  <c r="A1091" i="1"/>
  <c r="E1090" i="1"/>
  <c r="A1090" i="1"/>
  <c r="E1089" i="1"/>
  <c r="A1089" i="1"/>
  <c r="E1088" i="1"/>
  <c r="A1088" i="1"/>
  <c r="E1087" i="1"/>
  <c r="A1087" i="1"/>
  <c r="E1086" i="1"/>
  <c r="A1086" i="1"/>
  <c r="E1085" i="1"/>
  <c r="A1085" i="1"/>
  <c r="E1084" i="1"/>
  <c r="A1084" i="1"/>
  <c r="E1083" i="1"/>
  <c r="A1083" i="1"/>
  <c r="E1082" i="1"/>
  <c r="A1082" i="1"/>
  <c r="E1081" i="1"/>
  <c r="A1081" i="1"/>
  <c r="E1078" i="1"/>
  <c r="A1078" i="1"/>
  <c r="E1077" i="1"/>
  <c r="A1077" i="1"/>
  <c r="E1076" i="1"/>
  <c r="A1076" i="1"/>
  <c r="E1075" i="1"/>
  <c r="A1075" i="1"/>
  <c r="E1074" i="1"/>
  <c r="A1074" i="1"/>
  <c r="E1073" i="1"/>
  <c r="A1073" i="1"/>
  <c r="E1072" i="1"/>
  <c r="A1072" i="1"/>
  <c r="E1071" i="1"/>
  <c r="A1071" i="1"/>
  <c r="E1070" i="1"/>
  <c r="A1070" i="1"/>
  <c r="E1069" i="1"/>
  <c r="A1069" i="1"/>
  <c r="E1068" i="1"/>
  <c r="A1068" i="1"/>
  <c r="E1067" i="1"/>
  <c r="A1067" i="1"/>
  <c r="E1066" i="1"/>
  <c r="A1066" i="1"/>
  <c r="E1065" i="1"/>
  <c r="A1065" i="1"/>
  <c r="E1064" i="1"/>
  <c r="A1064" i="1"/>
  <c r="E1063" i="1"/>
  <c r="A1063" i="1"/>
  <c r="E1062" i="1"/>
  <c r="A1062" i="1"/>
  <c r="E1061" i="1"/>
  <c r="A1061" i="1"/>
  <c r="E1060" i="1"/>
  <c r="A1060" i="1"/>
  <c r="E1059" i="1"/>
  <c r="A1059" i="1"/>
  <c r="E1058" i="1"/>
  <c r="A1058" i="1"/>
  <c r="E1057" i="1"/>
  <c r="A1057" i="1"/>
  <c r="E1056" i="1"/>
  <c r="A1056" i="1"/>
  <c r="E1055" i="1"/>
  <c r="A1055" i="1"/>
  <c r="E1054" i="1"/>
  <c r="A1054" i="1"/>
  <c r="E1053" i="1"/>
  <c r="A1053" i="1"/>
  <c r="E1052" i="1"/>
  <c r="A1052" i="1"/>
  <c r="E1051" i="1"/>
  <c r="A1051" i="1"/>
  <c r="E1050" i="1"/>
  <c r="A1050" i="1"/>
  <c r="E1049" i="1"/>
  <c r="A1049" i="1"/>
  <c r="E1048" i="1"/>
  <c r="A1048" i="1"/>
  <c r="E1047" i="1"/>
  <c r="A1047" i="1"/>
  <c r="E1046" i="1"/>
  <c r="A1046" i="1"/>
  <c r="E1045" i="1"/>
  <c r="A1045" i="1"/>
  <c r="E1044" i="1"/>
  <c r="A1044" i="1"/>
  <c r="E1043" i="1"/>
  <c r="A1043" i="1"/>
  <c r="E1042" i="1"/>
  <c r="A1042" i="1"/>
  <c r="E1041" i="1"/>
  <c r="A1041" i="1"/>
  <c r="E1040" i="1"/>
  <c r="A1040" i="1"/>
  <c r="E1039" i="1"/>
  <c r="A1039" i="1"/>
  <c r="E1038" i="1"/>
  <c r="A1038" i="1"/>
  <c r="E1037" i="1"/>
  <c r="A1037" i="1"/>
  <c r="E1036" i="1"/>
  <c r="A1036" i="1"/>
  <c r="E1035" i="1"/>
  <c r="A1035" i="1"/>
  <c r="E1034" i="1"/>
  <c r="A1034" i="1"/>
  <c r="E1033" i="1"/>
  <c r="A1033" i="1"/>
  <c r="E1032" i="1"/>
  <c r="A1032" i="1"/>
  <c r="E1031" i="1"/>
  <c r="A1031" i="1"/>
  <c r="E1030" i="1"/>
  <c r="A1030" i="1"/>
  <c r="E1029" i="1"/>
  <c r="A1029" i="1"/>
  <c r="E1028" i="1"/>
  <c r="A1028" i="1"/>
  <c r="E1027" i="1"/>
  <c r="A1027" i="1"/>
  <c r="E1026" i="1"/>
  <c r="A1026" i="1"/>
  <c r="E1025" i="1"/>
  <c r="A1025" i="1"/>
  <c r="E1024" i="1"/>
  <c r="A1024" i="1"/>
  <c r="E1023" i="1"/>
  <c r="A1023" i="1"/>
  <c r="E1022" i="1"/>
  <c r="A1022" i="1"/>
  <c r="E1021" i="1"/>
  <c r="A1021" i="1"/>
  <c r="E1020" i="1"/>
  <c r="A1020" i="1"/>
  <c r="E1019" i="1"/>
  <c r="A1019" i="1"/>
  <c r="E1018" i="1"/>
  <c r="A1018" i="1"/>
  <c r="E1017" i="1"/>
  <c r="A1017" i="1"/>
  <c r="E1016" i="1"/>
  <c r="A1016" i="1"/>
  <c r="E1015" i="1"/>
  <c r="A1015" i="1"/>
  <c r="E1014" i="1"/>
  <c r="A1014" i="1"/>
  <c r="E1013" i="1"/>
  <c r="A1013" i="1"/>
  <c r="E1012" i="1"/>
  <c r="A1012" i="1"/>
  <c r="E1011" i="1"/>
  <c r="A1011" i="1"/>
  <c r="E1010" i="1"/>
  <c r="A1010" i="1"/>
  <c r="E1009" i="1"/>
  <c r="A1009" i="1"/>
  <c r="E1008" i="1"/>
  <c r="A1008" i="1"/>
  <c r="E1007" i="1"/>
  <c r="A1007" i="1"/>
  <c r="E1006" i="1"/>
  <c r="A1006" i="1"/>
  <c r="E1005" i="1"/>
  <c r="A1005" i="1"/>
  <c r="E1004" i="1"/>
  <c r="A1004" i="1"/>
  <c r="E1003" i="1"/>
  <c r="A1003" i="1"/>
  <c r="E1002" i="1"/>
  <c r="A1002" i="1"/>
  <c r="E1001" i="1"/>
  <c r="A1001" i="1"/>
  <c r="E1000" i="1"/>
  <c r="A1000" i="1"/>
  <c r="E999" i="1"/>
  <c r="A999" i="1"/>
  <c r="E998" i="1"/>
  <c r="A998" i="1"/>
  <c r="E997" i="1"/>
  <c r="A997" i="1"/>
  <c r="E996" i="1"/>
  <c r="A996" i="1"/>
  <c r="E995" i="1"/>
  <c r="A995" i="1"/>
  <c r="E994" i="1"/>
  <c r="A994" i="1"/>
  <c r="E993" i="1"/>
  <c r="A993" i="1"/>
  <c r="E992" i="1"/>
  <c r="A992" i="1"/>
  <c r="E991" i="1"/>
  <c r="A991" i="1"/>
  <c r="E990" i="1"/>
  <c r="A990" i="1"/>
  <c r="E989" i="1"/>
  <c r="A989" i="1"/>
  <c r="E988" i="1"/>
  <c r="A988" i="1"/>
  <c r="E987" i="1"/>
  <c r="A987" i="1"/>
  <c r="E986" i="1"/>
  <c r="A986" i="1"/>
  <c r="E985" i="1"/>
  <c r="A985" i="1"/>
  <c r="E984" i="1"/>
  <c r="A984" i="1"/>
  <c r="E983" i="1"/>
  <c r="A983" i="1"/>
  <c r="E982" i="1"/>
  <c r="A982" i="1"/>
  <c r="E981" i="1"/>
  <c r="A981" i="1"/>
  <c r="E980" i="1"/>
  <c r="A980" i="1"/>
  <c r="E979" i="1"/>
  <c r="A979" i="1"/>
  <c r="E978" i="1"/>
  <c r="A978" i="1"/>
  <c r="E977" i="1"/>
  <c r="A977" i="1"/>
  <c r="E976" i="1"/>
  <c r="A976" i="1"/>
  <c r="E975" i="1"/>
  <c r="A975" i="1"/>
  <c r="E974" i="1"/>
  <c r="A974" i="1"/>
  <c r="E973" i="1"/>
  <c r="A973" i="1"/>
  <c r="E972" i="1"/>
  <c r="A972" i="1"/>
  <c r="E971" i="1"/>
  <c r="A971" i="1"/>
  <c r="E970" i="1"/>
  <c r="A970" i="1"/>
  <c r="E969" i="1"/>
  <c r="A969" i="1"/>
  <c r="E968" i="1"/>
  <c r="A968" i="1"/>
  <c r="E967" i="1"/>
  <c r="A967" i="1"/>
  <c r="E966" i="1"/>
  <c r="A966" i="1"/>
  <c r="E965" i="1"/>
  <c r="A965" i="1"/>
  <c r="E964" i="1"/>
  <c r="A964" i="1"/>
  <c r="E963" i="1"/>
  <c r="A963" i="1"/>
  <c r="E962" i="1"/>
  <c r="A962" i="1"/>
  <c r="E961" i="1"/>
  <c r="A961" i="1"/>
  <c r="E960" i="1"/>
  <c r="A960" i="1"/>
  <c r="E959" i="1"/>
  <c r="A959" i="1"/>
  <c r="E958" i="1"/>
  <c r="A958" i="1"/>
  <c r="E957" i="1"/>
  <c r="A957" i="1"/>
  <c r="E956" i="1"/>
  <c r="A956" i="1"/>
  <c r="E955" i="1"/>
  <c r="A955" i="1"/>
  <c r="E954" i="1"/>
  <c r="A954" i="1"/>
  <c r="E953" i="1"/>
  <c r="A953" i="1"/>
  <c r="E952" i="1"/>
  <c r="A952" i="1"/>
  <c r="E951" i="1"/>
  <c r="A951" i="1"/>
  <c r="E950" i="1"/>
  <c r="A950" i="1"/>
  <c r="E949" i="1"/>
  <c r="A949" i="1"/>
  <c r="E948" i="1"/>
  <c r="A948" i="1"/>
  <c r="E947" i="1"/>
  <c r="A947" i="1"/>
  <c r="E946" i="1"/>
  <c r="A946" i="1"/>
  <c r="E945" i="1"/>
  <c r="A945" i="1"/>
  <c r="E944" i="1"/>
  <c r="A944" i="1"/>
  <c r="E943" i="1"/>
  <c r="A943" i="1"/>
  <c r="E942" i="1"/>
  <c r="A942" i="1"/>
  <c r="E941" i="1"/>
  <c r="A941" i="1"/>
  <c r="E940" i="1"/>
  <c r="A940" i="1"/>
  <c r="E939" i="1"/>
  <c r="A939" i="1"/>
  <c r="E938" i="1"/>
  <c r="A938" i="1"/>
  <c r="E937" i="1"/>
  <c r="A937" i="1"/>
  <c r="E936" i="1"/>
  <c r="A936" i="1"/>
  <c r="E935" i="1"/>
  <c r="A935" i="1"/>
  <c r="E934" i="1"/>
  <c r="A934" i="1"/>
  <c r="E933" i="1"/>
  <c r="A933" i="1"/>
  <c r="E932" i="1"/>
  <c r="A932" i="1"/>
  <c r="E931" i="1"/>
  <c r="A931" i="1"/>
  <c r="E930" i="1"/>
  <c r="A930" i="1"/>
  <c r="E929" i="1"/>
  <c r="A929" i="1"/>
  <c r="E928" i="1"/>
  <c r="A928" i="1"/>
  <c r="E927" i="1"/>
  <c r="A927" i="1"/>
  <c r="E926" i="1"/>
  <c r="A926" i="1"/>
  <c r="E925" i="1"/>
  <c r="A925" i="1"/>
  <c r="E924" i="1"/>
  <c r="A924" i="1"/>
  <c r="E923" i="1"/>
  <c r="A923" i="1"/>
  <c r="E922" i="1"/>
  <c r="A922" i="1"/>
  <c r="E921" i="1"/>
  <c r="A921" i="1"/>
  <c r="E920" i="1"/>
  <c r="A920" i="1"/>
  <c r="E919" i="1"/>
  <c r="A919" i="1"/>
  <c r="E918" i="1"/>
  <c r="A918" i="1"/>
  <c r="E917" i="1"/>
  <c r="A917" i="1"/>
  <c r="E916" i="1"/>
  <c r="A916" i="1"/>
  <c r="E915" i="1"/>
  <c r="A915" i="1"/>
  <c r="E914" i="1"/>
  <c r="A914" i="1"/>
  <c r="E913" i="1"/>
  <c r="A913" i="1"/>
  <c r="E912" i="1"/>
  <c r="A912" i="1"/>
  <c r="E911" i="1"/>
  <c r="A911" i="1"/>
  <c r="E910" i="1"/>
  <c r="A910" i="1"/>
  <c r="E909" i="1"/>
  <c r="A909" i="1"/>
  <c r="E908" i="1"/>
  <c r="A908" i="1"/>
  <c r="E907" i="1"/>
  <c r="A907" i="1"/>
  <c r="E906" i="1"/>
  <c r="A906" i="1"/>
  <c r="E905" i="1"/>
  <c r="A905" i="1"/>
  <c r="E904" i="1"/>
  <c r="A904" i="1"/>
  <c r="E903" i="1"/>
  <c r="A903" i="1"/>
  <c r="E902" i="1"/>
  <c r="A902" i="1"/>
  <c r="E901" i="1"/>
  <c r="A901" i="1"/>
  <c r="E900" i="1"/>
  <c r="A900" i="1"/>
  <c r="E899" i="1"/>
  <c r="A899" i="1"/>
  <c r="E898" i="1"/>
  <c r="A898" i="1"/>
  <c r="E897" i="1"/>
  <c r="A897" i="1"/>
  <c r="E896" i="1"/>
  <c r="A896" i="1"/>
  <c r="E895" i="1"/>
  <c r="A895" i="1"/>
  <c r="E894" i="1"/>
  <c r="A894" i="1"/>
  <c r="E893" i="1"/>
  <c r="A893" i="1"/>
  <c r="E892" i="1"/>
  <c r="A892" i="1"/>
  <c r="E891" i="1"/>
  <c r="A891" i="1"/>
  <c r="E890" i="1"/>
  <c r="A890" i="1"/>
  <c r="E889" i="1"/>
  <c r="A889" i="1"/>
  <c r="E888" i="1"/>
  <c r="A888" i="1"/>
  <c r="E887" i="1"/>
  <c r="A887" i="1"/>
  <c r="E886" i="1"/>
  <c r="A886" i="1"/>
  <c r="E885" i="1"/>
  <c r="A885" i="1"/>
  <c r="E884" i="1"/>
  <c r="A884" i="1"/>
  <c r="E883" i="1"/>
  <c r="A883" i="1"/>
  <c r="E882" i="1"/>
  <c r="A882" i="1"/>
  <c r="E881" i="1"/>
  <c r="A881" i="1"/>
  <c r="E880" i="1"/>
  <c r="A880" i="1"/>
  <c r="E879" i="1"/>
  <c r="A879" i="1"/>
  <c r="E878" i="1"/>
  <c r="A878" i="1"/>
  <c r="E877" i="1"/>
  <c r="A877" i="1"/>
  <c r="E876" i="1"/>
  <c r="A876" i="1"/>
  <c r="E875" i="1"/>
  <c r="A875" i="1"/>
  <c r="E874" i="1"/>
  <c r="A874" i="1"/>
  <c r="E873" i="1"/>
  <c r="A873" i="1"/>
  <c r="E872" i="1"/>
  <c r="A872" i="1"/>
  <c r="E871" i="1"/>
  <c r="A871" i="1"/>
  <c r="E870" i="1"/>
  <c r="A870" i="1"/>
  <c r="E869" i="1"/>
  <c r="A869" i="1"/>
  <c r="E868" i="1"/>
  <c r="A868" i="1"/>
  <c r="E867" i="1"/>
  <c r="A867" i="1"/>
  <c r="E866" i="1"/>
  <c r="A866" i="1"/>
  <c r="E865" i="1"/>
  <c r="A865" i="1"/>
  <c r="E864" i="1"/>
  <c r="A864" i="1"/>
  <c r="E863" i="1"/>
  <c r="A863" i="1"/>
  <c r="E862" i="1"/>
  <c r="A862" i="1"/>
  <c r="E861" i="1"/>
  <c r="A861" i="1"/>
  <c r="E860" i="1"/>
  <c r="A860" i="1"/>
  <c r="E859" i="1"/>
  <c r="A859" i="1"/>
  <c r="E858" i="1"/>
  <c r="A858" i="1"/>
  <c r="E857" i="1"/>
  <c r="A857" i="1"/>
  <c r="E856" i="1"/>
  <c r="A856" i="1"/>
  <c r="E855" i="1"/>
  <c r="A855" i="1"/>
  <c r="E854" i="1"/>
  <c r="A854" i="1"/>
  <c r="E853" i="1"/>
  <c r="A853" i="1"/>
  <c r="E852" i="1"/>
  <c r="A852" i="1"/>
  <c r="E851" i="1"/>
  <c r="A851" i="1"/>
  <c r="E850" i="1"/>
  <c r="A850" i="1"/>
  <c r="E849" i="1"/>
  <c r="A849" i="1"/>
  <c r="E848" i="1"/>
  <c r="A848" i="1"/>
  <c r="E847" i="1"/>
  <c r="A847" i="1"/>
  <c r="E846" i="1"/>
  <c r="A846" i="1"/>
  <c r="E845" i="1"/>
  <c r="A845" i="1"/>
  <c r="E844" i="1"/>
  <c r="A844" i="1"/>
  <c r="E843" i="1"/>
  <c r="A843" i="1"/>
  <c r="E842" i="1"/>
  <c r="A842" i="1"/>
  <c r="E841" i="1"/>
  <c r="A841" i="1"/>
  <c r="E840" i="1"/>
  <c r="A840" i="1"/>
  <c r="E839" i="1"/>
  <c r="A839" i="1"/>
  <c r="E838" i="1"/>
  <c r="A838" i="1"/>
  <c r="E837" i="1"/>
  <c r="A837" i="1"/>
  <c r="E836" i="1"/>
  <c r="A836" i="1"/>
  <c r="E835" i="1"/>
  <c r="A835" i="1"/>
  <c r="E834" i="1"/>
  <c r="A834" i="1"/>
  <c r="E833" i="1"/>
  <c r="A833" i="1"/>
  <c r="E832" i="1"/>
  <c r="A832" i="1"/>
  <c r="E831" i="1"/>
  <c r="A831" i="1"/>
  <c r="E830" i="1"/>
  <c r="A830" i="1"/>
  <c r="E829" i="1"/>
  <c r="A829" i="1"/>
  <c r="E828" i="1"/>
  <c r="A828" i="1"/>
  <c r="E827" i="1"/>
  <c r="A827" i="1"/>
  <c r="E826" i="1"/>
  <c r="A826" i="1"/>
  <c r="E825" i="1"/>
  <c r="A825" i="1"/>
  <c r="E824" i="1"/>
  <c r="A824" i="1"/>
  <c r="E823" i="1"/>
  <c r="A823" i="1"/>
  <c r="E822" i="1"/>
  <c r="A822" i="1"/>
  <c r="E821" i="1"/>
  <c r="A821" i="1"/>
  <c r="E820" i="1"/>
  <c r="A820" i="1"/>
  <c r="E819" i="1"/>
  <c r="A819" i="1"/>
  <c r="E818" i="1"/>
  <c r="A818" i="1"/>
  <c r="E817" i="1"/>
  <c r="A817" i="1"/>
  <c r="E816" i="1"/>
  <c r="A816" i="1"/>
  <c r="E815" i="1"/>
  <c r="A815" i="1"/>
  <c r="E814" i="1"/>
  <c r="A814" i="1"/>
  <c r="E813" i="1"/>
  <c r="A813" i="1"/>
  <c r="E812" i="1"/>
  <c r="A812" i="1"/>
  <c r="E811" i="1"/>
  <c r="A811" i="1"/>
  <c r="E810" i="1"/>
  <c r="A810" i="1"/>
  <c r="E809" i="1"/>
  <c r="A809" i="1"/>
  <c r="E808" i="1"/>
  <c r="A808" i="1"/>
  <c r="E807" i="1"/>
  <c r="A807" i="1"/>
  <c r="E806" i="1"/>
  <c r="A806" i="1"/>
  <c r="E805" i="1"/>
  <c r="A805" i="1"/>
  <c r="E804" i="1"/>
  <c r="A804" i="1"/>
  <c r="E803" i="1"/>
  <c r="A803" i="1"/>
  <c r="E802" i="1"/>
  <c r="A802" i="1"/>
  <c r="E801" i="1"/>
  <c r="A801" i="1"/>
  <c r="E800" i="1"/>
  <c r="A800" i="1"/>
  <c r="E799" i="1"/>
  <c r="A799" i="1"/>
  <c r="E798" i="1"/>
  <c r="A798" i="1"/>
  <c r="E797" i="1"/>
  <c r="A797" i="1"/>
  <c r="E796" i="1"/>
  <c r="A796" i="1"/>
  <c r="E795" i="1"/>
  <c r="A795" i="1"/>
  <c r="E794" i="1"/>
  <c r="A794" i="1"/>
  <c r="E793" i="1"/>
  <c r="A793" i="1"/>
  <c r="E792" i="1"/>
  <c r="A792" i="1"/>
  <c r="E791" i="1"/>
  <c r="A791" i="1"/>
  <c r="E790" i="1"/>
  <c r="A790" i="1"/>
  <c r="E789" i="1"/>
  <c r="A789" i="1"/>
  <c r="E788" i="1"/>
  <c r="A788" i="1"/>
  <c r="E787" i="1"/>
  <c r="A787" i="1"/>
  <c r="E786" i="1"/>
  <c r="A786" i="1"/>
  <c r="E785" i="1"/>
  <c r="A785" i="1"/>
  <c r="E784" i="1"/>
  <c r="A784" i="1"/>
  <c r="E783" i="1"/>
  <c r="A783" i="1"/>
  <c r="E782" i="1"/>
  <c r="A782" i="1"/>
  <c r="E781" i="1"/>
  <c r="A781" i="1"/>
  <c r="E780" i="1"/>
  <c r="A780" i="1"/>
  <c r="E779" i="1"/>
  <c r="A779" i="1"/>
  <c r="E778" i="1"/>
  <c r="A778" i="1"/>
  <c r="E777" i="1"/>
  <c r="A777" i="1"/>
  <c r="E776" i="1"/>
  <c r="A776" i="1"/>
  <c r="E775" i="1"/>
  <c r="A775" i="1"/>
  <c r="E774" i="1"/>
  <c r="A774" i="1"/>
  <c r="E773" i="1"/>
  <c r="A773" i="1"/>
  <c r="E772" i="1"/>
  <c r="A772" i="1"/>
  <c r="E771" i="1"/>
  <c r="A771" i="1"/>
  <c r="E770" i="1"/>
  <c r="A770" i="1"/>
  <c r="E769" i="1"/>
  <c r="A769" i="1"/>
  <c r="E768" i="1"/>
  <c r="A768" i="1"/>
  <c r="E767" i="1"/>
  <c r="A767" i="1"/>
  <c r="E766" i="1"/>
  <c r="A766" i="1"/>
  <c r="E765" i="1"/>
  <c r="A765" i="1"/>
  <c r="E764" i="1"/>
  <c r="A764" i="1"/>
  <c r="E763" i="1"/>
  <c r="A763" i="1"/>
  <c r="E762" i="1"/>
  <c r="A762" i="1"/>
  <c r="E761" i="1"/>
  <c r="A761" i="1"/>
  <c r="E760" i="1"/>
  <c r="A760" i="1"/>
  <c r="E759" i="1"/>
  <c r="A759" i="1"/>
  <c r="E756" i="1"/>
  <c r="A756" i="1"/>
  <c r="E755" i="1"/>
  <c r="A755" i="1"/>
  <c r="E754" i="1"/>
  <c r="A754" i="1"/>
  <c r="E753" i="1"/>
  <c r="A753" i="1"/>
  <c r="E752" i="1"/>
  <c r="A752" i="1"/>
  <c r="E751" i="1"/>
  <c r="A751" i="1"/>
  <c r="E750" i="1"/>
  <c r="A750" i="1"/>
  <c r="E749" i="1"/>
  <c r="A749" i="1"/>
  <c r="E748" i="1"/>
  <c r="A748" i="1"/>
  <c r="E747" i="1"/>
  <c r="A747" i="1"/>
  <c r="E746" i="1"/>
  <c r="A746" i="1"/>
  <c r="E745" i="1"/>
  <c r="A745" i="1"/>
  <c r="E744" i="1"/>
  <c r="A744" i="1"/>
  <c r="E743" i="1"/>
  <c r="A743" i="1"/>
  <c r="E742" i="1"/>
  <c r="A742" i="1"/>
  <c r="E741" i="1"/>
  <c r="A741" i="1"/>
  <c r="E740" i="1"/>
  <c r="A740" i="1"/>
  <c r="E739" i="1"/>
  <c r="A739" i="1"/>
  <c r="E738" i="1"/>
  <c r="A738" i="1"/>
  <c r="E737" i="1"/>
  <c r="A737" i="1"/>
  <c r="E736" i="1"/>
  <c r="A736" i="1"/>
  <c r="E735" i="1"/>
  <c r="A735" i="1"/>
  <c r="E734" i="1"/>
  <c r="A734" i="1"/>
  <c r="E733" i="1"/>
  <c r="A733" i="1"/>
  <c r="E732" i="1"/>
  <c r="A732" i="1"/>
  <c r="E731" i="1"/>
  <c r="A731" i="1"/>
  <c r="E730" i="1"/>
  <c r="A730" i="1"/>
  <c r="E729" i="1"/>
  <c r="A729" i="1"/>
  <c r="E728" i="1"/>
  <c r="A728" i="1"/>
  <c r="E727" i="1"/>
  <c r="A727" i="1"/>
  <c r="E726" i="1"/>
  <c r="A726" i="1"/>
  <c r="E725" i="1"/>
  <c r="A725" i="1"/>
  <c r="E724" i="1"/>
  <c r="A724" i="1"/>
  <c r="E723" i="1"/>
  <c r="A723" i="1"/>
  <c r="E722" i="1"/>
  <c r="A722" i="1"/>
  <c r="E721" i="1"/>
  <c r="A721" i="1"/>
  <c r="E720" i="1"/>
  <c r="A720" i="1"/>
  <c r="E719" i="1"/>
  <c r="A719" i="1"/>
  <c r="E718" i="1"/>
  <c r="A718" i="1"/>
  <c r="E717" i="1"/>
  <c r="A717" i="1"/>
  <c r="E716" i="1"/>
  <c r="A716" i="1"/>
  <c r="E715" i="1"/>
  <c r="A715" i="1"/>
  <c r="E714" i="1"/>
  <c r="A714" i="1"/>
  <c r="E713" i="1"/>
  <c r="A713" i="1"/>
  <c r="E712" i="1"/>
  <c r="A712" i="1"/>
  <c r="E711" i="1"/>
  <c r="A711" i="1"/>
  <c r="E710" i="1"/>
  <c r="A710" i="1"/>
  <c r="E709" i="1"/>
  <c r="A709" i="1"/>
  <c r="E708" i="1"/>
  <c r="A708" i="1"/>
  <c r="E707" i="1"/>
  <c r="A707" i="1"/>
  <c r="E706" i="1"/>
  <c r="A706" i="1"/>
  <c r="E705" i="1"/>
  <c r="A705" i="1"/>
  <c r="E704" i="1"/>
  <c r="A704" i="1"/>
  <c r="E703" i="1"/>
  <c r="A703" i="1"/>
  <c r="E702" i="1"/>
  <c r="A702" i="1"/>
  <c r="E701" i="1"/>
  <c r="A701" i="1"/>
  <c r="E700" i="1"/>
  <c r="A700" i="1"/>
  <c r="E699" i="1"/>
  <c r="A699" i="1"/>
  <c r="E698" i="1"/>
  <c r="A698" i="1"/>
  <c r="E697" i="1"/>
  <c r="A697" i="1"/>
  <c r="E696" i="1"/>
  <c r="A696" i="1"/>
  <c r="E695" i="1"/>
  <c r="A695" i="1"/>
  <c r="E694" i="1"/>
  <c r="A694" i="1"/>
  <c r="E693" i="1"/>
  <c r="A693" i="1"/>
  <c r="E692" i="1"/>
  <c r="A692" i="1"/>
  <c r="E691" i="1"/>
  <c r="A691" i="1"/>
  <c r="E690" i="1"/>
  <c r="A690" i="1"/>
  <c r="E689" i="1"/>
  <c r="A689" i="1"/>
  <c r="E688" i="1"/>
  <c r="A688" i="1"/>
  <c r="E687" i="1"/>
  <c r="A687" i="1"/>
  <c r="E686" i="1"/>
  <c r="A686" i="1"/>
  <c r="E685" i="1"/>
  <c r="A685" i="1"/>
  <c r="E684" i="1"/>
  <c r="A684" i="1"/>
  <c r="E683" i="1"/>
  <c r="A683" i="1"/>
  <c r="E682" i="1"/>
  <c r="A682" i="1"/>
  <c r="E681" i="1"/>
  <c r="A681" i="1"/>
  <c r="E680" i="1"/>
  <c r="A680" i="1"/>
  <c r="E679" i="1"/>
  <c r="A679" i="1"/>
  <c r="E678" i="1"/>
  <c r="A678" i="1"/>
  <c r="E677" i="1"/>
  <c r="A677" i="1"/>
  <c r="E676" i="1"/>
  <c r="A676" i="1"/>
  <c r="E675" i="1"/>
  <c r="A675" i="1"/>
  <c r="E674" i="1"/>
  <c r="A674" i="1"/>
  <c r="E673" i="1"/>
  <c r="A673" i="1"/>
  <c r="E672" i="1"/>
  <c r="A672" i="1"/>
  <c r="E671" i="1"/>
  <c r="A671" i="1"/>
  <c r="E670" i="1"/>
  <c r="A670" i="1"/>
  <c r="E669" i="1"/>
  <c r="A669" i="1"/>
  <c r="E668" i="1"/>
  <c r="A668" i="1"/>
  <c r="E667" i="1"/>
  <c r="A667" i="1"/>
  <c r="E666" i="1"/>
  <c r="A666" i="1"/>
  <c r="E665" i="1"/>
  <c r="A665" i="1"/>
  <c r="E664" i="1"/>
  <c r="A664" i="1"/>
  <c r="E663" i="1"/>
  <c r="A663" i="1"/>
  <c r="E662" i="1"/>
  <c r="A662" i="1"/>
  <c r="E661" i="1"/>
  <c r="A661" i="1"/>
  <c r="E660" i="1"/>
  <c r="A660" i="1"/>
  <c r="E659" i="1"/>
  <c r="A659" i="1"/>
  <c r="E658" i="1"/>
  <c r="A658" i="1"/>
  <c r="E657" i="1"/>
  <c r="A657" i="1"/>
  <c r="E656" i="1"/>
  <c r="A656" i="1"/>
  <c r="E655" i="1"/>
  <c r="A655" i="1"/>
  <c r="E654" i="1"/>
  <c r="A654" i="1"/>
  <c r="E653" i="1"/>
  <c r="A653" i="1"/>
  <c r="E652" i="1"/>
  <c r="A652" i="1"/>
  <c r="E651" i="1"/>
  <c r="A651" i="1"/>
  <c r="E650" i="1"/>
  <c r="A650" i="1"/>
  <c r="E649" i="1"/>
  <c r="A649" i="1"/>
  <c r="E648" i="1"/>
  <c r="A648" i="1"/>
  <c r="E647" i="1"/>
  <c r="A647" i="1"/>
  <c r="E646" i="1"/>
  <c r="A646" i="1"/>
  <c r="E645" i="1"/>
  <c r="A645" i="1"/>
  <c r="E644" i="1"/>
  <c r="A644" i="1"/>
  <c r="E643" i="1"/>
  <c r="A643" i="1"/>
  <c r="E642" i="1"/>
  <c r="A642" i="1"/>
  <c r="E641" i="1"/>
  <c r="A641" i="1"/>
  <c r="E640" i="1"/>
  <c r="A640" i="1"/>
  <c r="E639" i="1"/>
  <c r="A639" i="1"/>
  <c r="E638" i="1"/>
  <c r="A638" i="1"/>
  <c r="E637" i="1"/>
  <c r="A637" i="1"/>
  <c r="E636" i="1"/>
  <c r="A636" i="1"/>
  <c r="E635" i="1"/>
  <c r="A635" i="1"/>
  <c r="E634" i="1"/>
  <c r="A634" i="1"/>
  <c r="E633" i="1"/>
  <c r="A633" i="1"/>
  <c r="E632" i="1"/>
  <c r="A632" i="1"/>
  <c r="E631" i="1"/>
  <c r="A631" i="1"/>
  <c r="E630" i="1"/>
  <c r="A630" i="1"/>
  <c r="E629" i="1"/>
  <c r="A629" i="1"/>
  <c r="E628" i="1"/>
  <c r="A628" i="1"/>
  <c r="E627" i="1"/>
  <c r="A627" i="1"/>
  <c r="E626" i="1"/>
  <c r="A626" i="1"/>
  <c r="E625" i="1"/>
  <c r="A625" i="1"/>
  <c r="E624" i="1"/>
  <c r="A624" i="1"/>
  <c r="E623" i="1"/>
  <c r="A623" i="1"/>
  <c r="E622" i="1"/>
  <c r="A622" i="1"/>
  <c r="E621" i="1"/>
  <c r="A621" i="1"/>
  <c r="E620" i="1"/>
  <c r="A620" i="1"/>
  <c r="E619" i="1"/>
  <c r="A619" i="1"/>
  <c r="E618" i="1"/>
  <c r="A618" i="1"/>
  <c r="E617" i="1"/>
  <c r="A617" i="1"/>
  <c r="E616" i="1"/>
  <c r="A616" i="1"/>
  <c r="E615" i="1"/>
  <c r="A615" i="1"/>
  <c r="E614" i="1"/>
  <c r="A614" i="1"/>
  <c r="E613" i="1"/>
  <c r="A613" i="1"/>
  <c r="E612" i="1"/>
  <c r="A612" i="1"/>
  <c r="E611" i="1"/>
  <c r="A611" i="1"/>
  <c r="E610" i="1"/>
  <c r="A610" i="1"/>
  <c r="E609" i="1"/>
  <c r="A609" i="1"/>
  <c r="E608" i="1"/>
  <c r="A608" i="1"/>
  <c r="E607" i="1"/>
  <c r="A607" i="1"/>
  <c r="E606" i="1"/>
  <c r="A606" i="1"/>
  <c r="E605" i="1"/>
  <c r="A605" i="1"/>
  <c r="E604" i="1"/>
  <c r="A604" i="1"/>
  <c r="E603" i="1"/>
  <c r="A603" i="1"/>
  <c r="E602" i="1"/>
  <c r="A602" i="1"/>
  <c r="E601" i="1"/>
  <c r="A601" i="1"/>
  <c r="E600" i="1"/>
  <c r="A600" i="1"/>
  <c r="E599" i="1"/>
  <c r="A599" i="1"/>
  <c r="E598" i="1"/>
  <c r="A598" i="1"/>
  <c r="E597" i="1"/>
  <c r="A597" i="1"/>
  <c r="E596" i="1"/>
  <c r="A596" i="1"/>
  <c r="E595" i="1"/>
  <c r="A595" i="1"/>
  <c r="E594" i="1"/>
  <c r="A594" i="1"/>
  <c r="E593" i="1"/>
  <c r="A593" i="1"/>
  <c r="E592" i="1"/>
  <c r="A592" i="1"/>
  <c r="E591" i="1"/>
  <c r="A591" i="1"/>
  <c r="E590" i="1"/>
  <c r="A590" i="1"/>
  <c r="E589" i="1"/>
  <c r="A589" i="1"/>
  <c r="E588" i="1"/>
  <c r="A588" i="1"/>
  <c r="E587" i="1"/>
  <c r="A587" i="1"/>
  <c r="E586" i="1"/>
  <c r="A586" i="1"/>
  <c r="E585" i="1"/>
  <c r="A585" i="1"/>
  <c r="E584" i="1"/>
  <c r="A584" i="1"/>
  <c r="E583" i="1"/>
  <c r="A583" i="1"/>
  <c r="E582" i="1"/>
  <c r="A582" i="1"/>
  <c r="E581" i="1"/>
  <c r="A581" i="1"/>
  <c r="E580" i="1"/>
  <c r="A580" i="1"/>
  <c r="E579" i="1"/>
  <c r="A579" i="1"/>
  <c r="E578" i="1"/>
  <c r="A578" i="1"/>
  <c r="E577" i="1"/>
  <c r="A577" i="1"/>
  <c r="E576" i="1"/>
  <c r="A576" i="1"/>
  <c r="E575" i="1"/>
  <c r="A575" i="1"/>
  <c r="E574" i="1"/>
  <c r="A574" i="1"/>
  <c r="E573" i="1"/>
  <c r="A573" i="1"/>
  <c r="E572" i="1"/>
  <c r="A572" i="1"/>
  <c r="E571" i="1"/>
  <c r="A571" i="1"/>
  <c r="E570" i="1"/>
  <c r="A570" i="1"/>
  <c r="E569" i="1"/>
  <c r="A569" i="1"/>
  <c r="E568" i="1"/>
  <c r="A568" i="1"/>
  <c r="E567" i="1"/>
  <c r="A567" i="1"/>
  <c r="E566" i="1"/>
  <c r="A566" i="1"/>
  <c r="E565" i="1"/>
  <c r="A565" i="1"/>
  <c r="E564" i="1"/>
  <c r="A564" i="1"/>
  <c r="E563" i="1"/>
  <c r="A563" i="1"/>
  <c r="E562" i="1"/>
  <c r="A562" i="1"/>
  <c r="E561" i="1"/>
  <c r="A561" i="1"/>
  <c r="E560" i="1"/>
  <c r="A560" i="1"/>
  <c r="E559" i="1"/>
  <c r="A559" i="1"/>
  <c r="E558" i="1"/>
  <c r="A558" i="1"/>
  <c r="E557" i="1"/>
  <c r="A557" i="1"/>
  <c r="E556" i="1"/>
  <c r="A556" i="1"/>
  <c r="E555" i="1"/>
  <c r="A555" i="1"/>
  <c r="E554" i="1"/>
  <c r="A554" i="1"/>
  <c r="E553" i="1"/>
  <c r="A553" i="1"/>
  <c r="E552" i="1"/>
  <c r="A552" i="1"/>
  <c r="E551" i="1"/>
  <c r="A551" i="1"/>
  <c r="E550" i="1"/>
  <c r="A550" i="1"/>
  <c r="E549" i="1"/>
  <c r="A549" i="1"/>
  <c r="E548" i="1"/>
  <c r="A548" i="1"/>
  <c r="E547" i="1"/>
  <c r="A547" i="1"/>
  <c r="E546" i="1"/>
  <c r="A546" i="1"/>
  <c r="E545" i="1"/>
  <c r="A545" i="1"/>
  <c r="E544" i="1"/>
  <c r="A544" i="1"/>
  <c r="E543" i="1"/>
  <c r="A543" i="1"/>
  <c r="E542" i="1"/>
  <c r="A542" i="1"/>
  <c r="E541" i="1"/>
  <c r="A541" i="1"/>
  <c r="E540" i="1"/>
  <c r="A540" i="1"/>
  <c r="E539" i="1"/>
  <c r="A539" i="1"/>
  <c r="E538" i="1"/>
  <c r="A538" i="1"/>
  <c r="E537" i="1"/>
  <c r="A537" i="1"/>
  <c r="E536" i="1"/>
  <c r="A536" i="1"/>
  <c r="E535" i="1"/>
  <c r="A535" i="1"/>
  <c r="E534" i="1"/>
  <c r="A534" i="1"/>
  <c r="E533" i="1"/>
  <c r="A533" i="1"/>
  <c r="E532" i="1"/>
  <c r="A532" i="1"/>
  <c r="E531" i="1"/>
  <c r="A531" i="1"/>
  <c r="E530" i="1"/>
  <c r="A530" i="1"/>
  <c r="E529" i="1"/>
  <c r="A529" i="1"/>
  <c r="E528" i="1"/>
  <c r="A528" i="1"/>
  <c r="E527" i="1"/>
  <c r="A527" i="1"/>
  <c r="E526" i="1"/>
  <c r="A526" i="1"/>
  <c r="E525" i="1"/>
  <c r="A525" i="1"/>
  <c r="E524" i="1"/>
  <c r="A524" i="1"/>
  <c r="E523" i="1"/>
  <c r="A523" i="1"/>
  <c r="E522" i="1"/>
  <c r="A522" i="1"/>
  <c r="E521" i="1"/>
  <c r="A521" i="1"/>
  <c r="E520" i="1"/>
  <c r="A520" i="1"/>
  <c r="E519" i="1"/>
  <c r="A519" i="1"/>
  <c r="E518" i="1"/>
  <c r="A518" i="1"/>
  <c r="E517" i="1"/>
  <c r="A517" i="1"/>
  <c r="E516" i="1"/>
  <c r="A516" i="1"/>
  <c r="E515" i="1"/>
  <c r="A515" i="1"/>
  <c r="E514" i="1"/>
  <c r="A514" i="1"/>
  <c r="E513" i="1"/>
  <c r="A513" i="1"/>
  <c r="E512" i="1"/>
  <c r="A512" i="1"/>
  <c r="E511" i="1"/>
  <c r="A511" i="1"/>
  <c r="E510" i="1"/>
  <c r="A510" i="1"/>
  <c r="E509" i="1"/>
  <c r="A509" i="1"/>
  <c r="E508" i="1"/>
  <c r="A508" i="1"/>
  <c r="E507" i="1"/>
  <c r="A507" i="1"/>
  <c r="E506" i="1"/>
  <c r="A506" i="1"/>
  <c r="E505" i="1"/>
  <c r="A505" i="1"/>
  <c r="E504" i="1"/>
  <c r="A504" i="1"/>
  <c r="E503" i="1"/>
  <c r="A503" i="1"/>
  <c r="E502" i="1"/>
  <c r="A502" i="1"/>
  <c r="E501" i="1"/>
  <c r="A501" i="1"/>
  <c r="E500" i="1"/>
  <c r="A500" i="1"/>
  <c r="E499" i="1"/>
  <c r="A499" i="1"/>
  <c r="E498" i="1"/>
  <c r="A498" i="1"/>
  <c r="E497" i="1"/>
  <c r="A497" i="1"/>
  <c r="E496" i="1"/>
  <c r="A496" i="1"/>
  <c r="E495" i="1"/>
  <c r="A495" i="1"/>
  <c r="E494" i="1"/>
  <c r="A494" i="1"/>
  <c r="E493" i="1"/>
  <c r="A493" i="1"/>
  <c r="E492" i="1"/>
  <c r="A492" i="1"/>
  <c r="E491" i="1"/>
  <c r="A491" i="1"/>
  <c r="E490" i="1"/>
  <c r="A490" i="1"/>
  <c r="E489" i="1"/>
  <c r="A489" i="1"/>
  <c r="E488" i="1"/>
  <c r="A488" i="1"/>
  <c r="E487" i="1"/>
  <c r="A487" i="1"/>
  <c r="E486" i="1"/>
  <c r="A486" i="1"/>
  <c r="E485" i="1"/>
  <c r="A485" i="1"/>
  <c r="E484" i="1"/>
  <c r="A484" i="1"/>
  <c r="E483" i="1"/>
  <c r="A483" i="1"/>
  <c r="E482" i="1"/>
  <c r="A482" i="1"/>
  <c r="E481" i="1"/>
  <c r="A481" i="1"/>
  <c r="E480" i="1"/>
  <c r="A480" i="1"/>
  <c r="E479" i="1"/>
  <c r="A479" i="1"/>
  <c r="E478" i="1"/>
  <c r="A478" i="1"/>
  <c r="E477" i="1"/>
  <c r="A477" i="1"/>
  <c r="E476" i="1"/>
  <c r="A476" i="1"/>
  <c r="E475" i="1"/>
  <c r="A475" i="1"/>
  <c r="E474" i="1"/>
  <c r="A474" i="1"/>
  <c r="E473" i="1"/>
  <c r="A473" i="1"/>
  <c r="E472" i="1"/>
  <c r="A472" i="1"/>
  <c r="E471" i="1"/>
  <c r="A471" i="1"/>
  <c r="E470" i="1"/>
  <c r="A470" i="1"/>
  <c r="E469" i="1"/>
  <c r="A469" i="1"/>
  <c r="E468" i="1"/>
  <c r="A468" i="1"/>
  <c r="E467" i="1"/>
  <c r="A467" i="1"/>
  <c r="E466" i="1"/>
  <c r="A466" i="1"/>
  <c r="E465" i="1"/>
  <c r="A465" i="1"/>
  <c r="E464" i="1"/>
  <c r="A464" i="1"/>
  <c r="E463" i="1"/>
  <c r="A463" i="1"/>
  <c r="E462" i="1"/>
  <c r="A462" i="1"/>
  <c r="E461" i="1"/>
  <c r="A461" i="1"/>
  <c r="E460" i="1"/>
  <c r="A460" i="1"/>
  <c r="E459" i="1"/>
  <c r="A459" i="1"/>
  <c r="E458" i="1"/>
  <c r="A458" i="1"/>
  <c r="E457" i="1"/>
  <c r="A457" i="1"/>
  <c r="E456" i="1"/>
  <c r="A456" i="1"/>
  <c r="E455" i="1"/>
  <c r="A455" i="1"/>
  <c r="E454" i="1"/>
  <c r="A454" i="1"/>
  <c r="E453" i="1"/>
  <c r="A453" i="1"/>
  <c r="E452" i="1"/>
  <c r="A452" i="1"/>
  <c r="E451" i="1"/>
  <c r="A451" i="1"/>
  <c r="E450" i="1"/>
  <c r="A450" i="1"/>
  <c r="E449" i="1"/>
  <c r="A449" i="1"/>
  <c r="E448" i="1"/>
  <c r="A448" i="1"/>
  <c r="E447" i="1"/>
  <c r="A447" i="1"/>
  <c r="E446" i="1"/>
  <c r="A446" i="1"/>
  <c r="E445" i="1"/>
  <c r="A445" i="1"/>
  <c r="E444" i="1"/>
  <c r="A444" i="1"/>
  <c r="E443" i="1"/>
  <c r="A443" i="1"/>
  <c r="E442" i="1"/>
  <c r="A442" i="1"/>
  <c r="E441" i="1"/>
  <c r="A441" i="1"/>
  <c r="E440" i="1"/>
  <c r="A440" i="1"/>
  <c r="E439" i="1"/>
  <c r="A439" i="1"/>
  <c r="E438" i="1"/>
  <c r="A438" i="1"/>
  <c r="E437" i="1"/>
  <c r="A437" i="1"/>
  <c r="E436" i="1"/>
  <c r="A436" i="1"/>
  <c r="E435" i="1"/>
  <c r="A435" i="1"/>
  <c r="E434" i="1"/>
  <c r="A434" i="1"/>
  <c r="E433" i="1"/>
  <c r="A433" i="1"/>
  <c r="E432" i="1"/>
  <c r="A432" i="1"/>
  <c r="E431" i="1"/>
  <c r="A431" i="1"/>
  <c r="E430" i="1"/>
  <c r="A430" i="1"/>
  <c r="E429" i="1"/>
  <c r="A429" i="1"/>
  <c r="E428" i="1"/>
  <c r="A428" i="1"/>
  <c r="E427" i="1"/>
  <c r="A427" i="1"/>
  <c r="E426" i="1"/>
  <c r="A426" i="1"/>
  <c r="E425" i="1"/>
  <c r="A425" i="1"/>
  <c r="E424" i="1"/>
  <c r="A424" i="1"/>
  <c r="E423" i="1"/>
  <c r="A423" i="1"/>
  <c r="E422" i="1"/>
  <c r="A422" i="1"/>
  <c r="E421" i="1"/>
  <c r="A421" i="1"/>
  <c r="E420" i="1"/>
  <c r="A420" i="1"/>
  <c r="E419" i="1"/>
  <c r="A419" i="1"/>
  <c r="E418" i="1"/>
  <c r="A418" i="1"/>
  <c r="E417" i="1"/>
  <c r="A417" i="1"/>
  <c r="E416" i="1"/>
  <c r="A416" i="1"/>
  <c r="E415" i="1"/>
  <c r="A415" i="1"/>
  <c r="E414" i="1"/>
  <c r="A414" i="1"/>
  <c r="E413" i="1"/>
  <c r="A413" i="1"/>
  <c r="E412" i="1"/>
  <c r="A412" i="1"/>
  <c r="E411" i="1"/>
  <c r="A411" i="1"/>
  <c r="E410" i="1"/>
  <c r="A410" i="1"/>
  <c r="E409" i="1"/>
  <c r="A409" i="1"/>
  <c r="E408" i="1"/>
  <c r="A408" i="1"/>
  <c r="E407" i="1"/>
  <c r="A407" i="1"/>
  <c r="E406" i="1"/>
  <c r="A406" i="1"/>
  <c r="E405" i="1"/>
  <c r="A405" i="1"/>
  <c r="E404" i="1"/>
  <c r="A404" i="1"/>
  <c r="E403" i="1"/>
  <c r="A403" i="1"/>
  <c r="E402" i="1"/>
  <c r="A402" i="1"/>
  <c r="E401" i="1"/>
  <c r="A401" i="1"/>
  <c r="E400" i="1"/>
  <c r="A400" i="1"/>
  <c r="E399" i="1"/>
  <c r="A399" i="1"/>
  <c r="E398" i="1"/>
  <c r="A398" i="1"/>
  <c r="E397" i="1"/>
  <c r="A397" i="1"/>
  <c r="E396" i="1"/>
  <c r="A396" i="1"/>
  <c r="E395" i="1"/>
  <c r="A395" i="1"/>
  <c r="E394" i="1"/>
  <c r="A394" i="1"/>
  <c r="E393" i="1"/>
  <c r="A393" i="1"/>
  <c r="E392" i="1"/>
  <c r="A392" i="1"/>
  <c r="E391" i="1"/>
  <c r="A391" i="1"/>
  <c r="E390" i="1"/>
  <c r="A390" i="1"/>
  <c r="E389" i="1"/>
  <c r="A389" i="1"/>
  <c r="E388" i="1"/>
  <c r="A388" i="1"/>
  <c r="E387" i="1"/>
  <c r="A387" i="1"/>
  <c r="E386" i="1"/>
  <c r="A386" i="1"/>
  <c r="E385" i="1"/>
  <c r="A385" i="1"/>
  <c r="E384" i="1"/>
  <c r="A384" i="1"/>
  <c r="E383" i="1"/>
  <c r="A383" i="1"/>
  <c r="E382" i="1"/>
  <c r="A382" i="1"/>
  <c r="E381" i="1"/>
  <c r="A381" i="1"/>
  <c r="E380" i="1"/>
  <c r="A380" i="1"/>
  <c r="E379" i="1"/>
  <c r="A379" i="1"/>
  <c r="E378" i="1"/>
  <c r="A378" i="1"/>
  <c r="E377" i="1"/>
  <c r="A377" i="1"/>
  <c r="E376" i="1"/>
  <c r="A376" i="1"/>
  <c r="E375" i="1"/>
  <c r="A375" i="1"/>
  <c r="E374" i="1"/>
  <c r="A374" i="1"/>
  <c r="E373" i="1"/>
  <c r="A373" i="1"/>
  <c r="E372" i="1"/>
  <c r="A372" i="1"/>
  <c r="E371" i="1"/>
  <c r="A371" i="1"/>
  <c r="E370" i="1"/>
  <c r="A370" i="1"/>
  <c r="E369" i="1"/>
  <c r="A369" i="1"/>
  <c r="E368" i="1"/>
  <c r="A368" i="1"/>
  <c r="E367" i="1"/>
  <c r="A367" i="1"/>
  <c r="E366" i="1"/>
  <c r="A366" i="1"/>
  <c r="E365" i="1"/>
  <c r="A365" i="1"/>
  <c r="E364" i="1"/>
  <c r="A364" i="1"/>
  <c r="E363" i="1"/>
  <c r="A363" i="1"/>
  <c r="E362" i="1"/>
  <c r="A362" i="1"/>
  <c r="E361" i="1"/>
  <c r="A361" i="1"/>
  <c r="E360" i="1"/>
  <c r="A360" i="1"/>
  <c r="E359" i="1"/>
  <c r="A359" i="1"/>
  <c r="E358" i="1"/>
  <c r="A358" i="1"/>
  <c r="E357" i="1"/>
  <c r="A357" i="1"/>
  <c r="E356" i="1"/>
  <c r="A356" i="1"/>
  <c r="E355" i="1"/>
  <c r="A355" i="1"/>
  <c r="E354" i="1"/>
  <c r="A354" i="1"/>
  <c r="E353" i="1"/>
  <c r="A353" i="1"/>
  <c r="E352" i="1"/>
  <c r="A352" i="1"/>
  <c r="E351" i="1"/>
  <c r="A351" i="1"/>
  <c r="E350" i="1"/>
  <c r="A350" i="1"/>
  <c r="E349" i="1"/>
  <c r="A349" i="1"/>
  <c r="E348" i="1"/>
  <c r="A348" i="1"/>
  <c r="E347" i="1"/>
  <c r="A347" i="1"/>
  <c r="E346" i="1"/>
  <c r="A346" i="1"/>
  <c r="E345" i="1"/>
  <c r="A345" i="1"/>
  <c r="E344" i="1"/>
  <c r="A344" i="1"/>
  <c r="E343" i="1"/>
  <c r="A343" i="1"/>
  <c r="E342" i="1"/>
  <c r="A342" i="1"/>
  <c r="E341" i="1"/>
  <c r="A341" i="1"/>
  <c r="E340" i="1"/>
  <c r="A340" i="1"/>
  <c r="E339" i="1"/>
  <c r="A339" i="1"/>
  <c r="E338" i="1"/>
  <c r="A338" i="1"/>
  <c r="E337" i="1"/>
  <c r="A337" i="1"/>
  <c r="E336" i="1"/>
  <c r="A336" i="1"/>
  <c r="E335" i="1"/>
  <c r="A335" i="1"/>
  <c r="E334" i="1"/>
  <c r="A334" i="1"/>
  <c r="E333" i="1"/>
  <c r="A333" i="1"/>
  <c r="E332" i="1"/>
  <c r="A332" i="1"/>
  <c r="E331" i="1"/>
  <c r="A331" i="1"/>
  <c r="E330" i="1"/>
  <c r="A330" i="1"/>
  <c r="E329" i="1"/>
  <c r="A329" i="1"/>
  <c r="E328" i="1"/>
  <c r="A328" i="1"/>
  <c r="E327" i="1"/>
  <c r="A327" i="1"/>
  <c r="E326" i="1"/>
  <c r="A326" i="1"/>
  <c r="E325" i="1"/>
  <c r="A325" i="1"/>
  <c r="E324" i="1"/>
  <c r="A324" i="1"/>
  <c r="E323" i="1"/>
  <c r="A323" i="1"/>
  <c r="E322" i="1"/>
  <c r="A322" i="1"/>
  <c r="E321" i="1"/>
  <c r="A321" i="1"/>
  <c r="E320" i="1"/>
  <c r="A320" i="1"/>
  <c r="E319" i="1"/>
  <c r="A319" i="1"/>
  <c r="E318" i="1"/>
  <c r="A318" i="1"/>
  <c r="E317" i="1"/>
  <c r="A317" i="1"/>
  <c r="E316" i="1"/>
  <c r="A316" i="1"/>
  <c r="E315" i="1"/>
  <c r="A315" i="1"/>
  <c r="E314" i="1"/>
  <c r="A314" i="1"/>
  <c r="E313" i="1"/>
  <c r="A313" i="1"/>
  <c r="E312" i="1"/>
  <c r="A312" i="1"/>
  <c r="E311" i="1"/>
  <c r="A311" i="1"/>
  <c r="E310" i="1"/>
  <c r="A310" i="1"/>
  <c r="E309" i="1"/>
  <c r="A309" i="1"/>
  <c r="E308" i="1"/>
  <c r="A308" i="1"/>
  <c r="E307" i="1"/>
  <c r="A307" i="1"/>
  <c r="E306" i="1"/>
  <c r="A306" i="1"/>
  <c r="E305" i="1"/>
  <c r="A305" i="1"/>
  <c r="E304" i="1"/>
  <c r="A304" i="1"/>
  <c r="E303" i="1"/>
  <c r="A303" i="1"/>
  <c r="E302" i="1"/>
  <c r="A302" i="1"/>
  <c r="E301" i="1"/>
  <c r="A301" i="1"/>
  <c r="E300" i="1"/>
  <c r="A300" i="1"/>
  <c r="E299" i="1"/>
  <c r="A299" i="1"/>
  <c r="E296" i="1"/>
  <c r="A296" i="1"/>
  <c r="E295" i="1"/>
  <c r="A295" i="1"/>
  <c r="E294" i="1"/>
  <c r="A294" i="1"/>
  <c r="E293" i="1"/>
  <c r="A293" i="1"/>
  <c r="E292" i="1"/>
  <c r="A292" i="1"/>
  <c r="E291" i="1"/>
  <c r="A291" i="1"/>
  <c r="E290" i="1"/>
  <c r="A290" i="1"/>
  <c r="E289" i="1"/>
  <c r="A289" i="1"/>
  <c r="E288" i="1"/>
  <c r="A288" i="1"/>
  <c r="E287" i="1"/>
  <c r="A287" i="1"/>
  <c r="E286" i="1"/>
  <c r="A286" i="1"/>
  <c r="E285" i="1"/>
  <c r="A285" i="1"/>
  <c r="E284" i="1"/>
  <c r="A284" i="1"/>
  <c r="E283" i="1"/>
  <c r="A283" i="1"/>
  <c r="E282" i="1"/>
  <c r="A282" i="1"/>
  <c r="E281" i="1"/>
  <c r="A281" i="1"/>
  <c r="E280" i="1"/>
  <c r="A280" i="1"/>
  <c r="E279" i="1"/>
  <c r="A279" i="1"/>
  <c r="E278" i="1"/>
  <c r="A278" i="1"/>
  <c r="E277" i="1"/>
  <c r="A277" i="1"/>
  <c r="E276" i="1"/>
  <c r="A276" i="1"/>
  <c r="E275" i="1"/>
  <c r="A275" i="1"/>
  <c r="E274" i="1"/>
  <c r="A274" i="1"/>
  <c r="E273" i="1"/>
  <c r="A273" i="1"/>
  <c r="E272" i="1"/>
  <c r="A272" i="1"/>
  <c r="E271" i="1"/>
  <c r="A271" i="1"/>
  <c r="E270" i="1"/>
  <c r="A270" i="1"/>
  <c r="E269" i="1"/>
  <c r="A269" i="1"/>
  <c r="E268" i="1"/>
  <c r="A268" i="1"/>
  <c r="E267" i="1"/>
  <c r="A267" i="1"/>
  <c r="E266" i="1"/>
  <c r="A266" i="1"/>
  <c r="E265" i="1"/>
  <c r="A265" i="1"/>
  <c r="E264" i="1"/>
  <c r="A264" i="1"/>
  <c r="E263" i="1"/>
  <c r="A263" i="1"/>
  <c r="E262" i="1"/>
  <c r="A262" i="1"/>
  <c r="E261" i="1"/>
  <c r="A261" i="1"/>
  <c r="E260" i="1"/>
  <c r="A260" i="1"/>
  <c r="E259" i="1"/>
  <c r="A259" i="1"/>
  <c r="E258" i="1"/>
  <c r="A258" i="1"/>
  <c r="E257" i="1"/>
  <c r="A257" i="1"/>
  <c r="E256" i="1"/>
  <c r="A256" i="1"/>
  <c r="E255" i="1"/>
  <c r="A255" i="1"/>
  <c r="E254" i="1"/>
  <c r="A254" i="1"/>
  <c r="E253" i="1"/>
  <c r="A253" i="1"/>
  <c r="E252" i="1"/>
  <c r="A252" i="1"/>
  <c r="E251" i="1"/>
  <c r="A251" i="1"/>
  <c r="E250" i="1"/>
  <c r="A250" i="1"/>
  <c r="E249" i="1"/>
  <c r="A249" i="1"/>
  <c r="E248" i="1"/>
  <c r="A248" i="1"/>
  <c r="E247" i="1"/>
  <c r="A247" i="1"/>
  <c r="E246" i="1"/>
  <c r="A246" i="1"/>
  <c r="E245" i="1"/>
  <c r="A245" i="1"/>
  <c r="E244" i="1"/>
  <c r="A244" i="1"/>
  <c r="E243" i="1"/>
  <c r="A243" i="1"/>
  <c r="E242" i="1"/>
  <c r="A242" i="1"/>
  <c r="E241" i="1"/>
  <c r="A241" i="1"/>
  <c r="E240" i="1"/>
  <c r="A240" i="1"/>
  <c r="E239" i="1"/>
  <c r="A239" i="1"/>
  <c r="E238" i="1"/>
  <c r="A238" i="1"/>
  <c r="E237" i="1"/>
  <c r="A237" i="1"/>
  <c r="E236" i="1"/>
  <c r="A236" i="1"/>
  <c r="E235" i="1"/>
  <c r="A235" i="1"/>
  <c r="E234" i="1"/>
  <c r="A234" i="1"/>
  <c r="E233" i="1"/>
  <c r="A233" i="1"/>
  <c r="E232" i="1"/>
  <c r="A232" i="1"/>
  <c r="E231" i="1"/>
  <c r="A231" i="1"/>
  <c r="E230" i="1"/>
  <c r="A230" i="1"/>
  <c r="E229" i="1"/>
  <c r="A229" i="1"/>
  <c r="E228" i="1"/>
  <c r="A228" i="1"/>
  <c r="E227" i="1"/>
  <c r="A227" i="1"/>
  <c r="E226" i="1"/>
  <c r="A226" i="1"/>
  <c r="E225" i="1"/>
  <c r="A225" i="1"/>
  <c r="E224" i="1"/>
  <c r="A224" i="1"/>
  <c r="E223" i="1"/>
  <c r="A223" i="1"/>
  <c r="E222" i="1"/>
  <c r="A222" i="1"/>
  <c r="E221" i="1"/>
  <c r="A221" i="1"/>
  <c r="E220" i="1"/>
  <c r="A220" i="1"/>
  <c r="E219" i="1"/>
  <c r="A219" i="1"/>
  <c r="E218" i="1"/>
  <c r="A218" i="1"/>
  <c r="E217" i="1"/>
  <c r="A217" i="1"/>
  <c r="E216" i="1"/>
  <c r="A216" i="1"/>
  <c r="E215" i="1"/>
  <c r="A215" i="1"/>
  <c r="E214" i="1"/>
  <c r="A214" i="1"/>
  <c r="E213" i="1"/>
  <c r="A213" i="1"/>
  <c r="E212" i="1"/>
  <c r="A212" i="1"/>
  <c r="E211" i="1"/>
  <c r="A211" i="1"/>
  <c r="E210" i="1"/>
  <c r="A210" i="1"/>
  <c r="E209" i="1"/>
  <c r="A209" i="1"/>
  <c r="E208" i="1"/>
  <c r="A208" i="1"/>
  <c r="E207" i="1"/>
  <c r="A207" i="1"/>
  <c r="E206" i="1"/>
  <c r="A206" i="1"/>
  <c r="E205" i="1"/>
  <c r="A205" i="1"/>
  <c r="E204" i="1"/>
  <c r="A204" i="1"/>
  <c r="E203" i="1"/>
  <c r="A203" i="1"/>
  <c r="E202" i="1"/>
  <c r="A202" i="1"/>
  <c r="E201" i="1"/>
  <c r="A201" i="1"/>
  <c r="E200" i="1"/>
  <c r="A200" i="1"/>
  <c r="E199" i="1"/>
  <c r="A199" i="1"/>
  <c r="E198" i="1"/>
  <c r="A198" i="1"/>
  <c r="E197" i="1"/>
  <c r="A197" i="1"/>
  <c r="E196" i="1"/>
  <c r="A196" i="1"/>
  <c r="E195" i="1"/>
  <c r="A195" i="1"/>
  <c r="E194" i="1"/>
  <c r="A194" i="1"/>
  <c r="E193" i="1"/>
  <c r="A193" i="1"/>
  <c r="E192" i="1"/>
  <c r="A192" i="1"/>
  <c r="E191" i="1"/>
  <c r="A191" i="1"/>
  <c r="E190" i="1"/>
  <c r="A190" i="1"/>
  <c r="E189" i="1"/>
  <c r="A189" i="1"/>
  <c r="E188" i="1"/>
  <c r="A188" i="1"/>
  <c r="E187" i="1"/>
  <c r="A187" i="1"/>
  <c r="E186" i="1"/>
  <c r="A186" i="1"/>
  <c r="E185" i="1"/>
  <c r="A185" i="1"/>
  <c r="E184" i="1"/>
  <c r="A184" i="1"/>
  <c r="E183" i="1"/>
  <c r="A183" i="1"/>
  <c r="E182" i="1"/>
  <c r="A182" i="1"/>
  <c r="E181" i="1"/>
  <c r="A181" i="1"/>
  <c r="E180" i="1"/>
  <c r="A180" i="1"/>
  <c r="E179" i="1"/>
  <c r="A179" i="1"/>
  <c r="E178" i="1"/>
  <c r="A178" i="1"/>
  <c r="E177" i="1"/>
  <c r="A177" i="1"/>
  <c r="E176" i="1"/>
  <c r="A176" i="1"/>
  <c r="E175" i="1"/>
  <c r="A175" i="1"/>
  <c r="E174" i="1"/>
  <c r="A174" i="1"/>
  <c r="E173" i="1"/>
  <c r="A173" i="1"/>
  <c r="E172" i="1"/>
  <c r="A172" i="1"/>
  <c r="E171" i="1"/>
  <c r="A171" i="1"/>
  <c r="E170" i="1"/>
  <c r="A170" i="1"/>
  <c r="E169" i="1"/>
  <c r="A169" i="1"/>
  <c r="E168" i="1"/>
  <c r="A168" i="1"/>
  <c r="E167" i="1"/>
  <c r="A167" i="1"/>
  <c r="E166" i="1"/>
  <c r="A166" i="1"/>
  <c r="E165" i="1"/>
  <c r="A165" i="1"/>
  <c r="E164" i="1"/>
  <c r="A164" i="1"/>
  <c r="E163" i="1"/>
  <c r="A163" i="1"/>
  <c r="E162" i="1"/>
  <c r="A162" i="1"/>
  <c r="E161" i="1"/>
  <c r="A161" i="1"/>
  <c r="E160" i="1"/>
  <c r="A160" i="1"/>
  <c r="E159" i="1"/>
  <c r="A159" i="1"/>
  <c r="E158" i="1"/>
  <c r="A158" i="1"/>
  <c r="E157" i="1"/>
  <c r="A157" i="1"/>
  <c r="E156" i="1"/>
  <c r="A156" i="1"/>
  <c r="E155" i="1"/>
  <c r="A155" i="1"/>
  <c r="E154" i="1"/>
  <c r="A154" i="1"/>
  <c r="E153" i="1"/>
  <c r="A153" i="1"/>
  <c r="E152" i="1"/>
  <c r="A152" i="1"/>
  <c r="E151" i="1"/>
  <c r="A151" i="1"/>
  <c r="E150" i="1"/>
  <c r="A150" i="1"/>
  <c r="E149" i="1"/>
  <c r="A149" i="1"/>
  <c r="E148" i="1"/>
  <c r="A148" i="1"/>
  <c r="E147" i="1"/>
  <c r="A147" i="1"/>
  <c r="E146" i="1"/>
  <c r="A146" i="1"/>
  <c r="E145" i="1"/>
  <c r="A145" i="1"/>
  <c r="E144" i="1"/>
  <c r="A144" i="1"/>
  <c r="E143" i="1"/>
  <c r="A143" i="1"/>
  <c r="E142" i="1"/>
  <c r="A142" i="1"/>
  <c r="E141" i="1"/>
  <c r="A141" i="1"/>
  <c r="E140" i="1"/>
  <c r="A140" i="1"/>
  <c r="E139" i="1"/>
  <c r="A139" i="1"/>
  <c r="E138" i="1"/>
  <c r="A138" i="1"/>
  <c r="E137" i="1"/>
  <c r="A137" i="1"/>
  <c r="E136" i="1"/>
  <c r="A136" i="1"/>
  <c r="E135" i="1"/>
  <c r="A135" i="1"/>
  <c r="E134" i="1"/>
  <c r="A134" i="1"/>
  <c r="E133" i="1"/>
  <c r="A133" i="1"/>
  <c r="E132" i="1"/>
  <c r="A132" i="1"/>
  <c r="E131" i="1"/>
  <c r="A131" i="1"/>
  <c r="E130" i="1"/>
  <c r="A130" i="1"/>
  <c r="E129" i="1"/>
  <c r="A129" i="1"/>
  <c r="E128" i="1"/>
  <c r="A128" i="1"/>
  <c r="E127" i="1"/>
  <c r="A127" i="1"/>
  <c r="E126" i="1"/>
  <c r="A126" i="1"/>
  <c r="E125" i="1"/>
  <c r="A125" i="1"/>
  <c r="E124" i="1"/>
  <c r="A124" i="1"/>
  <c r="E123" i="1"/>
  <c r="A123" i="1"/>
  <c r="E122" i="1"/>
  <c r="A122" i="1"/>
  <c r="E121" i="1"/>
  <c r="A121" i="1"/>
  <c r="E120" i="1"/>
  <c r="A120" i="1"/>
  <c r="E119" i="1"/>
  <c r="A119" i="1"/>
  <c r="E118" i="1"/>
  <c r="A118" i="1"/>
  <c r="E117" i="1"/>
  <c r="A117" i="1"/>
  <c r="E116" i="1"/>
  <c r="A116" i="1"/>
  <c r="E115" i="1"/>
  <c r="A115" i="1"/>
  <c r="E114" i="1"/>
  <c r="A114" i="1"/>
  <c r="E113" i="1"/>
  <c r="A113" i="1"/>
  <c r="E112" i="1"/>
  <c r="A112" i="1"/>
  <c r="E111" i="1"/>
  <c r="A111" i="1"/>
  <c r="E110" i="1"/>
  <c r="A110" i="1"/>
  <c r="E109" i="1"/>
  <c r="A109" i="1"/>
  <c r="E108" i="1"/>
  <c r="A108" i="1"/>
  <c r="E107" i="1"/>
  <c r="A107" i="1"/>
  <c r="E106" i="1"/>
  <c r="A106" i="1"/>
  <c r="E105" i="1"/>
  <c r="A105" i="1"/>
  <c r="E104" i="1"/>
  <c r="A104" i="1"/>
  <c r="E103" i="1"/>
  <c r="A103" i="1"/>
  <c r="E102" i="1"/>
  <c r="A102" i="1"/>
  <c r="E101" i="1"/>
  <c r="A101" i="1"/>
  <c r="E100" i="1"/>
  <c r="A100" i="1"/>
  <c r="E99" i="1"/>
  <c r="A99" i="1"/>
  <c r="E98" i="1"/>
  <c r="A98" i="1"/>
  <c r="E97" i="1"/>
  <c r="A97" i="1"/>
  <c r="E96" i="1"/>
  <c r="A96" i="1"/>
  <c r="E95" i="1"/>
  <c r="A95" i="1"/>
  <c r="E94" i="1"/>
  <c r="A94" i="1"/>
  <c r="E93" i="1"/>
  <c r="A93" i="1"/>
  <c r="E92" i="1"/>
  <c r="A92" i="1"/>
  <c r="E91" i="1"/>
  <c r="A91" i="1"/>
  <c r="E90" i="1"/>
  <c r="A90" i="1"/>
  <c r="E89" i="1"/>
  <c r="A89" i="1"/>
  <c r="E88" i="1"/>
  <c r="A88" i="1"/>
  <c r="E87" i="1"/>
  <c r="A87" i="1"/>
  <c r="E86" i="1"/>
  <c r="A86" i="1"/>
  <c r="E85" i="1"/>
  <c r="A85" i="1"/>
  <c r="E84" i="1"/>
  <c r="A84" i="1"/>
  <c r="E83" i="1"/>
  <c r="A83" i="1"/>
  <c r="E82" i="1"/>
  <c r="A82" i="1"/>
  <c r="E81" i="1"/>
  <c r="A81" i="1"/>
  <c r="E80" i="1"/>
  <c r="A80" i="1"/>
  <c r="E79" i="1"/>
  <c r="A79" i="1"/>
  <c r="E78" i="1"/>
  <c r="A78" i="1"/>
  <c r="E77" i="1"/>
  <c r="A77" i="1"/>
  <c r="E76" i="1"/>
  <c r="A76" i="1"/>
  <c r="E75" i="1"/>
  <c r="A75" i="1"/>
  <c r="E74" i="1"/>
  <c r="A74" i="1"/>
  <c r="E73" i="1"/>
  <c r="A73" i="1"/>
  <c r="E72" i="1"/>
  <c r="A72" i="1"/>
  <c r="E71" i="1"/>
  <c r="A71" i="1"/>
  <c r="E70" i="1"/>
  <c r="A70" i="1"/>
  <c r="E69" i="1"/>
  <c r="A69" i="1"/>
  <c r="E68" i="1"/>
  <c r="A68" i="1"/>
  <c r="E67" i="1"/>
  <c r="A67" i="1"/>
  <c r="E66" i="1"/>
  <c r="A66" i="1"/>
  <c r="E65" i="1"/>
  <c r="A65" i="1"/>
  <c r="E64" i="1"/>
  <c r="A64" i="1"/>
  <c r="E63" i="1"/>
  <c r="A63" i="1"/>
  <c r="E62" i="1"/>
  <c r="A62" i="1"/>
  <c r="E61" i="1"/>
  <c r="A61" i="1"/>
  <c r="E60" i="1"/>
  <c r="A60" i="1"/>
  <c r="E59" i="1"/>
  <c r="A59" i="1"/>
  <c r="E58" i="1"/>
  <c r="A58" i="1"/>
  <c r="E57" i="1"/>
  <c r="A57" i="1"/>
  <c r="E56" i="1"/>
  <c r="A56" i="1"/>
  <c r="E55" i="1"/>
  <c r="A55" i="1"/>
  <c r="E54" i="1"/>
  <c r="A54" i="1"/>
  <c r="E53" i="1"/>
  <c r="A53" i="1"/>
  <c r="E52" i="1"/>
  <c r="A52" i="1"/>
  <c r="E51" i="1"/>
  <c r="A51" i="1"/>
  <c r="E50" i="1"/>
  <c r="A50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A30" i="1"/>
  <c r="E29" i="1"/>
  <c r="A29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</calcChain>
</file>

<file path=xl/sharedStrings.xml><?xml version="1.0" encoding="utf-8"?>
<sst xmlns="http://schemas.openxmlformats.org/spreadsheetml/2006/main" count="1648" uniqueCount="1563">
  <si>
    <t>PV CLASSIC,CONCRETE,UNITIZED</t>
  </si>
  <si>
    <t>POOL VAC XL - CONCRETE</t>
  </si>
  <si>
    <t>POOL VAC XL - VINYL</t>
  </si>
  <si>
    <t>PVU-CONC, PL BX, NVDO, WVLCK</t>
  </si>
  <si>
    <t>PVU-CONC, 2028ADC + V130LG HOSES</t>
  </si>
  <si>
    <t>AQUABUG UNITIZED</t>
  </si>
  <si>
    <t>VERTICAL INSTALLATION KIT</t>
  </si>
  <si>
    <t>PUMP-BOOSTER</t>
  </si>
  <si>
    <t>KIT-HOSE,BOOSTER PUMP</t>
  </si>
  <si>
    <t>DIVER DAVE</t>
  </si>
  <si>
    <t>WANDA THE WHALE</t>
  </si>
  <si>
    <t>NAVIGATOR PRO - CONCRETE</t>
  </si>
  <si>
    <t>NAV-FIBERGLASS, UNITIZED</t>
  </si>
  <si>
    <t>NAVIGATOR PRO - VINYL</t>
  </si>
  <si>
    <t>N-GATOR FIBERGLASS UNITIZED</t>
  </si>
  <si>
    <t>NAV-CONC,PL BX,N/VDO W/VLCK</t>
  </si>
  <si>
    <t>NAV-928ADC+V130LG HOSES</t>
  </si>
  <si>
    <t>NAV-CONC, BLK, 933ADC+V130BK HOSES</t>
  </si>
  <si>
    <t>NAV-CONC, BLK, PL BX, NVDO,VLCK</t>
  </si>
  <si>
    <t>SYSTEM-RESIDENTIAL,CO2,PH</t>
  </si>
  <si>
    <t>SYSTEM-STANDARD OUTPUT,CO2</t>
  </si>
  <si>
    <t>SYSTEM-HIGH OUTPUT,CO2</t>
  </si>
  <si>
    <t>SWITCHOVER-AUTO,CO2</t>
  </si>
  <si>
    <t>VALVE-BRASS,110 VAC, 3/4 IN</t>
  </si>
  <si>
    <t>VALVE-BRASS,24VAC,3/4IN</t>
  </si>
  <si>
    <t>VALVE-STAINLESS,110 VAC,3/8IN</t>
  </si>
  <si>
    <t>PUMP-PERI,VARIABLE OUTPUT</t>
  </si>
  <si>
    <t>PUMP-PERI,FIXED OUTPUT</t>
  </si>
  <si>
    <t>ADAPTOR,BNC SENSOR CONNECTOR</t>
  </si>
  <si>
    <t>HAYWARD PERISTALTIC CHEMICAL  FEED PUMP</t>
  </si>
  <si>
    <t>CELL-FLOW,MOLDED,COMPLETE</t>
  </si>
  <si>
    <t>CELL-FLOW,MACHINED,RFS</t>
  </si>
  <si>
    <t>CABLE-INTERFACE,AUTOPILOT</t>
  </si>
  <si>
    <t>TEMPERATURE SENSOR,CAT 5000</t>
  </si>
  <si>
    <t>MINI-SERVER,HOME NTWK,WIRELESS</t>
  </si>
  <si>
    <t>CONNECT-AQUA</t>
  </si>
  <si>
    <t>KIT-PC SENSOR,VALVE ACTUATOR,1.5 IN POS SEAL VAL</t>
  </si>
  <si>
    <t>KIT-PC SENSOR,VALVE ACTUATOR,2 IN POS SEAL VAL</t>
  </si>
  <si>
    <t>CONTROL-SOLAR,AQUA POOL</t>
  </si>
  <si>
    <t>CONTROL-SOLAR,AQUA POOL,TIMECLOCK</t>
  </si>
  <si>
    <t>CHLORINATOR-AQUA TROL,HOSE/PIPE,STRAIGHT BLADE</t>
  </si>
  <si>
    <t>CHLORINATOR-AQUA TROL,HOSE/PIPE,TWIST LOCK</t>
  </si>
  <si>
    <t>* Limited Quantities</t>
  </si>
  <si>
    <t>CHLORINATOR-AQUA TROL,RETURN JET,STRSIGHT BLADE</t>
  </si>
  <si>
    <t>CHLORINATOR-AQUA TROL,RETURN JET,TWIST LOCK</t>
  </si>
  <si>
    <t>KIT-CHEMISTRY1,PH,ORP,SENSE,ORP DISPENSE</t>
  </si>
  <si>
    <t>KIT-RETRO,CHEMISTRY,AQLCHEM,PROLOGIC PCBA</t>
  </si>
  <si>
    <t>KIT-CHEMISTRY1,PH,DISPENSE</t>
  </si>
  <si>
    <t>CHEMISTRY KIT 2, PH DISPENSE, 240VAC</t>
  </si>
  <si>
    <t>MURIATIC ACID FEED SYSTEM,120V</t>
  </si>
  <si>
    <t>MURIATIC ACID FEED SYSTEM,240V</t>
  </si>
  <si>
    <t>MODULE-NETWORK,COLORLOGIC,120V</t>
  </si>
  <si>
    <t>CONNECT-DIRECT,SUBMISSABLE LUMINARIES</t>
  </si>
  <si>
    <t>DIMMER-LIGHT RELAY, AQUA LOGIC</t>
  </si>
  <si>
    <t>RELAY-DOUBLE POLE, AC COIL, 3HP,240VAC</t>
  </si>
  <si>
    <t>RELAY,AQUALOGIC VLV OUTPUT,3HP@240VAC,DOU</t>
  </si>
  <si>
    <t>REMOTE-WIRED,6 BUTTON,SPASIDE,BLACK</t>
  </si>
  <si>
    <t>MUDBOX-WIRED,6 BUTTON,SPASIDE</t>
  </si>
  <si>
    <t>REMOTE-WIRED,6 BUTTON,SPASIDE,WHITE</t>
  </si>
  <si>
    <t>REMOTE-DIGITAL,11BUTTON SPASIDE,BLACK</t>
  </si>
  <si>
    <t>MUDBOX-DIGITAL,SPASIDE</t>
  </si>
  <si>
    <t>REMOTE-DIGITAL,11BUTTON SPASIDE,WHITE</t>
  </si>
  <si>
    <t>REMOTE-WIRED,WALL MOUNT P-4 ONLY</t>
  </si>
  <si>
    <t>BASE STATION, WIRELESS</t>
  </si>
  <si>
    <t>HANDHELD RF FLOATING CONTROL</t>
  </si>
  <si>
    <t>REMOTE-WIRELESS,SPASIDE,AQUA LOGIC</t>
  </si>
  <si>
    <t>REMOTE, WIRELESS, TABLE TOP P-4 ONLY, BLK</t>
  </si>
  <si>
    <t>REMOTE-WIRELESS,TABLETOP,PS-4 ONLY BLK</t>
  </si>
  <si>
    <t>REMOTE-WIRELESS,TABLETOP,PS-8 ONLY BLK</t>
  </si>
  <si>
    <t>REMOTE-WIRELESS, TABLE TOP,PS-16 ONLY, BLK</t>
  </si>
  <si>
    <t>REMOTE, WIRELESS, TABLE TOP P-4 ONLY WHITE</t>
  </si>
  <si>
    <t>REMOTE-WIRELESS,TABLETOP,PS-4 ONLY,WHITE</t>
  </si>
  <si>
    <t>REMOTE-WIRELESS, TABLE TOP,  PS-8 ONLY, WHITE</t>
  </si>
  <si>
    <t>REMOTE-WIRELESS, TABLE TOP, PS-16 ONLY, WHITE</t>
  </si>
  <si>
    <t>REMOTE-WIRED, WALL MOUNT,PS-16 ONLY</t>
  </si>
  <si>
    <t>REMOTE-WIRED, WALL MOUNT,PS-4 ONLY,BLK</t>
  </si>
  <si>
    <t>REMOTE-WIRED,WALL MOUNT PS-8 ONLY, BLK,06</t>
  </si>
  <si>
    <t>REMOTE-WIRELESS, WALL MOUNT, PS-4 ONLY, BLK</t>
  </si>
  <si>
    <t>REMOTE-WIRELESS, WALL MOUNT, PS-8 ONLY, BLK</t>
  </si>
  <si>
    <t>REMOTE-WIRELESS,WALL MOUNT,PS-16 ONLY,BLK</t>
  </si>
  <si>
    <t>REMOTE-WIRED,WALL MOUNT PS-16 ONLY, WHITE 06</t>
  </si>
  <si>
    <t>REMOTE-WIRED,WALL MOUNT PS-4, ONLY,WHITE 06</t>
  </si>
  <si>
    <t>REMOTE-WIRED,WALL MOUNT PS-8 ONLY, WHITE,06</t>
  </si>
  <si>
    <t>REMOTE-WIRELESS,WALL MOUNT PS-4 ONLY WHITE</t>
  </si>
  <si>
    <t>REMOTE-WIRELESS,WALL MOUNT PS-8 ONLY,WHITE</t>
  </si>
  <si>
    <t>REMOTE-WIRELESS,WALL MOUNT PS-16 ONLY, WHITE</t>
  </si>
  <si>
    <t>AQUARITE 40K GAL CELL</t>
  </si>
  <si>
    <t>AQUARITE 40K GAL CELL 120V</t>
  </si>
  <si>
    <t>AQUA RITE W,40K LONG LIFE CELL</t>
  </si>
  <si>
    <t>AQUARITE PRO 40K GAL CELL</t>
  </si>
  <si>
    <t>AQUARITE PRO 40K GAL CELL S&amp;D</t>
  </si>
  <si>
    <t>AQUARITE 15K GAL CELL</t>
  </si>
  <si>
    <t>AQUARITE 25K GAL CELL</t>
  </si>
  <si>
    <t>AQUARITE PRO 25K GAL CELL S&amp;D</t>
  </si>
  <si>
    <t>3/4" PVC AIR RELEASE ST FPM</t>
  </si>
  <si>
    <t>CONTROL-SOL,VLV,ACTUATOR &amp; SENSOR "B"</t>
  </si>
  <si>
    <t>COMBO-CONTROL,SOLAR,1P VLV,SEN A,AQSOLLVTC CNTRL</t>
  </si>
  <si>
    <t>CONTROL-SOL,VLV,ACTUATOR &amp; SENSOR</t>
  </si>
  <si>
    <t>AQUA-SOL,COMBO,1P VALVE,SEN-B,AQ-SOL-LV-TC CNTRL</t>
  </si>
  <si>
    <t>COMBO-CONTROL,SOLAR,2P VLV,SEN A,AQSOLLV CNTRL</t>
  </si>
  <si>
    <t>COMBO-CONTROL,SOLAR,2P VLV,SEN A,AQSOLLVTC CNTRL</t>
  </si>
  <si>
    <t>COMBO-CONTROL,SOLAR,2P VLV,SEN B,AQSOLLV CNTRL</t>
  </si>
  <si>
    <t>COMBO-CONTROL,SOLAR,2P VLV,SEN B,AQSOLLVTC CNTRL</t>
  </si>
  <si>
    <t>1/2" BF ST'D FLG SXT PVC EPDM</t>
  </si>
  <si>
    <t>1/2" BF ST'D FLG SXT PVC FPM</t>
  </si>
  <si>
    <t>1/2" BF STD FLG SXS PVC FPM</t>
  </si>
  <si>
    <t>1/2" BF ST'D FLG TXT PVC EPDM</t>
  </si>
  <si>
    <t>G/2" BF STD FLG TXT PVC FPM</t>
  </si>
  <si>
    <t>3/4" BF ST'D FLG SXT PVC EPDM</t>
  </si>
  <si>
    <t>3/4" BF ST'D FLG SXT PVC FPM</t>
  </si>
  <si>
    <t>3/4" BF STD FLG SXS PVC FPM</t>
  </si>
  <si>
    <t>3/4" BF ST'D FLG TXT PVC EPDM</t>
  </si>
  <si>
    <t>3/4" BF ST'D FLG TXT PVC FPM</t>
  </si>
  <si>
    <t>1" BF ST'D FLG SXT PVC EPDM</t>
  </si>
  <si>
    <t>1" BF ST'D FLG SXT PVC FPM</t>
  </si>
  <si>
    <t>1" BF STD FLG SXS PVC FPM</t>
  </si>
  <si>
    <t>1" BF ST'D FLG TXT PVC EPDM</t>
  </si>
  <si>
    <t>1" BF ST'D FLG TXT PVC FPM</t>
  </si>
  <si>
    <t>1 1/4" BF STD FLG SXT PVC EPD M</t>
  </si>
  <si>
    <t>1 1/4" BF ST'D FLG SXT PVC FPM</t>
  </si>
  <si>
    <t>1 1/4" BF ST'D FLG TXT PVC EPDM</t>
  </si>
  <si>
    <t>1 1/2" BF ST'D FLG SXT PVC EPDM</t>
  </si>
  <si>
    <t>1 1/2" BF ST'D FLG SXT PVC FPM</t>
  </si>
  <si>
    <t>1 1/2" BF ST'D FLG SXS PVC FPM</t>
  </si>
  <si>
    <t>1 1/2" BF ST'D FLG TXT PVC EPDM</t>
  </si>
  <si>
    <t>1 1/2" BF ST'D FLG TXT PVC FPM</t>
  </si>
  <si>
    <t>2" BF ST'D FLG SXT PVC EPDM</t>
  </si>
  <si>
    <t>2" BF ST'D FLG SXT PVC FPM</t>
  </si>
  <si>
    <t>2" BF ST'D FLG SXS PVC FPM</t>
  </si>
  <si>
    <t>2" BF ST'D FLG TXT PVC EPDM</t>
  </si>
  <si>
    <t>2" BF ST'D FLG TXT PVC FPM</t>
  </si>
  <si>
    <t>3" BF ST'D FLG SXT PVC EPDM</t>
  </si>
  <si>
    <t>3" BF ST'D FLG SXT PVC FPM</t>
  </si>
  <si>
    <t>3" BF ST'D FLG SXS PVC FPM</t>
  </si>
  <si>
    <t>3" BF ST'D FLG TXT PVC EPDM</t>
  </si>
  <si>
    <t>3" BF ST'D FLG TXT PVC FPM</t>
  </si>
  <si>
    <t>4" BF ST'D FLG SXT PVC FPM</t>
  </si>
  <si>
    <t>4" BF ST'D FLG SXS PVC EPDM</t>
  </si>
  <si>
    <t>4" BFA ST'D FLG SXS PVC FPM</t>
  </si>
  <si>
    <t>4" BFA ST'D FLG TXT PVC FPM</t>
  </si>
  <si>
    <t>6" BFA ST'D FLG SXS PVC EPDM</t>
  </si>
  <si>
    <t>6" BFA ST'D FLG SXS PVC FPM</t>
  </si>
  <si>
    <t>6" BFA ST'D FLG TXT PVC FPM</t>
  </si>
  <si>
    <t>4" BF ST'D FLG TXT CPVC EPDM</t>
  </si>
  <si>
    <t>1/2" BF SHORT SXT PVC FPM</t>
  </si>
  <si>
    <t>1" BFAS PVC SHORT TXT FPM</t>
  </si>
  <si>
    <t>2" BFAS PVC SHORT SXT EPDM</t>
  </si>
  <si>
    <t>2" BFAS PVC SHORT SXT FPM</t>
  </si>
  <si>
    <t>2" BF SHORT TXT PVC EPDM</t>
  </si>
  <si>
    <t>3" BFAS PVC SHORT SXT EPDM</t>
  </si>
  <si>
    <t>3" BFAS PVC SHORT SXT FPM</t>
  </si>
  <si>
    <t>3" BF SHORT TXT PVC EPDM</t>
  </si>
  <si>
    <t>4" BFAS PVC SHORT TXT EPDM</t>
  </si>
  <si>
    <t>2" BF SHORT SXT CPVC EPDM</t>
  </si>
  <si>
    <t>1 1/2" BFAS PP SHORT TXT FPM</t>
  </si>
  <si>
    <t>HAYWARD BLU CONCRETE</t>
  </si>
  <si>
    <t>HAYWARD BLU VINYL</t>
  </si>
  <si>
    <t>1/8" PERF,PVC,2" BASKET "NEW"</t>
  </si>
  <si>
    <t>1/8 PERF CPVC 1 1/2" &amp; 2" BASKET</t>
  </si>
  <si>
    <t>1/8 PERF SSTL BSKT FOR 4" SB</t>
  </si>
  <si>
    <t>2" BYCN PVC/PVC/EPDM/316/GEAR/GRAY/NSF61</t>
  </si>
  <si>
    <t>2" BYCN PVC/PVC/EPDM/316/LEVER/GRAY/NSF61</t>
  </si>
  <si>
    <t>2 1/2" BYCN PVC/PVC/EPDM/316/GEAR/GRAY/NSF61</t>
  </si>
  <si>
    <t>2 1/2" BYCN PVC/PVC/EPDM/316/LEVER/GRAY/NSF61</t>
  </si>
  <si>
    <t>3" BYCN PVC/PVC/EPDM/316/GEAR/GRAY/NSF61</t>
  </si>
  <si>
    <t>3" BYCN PVC/PVC/EPDM/316/LEVER/GRAY/NSF61</t>
  </si>
  <si>
    <t>4" BYCN PVC/PVC/EPDM/316/GEAR/GRAY/NSF61</t>
  </si>
  <si>
    <t>4" BYCN PVC/PVC/EPDM/316/LEVER/GRAY/NSF61</t>
  </si>
  <si>
    <t>5" BYCN PVC/PVC/EPDM/316/GEAR/GRAY/NSF61</t>
  </si>
  <si>
    <t>5" BYCN PVC/PVC/EPDM/316/LEVER/GRAY/NSF61</t>
  </si>
  <si>
    <t>6" BYCN PVC/PVC/EPDM/316/GEAR/GRAY/NSF61</t>
  </si>
  <si>
    <t>6" BYCN PVC/PVC/EPDM/316/LEVER/GRAY/NSF61</t>
  </si>
  <si>
    <t>8" BYCN PVC/PVC/EPDM/316/GEAR/GRAY/NSF61</t>
  </si>
  <si>
    <t>8" BYCN PVC/PVC/EPDM/316/LEVER/GRAY/NSF61</t>
  </si>
  <si>
    <t>2" BYV BFLY VLV PVC/PVC/EPDM GEAR</t>
  </si>
  <si>
    <t>2" BYV BFLY VLV PVC/PVC/EPDM LEVER</t>
  </si>
  <si>
    <t>2 1/2" BYV BFLY VLV PVC/PVC/EPDM GEAR</t>
  </si>
  <si>
    <t>2 1/2 " BYV BFLY VLV PVC/PVC/EPDM LEVER</t>
  </si>
  <si>
    <t>3" BYV BFLY VLV PVC/PVC/EPDM GEAR</t>
  </si>
  <si>
    <t>3" BYV BFLY VLV PVC/PVC/EPDM LEVER</t>
  </si>
  <si>
    <t>4" BYV BFLY VLV PVC/PVC/EPDM GEAR</t>
  </si>
  <si>
    <t>4" BYV BFLY VLV PVC/PVC/EPDM LEVER</t>
  </si>
  <si>
    <t>6" BYV BFLY VLV PVC/PVC/EPDM GEAR</t>
  </si>
  <si>
    <t>6" BYV BFLY VLV PVC/PVC/EPDM LEVER</t>
  </si>
  <si>
    <t>8" BYV BFLY VLV PVC/PVC/EPDM GEAR</t>
  </si>
  <si>
    <t>8" BYV BFLY VLV PVC/PVC/EPDM LEVER</t>
  </si>
  <si>
    <t>10" BYV BFLY VLV PVC/PVC/EPDM/GEAR</t>
  </si>
  <si>
    <t>12" BYV BFLY VLV PVC/PVC/EPDM/ GEAR</t>
  </si>
  <si>
    <t>120SQ FT STAR-CLEAR PLUS FILTER -1 &amp; 1/2 IN FIP-</t>
  </si>
  <si>
    <t>120SQ FT STAR-CLEAR PLUS FILTER -2 IN FIP-</t>
  </si>
  <si>
    <t>120SQ FT STAR-CLEAR PLUS FILTER -2 IN SKT-</t>
  </si>
  <si>
    <t>150SQ FT STAR-CLEAR PLUS FILTER -2 IN FIP-</t>
  </si>
  <si>
    <t>175SQ FT STAR-CLEAR PLUS FILTER -2 IN FIP-</t>
  </si>
  <si>
    <t>175SQ FT STAR-CLEAR PLUS FILTER -2 IN SKT-</t>
  </si>
  <si>
    <t>200SQ FT STAR-CLEAR PLUS FILTER -2 IN FIP-</t>
  </si>
  <si>
    <t>225 SF SWIM CLEAR TOP MANIFOLD</t>
  </si>
  <si>
    <t>MICRO STAR CLEAR FILTER</t>
  </si>
  <si>
    <t>25 SQ FT FILTER W/PUMP &amp; BASE</t>
  </si>
  <si>
    <t>25 SQ FT STAR CLEAR FILTER</t>
  </si>
  <si>
    <t>325 SF SWIM CLEAR TOP MANIFOLD</t>
  </si>
  <si>
    <t>40 SQ FT EASY-CLEAR FILTER SYSTEM W/1HP PUMP</t>
  </si>
  <si>
    <t>425 SF SWIM CLEAR TOP MANIFOLD</t>
  </si>
  <si>
    <t>50 SQ FT STAR CLEAR FILTER</t>
  </si>
  <si>
    <t>525 SF SWIM CLEAR TOP MANIFOLD</t>
  </si>
  <si>
    <t>55 SQ FT EASY-CLEAR FILTER</t>
  </si>
  <si>
    <t>55 SQ FT EASY-CLEAR FILTER SYSTEM W/1HP PUMP</t>
  </si>
  <si>
    <t>700 SF SWIM CLEAR TOP MANIFOLD</t>
  </si>
  <si>
    <t>75 SF STAR-CLEAR PLUS 1-1/2" FILTER</t>
  </si>
  <si>
    <t>75 SQ FT STAR-CLEAR PLUS FILTER  -2 IN-</t>
  </si>
  <si>
    <t>90 SQ FT STAR-CLEAR PLUS FILTER -1 &amp; 1/2 IN FIP-</t>
  </si>
  <si>
    <t>90 SQ FT STAR-CLEAR PLUS FILTER -2 IN FIP-</t>
  </si>
  <si>
    <t>90 SQ FT STAR-CLEAR PLUS FILTER -2 IN SKT-</t>
  </si>
  <si>
    <t>80 SQ FT DE SEPARATION TANK</t>
  </si>
  <si>
    <t>AU-CAT4000 W/CELLTRANS.MACH.FC</t>
  </si>
  <si>
    <t>AU-CAT4000 W/WIFI TRANS.MACH.FC</t>
  </si>
  <si>
    <t>AU-CAT5000 W/CELLTRANS.MACH.FC</t>
  </si>
  <si>
    <t>AU-CAT5000 W/CELL TRANS. MACH FC</t>
  </si>
  <si>
    <t>AU-CAT5000 W/SAT TRANS MACH.FC</t>
  </si>
  <si>
    <t>AU-CAT5000 W/SAT.TRANS.MACH.FC</t>
  </si>
  <si>
    <t>AU-CAT5000 W/WIFI TRANS.MACH.FC</t>
  </si>
  <si>
    <t>AU-CAT5000 W/WIFITRANS MACH.FC</t>
  </si>
  <si>
    <t>AU-CAT5000 W/CELL TRANS UL LIS</t>
  </si>
  <si>
    <t>AU-CAT5000 W/SAT.TRANS UL LIS</t>
  </si>
  <si>
    <t>AU-CAT5000 W/WIFI TRANS UL LIS</t>
  </si>
  <si>
    <t>SYSTEM-CAT 1000 PH,AC003</t>
  </si>
  <si>
    <t>SYSTEM-CAT 1000,PH,CO2,UL</t>
  </si>
  <si>
    <t>CONTROLLER-CAT 1000, ORP</t>
  </si>
  <si>
    <t>CONTROLLER-CAT 1000,ORP,UL</t>
  </si>
  <si>
    <t>CONTROLLER-CAT 1000, PH</t>
  </si>
  <si>
    <t>CONTROLLER-CAT 1000,PH,UL</t>
  </si>
  <si>
    <t>COMBO-PUMP,TANK,CAT 1000,PH</t>
  </si>
  <si>
    <t>COMBO-PUMP,TANK-CAT 1000,PH,UL</t>
  </si>
  <si>
    <t>COMBO-PUMP,TANK,CAT 1000,ORP</t>
  </si>
  <si>
    <t>CONTROLLER-CAT 2000,AUTOMATED</t>
  </si>
  <si>
    <t>AU-CONTROLLER-CAT 2000</t>
  </si>
  <si>
    <t>CAT 4000 WITH CELLULAR TRANSCEIVER</t>
  </si>
  <si>
    <t>AU-CAT 4000 WITH CELL TRANS.</t>
  </si>
  <si>
    <t>CAT 4000 WITH WIFI TRANSCEIVER</t>
  </si>
  <si>
    <t>AU-CAT 4000 W/ WIFI TRANS.</t>
  </si>
  <si>
    <t>CAT 5000 WITH CELL TRANSCEIVER</t>
  </si>
  <si>
    <t>AU-CAT5000 W/CELLTRANS.</t>
  </si>
  <si>
    <t>PACK-CAT 5000,DS100</t>
  </si>
  <si>
    <t>CAT 5000 WITH WIFI TRANSCEIVER</t>
  </si>
  <si>
    <t>AU-CAT5000 W/WIFI TRANS.</t>
  </si>
  <si>
    <t>PACK-CAT 2000,PRO</t>
  </si>
  <si>
    <t>AU-PACK-CAT 2000,PRO</t>
  </si>
  <si>
    <t>COMBO-PUMP,TANK,CAT 1000,ORP,UL</t>
  </si>
  <si>
    <t>CAT 4000 W/ CELL TRANSCEIVER  MACH FLOW CELL&amp;RFS</t>
  </si>
  <si>
    <t>CAT 4000 WITH WIFI TRANSCEIVERMACH FLOW CELL&amp;RFS</t>
  </si>
  <si>
    <t>CAT 4000 WITH CELL TRANSCEIVERCONT &amp; SENSOR ONLY</t>
  </si>
  <si>
    <t>CAT 4000 WITH WIFI TRANSCEIVERCONT &amp; SENSOR ONLY</t>
  </si>
  <si>
    <t>CAT 5000 WITH CELL TRANSCEIVERUL LISTED</t>
  </si>
  <si>
    <t>CAT 5000 WITH WIFI TRANSCEIVERUL LISTED</t>
  </si>
  <si>
    <t>CAT 5000 WITH CELL TRANSCEIVERMACH FLOW CELL&amp;RFS</t>
  </si>
  <si>
    <t>CAT 5000 WITH WIFI TRANSCEIVERMACH FLOW CELL&amp;RFS</t>
  </si>
  <si>
    <t>PACK-CAT 5000,075,DS100</t>
  </si>
  <si>
    <t>PACK-CAT 5000,075,DS100,UL</t>
  </si>
  <si>
    <t>CAT 5000 WITH CELL TRANSCEIVERCONT &amp; SENSOR ONLY</t>
  </si>
  <si>
    <t>CAT 5000 WITH WIFI TRANSCEIVERCONT &amp; SENSOR ONLY</t>
  </si>
  <si>
    <t>AU-CAT5000 W/SATELLITE TRANS.</t>
  </si>
  <si>
    <t>CAT 5000 CONTROLLER AND SENSORS ONLY (DS100)</t>
  </si>
  <si>
    <t>PACK-CAT 5000,DS100,UL</t>
  </si>
  <si>
    <t>100 SQ FT XSTREAM SYS W/1HP LX</t>
  </si>
  <si>
    <t>100 SQ FT XSTREAM SYS W/1HP LX/TW-LOK</t>
  </si>
  <si>
    <t>SYS-XSTREAM,100 SQFT,1HP,2SPD MATRIX PUMP</t>
  </si>
  <si>
    <t>100 SQ FT XSTREAM SYS W/1HP MATRIX PUMP</t>
  </si>
  <si>
    <t>100 SQ FT XSTREAM SYS W/1HP MATRIX PUMP/M-TIMER</t>
  </si>
  <si>
    <t>100 SQ FT XSTREAM SYS W/1HP MATX PUMP/TIMR/T-LOK</t>
  </si>
  <si>
    <t>100 SQ FT XSTREAM SYS W/1HP MATRIX PUMP/TW-LOK</t>
  </si>
  <si>
    <t>150 SQ FT XSTREAM SYS W/1.5HP LX PUMP</t>
  </si>
  <si>
    <t>150 SQ FT XSTREAM SYS W/1.5HP LX PUMP/TW-LOK</t>
  </si>
  <si>
    <t>XTREAM SYSTEM-150SF W/3/4 PFM</t>
  </si>
  <si>
    <t>XTREAM SYSTEM-150SF W/3/4 PFM W/ TW-LOK CORD</t>
  </si>
  <si>
    <t>XSTREAM-150 SQ FT SYS W/1 HP</t>
  </si>
  <si>
    <t>SYS-XSTREAM,150 SQFT,1.5HP,2SPD MATRIX PUMP</t>
  </si>
  <si>
    <t>150 SQ FT XSTREAM SYS W/1.5HP MATRIX PUMP</t>
  </si>
  <si>
    <t>150 SQ FT XSTREAM SYS W/1.5HP MATRIX PUMP/TIMER</t>
  </si>
  <si>
    <t>150 SQ FT XSTREAM SYS W/1.5HP MX PUMP/TIMR/T-LOK</t>
  </si>
  <si>
    <t>150 SQ FT XSTREAM SYS W/1.5HP MATRIX PUMP/TW-LOK</t>
  </si>
  <si>
    <t>200 SQ FT XSTREAM SYS W/1.5HP MATRIX PUMP</t>
  </si>
  <si>
    <t>AUTO CHLORINE FEEDER -4.2-</t>
  </si>
  <si>
    <t>AUTO CHLORINE FEEDER -4.2- ABG</t>
  </si>
  <si>
    <t>AUTO CHLORINE FEEDER -IN LINE-</t>
  </si>
  <si>
    <t>AUTO CHLORINE FEEDER -2 IN SKT IN LINE-</t>
  </si>
  <si>
    <t>AUTO CHLORINE FEEDER         -OFF LINE-</t>
  </si>
  <si>
    <t>CHLORINATOR KIT -OFF LINE-</t>
  </si>
  <si>
    <t>AUTO BROMINE FEEDER</t>
  </si>
  <si>
    <t>COMFORTZONE C-SPA XI ELECTRIC SPA/HOT TUB HEATER</t>
  </si>
  <si>
    <t>1/2" PVC MAN DIA VLV SOC/THD EPDM</t>
  </si>
  <si>
    <t>3/4" PVC MAN DIA VLV SOC/THD EPDM</t>
  </si>
  <si>
    <t>1" PVC MAN DIA VLV SOC/THD EPDM</t>
  </si>
  <si>
    <t>1 1/4" PVC MAN DIA VLV SOC/THD EPDM</t>
  </si>
  <si>
    <t>1 1/2" PVC MAN DIA VLV SOC/THD EPDM</t>
  </si>
  <si>
    <t>2" PVC MAN DIAPH VLV T/U EPDM</t>
  </si>
  <si>
    <t>2 1/2" PVC MAN DIA VLV FLG EPDM</t>
  </si>
  <si>
    <t>3" PVC MAN DIAPH VLV FLG EPDM</t>
  </si>
  <si>
    <t>4" PVC MAN DIAPH VLV FLG EPDM</t>
  </si>
  <si>
    <t>6" PVC MAN DIAPH VLV FLG EPDM</t>
  </si>
  <si>
    <t>HOSE-GREEN, 24 PACK</t>
  </si>
  <si>
    <t>KIT-HOSE, LEADER, 8 PCS</t>
  </si>
  <si>
    <t>HOSE, SILVER, 24PCS</t>
  </si>
  <si>
    <t>DE FILTER PLUMBING KIT</t>
  </si>
  <si>
    <t>24 SQ FT PRO-GRID DE FILTER</t>
  </si>
  <si>
    <t>36 SQ FT PRO-GRID DE FILTER</t>
  </si>
  <si>
    <t>48 SQ FT PRO-GRID DE FILTER</t>
  </si>
  <si>
    <t>60 SQ FT PRO-GRID DE FILTER</t>
  </si>
  <si>
    <t>72 SQ FT PRO-GRID DE FILTER</t>
  </si>
  <si>
    <t>METER-FLOW,DIGITAL</t>
  </si>
  <si>
    <t>KIT-SADDLE CLAMP,1.5 IN</t>
  </si>
  <si>
    <t>KIT-SADDLE CLAMP,2.0 IN</t>
  </si>
  <si>
    <t>KIT-SADDLE CLAMP,3 IN</t>
  </si>
  <si>
    <t>KIT-SADDLE CLAMP,4.00 IN</t>
  </si>
  <si>
    <t>KIT-SADDLE CLAMP,6 IN</t>
  </si>
  <si>
    <t>KIT-SADDLE CLAMP,8 IN</t>
  </si>
  <si>
    <t>KIT-SADDLE CLAMP,10 IN</t>
  </si>
  <si>
    <t>KIT-SADDLE CLAMP,12 IN</t>
  </si>
  <si>
    <t>CLAMP-SADDLE,10IN FOR SCH 80  PIPE</t>
  </si>
  <si>
    <t>CLAMP-SADDLE,12IN FOR SCH 80  PIPE</t>
  </si>
  <si>
    <t>CLAMP-SADDLE,1.5IN FOR SCH 80 PIPE</t>
  </si>
  <si>
    <t>CLAMP-SADDLE,2.0IN FOR SCH 80 PIPE</t>
  </si>
  <si>
    <t>CLAMP-SADDLE,2.5IN FOR SCH 80 PIPE</t>
  </si>
  <si>
    <t>CLAMP-SADDLE,3.0IN FOR SCH 80 PIPE</t>
  </si>
  <si>
    <t>CLAMP-SADDLE,4.0IN FOR SCH 80 PIPE</t>
  </si>
  <si>
    <t>CLAMP-SADDLE,6.0IN FOR SCH 80 PIPE</t>
  </si>
  <si>
    <t>CLAMP-SADDLE,8.0IN FOR SCH 80 PIPE</t>
  </si>
  <si>
    <t>INDOOR DRAFT HOOD</t>
  </si>
  <si>
    <t>DIY ADAPTER KIT FOR POLYPIPE</t>
  </si>
  <si>
    <t>CLEANER-DISC, ABG, AQUA RAY</t>
  </si>
  <si>
    <t>CLEANER-DISC, DV5000</t>
  </si>
  <si>
    <t>KIT-INSTALL,ELECTRICAL</t>
  </si>
  <si>
    <t>1/2" ELEC ACT TB VLV PVC W/EPDM SEALS</t>
  </si>
  <si>
    <t>1/2" ELEC ACT TB VLV PVC W/VITON SEALS</t>
  </si>
  <si>
    <t>3/4" ELEC ACT TB VLV PVC W/EPDM SEALS</t>
  </si>
  <si>
    <t>3/4" ELEC ACT TB VLV PVC W/VITON SEALS</t>
  </si>
  <si>
    <t>1"ELEC ACT TB VLV PVC W/EPDM SEALS</t>
  </si>
  <si>
    <t>1"ELEC ACT TB VLV PVC W/VITON SEALS</t>
  </si>
  <si>
    <t>1 1/2" PVC TB EPDM W/ELEC ACT</t>
  </si>
  <si>
    <t>1 1/2" PVC TB FPM W/ELEC ACT</t>
  </si>
  <si>
    <t>2" ELEC ACT TB VLV PVC W/EPDM SEALS</t>
  </si>
  <si>
    <t>2" ELEC ACT TB VLV PVC W/VITON SEALS</t>
  </si>
  <si>
    <t>1/2" PVC/EPDM TN W/ EAU</t>
  </si>
  <si>
    <t>3/4" PVC/EPDM TN W/ EAU</t>
  </si>
  <si>
    <t>1" PVC/EPDM TN W/ EAU</t>
  </si>
  <si>
    <t>1-1/4" PVC/EPDM TN W/ EAU</t>
  </si>
  <si>
    <t>1-1/2" PVC/EPDM TN W/ EAU</t>
  </si>
  <si>
    <t>2" PVC/EPDM TN W/ EAU</t>
  </si>
  <si>
    <t>HOSE PAK, 24 PER</t>
  </si>
  <si>
    <t>DE SCOOP -50 PACK-</t>
  </si>
  <si>
    <t>1-1/2 IN SUCTION&amp;DISCHARGE HOSE PACKAGE</t>
  </si>
  <si>
    <t>ECONO BASE W/ LOOP</t>
  </si>
  <si>
    <t>MODULAR SELECTA-SYSTEM BASE</t>
  </si>
  <si>
    <t>PERFLEX CLEANING WAND</t>
  </si>
  <si>
    <t>40 GPM FILTER SYST W/ECONO BASE NO VLV</t>
  </si>
  <si>
    <t>40 GPM FILTER SYST W/ECONO BASE/TWST-LOK/NO VLV</t>
  </si>
  <si>
    <t>PERFLEX W/CLAMP MODULAR FILTER</t>
  </si>
  <si>
    <t>PERFLEX 40 1 HP FILTER SYST W/BASE &amp; HOSE KIT</t>
  </si>
  <si>
    <t>PERFLEX 3/4HP FILTER SYST W/BASE &amp; HOSE KIT</t>
  </si>
  <si>
    <t>PERFLEX 1 HP FILTER SYST W/BASE &amp; HOSE KIT</t>
  </si>
  <si>
    <t>PERFLEX 1 HP FILTER SYST W/BASE/HOSES/MICRO TIME</t>
  </si>
  <si>
    <t>PERFLEX 1 HP FILTER SYST W/BASE/HOSES/TWST-LOK</t>
  </si>
  <si>
    <t>1-1/2HP EC50C FILTER SYSTEM</t>
  </si>
  <si>
    <t>PERFLEX EC50C W/1-1/2HP PUMP &amp; TWST-LOK CORD</t>
  </si>
  <si>
    <t>PERFLEX EC50C W/1 HP MATRIX PUMP &amp; HOSES</t>
  </si>
  <si>
    <t>PERFLEX EC50C W/1 HP MATRIX PUMP/MICRO TIMER/TL</t>
  </si>
  <si>
    <t>PERFLEX EC50C W/1 HP MATRIX PUMP &amp; TWIST-LOK</t>
  </si>
  <si>
    <t>PERFLEX EC50C W/1.5HP MATRIX PUMP &amp; HOSES</t>
  </si>
  <si>
    <t>PERFLEX EC50C W/1.5HP MATRIX PUMP &amp; MICRO TIMER</t>
  </si>
  <si>
    <t>PERFLEX EC50C W/1.5HP MATRIX PUMP &amp; TWST-LOK</t>
  </si>
  <si>
    <t>BASIC MODULAR FILTER</t>
  </si>
  <si>
    <t>CTN B SYSTEM III LESS PUMP</t>
  </si>
  <si>
    <t>3" BY VLV PVC/PVC,EPDM W/EPM  3 ACT</t>
  </si>
  <si>
    <t>4" PVC/EPDM TB SOC EPM3-120 ACT</t>
  </si>
  <si>
    <t>6" PVC/EPDM TB FLG'D EPM3-120 ACT</t>
  </si>
  <si>
    <t>2-1/2" PVC/EPDM TN W/ EPM3</t>
  </si>
  <si>
    <t>3" PVC/EPDM TN W/ EPM3</t>
  </si>
  <si>
    <t>4" PVC/EPDM TN W/ EPM8</t>
  </si>
  <si>
    <t>6" PVC/EPDM TN W/ EPM8</t>
  </si>
  <si>
    <t>SWITCH-FREEZE,SNAP 3K-OHM  5 PAK</t>
  </si>
  <si>
    <t>DUAL SCALE GAUGE 0-60 PSI 2" DIA</t>
  </si>
  <si>
    <t>1/4 X 1/4 PVC GG W/O-30 GUAGE</t>
  </si>
  <si>
    <t>CONTROL-SOLAR,POOL</t>
  </si>
  <si>
    <t>COMBO-CONTROL,SOLAR,SEN A,GL235,V&amp;A1P</t>
  </si>
  <si>
    <t>COMBO-CONTROL,SOLAR,SEN B,GL235,V&amp;A1P</t>
  </si>
  <si>
    <t>COMBO-CONTROL,SOLAR,SEN A,GL235,V&amp;A2P</t>
  </si>
  <si>
    <t>COMBO-CONTROL,SOLAR,SEN B,GL235,V&amp;A2P</t>
  </si>
  <si>
    <t>COMBO-CONTROL,SOLAR,SEN A,GL235,GVA-24</t>
  </si>
  <si>
    <t>VALVE ACTUATOR-24V, W/REVERSE SWITCH</t>
  </si>
  <si>
    <t>100K BTU INDUCED DRAFT H NATURAL HEATER</t>
  </si>
  <si>
    <t>100K BTU INDUCED DRAFT H PROPANE HEATER</t>
  </si>
  <si>
    <t>HEATER-UNIVERSAL 150 NA LONX</t>
  </si>
  <si>
    <t>HEATER-UNIVERSAL 150 LP LONX</t>
  </si>
  <si>
    <t>HEATER-UNIVERSAL 200 NA LONX</t>
  </si>
  <si>
    <t>HEATER-UNIVERSAL 200 LP LONX</t>
  </si>
  <si>
    <t>HEATER-MV 210 NA 82%</t>
  </si>
  <si>
    <t>HEATER-MV 210 LP 82%</t>
  </si>
  <si>
    <t>HEATER-UNIVERSAL 250 NA LONX</t>
  </si>
  <si>
    <t>HEATER-UNIVERSAL 250 NA LONX ASME</t>
  </si>
  <si>
    <t>HEATER-UNIVERSAL 250 LP LONX</t>
  </si>
  <si>
    <t>HEATER-UNIVERSAL 250 LP LONX ASME</t>
  </si>
  <si>
    <t>HEATER-UNIVERSAL 300 NA LONX</t>
  </si>
  <si>
    <t>HEATER-UNIVERSAL 300 LP LONX</t>
  </si>
  <si>
    <t>HEATER-UNIVERSAL 350 NA LONX</t>
  </si>
  <si>
    <t>HEATER-UNIVERSAL 350 LP LONX</t>
  </si>
  <si>
    <t>HEATER-UNIVERSAL 400 NA LONX</t>
  </si>
  <si>
    <t>HEATER-UNIVERSAL 400 NA LONX ASME</t>
  </si>
  <si>
    <t>HEATER-UNIVERSAL 400 LP LONX</t>
  </si>
  <si>
    <t>HEATER-UNIVERSAL 400 LP LONX ASME</t>
  </si>
  <si>
    <t>HCC 1000 CO2,CONTROLLER PKG</t>
  </si>
  <si>
    <t>HCC 1000 ORP,CONTROLLER PACKAGE</t>
  </si>
  <si>
    <t>HCC 1000 PH,CONTROLLER PACKAGE</t>
  </si>
  <si>
    <t>HCC 1000,PH,COMPLETE PACK</t>
  </si>
  <si>
    <t>HCC 2000 CONTROLLER PACKAGE</t>
  </si>
  <si>
    <t>HCC2000,CONTOLLER WITH GOLD ORP SENSOR</t>
  </si>
  <si>
    <t>HCC 2000 CNTRLR PKG W/PREMOUNTED CHEM PUMPS USA</t>
  </si>
  <si>
    <t>FILTER-COMMERCIAL,30 IN,2IN BH</t>
  </si>
  <si>
    <t>FILTER-COMMERCIAL,34 IN,2IN BH</t>
  </si>
  <si>
    <t>FILTER-COMMERCIAL,34 IN,3IN FL</t>
  </si>
  <si>
    <t>FILTER-COMMERCIAL,34 IN,3IN BH</t>
  </si>
  <si>
    <t>FILTER-COMMERCIAL,36 IN,2IN BH</t>
  </si>
  <si>
    <t>FILTER-COMMERCIAL,36 IN,3IN FL</t>
  </si>
  <si>
    <t>FILTER-COMMERCIAL,36 IN,3IN BH</t>
  </si>
  <si>
    <t>3" FILTER FLANGE KIT</t>
  </si>
  <si>
    <t>700 SF HCF CARTRIDGE FILTER</t>
  </si>
  <si>
    <t>PUMP-COMMERCIAL,10HP 230/460V</t>
  </si>
  <si>
    <t>PUMP-COMMERCIAL, 12.5 HP</t>
  </si>
  <si>
    <t>PUMP-ECOSTAR C VARIABLE SPEED</t>
  </si>
  <si>
    <t>PUMP-ECOSTAR C VAR SPD, SVRS</t>
  </si>
  <si>
    <t>PUMP-COMMERCIAL,5.5HP 230/460V</t>
  </si>
  <si>
    <t>PUMP-COMMERCIAL,7.5HP 230/460V</t>
  </si>
  <si>
    <t>BYPASS KIT, 3 IN SALT CELL</t>
  </si>
  <si>
    <t>BYPASS KIT, 4 IN SALT CELL</t>
  </si>
  <si>
    <t>SALINE C6.0 CHLORINE GENERATOR</t>
  </si>
  <si>
    <t>CABLE SENSOR 15 FT SALINE C6.0</t>
  </si>
  <si>
    <t>CABLE KIT 15 FT - SALINE C6.0</t>
  </si>
  <si>
    <t>SALINEC 6.0 -JUNCTION BOX</t>
  </si>
  <si>
    <t>VALVE ASSY -SIDE MOUNT FILTER-</t>
  </si>
  <si>
    <t>VALVE, COMMERCIAL SIDE MT 3 IN</t>
  </si>
  <si>
    <t>3" MP VALVE PIPING KIT</t>
  </si>
  <si>
    <t>KIT-CHEMISTRY1,PH,ORP,SENSE,OR</t>
  </si>
  <si>
    <t>HAYWARD LOGIC,4 RELAY BASE</t>
  </si>
  <si>
    <t>HAYWARD LOGIC,VLV,SENSOR,INPUT4X4X4</t>
  </si>
  <si>
    <t>HAYWARD LOGIC,1 RELAY MODULE</t>
  </si>
  <si>
    <t>HAYWARD LOGIC,4 RELAY MODULE</t>
  </si>
  <si>
    <t>HAYWARD LOGIC,WALLMOUNT REMOTE</t>
  </si>
  <si>
    <t>HAYWARD LOGIC,WIRELESS NETWORKANTENNA</t>
  </si>
  <si>
    <t>HEATPRO 95K AHRI</t>
  </si>
  <si>
    <t>HEATPRO 110K AHRI</t>
  </si>
  <si>
    <t>HEATPRO 125K AHRI</t>
  </si>
  <si>
    <t>HEATPRO 140K AHRI</t>
  </si>
  <si>
    <t>HEAT PUMP TIE DOWN KIT</t>
  </si>
  <si>
    <t>HEATPRO 120K HEAT/COOL AHRI</t>
  </si>
  <si>
    <t>HEAT PUMP 50K BTU</t>
  </si>
  <si>
    <t>HAYWARD 50K AHRI</t>
  </si>
  <si>
    <t>CONTROL-BASE,ECOMMAND,4 RLY,3 VLV OUTPUT</t>
  </si>
  <si>
    <t>CONTROL-BASE,ECOMMAND,4 RLY,3 VLV OUTPUT 2 GVA24</t>
  </si>
  <si>
    <t>CONTROL-BASE,ECOMMAND,4 RLY,3VLV W/REMOTE,GVA-24</t>
  </si>
  <si>
    <t>CONTROL-BASE,ECOMMAND,4 RLY,3VLV OUTPUTW/REMOTE</t>
  </si>
  <si>
    <t>OUTDOOR DRAFT HOOD -HIGH WIND-</t>
  </si>
  <si>
    <t>COLORLOGIC,320 ACCENT NETWORK 12V 30FT</t>
  </si>
  <si>
    <t>COLORLOGIC,320 ACCENT NETWORK 12V 50FT</t>
  </si>
  <si>
    <t>COLORLOGIC,320 ACCENT NETWORK 12V 100FT</t>
  </si>
  <si>
    <t>COLORLOGIC,320 ACCENT NETWORK 12V 150FT</t>
  </si>
  <si>
    <t>COLORLOGIC,320 ACCENT 12V 30FT</t>
  </si>
  <si>
    <t>COLORLOGIC,320 ACCENT 12V 50FT</t>
  </si>
  <si>
    <t>COLORLOGIC,320 ACCENT 12V 100FT</t>
  </si>
  <si>
    <t>COLORLOGIC,320 ACCENT 12V 150FT</t>
  </si>
  <si>
    <t>CRYSTALOGIC 320 ACCENT 12V 30FT</t>
  </si>
  <si>
    <t>CRYSTALOGIC 320 ACCENT 12V 50FT</t>
  </si>
  <si>
    <t>CRYSTALOGIC 320 ACCNT 12V 100FT</t>
  </si>
  <si>
    <t>CRYSTALOGIC 320 ACCNT 12V 150FT</t>
  </si>
  <si>
    <t>WHITE COMMERCIAL TRIM RING</t>
  </si>
  <si>
    <t>UCL POOL NICHE,SHALLOW PLASTIC</t>
  </si>
  <si>
    <t>UCL SPA NICHE,CONCRETE PLASTIC</t>
  </si>
  <si>
    <t>JUNCTION BOX 1 &amp; 3/4 INCH SOC</t>
  </si>
  <si>
    <t>UCL PRO LOGIC NETWORK COUPLER</t>
  </si>
  <si>
    <t>UCL POOL TRIM RING,BLACK</t>
  </si>
  <si>
    <t>UCL POOL TRIM RING,BEIGE</t>
  </si>
  <si>
    <t>UCL POOL TRIM RING,BLUE</t>
  </si>
  <si>
    <t>UCL POOL TRIM RING,DARK GRAY</t>
  </si>
  <si>
    <t>UCL POOL TRIM RING,WHITE</t>
  </si>
  <si>
    <t>UCL POOL TRIM RING,WHITE STAR BURST</t>
  </si>
  <si>
    <t>UCL POOL TRIM RING,GRAY LUSTER,STARBURST</t>
  </si>
  <si>
    <t>UCL POOL COLOR NETWORK 12V 30FT</t>
  </si>
  <si>
    <t>UCL POOL COLOR NETWORK 12V 50FT</t>
  </si>
  <si>
    <t>UCL POOL COLOR NETWORK 12V 100FT</t>
  </si>
  <si>
    <t>UCL POOL COLOR NETWORK 12V 150FT</t>
  </si>
  <si>
    <t>UCL POOL COLOR 12V 30FT</t>
  </si>
  <si>
    <t>UCL POOL COLOR 12V 50FT</t>
  </si>
  <si>
    <t>UCL POOL COLOR 12V 100FT</t>
  </si>
  <si>
    <t>UCL POOL COLOR 12V 150FT</t>
  </si>
  <si>
    <t>UCL POOL DEMO LIGHT</t>
  </si>
  <si>
    <t>UCL POOL WHITE 12V 30FT 300W EQUIV</t>
  </si>
  <si>
    <t>UCL POOL WHITE 12V 50FT 300W EQUIV</t>
  </si>
  <si>
    <t>UCL POOL WHITE 12V 100FT 300W EQUIV</t>
  </si>
  <si>
    <t>UCL POOL WHITE 12V 150FT 300W EQUIV</t>
  </si>
  <si>
    <t>UCL POOL WHITE 12V 30FT 500W EQUIV</t>
  </si>
  <si>
    <t>UCL POOL WHITE 12V 50FT 500W EQUIV</t>
  </si>
  <si>
    <t>UCL POOL WHITE 12V 100FT 500W EQUIV</t>
  </si>
  <si>
    <t>UCL POOL WHITE 12V 150FT 500W EQUIV</t>
  </si>
  <si>
    <t>UCL, CRYSTALLOGIC,DEMO LIGHT</t>
  </si>
  <si>
    <t>UCL SPA TRIM RING,BLACK</t>
  </si>
  <si>
    <t>UCL SPA TRIM RING,BEIGE</t>
  </si>
  <si>
    <t>UCLSPA TRIM RING,BLUE</t>
  </si>
  <si>
    <t>UCL SPA TRIM RING,DARK GRAY</t>
  </si>
  <si>
    <t>UCL SPA TRIM RING,WHITE</t>
  </si>
  <si>
    <t>UCL SPA TRIM RING,WHITE STARBURST</t>
  </si>
  <si>
    <t>UCL SPA TRIM RING,GRAY LUSTER,STARBURST</t>
  </si>
  <si>
    <t>UCL 70W XFMR CONV KIT HAYWARD JBOX</t>
  </si>
  <si>
    <t>UCL 140W XFMR CONV KIT IMTC JBOX</t>
  </si>
  <si>
    <t>UCL 70W XFMR CONV KIT IMTC JBOX</t>
  </si>
  <si>
    <t>UCL 70W XFMR CONV KIT PNTR JBOX</t>
  </si>
  <si>
    <t>UCL 70W XFMR CONV KIT TCFT JBOX</t>
  </si>
  <si>
    <t>SENSOR-OPTICAL, LEVEL</t>
  </si>
  <si>
    <t>KIT-LS010,TOP MOUNT</t>
  </si>
  <si>
    <t>UCL SPA COLOR NETWORK 12V 30FT</t>
  </si>
  <si>
    <t>UCL SPA COLOR NETWORK 12V 50FT</t>
  </si>
  <si>
    <t>UCL SPA COLOR NETWORK 12V 100FT</t>
  </si>
  <si>
    <t>UCL SPA COLOR NETWORK 12V 150FT</t>
  </si>
  <si>
    <t>UCL SPA COLOR 12V 30FT</t>
  </si>
  <si>
    <t>UCL SPA COLOR 12V 50FT</t>
  </si>
  <si>
    <t>UCL SPA COLOR 12V 100FT</t>
  </si>
  <si>
    <t>UCL SPA COLOR 12V 150FT</t>
  </si>
  <si>
    <t>CABLE-EXT,OPT FLOW SENSOR 25FT</t>
  </si>
  <si>
    <t>CABLE-EXT,OPT FLOW SENSOR 50FT</t>
  </si>
  <si>
    <t>UCL SPA WHITE 12V 30FT 100W EQUIV</t>
  </si>
  <si>
    <t>UCL SPA WHITE 12V 50FT 100W EQUIV</t>
  </si>
  <si>
    <t>UCL SPA WHITE 12V 100FT 100W EQUIV</t>
  </si>
  <si>
    <t>UCL SPA WHITE 12V 150FT 100W EQUIV</t>
  </si>
  <si>
    <t>UCL 300W WALL MOUNT TRANSFORMER</t>
  </si>
  <si>
    <t>UCL 140W XFMR KIT HAYWARD2 TWO LIGHT</t>
  </si>
  <si>
    <t>UCL 70W JUNCTION BOX XFMR-BASE</t>
  </si>
  <si>
    <t>UCL 70W XFMR KIT HAYWARD2 ONE LIGHT</t>
  </si>
  <si>
    <t>COLORLOGIC,160 ACCENT NETWORK 12V 30FT</t>
  </si>
  <si>
    <t>COLORLOGIC,160 ACCENT NETWORK 12V 50FT</t>
  </si>
  <si>
    <t>COLORLOGIC,160 ACCENT NETWORK 12V 100FT</t>
  </si>
  <si>
    <t>COLORLOGIC,160 ACCENT NETWORK 12V 150FT</t>
  </si>
  <si>
    <t>COLORLOGIC,160 ACCENT 12V 30FT</t>
  </si>
  <si>
    <t>COLORLOGIC,160 ACCENT 12V 50FT</t>
  </si>
  <si>
    <t>COLORLOGIC,160 ACCENT 12V 100FT</t>
  </si>
  <si>
    <t>COLORLOGIC,160 ACCENT 12V 150FT</t>
  </si>
  <si>
    <t>CRYSTALOGIC 160 ACCENT 12V 30FT</t>
  </si>
  <si>
    <t>CRYSTALOGIC,160 ACCENT 12V 50F</t>
  </si>
  <si>
    <t>CRYSTALOGIC 160 ACCNT 12V 100FT</t>
  </si>
  <si>
    <t>CRYSTALOGIC 160 ACCNT 12V 150FT</t>
  </si>
  <si>
    <t>CONTROL-BASE, ONCOMMAND</t>
  </si>
  <si>
    <t>CONTROL-BASE,ONCOM,GVA-24</t>
  </si>
  <si>
    <t>ONCOM W/2 ACTUATORS AND POD</t>
  </si>
  <si>
    <t>CNTRL-BASE,ONCOM,W/RMT,GVA-24</t>
  </si>
  <si>
    <t>ONCOM WITH AQUA POD</t>
  </si>
  <si>
    <t>CONTROL-BASE,ONCOM,W/RMT</t>
  </si>
  <si>
    <t>KIT-PLUMBING,2 UN,1 FLO SWTCH</t>
  </si>
  <si>
    <t>SENSOR-COMOBO,POOL,BX OF 5</t>
  </si>
  <si>
    <t>CONTROL-1 ENCLOSURE, SUBPANEL</t>
  </si>
  <si>
    <t>CONTROL-P-4 ENCLOSURE, SUBPANEL &amp; CHLORINATOR</t>
  </si>
  <si>
    <t>CONTROL PS-16-V W/40,000 CELL</t>
  </si>
  <si>
    <t>CONTROL-P-4 ENCLOSURE, SUBPANEL &amp; 20K GAL CHOLRI</t>
  </si>
  <si>
    <t>CONTROL-2 ENCLOSURES, SUBPANELS</t>
  </si>
  <si>
    <t>CONTROL-8 RELAYS,8 SOFTKEYS,ENCLOSURE,SUBPANEL</t>
  </si>
  <si>
    <t>CONTROL-1 ENCLOSURE,SUB PANEL</t>
  </si>
  <si>
    <t>CONTROL-4 RELAYS,4 SOFTKEYS,ENCLOSURE,SUBPANEL</t>
  </si>
  <si>
    <t>SENSOR-PH,10 IN CABLE</t>
  </si>
  <si>
    <t>SENSOR-PH,24 IN CABLE</t>
  </si>
  <si>
    <t>SENSOR-ORP,10 CABLE</t>
  </si>
  <si>
    <t>SENSOR-ORP,24 CABLE</t>
  </si>
  <si>
    <t>SENSOR-GOLD,ORP,10 CABLE</t>
  </si>
  <si>
    <t>SENSOR-GOLD,ORP,24 CABLE</t>
  </si>
  <si>
    <t>PROBE-KIT,SAVER</t>
  </si>
  <si>
    <t>1.5" X 2.0" CPVC CHECK VALVE</t>
  </si>
  <si>
    <t>2.0" X 2.5" CPVC CHECK VALVE</t>
  </si>
  <si>
    <t>2.0" X 2.5" PVC CHECK VALVE</t>
  </si>
  <si>
    <t>1.5" X 2.0" PVC CHECK VALVE</t>
  </si>
  <si>
    <t>2 PORT 1&amp;1/2-2 DIVERTER VALVE</t>
  </si>
  <si>
    <t>2 PORT 2-2 1/2 DIVERTER VALVE</t>
  </si>
  <si>
    <t>PVC 2 PORT 2-2.5 DIVERTER VALVE</t>
  </si>
  <si>
    <t>PVC 2 PORT 1.5-2 DIVERTER VALVE</t>
  </si>
  <si>
    <t>3 PORT 1&amp;1/2-2 DIVERTER VALVE</t>
  </si>
  <si>
    <t>3 PORT 2-2 1/2 DIVERTER VALVE</t>
  </si>
  <si>
    <t>PVC 3 PORT 2-2.5 DIVERTER VALVE</t>
  </si>
  <si>
    <t>PVC 3 PORT 1.5-2 DIVERTER VALVE</t>
  </si>
  <si>
    <t>3 PORT 1&amp;1/2-2 DIV VLV W/UNION PAK</t>
  </si>
  <si>
    <t>PVC 3 PORT 1.5-2 DIV VLV W/UNION PAK</t>
  </si>
  <si>
    <t>COMBO-15GAL TANK,PERIPUMP 45M5</t>
  </si>
  <si>
    <t>COMBO-30GAL TANK,PERIPUMP 45M5</t>
  </si>
  <si>
    <t>COMBO-15GAL TANK,PERIPUMP 45MP1</t>
  </si>
  <si>
    <t>1/2" PVC TU COMPACT VALVE  S/T EPDM TPV GRAY</t>
  </si>
  <si>
    <t>1/2" PVC TU COMPACT VALVE  S/T EPDM TPV WHITE</t>
  </si>
  <si>
    <t>3/4" PVC TU COMPACT VALVE  S/T EPDM TPV GRAY</t>
  </si>
  <si>
    <t>3/4" PVC TU COMPACT VALVE  S/T EPDM TPV WHITE</t>
  </si>
  <si>
    <t>1" PVC TU COMPACT VALVE    S/T EPDM TPV GRAY</t>
  </si>
  <si>
    <t>1" PVC TU COMPACT VALVE    S/T EPDM TPV WHITE</t>
  </si>
  <si>
    <t>1 1/4" PVC TU COMPACT VALVES/T EPDM TPV GRAY</t>
  </si>
  <si>
    <t>1 1/4" PVC TU COMPACT VALVES/T EPDM TPV WHITE</t>
  </si>
  <si>
    <t>1 1/2" PVC TU COMPACT VALVES/T EPDM TPV GRAY</t>
  </si>
  <si>
    <t>1 1/2" PVC TU COMPACT VALVES/T EPDM TPV WHITE</t>
  </si>
  <si>
    <t>2" PVC TU COMPACT VALVE    S/T EPDM TPV GRAY</t>
  </si>
  <si>
    <t>2" PVC TU COMPACT VALVE    S/T EPDM TPV WHITE</t>
  </si>
  <si>
    <t>1/2" PVC COMPACT BALL VALVESOC EPDM TPV GRAY</t>
  </si>
  <si>
    <t>1/2" PVC COMPACT BALL VALVESOC EPDM TPV WHITE</t>
  </si>
  <si>
    <t>1/2" PVC COMPACT BALL VALVETHD EPDM TPV GRAY</t>
  </si>
  <si>
    <t>1/2" PVC COMPACT BALL VALVETHD EPDM TPV WHITE</t>
  </si>
  <si>
    <t>3/4" PVC COMPACT BALL VALVESOC EPDM TPV GRAY"</t>
  </si>
  <si>
    <t>1" PVC COMPACT BALL VALVE  SOC EPDM TPV GRAY</t>
  </si>
  <si>
    <t>1" PVC COMPACT BALL VALVE  SOC EPDM TPV WHITE</t>
  </si>
  <si>
    <t>1" PVC COMPACT BALL VALVE  THD EPDM TPV GRAY</t>
  </si>
  <si>
    <t>1" PVC COMPACT BALL VALVE  THD EPDM TPV WHITE</t>
  </si>
  <si>
    <t>1 1/2" PVC COMPACT BALL VLVSOC EPDM TPV GRAY</t>
  </si>
  <si>
    <t>1 1/2" PVC COMPACT BALL VLVSOC EPDM TPV WHITE</t>
  </si>
  <si>
    <t>1 1/2" PVC COMPACT BALL VLVTHD EPDM TPV GRAY</t>
  </si>
  <si>
    <t>1 1/2" PVC COMPACT BALL VLVTHD EPDM TPV WHITE</t>
  </si>
  <si>
    <t>2" PVC COMPACT BALL VALVE  SOC EPDM TPV GRAY</t>
  </si>
  <si>
    <t>2" PVC COMPACT BALL VALVE  SOC EPDM TPV WHITE</t>
  </si>
  <si>
    <t>2" PVC COMPACT BALL VALVE  THD EPDM TPV GRAY</t>
  </si>
  <si>
    <t>2" PVC COMPACT BALL VALVE  THD EPDM TPV WHITE</t>
  </si>
  <si>
    <t>2 1/2" PVC COMPACT BALL VLVSOC EPDM TPV GRAY</t>
  </si>
  <si>
    <t>2 1/2" PVC COMPACT BALL VLVSOC EPDM TPV WHITE</t>
  </si>
  <si>
    <t>2 1/2" PVC COMPACT BALL VLVTHD EPDM TPV GRAY</t>
  </si>
  <si>
    <t>2 1/2" PVC COMPACT BALL VLVTHD EPDM TPV WHITE</t>
  </si>
  <si>
    <t>3" PVC COMPACT BALL VALVE  SOC EPDM TPV GRAY</t>
  </si>
  <si>
    <t>3" PVC COMPACT BALL VALVE  SOC EPDM TPV WHITE</t>
  </si>
  <si>
    <t>3" PVC COMPACT BALL VALVE  THD EPDM TPV GRAY</t>
  </si>
  <si>
    <t>3" PVC COMPACT BALL VALVE  THD EPDM TPV WHITE</t>
  </si>
  <si>
    <t>4" PVC COMPACT BALL VALVE  SOC EPDM TPV GRAY</t>
  </si>
  <si>
    <t>4" PVC COMPACT BALL VALVE  SOC EPDM TPV WHITE</t>
  </si>
  <si>
    <t>4" PVC COMPACT BALL VALVE  THD EPDM TPV GRAY</t>
  </si>
  <si>
    <t>4" PVC COMPACT BALL VALVE  THD EPDM TPV WHITE</t>
  </si>
  <si>
    <t>ANTENNA-REMOTE,BRACKET</t>
  </si>
  <si>
    <t>ANTENNA-REMOTE,SATELLITE,WHIP</t>
  </si>
  <si>
    <t>CABLE-ANTENNA,EXTENSION,25FT</t>
  </si>
  <si>
    <t>CABLE-REMOTE,EXTENSION,50 FT</t>
  </si>
  <si>
    <t>CABLE-ANTENNA,EXTENSION,100FT</t>
  </si>
  <si>
    <t>ANTENNA,WIFI,REM,2.5GH W/10FT CABLE</t>
  </si>
  <si>
    <t>ANTENNA,CELL,REM,PENTA W/10FT CABLE</t>
  </si>
  <si>
    <t>POWER SUPPLY QC 240V UK PLUG</t>
  </si>
  <si>
    <t>POWER SUPPLY DC 240V UK PLUG</t>
  </si>
  <si>
    <t>ASSY, CADDY CART</t>
  </si>
  <si>
    <t>AQUAVAC 500 ROBOTIC CLEANER</t>
  </si>
  <si>
    <t>AV500C ROBOTIC CLNR COMMERCIAL</t>
  </si>
  <si>
    <t>HOIST-KINGSHARK2, PLUS</t>
  </si>
  <si>
    <t>CART CADDY N/ASSY, SV/EV</t>
  </si>
  <si>
    <t>SHARKVAC-ROBOTIC CLEANER</t>
  </si>
  <si>
    <t>SHARKVAC-XL,110/60</t>
  </si>
  <si>
    <t>SHARKVAC-KD CADDY</t>
  </si>
  <si>
    <t>SHARKVAC-XL,W/CADDY,110/60</t>
  </si>
  <si>
    <t>CART-TS, MS, KS CADDY</t>
  </si>
  <si>
    <t>TIGERSHARK-55FT CORD GRAY 110V50/60</t>
  </si>
  <si>
    <t>TIGERSHARK PLUS-55FT GRAY 115V</t>
  </si>
  <si>
    <t>TIGERSHARK2 110/60 W/CADDY - GRAY</t>
  </si>
  <si>
    <t>TIGERSHARK2 PLUS 110/60 W/CADDY - GRAY</t>
  </si>
  <si>
    <t>TIGERSHARK-QC 55 FT CORD GRAY 110V</t>
  </si>
  <si>
    <t>CELL TRANSCVR RETROFIT-KIT W/NEW FW FOR CAT4000</t>
  </si>
  <si>
    <t>WIFI TRANSCVR RETROFIT-KIT W/NEW FW FOR CAT4000</t>
  </si>
  <si>
    <t>CELL TRANSCVR RETROFIT-KIT W/NEW FW FOR CAT5000</t>
  </si>
  <si>
    <t>WIFI TRANSCVR RETROFIT-KIT W/NEW FW FOR CAT5000</t>
  </si>
  <si>
    <t>1" PVC RELIEF VLV THD FPM</t>
  </si>
  <si>
    <t>RELIEF VLV 1" THD VITON,PVC,LOW PRESSURE</t>
  </si>
  <si>
    <t>1 1/2" PVC RELIEF VLV THD EPDM</t>
  </si>
  <si>
    <t>2" PVC RELIEF VLV THD VITON</t>
  </si>
  <si>
    <t>2" RELIEF VLV, PVC, EPDM</t>
  </si>
  <si>
    <t>2" CPVC RELIEF VLV THD VITO</t>
  </si>
  <si>
    <t>14 IN SAND FILTER</t>
  </si>
  <si>
    <t>14IN SAND FILTER W/40GPM PUMP</t>
  </si>
  <si>
    <t>14IN SAND FILTER W/40GPM PUMP W/T-LK</t>
  </si>
  <si>
    <t>14 IN SAND FILTER W/BASE&amp;HOSE PAK</t>
  </si>
  <si>
    <t>LARGE BASE W/ACC</t>
  </si>
  <si>
    <t>16 IN SAND FILTER W/VALVE</t>
  </si>
  <si>
    <t>16 IN SAND FILTER SYST W/1HP LX PUMP/HOSES</t>
  </si>
  <si>
    <t>16 IN SAND FILTER SYST W/1.5HPLX PUMP/HOSES</t>
  </si>
  <si>
    <t>16 IN SAND FILTER SYST W/1 HP MATRIX PUMP/ HOSES</t>
  </si>
  <si>
    <t>16 IN SAND FILTER SYST W/1 HP MATRIX PUMP/TIMER</t>
  </si>
  <si>
    <t>16 IN SAND FILTER SYST W/1 HP MX PUMP/TIMER/TLOK</t>
  </si>
  <si>
    <t>16 IN SAND FILTER SYST W/1 HP MATRIX PUMP/T-LOCK</t>
  </si>
  <si>
    <t>16 IN SAND FILTER W/TOP MT VLV /BASE &amp; HOSE PAK</t>
  </si>
  <si>
    <t>18 INCH SAND FILTER</t>
  </si>
  <si>
    <t>1 HP SAND FILTER SYST W/TOP MT VLV &amp; 1-1/2 HOSES</t>
  </si>
  <si>
    <t>FILTER SYST-SAND 1HP W/TOP  MT VLV &amp; 1-1/2 HOSES</t>
  </si>
  <si>
    <t>1-1/2 HP SAND FILTER SYS W/VALVE &amp; 1-1/2" HOSE K</t>
  </si>
  <si>
    <t>SYSTEM,SAND,18" 1.5HP LX W TL VALVE&amp; 1-1/2" HOSE</t>
  </si>
  <si>
    <t>18" SAND FILTER SYS W/VLV &amp; 1 HP MATRIX PUMP</t>
  </si>
  <si>
    <t>18" SAND FILTER SYS W/VLV/1 HP MATRIX PUMP/HOSES</t>
  </si>
  <si>
    <t>18" SAND FILTER SYS W/1.5HP 2 SPD MATRIX PUMP</t>
  </si>
  <si>
    <t>18" SAND FILTER SYS W/VLV/1-1/2HP MATRIX PUMP</t>
  </si>
  <si>
    <t>18 IN SAND FILTER W/TOP MT VLV /BASE &amp; HOSE PAK</t>
  </si>
  <si>
    <t>SAND FILTER W/MULTIPORT    VLV</t>
  </si>
  <si>
    <t>DOME TOOL</t>
  </si>
  <si>
    <t>SAND FILTER PAK  20 IN</t>
  </si>
  <si>
    <t>21 IN SAND FILTER -SIDE MOUNT-</t>
  </si>
  <si>
    <t>21 INCH SAND FILTER</t>
  </si>
  <si>
    <t>21" SAND FILTER SYS W/VLV/1.5HP LX PUMP&amp;HOSE/TL</t>
  </si>
  <si>
    <t>SYS-SAND FILTER,21IN,1.5HP,2SPD MATRIX PUMP</t>
  </si>
  <si>
    <t>SYS-SAND FIL,21IN,1.5HP, 2SP, PF MTX,TWIST LOCK</t>
  </si>
  <si>
    <t>21" SAND FILTER SYS W/VLV/1.5HP MATRIX PUMP&amp;HOSE</t>
  </si>
  <si>
    <t>22 IN SAND FILTER</t>
  </si>
  <si>
    <t>SAND FILTER, 22 IN, 2 IN VALVE</t>
  </si>
  <si>
    <t>23" SAND SYSTEM W/1.5HP PUMP &amp; HOSE KIT</t>
  </si>
  <si>
    <t>SYS-FILTER,SAND,23IN,1.5HP,2SPD MATRIX</t>
  </si>
  <si>
    <t>23" SAND SYSTEM W/1.5HP MATRIX PUMP &amp; HOSES</t>
  </si>
  <si>
    <t>23" SAND SYSTEM W/1.5HP MATRIX PUMP/HOSES/TIMER</t>
  </si>
  <si>
    <t>BASE W/ACCY FOR S 240</t>
  </si>
  <si>
    <t>24 IN SAND FILTER -SIDE MOUNT-</t>
  </si>
  <si>
    <t>24 IN SAND FILTER -SIDE MOUNT/LESS VALVE-</t>
  </si>
  <si>
    <t>24 IN SIDE MT SAND FILTER  W/SLIDE VALVE</t>
  </si>
  <si>
    <t>24 INCH SAND FILTER</t>
  </si>
  <si>
    <t>24IN SAND FILTER W/2IN VALVE PACK</t>
  </si>
  <si>
    <t>24 INCH SAND FILTER -LESS VALVE-</t>
  </si>
  <si>
    <t>FILTER-SAND,27IN PRO SERIES,TOP MT.</t>
  </si>
  <si>
    <t>FILTER-SAND, 27IN W/2IN VALVE</t>
  </si>
  <si>
    <t>30 IN SAND FILTER -SIDE MOUNT-</t>
  </si>
  <si>
    <t>30" PRO SERIES TOP MT. SAND FILTER</t>
  </si>
  <si>
    <t>30 IN SAND FILTER  W/2 IN SLIDE VALVE</t>
  </si>
  <si>
    <t>36 IN SAND FILTER -SIDE MOUNT-</t>
  </si>
  <si>
    <t>36 IN SAND FILTER -TOP MT W/VALVE-</t>
  </si>
  <si>
    <t>SALT &amp; SWIM 3C, 30K GALLONS</t>
  </si>
  <si>
    <t>SALT&amp;SWIM 23K GAL STRT BLADE</t>
  </si>
  <si>
    <t>SALT&amp;SWIM 23K GAL TWIST LOCK</t>
  </si>
  <si>
    <t>SALT &amp; SWIM CELL 30K GALLONS</t>
  </si>
  <si>
    <t>SALT &amp; SWIM PRO, 30K GAL</t>
  </si>
  <si>
    <t>BOLT ON SURFACE SENSOR 5 PAK</t>
  </si>
  <si>
    <t>1/2" SIMPLEX,PVC,VITON,SOC,THD,1/32 PERF</t>
  </si>
  <si>
    <t>3/4" SIMPLEX,PVC,FPM,SOC,THD,1/8 PERF</t>
  </si>
  <si>
    <t>1" SIMPLEX,PVC,VITON,SOC,  THD,1/32 PERF</t>
  </si>
  <si>
    <t>1" SIMPLEX,PVC,EPDM,SOC&amp;THD</t>
  </si>
  <si>
    <t>1" SIMPLEX,PVC,EPDM,SOC,THD,1/32 PERF</t>
  </si>
  <si>
    <t>1 1/2" SIMPLEX PVC EPDM ST</t>
  </si>
  <si>
    <t>1-1/2" SIMPLEX,PVC,EPDM,1/8 PERF</t>
  </si>
  <si>
    <t>2" SIMPLEX,PVC,VITON,SOC,  THD</t>
  </si>
  <si>
    <t>2" SIMPLEX,PVC,VITON,SOC,THD,1/32 PERF</t>
  </si>
  <si>
    <t>2" SIMPLEX,PVC,VITON,      SOC/THD,1/8 PERF</t>
  </si>
  <si>
    <t>2" SIMPLEX,PVC,EPDM,SOC&amp;THD</t>
  </si>
  <si>
    <t>2" SIMPLEX,PVC,EPDM,SOC,THD,1/8 PERF</t>
  </si>
  <si>
    <t>SIMPLEX BS,2 1/2" SOC,PVC,EPDM</t>
  </si>
  <si>
    <t>2-1/2"SIMPLEX,PVC,EPDM,SOC,1/8 PERF</t>
  </si>
  <si>
    <t>SIMPLEX BS,2 1/2" THD,PVC,EPDM</t>
  </si>
  <si>
    <t>2-1/2"SIMPLEX,PVC,EPDM,THD,1/8 PERF</t>
  </si>
  <si>
    <t>SIMPLEX BS,3" FLG, PVC,EPDM</t>
  </si>
  <si>
    <t>SIMPLEX BS,3" FLG, PVC,EPDM W/1/8 PERF BSK</t>
  </si>
  <si>
    <t>SIMPLEX BS,3" SOC,PVC, 1/8"PERF</t>
  </si>
  <si>
    <t>SIMPLEX BS,3" SOC, PVC,EPDM</t>
  </si>
  <si>
    <t>3" SIMPLEX,PVC,EPDM,SOC,1/8 PERF</t>
  </si>
  <si>
    <t>SIMPLEX BS,3" THD, PVC,EPDM</t>
  </si>
  <si>
    <t>3" SIMPLEX,PVC,EPDM,THD,1/8 PERF</t>
  </si>
  <si>
    <t>SIMPLEX BS,4" FLG, PVC,EPDM</t>
  </si>
  <si>
    <t>SIMPLEX BS,4" FLG, PVC W/1/8SSTL BASKET</t>
  </si>
  <si>
    <t>SIMPLEX BS,4" SOC, PVC,EPDM</t>
  </si>
  <si>
    <t>4" SIMPLEX,PVC,EPDM,SOC,1/8 PERF</t>
  </si>
  <si>
    <t>SIMPLEX BS,4" THD,PVC, 1/8"PERF</t>
  </si>
  <si>
    <t>SIMPLEX BS,4" THD, PVC,EPDM</t>
  </si>
  <si>
    <t>4" SIMPLEX,PVC,EPDM,THD,1/8 PERF</t>
  </si>
  <si>
    <t>BS SIMPLEX, 6" FLG 3 PORT,PVC,EPDM</t>
  </si>
  <si>
    <t>6" SIMPLEX,PVC,EPDM,FLG,1/8 PERF</t>
  </si>
  <si>
    <t>BS SIMPLEX, 8" FLG 3 PORT,PVC EPDM</t>
  </si>
  <si>
    <t>8" SIMPLEX,PVC,EPDM,FLG,1/8 PERF</t>
  </si>
  <si>
    <t>SENSOR-1/2 IN NPT,BOX OF 5</t>
  </si>
  <si>
    <t>SENSOR-1/4 IN NPT,BOX OF 5</t>
  </si>
  <si>
    <t>1" PVC SELF-ALIGNING BULK- HEAD FITTING, THD.</t>
  </si>
  <si>
    <t>2" PVC SELF-ALIGNING BULK- HEAD FITTING, THD.</t>
  </si>
  <si>
    <t>3" PVC SELF-ALIGNING BULK-HEAD FITTING, THD.</t>
  </si>
  <si>
    <t>BOBBY 10"</t>
  </si>
  <si>
    <t>BOBBY 20"</t>
  </si>
  <si>
    <t>CYC EYEBOLT ASSY</t>
  </si>
  <si>
    <t>SLIDE VALVE ASSY  2 IN SKT</t>
  </si>
  <si>
    <t>SLIDE VALVE W/ 2 IN SKT FOR PRO SERIES SAND FLTR</t>
  </si>
  <si>
    <t>300W/12V LIGHT-50 FT CORD</t>
  </si>
  <si>
    <t>400W/120V LIGHT-100 FT CORD</t>
  </si>
  <si>
    <t>LIGHT-LED COLOR,POOL 120V/100FT CORD PLASTIC</t>
  </si>
  <si>
    <t>LIGHT-LED COLOR,POOL 120V/30FT CORD PLASTIC</t>
  </si>
  <si>
    <t>LIGHT-LED COLOR,POOL 120V/50FT CORD PLASTIC</t>
  </si>
  <si>
    <t>LIGHT-LED COLOR,POOL 120V/100FT CORD SS</t>
  </si>
  <si>
    <t>LIGHT-LED COLOR,POOL 120V/150FT CORD SS</t>
  </si>
  <si>
    <t>LIGHT-LED COLOR,POOL 120V/30FT CORD SS</t>
  </si>
  <si>
    <t>LIGHT-LED COLOR,POOL 120V/50FT CORD SS</t>
  </si>
  <si>
    <t>LIGHT-LED COLOR,SPA 120V/100FT CORD PLASIC</t>
  </si>
  <si>
    <t>LIGHT-LED COLOR,SPA 120V/30FT CORD PLASIC</t>
  </si>
  <si>
    <t>LIGHT-LED COLOR,SPA 120V/50FT CORD PLASIC</t>
  </si>
  <si>
    <t>LIGHT-LED COLOR,SPA 120V/100FT CORD SS</t>
  </si>
  <si>
    <t>LIGHT-LED COLOR,SPA 120V/150FT CORD SS</t>
  </si>
  <si>
    <t>LIGHT-LED COLOR,SPA 120V/30FT CORD SS</t>
  </si>
  <si>
    <t>LIGHT-LED COLOR,SPA 120V/50FT CORD SS</t>
  </si>
  <si>
    <t>FITTING,WHITE,CONCRETE ACC LT</t>
  </si>
  <si>
    <t>FITTING,BLACK,CONCRETE,ACC LT</t>
  </si>
  <si>
    <t>FITTING,DK GRAY,CONCRETE,ACC LT</t>
  </si>
  <si>
    <t>FITTING,GRAY,CONCRETE,ACC LT</t>
  </si>
  <si>
    <t>ACCENT LIGHT INSTALLATION TOOL</t>
  </si>
  <si>
    <t>1.5" PIPE WATER SEAL RING</t>
  </si>
  <si>
    <t>FITTING,WHITE,FGLASS,ACC LT</t>
  </si>
  <si>
    <t>FITTING,BLACK,FGLASS,ACC LT</t>
  </si>
  <si>
    <t>FITTING,DK GRAY,FGLASS,ACC LT</t>
  </si>
  <si>
    <t>FITTING,GRAY,FGLASS,ACC LT</t>
  </si>
  <si>
    <t>FITTING,WHITE,VINYL,ACCENT LT</t>
  </si>
  <si>
    <t>FITTING,BLACK,VINYL,ACCENT LT</t>
  </si>
  <si>
    <t>FITTING,DARK GRAY,VINYL,ACC LT</t>
  </si>
  <si>
    <t>FITTING,GRAY,VINYL,ACCENT LT</t>
  </si>
  <si>
    <t>ABG 50W LIGHT, 25'CORD, UL</t>
  </si>
  <si>
    <t>100W/12V DURALITE SERIES 100FT CORD</t>
  </si>
  <si>
    <t>100W/12V DURALITE SERIES 50FT CORD</t>
  </si>
  <si>
    <t>300W/12V DURALITE SERIES 30FT CORD</t>
  </si>
  <si>
    <t>300W/12V DURALITE SERIES 100 FT CORD</t>
  </si>
  <si>
    <t>300W/12V DURALITE SERIES 30 FT CORD</t>
  </si>
  <si>
    <t>300W/12V DURALITE SERIES 50 FT CORD</t>
  </si>
  <si>
    <t>300W/120V DURALITE SERIES 100 FT CORD</t>
  </si>
  <si>
    <t>300W/120V DURALITE SERIES 50 FT CORD</t>
  </si>
  <si>
    <t>500W/120V DURALITE SERIES 100 FT CORD</t>
  </si>
  <si>
    <t>500W/120V DURALITE SERIES 50 FT CORD</t>
  </si>
  <si>
    <t>100W/12V ASTROLITE SERIES 100FT CORD</t>
  </si>
  <si>
    <t>100W/12V ASTROLITE SERIES 15FT CORD</t>
  </si>
  <si>
    <t>100W/12V ASTROLITE SERIES 30FT CORD</t>
  </si>
  <si>
    <t>100W/12V ASTROLITE SERIES 50FT CORD</t>
  </si>
  <si>
    <t>100W/12V ASTROLITE SERIES 75FT CORD</t>
  </si>
  <si>
    <t>SELECTA COLOR LENS KIT</t>
  </si>
  <si>
    <t>SNAP ON LENS DARK BLUE</t>
  </si>
  <si>
    <t>SNAP ON LENS LIGHT BLUE</t>
  </si>
  <si>
    <t>100W/12V ASTROLITE SERIES 15FT CORD &amp; S.S. RIM</t>
  </si>
  <si>
    <t>100W/12V ASTROLITE SERIES 30FT CORD &amp; S.S. RIM</t>
  </si>
  <si>
    <t>300W/12V ASTROLITE SERIES 100FT CORD</t>
  </si>
  <si>
    <t>300W/12V ASTROLITE SERIES 15FT CORD</t>
  </si>
  <si>
    <t>300W/12V ASTROLITE SERIES 30FT CORD</t>
  </si>
  <si>
    <t>300W/12V ASTROLITE SERIES 50FT CORD</t>
  </si>
  <si>
    <t>300W/12V ASTROLITE SERIES 75FT CORD</t>
  </si>
  <si>
    <t>300W/120V ASTROLITE SERIES 100FT CORD</t>
  </si>
  <si>
    <t>300W/120V ASTROLITE SERIES 15FT CORD</t>
  </si>
  <si>
    <t>300W/120V ASTROLITE SERIES 30FT CORD</t>
  </si>
  <si>
    <t>300W/120V ASTROLITE SERIES 50FT CORD</t>
  </si>
  <si>
    <t>300W/120V ASTROLITE SERIES 75FT CORD</t>
  </si>
  <si>
    <t>500W/120V ASTROLITE SERIES 100FT CORD</t>
  </si>
  <si>
    <t>500W/120V ASTROLITE SERIES 15FT CORD</t>
  </si>
  <si>
    <t>500W/120V ASTROLITE SERIES 30FT CORD</t>
  </si>
  <si>
    <t>500W/120V ASTROLITE SERIES 50FT CORD</t>
  </si>
  <si>
    <t>500W/120V ASTROLITE SERIES 75FT CORD</t>
  </si>
  <si>
    <t>500W/120V ASTROLITE SERIES 150FT CORD</t>
  </si>
  <si>
    <t>500W/120V ASTROLITE 100' CORD W/SS RIM/BLUE LENS</t>
  </si>
  <si>
    <t>500W/120V ASTROLITE 30' CORD W/SS RIM/BLUE LENS</t>
  </si>
  <si>
    <t>500W/120V ASTROLITE 50' CORD W/SS RIM/BLUE LENS</t>
  </si>
  <si>
    <t>400W/120V ASTROLITE 100' CORD W/SS RIM</t>
  </si>
  <si>
    <t>400W/120V ASTROLITE 30' CORD W/SS RIM</t>
  </si>
  <si>
    <t>400W/120V ASTROLITE 50' CORD W/SS RIM</t>
  </si>
  <si>
    <t>400W/120V ASTROLITE 75' CORD W/SS RIM</t>
  </si>
  <si>
    <t>400W/120V ASTROLITE 100' CORD W/SS RIM/BLUE LENS</t>
  </si>
  <si>
    <t>400W/120V ASTROLITE 30' CORD W/SS RIM/BLUE LENS</t>
  </si>
  <si>
    <t>400W/120V ASTROLITE 50' CORD W/SS RIM/BLUE LENS</t>
  </si>
  <si>
    <t>400W/120V ASTROLITE 75' CORD W/SS RIM/BLUE LENS</t>
  </si>
  <si>
    <t>75W/12V SPALIGHT 100FT CORD -HALOGEN SERIES-</t>
  </si>
  <si>
    <t>75W/12V SPALIGHT 15 FT CORD -HALOGEN SERIES-</t>
  </si>
  <si>
    <t>75W/12V SPALIGHT 30 FT CORD -HALOGEN SERIES-</t>
  </si>
  <si>
    <t>75W/12V SPALIGHT 50 FT CORD -HALOGEN SERIES-</t>
  </si>
  <si>
    <t>75W/12V SPALIGHT 75 FT CORD -HALOGEN SERIES-</t>
  </si>
  <si>
    <t>100W/12V SPALIGHT 100FT CORD -INCANDESCENT-</t>
  </si>
  <si>
    <t>100W/12V SPALIGHT 15 FT CORD -INCANDESCENT-</t>
  </si>
  <si>
    <t>100W/12V SPALIGHT 30 FT CORD -INCANDESCENT-</t>
  </si>
  <si>
    <t>100W/12V SPALIGHT 50 FT CORD -INCANDESCENT-</t>
  </si>
  <si>
    <t>100W/12V SPALIGHT 75 FT CORD -INCANDESCENT-</t>
  </si>
  <si>
    <t>100W/120V SPALIGHT 100FT CORD -HALOGEN SERIES-</t>
  </si>
  <si>
    <t>100W/120V SPALIGHT 30 FT CORD -HALOGEN SERIES-</t>
  </si>
  <si>
    <t>100W/120V SPALIGHT 50 FT CORD -HALOGEN SERIES-</t>
  </si>
  <si>
    <t>100W/120V SPALIGHT 75 FT CORD -HALOGEN SERIES-</t>
  </si>
  <si>
    <t>100W/120V SPALIGHT 100FT CORD -INCANDESCENT-</t>
  </si>
  <si>
    <t>100W/120V SPALIGHT 150FT CORD -INCANDESCENT-</t>
  </si>
  <si>
    <t>100W/120V SPALIGHT 30 FT CORD -INCANDESCENT-</t>
  </si>
  <si>
    <t>100W/120V SPALIGHT 50 FT CORD -INCANDESCENT-</t>
  </si>
  <si>
    <t>100W/120V SPALIGHT 75FT CORD  -INCANDESCENT-</t>
  </si>
  <si>
    <t>250W/120V SPALIGHT 100FT CORD -HALOGEN SERIES-</t>
  </si>
  <si>
    <t>250W/120V SPALIGHT 30 FT CORD -HALOGEN SERIES-</t>
  </si>
  <si>
    <t>250W/120V SPALIGHT 50 FT CORD -HALOGEN SERIES-</t>
  </si>
  <si>
    <t>250W/120V SPALIGHT 75 FT CORD -HALOGEN SERIES-</t>
  </si>
  <si>
    <t>DURANICHE -GUNITE/CONCRETE- W/FTG KIT</t>
  </si>
  <si>
    <t>SMALL NICHE -GUNITE/CONCRETE- W/FTG KIT</t>
  </si>
  <si>
    <t>LARGE NICHE-GUN/CON SS 1/2 SIDE MT</t>
  </si>
  <si>
    <t>1" SIDE MOUNT SS POOL NICHE</t>
  </si>
  <si>
    <t>3/4" SIDE MOUNT SS POOL NICHE</t>
  </si>
  <si>
    <t>SMALL NICHE-GUN/CON SS 1/2 REAR MT</t>
  </si>
  <si>
    <t>1" REAR MOUNT SS SPA NICHE</t>
  </si>
  <si>
    <t>3/4" REAR MOUNT SS SPA NICHE</t>
  </si>
  <si>
    <t>LARGE NICHE -VINYL/FIBERGLASS W/FTG KIT-</t>
  </si>
  <si>
    <t>LARGE NICHE -VINYL/FIBERGLASS W/FTG KIT-D GRAY</t>
  </si>
  <si>
    <t>JIFFY NICHE SML - VINYL/FGLASS</t>
  </si>
  <si>
    <t>NICHE-SMALL,VINYL/FIBERGLASS  DARK GRAY</t>
  </si>
  <si>
    <t>LARGE NICHE-GUN/CON SS 1/2 REAR MT</t>
  </si>
  <si>
    <t>SMALL NICHE-GUN/CON SS 1/2 SIDE MT</t>
  </si>
  <si>
    <t>JUNCTION BOX (3/4 IN)</t>
  </si>
  <si>
    <t>JUNCTION BOX (1 IN)</t>
  </si>
  <si>
    <t>1-1/2 IN MULTIPORT VALVE</t>
  </si>
  <si>
    <t>REVERSE MULTIPORT VALVE 1-1/2IN</t>
  </si>
  <si>
    <t>THREAD MOUNT VARI-FLO VLV</t>
  </si>
  <si>
    <t>VARI-FLO CONTROL VALVE ASSY</t>
  </si>
  <si>
    <t>TOP MOUNT MULTIPORT VALVE</t>
  </si>
  <si>
    <t>2 IN CYC VARI-FLO VALVE</t>
  </si>
  <si>
    <t>2 IN MULTIPORT VALVE FOR   DE FILTER</t>
  </si>
  <si>
    <t>2IN MULTIPORT VALVE W/CLAMP &amp; O-RING</t>
  </si>
  <si>
    <t>2 IN MULTIPORT VALVE</t>
  </si>
  <si>
    <t>TRIMLINE BALL VALVE</t>
  </si>
  <si>
    <t>BUILDER PACK OF 12 SP 722</t>
  </si>
  <si>
    <t>PVC TRIMLINE BALL VALVE SKT</t>
  </si>
  <si>
    <t>BUILDER PACK OF 12 SP 722-S</t>
  </si>
  <si>
    <t>TRIMLINE BALL VLV MALE X FEM</t>
  </si>
  <si>
    <t>TRIMLINE BALL VLV (MALE THD X FEM SKT)</t>
  </si>
  <si>
    <t>TRIMLINE UNION BALL VALVE  -MALE AND FEMALE-</t>
  </si>
  <si>
    <t>2 IN TRIMLINE BALL VLV SOC</t>
  </si>
  <si>
    <t>PERFLEX DIVERTER VALVE</t>
  </si>
  <si>
    <t>PERFLEX DVRTR VLV/BARB END</t>
  </si>
  <si>
    <t>2-WAY BALL VALVE -MALE-</t>
  </si>
  <si>
    <t>CYC BALL VALVE 3-WAY       1 1/2 IN THRD</t>
  </si>
  <si>
    <t>CYC BALL VALVE 4-WAY       1 1/2 IN THRD</t>
  </si>
  <si>
    <t>CYC BALL VALVE 4-WAY  1-1/2 IN SKT</t>
  </si>
  <si>
    <t>2 IN 4-WAY VALVE FOR DE FILTER</t>
  </si>
  <si>
    <t>GUTTER DRAIN</t>
  </si>
  <si>
    <t>GRATE W/SCREW SET</t>
  </si>
  <si>
    <t>GUTTER DRAIN (BLACK)</t>
  </si>
  <si>
    <t>GUTTER DRAIN (GRAY)</t>
  </si>
  <si>
    <t>VAC FTG/RECEPTACLE</t>
  </si>
  <si>
    <t>VAC FTG/RECEPTACLE -50 BULK PAK-</t>
  </si>
  <si>
    <t>PLUG W/GASKET</t>
  </si>
  <si>
    <t>PLUG W/GASKET (BLACK)</t>
  </si>
  <si>
    <t>PLUG W/GASKET (GRAY)</t>
  </si>
  <si>
    <t>VAC FTG/RECEPTACLE (BLACK)</t>
  </si>
  <si>
    <t>PLUG W/O-RING, THD 1-1/2"</t>
  </si>
  <si>
    <t>PLUG W/O-RING -250 BULK PAK-</t>
  </si>
  <si>
    <t>PLUG W/O-RING, THD 1-1/2" (BLACK)</t>
  </si>
  <si>
    <t>PLUG W/O-RING, THD 1-1/2" (GRAY)</t>
  </si>
  <si>
    <t>GUNITE WALL FITTING -DARK GRAY</t>
  </si>
  <si>
    <t>VAC FTG/RECEPTACLE (GRAY)</t>
  </si>
  <si>
    <t>INSIDER FITTING</t>
  </si>
  <si>
    <t>VAC FTG/RECEPTACLE-SKT</t>
  </si>
  <si>
    <t>2" SOC RETURN FITTING</t>
  </si>
  <si>
    <t>2" SOC RETURN FITTING, BLK</t>
  </si>
  <si>
    <t>2" SOC RETURN FITTING, DARK GRAY</t>
  </si>
  <si>
    <t>2" SOC RETURN FITTING, LIGHT GRAY</t>
  </si>
  <si>
    <t>SKT FTG/RECEPTACLE -50 BULK PAK-</t>
  </si>
  <si>
    <t>SKT FTG/RECEPTACLE -50 BLACK BULK PAK-</t>
  </si>
  <si>
    <t>VAC FTG/RECEPTACLE SKT (BLACK)</t>
  </si>
  <si>
    <t>GUNITE WALL FITNG -SKT-DRK GRY</t>
  </si>
  <si>
    <t>VAC FTG/RECEPTACLE-SKT (GRAY)</t>
  </si>
  <si>
    <t>LOCKNUT FITTING</t>
  </si>
  <si>
    <t>LOCKNUT FITTING (BLACK)</t>
  </si>
  <si>
    <t>LOCKNUT FITTING, D-GRAY</t>
  </si>
  <si>
    <t>CYC LOCKNUT FTG W/DBL GSKT</t>
  </si>
  <si>
    <t>LOCKNUT FITTING (GRAY)</t>
  </si>
  <si>
    <t>LOCKNUT FTG-SOCKET</t>
  </si>
  <si>
    <t>2" SOC RETURN FITTING W/NUT</t>
  </si>
  <si>
    <t>2" SOC RETURN FITTING W/NUT, BLK</t>
  </si>
  <si>
    <t>2" SOC RETURN FITTING W/NUT, DARK GRAY</t>
  </si>
  <si>
    <t>2" SOC RETURN FITTING W/NUT, LIGHT GRAY</t>
  </si>
  <si>
    <t>LOCKNUT FTG-SOCKET (BLACK)</t>
  </si>
  <si>
    <t>LOCKNUT FTG-SOCKET (GRAY)</t>
  </si>
  <si>
    <t>FITTING-INLET, FIXED</t>
  </si>
  <si>
    <t>FITTING-INLET, FIXED, BLK</t>
  </si>
  <si>
    <t>FITTING-INLET, FIXED, GRAY</t>
  </si>
  <si>
    <t>CYC BAR TYPE ANCHOR</t>
  </si>
  <si>
    <t>ESCUTCHEON</t>
  </si>
  <si>
    <t>BULK PAK OF 100 SP 1041</t>
  </si>
  <si>
    <t>CYC ESCUTCHEON</t>
  </si>
  <si>
    <t>1.5" FLUSH FITTING</t>
  </si>
  <si>
    <t>1.5" FLUSH FITTING, BLACK</t>
  </si>
  <si>
    <t>1.5" FLUSH FITTING, DARK GRAY</t>
  </si>
  <si>
    <t>1.5" FLUSH FITTING, LIGHT GRAY</t>
  </si>
  <si>
    <t>1.5" INSIDER FLUSH FITTING</t>
  </si>
  <si>
    <t>1.5" INSIDER FLUSH FITTING, BLK</t>
  </si>
  <si>
    <t>1.5" INSIDER FLUSH FITTING, DARK GRAY</t>
  </si>
  <si>
    <t>1.5" INSIDER FLUSH FITTING, LIGHT GRAY</t>
  </si>
  <si>
    <t>MAIN DRAIN BUMPER ADAPTER</t>
  </si>
  <si>
    <t>12" COLLECTOR TUBE (SET OF 2)</t>
  </si>
  <si>
    <t>HYDRO RELIEF VALVE (1&amp;1/2")</t>
  </si>
  <si>
    <t>TOOL - CHECK VALVE REMOVAL</t>
  </si>
  <si>
    <t>POWER-VAC W/2 HOLE BRKT</t>
  </si>
  <si>
    <t>TRIANGULAR SUPER-VAC</t>
  </si>
  <si>
    <t>TRIANGULAR SUPER-VAC DELUXE</t>
  </si>
  <si>
    <t>PAK OF 3 WEIGHTS</t>
  </si>
  <si>
    <t>SKIM-MASTER .</t>
  </si>
  <si>
    <t>2" SPECIAL SKIMMER -FLORIDA-</t>
  </si>
  <si>
    <t>FLOAT VALVE ASSY</t>
  </si>
  <si>
    <t>COMMERCIAL KIT FOR SP1070 SERIES SKIMMER</t>
  </si>
  <si>
    <t>EXTENSION COLLAR</t>
  </si>
  <si>
    <t>SKIM-MASTER -SKT-</t>
  </si>
  <si>
    <t>SKIM-MASTER  -SKT- W/FLOAT VALVE</t>
  </si>
  <si>
    <t>SKIM-MASTER W/SQUARE LID 1-1/2" FIP</t>
  </si>
  <si>
    <t>SKIM-MASTER W/SQUARE LID 1-1/2" SKT</t>
  </si>
  <si>
    <t>TEST PLUG KIT</t>
  </si>
  <si>
    <t>SKIM-MASTER, 2" W/OVER-FLO PORT</t>
  </si>
  <si>
    <t>SKIM-MASTER, 2 IN W/TAN COVER &amp; OVER-FLO PORT</t>
  </si>
  <si>
    <t>SKIM-MASTER, 2" W/TAN COVER,FLOAT VLV &amp; OVER-FLO</t>
  </si>
  <si>
    <t>SKIM-MASTER, 2" W/OVER-FLO PORT -BLACK-</t>
  </si>
  <si>
    <t>SKIM-MASTER, 2" W/FLOAT VLV &amp; OVER-FLO PORT</t>
  </si>
  <si>
    <t>SKIM-MASTER, 2" GRAY W/OVER-FLO PORT</t>
  </si>
  <si>
    <t>SP1071 SKIMMER W/OVERFLO PORT</t>
  </si>
  <si>
    <t>SKIM-MASTER -2" SKT W/TAN COVER/OVER FLO PORT-</t>
  </si>
  <si>
    <t>SKIM-MASTER, 2" SKT W/FLOAT VLV, TAN CVR OV-PORT</t>
  </si>
  <si>
    <t>SKIMMER-SP1071-BLACK W/OVERFLO PORT</t>
  </si>
  <si>
    <t>SKIMMER-DARK GRAY</t>
  </si>
  <si>
    <t>SKIM-MASTER, 2" SKT W/FLOAT VLV &amp; OVER-FLO PORT</t>
  </si>
  <si>
    <t>SKIMMER-SP1071-GREY W/OVERFLO PORT</t>
  </si>
  <si>
    <t>SKIM-MASTER W/SQUARE LID 2" FIP</t>
  </si>
  <si>
    <t>SKIM-MASTER W/SQUARE LID 2" SKT</t>
  </si>
  <si>
    <t>CYC IN-LINE SIGHT GLASS SKT</t>
  </si>
  <si>
    <t>IN-LINE SIGHT GLASS</t>
  </si>
  <si>
    <t>EQUALIZER VALVE</t>
  </si>
  <si>
    <t>COMMERCIAL KIT FOR SP1080 SERIES SKIMMER</t>
  </si>
  <si>
    <t>2 IN AUTO-SKIM</t>
  </si>
  <si>
    <t>1-1/2 IN  AUTO-SKIM</t>
  </si>
  <si>
    <t>1-1/2 IN AUTO-SKIM ROUD COVER</t>
  </si>
  <si>
    <t>SKIMMER T0 MAIN DRAIN VALVE ASSY FOR SP1082/75/</t>
  </si>
  <si>
    <t>2 IN AUTO-SKIM             W/ROUND COVER</t>
  </si>
  <si>
    <t>2 IN AUTO-SKIM DARK GRAY</t>
  </si>
  <si>
    <t>1-1/2 IN AUTO-SKIM</t>
  </si>
  <si>
    <t>1-1/2 IN AUTO-SKIM, OUTSIDE MT</t>
  </si>
  <si>
    <t>1-1/2 IN AUTO-SKIM, OM DK GRAY</t>
  </si>
  <si>
    <t>1-1/2" AUTO-SKIM W/ROUND COVER -OUTSIDE MOUNT-</t>
  </si>
  <si>
    <t>1-1/2" AUTO-SKIM W/ROUND COVER-OUTSIDE MOUNT-DGR</t>
  </si>
  <si>
    <t>1-1/2" AUTO-SKIM W/MAIN DRAIN &amp; ACCY PACK</t>
  </si>
  <si>
    <t>1-1/2" AUTO-SKIM ROUND COVER</t>
  </si>
  <si>
    <t>FACE PLATE COVER</t>
  </si>
  <si>
    <t>FACE PLATE COVER  -BLACK-</t>
  </si>
  <si>
    <t>FACE PLATE COVER - DARK GRAY</t>
  </si>
  <si>
    <t>FACE PLATE COVER (GRAY)</t>
  </si>
  <si>
    <t>ADJUSTABLE COLLAR -ROUND-</t>
  </si>
  <si>
    <t>2 IN AUTO-SKIM WHITE</t>
  </si>
  <si>
    <t>WIDE TRACK AUTO-SKIM, OM</t>
  </si>
  <si>
    <t>WIDE TRACK AUTO-SKIM</t>
  </si>
  <si>
    <t>WIDE TRACK AUTO-SKIM       -FLUSH MOUNT-</t>
  </si>
  <si>
    <t>WIDE TRACK AUTO-SKIM D GRAY-FLUSH MOUNT-</t>
  </si>
  <si>
    <t>WIDE TRK AUTO-SKIM W/O DRAIN  WITH FITTINGS</t>
  </si>
  <si>
    <t>WIDE TRK AUTO-SKIM W/O DRAIN  WITH FITTINGS DGR</t>
  </si>
  <si>
    <t>WIDE TRACK AUTO-SKIM W/MAIN DRAIN &amp; FITTINGS</t>
  </si>
  <si>
    <t>WIDE TRACK AUTO-SKIM W/MAIN DRAIN &amp; FITTINGS DGR</t>
  </si>
  <si>
    <t>SPACER KIT</t>
  </si>
  <si>
    <t>FACE PLATE COVER (BLACK)</t>
  </si>
  <si>
    <t>FACE PLATE COVER-DARK GRAY</t>
  </si>
  <si>
    <t>DELUXE COMBO SKIMMER</t>
  </si>
  <si>
    <t>COMBO ADAPTER CHECK VALVE</t>
  </si>
  <si>
    <t>STD KO SKIMMER W/ACCY KIT &amp; VAC PLATE</t>
  </si>
  <si>
    <t>WIDE MOUTH SKIMMER W/ACCY KIT &amp; VAC PLATE</t>
  </si>
  <si>
    <t>FRONT ACCESS SKIMMER</t>
  </si>
  <si>
    <t>SKIMMER-PKG W/KIT</t>
  </si>
  <si>
    <t>SKIM-VAC</t>
  </si>
  <si>
    <t>DYNA SKIM W/WOOD FLG</t>
  </si>
  <si>
    <t>CYC SKIMMER</t>
  </si>
  <si>
    <t>PT AUTO SKIM SKIMMER</t>
  </si>
  <si>
    <t>SPA SKIMMER</t>
  </si>
  <si>
    <t>STAINLESS STEEL FACE COVER</t>
  </si>
  <si>
    <t>SKIM-VAC COMBO ELBOW</t>
  </si>
  <si>
    <t>SKIM-VAC 1 1/2 IN HOSE</t>
  </si>
  <si>
    <t>SKIM-VAC 1 1/4 IN          HOSE ELBOW</t>
  </si>
  <si>
    <t>SKIM-VAC 1-1/4 1-1/2 IN    HOSE</t>
  </si>
  <si>
    <t>SKIM-VAC LARGE</t>
  </si>
  <si>
    <t>SKIM-VAC FOR SP1070 SKIMMER</t>
  </si>
  <si>
    <t>SKIM-VAC II - 1-1/2 IN STR</t>
  </si>
  <si>
    <t>SKIM-VAC II - COMBO EL</t>
  </si>
  <si>
    <t>1-1/2 IN ANCHOR SOCKET</t>
  </si>
  <si>
    <t>INLET/OUTLET FTG</t>
  </si>
  <si>
    <t>INLET/OUTLET FTG (BLACK)</t>
  </si>
  <si>
    <t>INLET/OUTLET FTG DARK GRAY</t>
  </si>
  <si>
    <t>INLET/OUTLET FTG (GRAY)</t>
  </si>
  <si>
    <t>2" COMBO FITTING W/FACE PLATE</t>
  </si>
  <si>
    <t>2" COMBO FITTING W/FACE PLATE, DARK GRAY</t>
  </si>
  <si>
    <t>2" COMBO FITTING W/FACE PLATE, LIGHT GRAY</t>
  </si>
  <si>
    <t>LRG HYDROSTREAM 3/4 IN</t>
  </si>
  <si>
    <t>LRG HYDROSTREAM 3/4 IN (BLACK)</t>
  </si>
  <si>
    <t>LRG HYDROSTREAM 3/4 IN D GRAY</t>
  </si>
  <si>
    <t>LRG HYDROSTREAM 3/4 IN (GRAY)</t>
  </si>
  <si>
    <t>HYDROSWEEP</t>
  </si>
  <si>
    <t>HYDROSWEEP (BLACK)</t>
  </si>
  <si>
    <t>HYDROSWEEP (GRAY)</t>
  </si>
  <si>
    <t>HYDROSTREAM 3/8 IN</t>
  </si>
  <si>
    <t>HYDROSTREAM 3/8 IN (BLACK)</t>
  </si>
  <si>
    <t>HYDROSTREAM 3/8 IN (GRAY)</t>
  </si>
  <si>
    <t>HYDROSTREAM 1/2 IN</t>
  </si>
  <si>
    <t>1/2 IN HYDROSTREAM -50 PACK-</t>
  </si>
  <si>
    <t>HYDROSTREAM 1/2 IN (BLACK)</t>
  </si>
  <si>
    <t>HYDROSTREAM 1/2 IN DARK GRAY</t>
  </si>
  <si>
    <t>HYDROSTREAM 1/2 IN (GRAY)</t>
  </si>
  <si>
    <t>HYDROSTREAM 3/4 IN</t>
  </si>
  <si>
    <t>3/4 IN HYDROSTREAM -50 PACK-</t>
  </si>
  <si>
    <t>3/4"HYDROSTREAM -BLACK 50 PACK-</t>
  </si>
  <si>
    <t>HYDROSTREAM 3/4 IN (BLACK)</t>
  </si>
  <si>
    <t>HYDROSTREAM 3/4 IN DARK GRAY</t>
  </si>
  <si>
    <t>HYDROSTREAM 3/4 IN (GRAY)</t>
  </si>
  <si>
    <t>HYDROSTREAM 1 IN</t>
  </si>
  <si>
    <t>1 IN HYDROSTREAM -50 PACK-</t>
  </si>
  <si>
    <t>1" HYDROSTREAM -BLACK 50 PACK-</t>
  </si>
  <si>
    <t>HYDROSTREAM 1 IN (BLACK)</t>
  </si>
  <si>
    <t>HYDROSTREAM 1 INCH DARK GRAY</t>
  </si>
  <si>
    <t>HYDROSTREAM 1 IN (GRAY)</t>
  </si>
  <si>
    <t>SEAT REMOVAL TOOL</t>
  </si>
  <si>
    <t>SUPER DIRECTOR NOZZLE</t>
  </si>
  <si>
    <t>INSIDER HYDROSTREAM 3/4 IN</t>
  </si>
  <si>
    <t>INSIDER HYDROSTREAM 3/4 IN -50 BULK PAK-</t>
  </si>
  <si>
    <t>INSIDER HYDROSTREAM 3/4 IN (BLACK)</t>
  </si>
  <si>
    <t>INSIDER HYDROSTREAM 3/4" (GRAY)</t>
  </si>
  <si>
    <t>INSIDER HYDROSTREAM 1 IN</t>
  </si>
  <si>
    <t>INSIDER HYDROSTREAM 1 IN 50 BULK PAK</t>
  </si>
  <si>
    <t>LG INSIDER HYDROSTREAM 3/4 IN</t>
  </si>
  <si>
    <t>LRG INSIDER HYDROSTREAM 1IN</t>
  </si>
  <si>
    <t>ADJUSTABLE INLET FTG</t>
  </si>
  <si>
    <t>ADJ INLET FTG - SKT</t>
  </si>
  <si>
    <t>ADJUSTABLE FLOOR INLET</t>
  </si>
  <si>
    <t>ADJ FLOOR INLET FTG -SKT-</t>
  </si>
  <si>
    <t>JET-AIR FITTING</t>
  </si>
  <si>
    <t>JET-AIR FITTING, SOCKET</t>
  </si>
  <si>
    <t>JET-AIR FITTING -SKT STUB EXTENDER-</t>
  </si>
  <si>
    <t>NOZZLE REMOVAL TOOL</t>
  </si>
  <si>
    <t>JET-AIR DELUXE FITTING     W/18 IN TUBE</t>
  </si>
  <si>
    <t>JET-AIR FITTING PACKAGE</t>
  </si>
  <si>
    <t>JET-AIR FITTING PACKAGE    SOCKET</t>
  </si>
  <si>
    <t>1 X 1 BODY W/BULKHEAD</t>
  </si>
  <si>
    <t>1/2 X 1 BODY W/BULKHEAD -50 BULK PACK-</t>
  </si>
  <si>
    <t>1 X 1-1/2 BODY W/BULKHEAD</t>
  </si>
  <si>
    <t>1-1/2 X 1-1/2 BODY W/BULKHEAD</t>
  </si>
  <si>
    <t>JET-AIR III 1-1/2 X 1-1/2 BODY W/BULKHEAD DARK G</t>
  </si>
  <si>
    <t>JET-AIR III 1-1/2 X 1-1/2 BODY W/BULKHEAD (GRAY)</t>
  </si>
  <si>
    <t>ADJUSTA-FLO NOZZLE</t>
  </si>
  <si>
    <t>JETAIR III VAR-FLO NOZZLE ASSY DARK GRAY</t>
  </si>
  <si>
    <t>JETAIR III VAR-FLO NOZZLE ASSY  (GRAY)</t>
  </si>
  <si>
    <t>COMBINATION INSTALLATION TOOL</t>
  </si>
  <si>
    <t>TEST PLUG FOR JET AIR III</t>
  </si>
  <si>
    <t>PULSE-FLO NOZZLE</t>
  </si>
  <si>
    <t>WHIRL-FLO NOZZLE</t>
  </si>
  <si>
    <t>SUCTION COVER -PAK B BULK- 76 GPM S.S.</t>
  </si>
  <si>
    <t>CHECK VALVE TEE SOCKET</t>
  </si>
  <si>
    <t>UNION CHECK VALVE          1-1/2 IN SKT</t>
  </si>
  <si>
    <t>SPA-JET</t>
  </si>
  <si>
    <t>SPA-JET, PLATINUM GRAY</t>
  </si>
  <si>
    <t>TEST/WINTERIZING PLATE</t>
  </si>
  <si>
    <t>WINTERIZING PLATE</t>
  </si>
  <si>
    <t>1-1/2 IN UNION MALE THD -BLACK-</t>
  </si>
  <si>
    <t>1 1/2 IN UNION MALE SLIP</t>
  </si>
  <si>
    <t>1 1/2 IN UNION MALE THD X  MALE SLIP</t>
  </si>
  <si>
    <t>1-1/2 UNION MALE THD X SKT</t>
  </si>
  <si>
    <t>1-1/2 IN UNION ELBOW</t>
  </si>
  <si>
    <t>UNION ELBOW ASSY</t>
  </si>
  <si>
    <t>ECONO-UNION 1-1/2 IN MPT X 1-1/2 HOSE BARB</t>
  </si>
  <si>
    <t>FLUSH UNION 1-1/2 IN FIP</t>
  </si>
  <si>
    <t>FLUSH UNION 1-1/2 IN SKT X 1-1/2 IN SKT</t>
  </si>
  <si>
    <t>FLUSH UNION 1-1/2 IN SKT   BULK PAK</t>
  </si>
  <si>
    <t>FLUSH UNION 1-1/2 IN MIP X 1-1/2 IN SKT</t>
  </si>
  <si>
    <t>FLUSH UNION  -2 IN SKT-</t>
  </si>
  <si>
    <t>FLUSH UNION -2 IN MALE X 2 IN SKT-</t>
  </si>
  <si>
    <t>MICROPROCESSOR TIMER FOR 48Y FRAME PUMP MOTORS</t>
  </si>
  <si>
    <t>MALE UNION CONNECTOR PAK</t>
  </si>
  <si>
    <t>UNION CONNECTOR PAK</t>
  </si>
  <si>
    <t>UNION CONNECTOR PAK -1-1/2 X 2 IN SLP-</t>
  </si>
  <si>
    <t>UNION CONNECTOR PAK -SHORT-</t>
  </si>
  <si>
    <t>SPECIAL CYC STRAINER ASSY</t>
  </si>
  <si>
    <t>40 GPM POWER-FLO PUMP W/CORD</t>
  </si>
  <si>
    <t>1 HP POWER-FLO LX PUMP W/CORD</t>
  </si>
  <si>
    <t>1.5HP POWER-FLO LX PUMP W/SIDE DISCH/CORD</t>
  </si>
  <si>
    <t>1 HP POWER-FLO LX PUMP W/SIDE DISCH/CORD</t>
  </si>
  <si>
    <t>1 HP POWER-FLO LX PUMP W/SIDE DISCH/T-LOK CORD</t>
  </si>
  <si>
    <t>1 HP POWER-FLO PUMP W/TWIST LOK CORD</t>
  </si>
  <si>
    <t>1-1/2 HP POWER-FLO LX  W/CORD</t>
  </si>
  <si>
    <t>1.5 HP PWR-FLO LX PUMP W/SIDE DISCH/T-LOK CORD</t>
  </si>
  <si>
    <t>1-1/2 HP LX PUMP W/TWIST-LOK CORD</t>
  </si>
  <si>
    <t>3/4 HP PF MTX W/CORD</t>
  </si>
  <si>
    <t>3/4 HP PF MTX W/MICRO TIMER</t>
  </si>
  <si>
    <t>3/4 HP PF MTX W/MICRO TIMER/TWST-LOK CORD</t>
  </si>
  <si>
    <t>3/4 HP PF MTX W/TWST-LOK CORD</t>
  </si>
  <si>
    <t>1 HP PF MTX W/CORD</t>
  </si>
  <si>
    <t>1 HP PF MTX 2 SPD W/SW</t>
  </si>
  <si>
    <t>1 HP PF MTX W/MICRO TIMER/CORD</t>
  </si>
  <si>
    <t>1 HP PF MTX  W/MICRO TIMER/T-LOK CORD</t>
  </si>
  <si>
    <t>1 HP PF MTX  W/T-LOK CORD</t>
  </si>
  <si>
    <t>1-1/2 HP PF MTX W/CORD</t>
  </si>
  <si>
    <t>1-1/2 HP PF MTX 2 SPD W/SW</t>
  </si>
  <si>
    <t>1-1/2 HP PF MTX W/MICRO TIMER/CORD</t>
  </si>
  <si>
    <t>1-1/2 HP PF MTX W/MICRO TIMMER/T-LOK CORD</t>
  </si>
  <si>
    <t>1-1/2 HP PF MTX W/T-LOK CORD</t>
  </si>
  <si>
    <t>PUMP INSERT KIT</t>
  </si>
  <si>
    <t>1/2 HP POWER-FLO II PUMP</t>
  </si>
  <si>
    <t>3/4 HP POWER-FLO II PUMP</t>
  </si>
  <si>
    <t>1 HP POWER-FLO II PUMP W/STRAINER</t>
  </si>
  <si>
    <t>MAX-FLO VS PUMP</t>
  </si>
  <si>
    <t>MAX-FLO VS PUMP FOR AUTOMATION</t>
  </si>
  <si>
    <t>PUMP-.75 HP MAXFLO XL</t>
  </si>
  <si>
    <t>PUMP-.75 HP MAXFLO XL, EE</t>
  </si>
  <si>
    <t>PUMP-MAXFLO XL,3/4HP,EE SMPOOL</t>
  </si>
  <si>
    <t>PUMP-1.0 HP MAXFLO XL</t>
  </si>
  <si>
    <t>PUMP-1.0 HP MAXFLO XL, 2 SP</t>
  </si>
  <si>
    <t>PUMP-1.5 HP MAXFLO XL</t>
  </si>
  <si>
    <t>PUMP-1.5 HP MAXFLO XL, 2 SP</t>
  </si>
  <si>
    <t>PUMP-2.0 HP MAXFLO XL</t>
  </si>
  <si>
    <t>PUMP-2.0 HP MAXFLO XL, 2 SP</t>
  </si>
  <si>
    <t>SUPER PUMP VS PUMP</t>
  </si>
  <si>
    <t>1/2 HP SUPER PUMP</t>
  </si>
  <si>
    <t>3/4 HP SUPER PUMP</t>
  </si>
  <si>
    <t>PUMP-SUPER, 3/4 HP, EE</t>
  </si>
  <si>
    <t>1 HP SUPER PUMP</t>
  </si>
  <si>
    <t>PUMP-1 HP SUPER,2 SPEED W/SWITCH</t>
  </si>
  <si>
    <t>1-1/2 HP SUPER PUMP</t>
  </si>
  <si>
    <t>1-1/2 HP SUPER PUMP 2 SPEED W/SWITCH</t>
  </si>
  <si>
    <t>2 HP SUPER PUMP</t>
  </si>
  <si>
    <t>PUMP-2 HP SUPER, 2 SPD W/SWITCH</t>
  </si>
  <si>
    <t>2-1/2 HP SUPER PUMP</t>
  </si>
  <si>
    <t>MAX-FLO PUMP 3/4 HP</t>
  </si>
  <si>
    <t>MAX-FLO PUMP -1 HP-</t>
  </si>
  <si>
    <t>MAX-FLO PUMP 1-1/2 HP</t>
  </si>
  <si>
    <t>MAX-FLO PUMP  1-1/2 HP 2 SPEED</t>
  </si>
  <si>
    <t>MAX-FLO PUMP -2 HP-</t>
  </si>
  <si>
    <t>PUMP SUPERII 3/4HP W/RISER</t>
  </si>
  <si>
    <t>PUMP 3/4HP SUPER II, EE RISER</t>
  </si>
  <si>
    <t>PUMP SUPERII 1HP W/RISER</t>
  </si>
  <si>
    <t>PUMP SUPERII 1HP 2IN AZ RISER</t>
  </si>
  <si>
    <t>PUMP SUPERII 1HP AZ W/RISER</t>
  </si>
  <si>
    <t>PUMP SUPERII 1HP W/RISER CONSV</t>
  </si>
  <si>
    <t>PUMP SUPERII 1-1/2HP 2SP RISER</t>
  </si>
  <si>
    <t>PUMP SUPERII 1-1/2HP W/RISER</t>
  </si>
  <si>
    <t>PUMP SUPERII 1.5HP CONSV RISER</t>
  </si>
  <si>
    <t>PUMP SUPERII 2HP 2SPD W/RISER</t>
  </si>
  <si>
    <t>PUMP SUPERII 2HP W/RISER</t>
  </si>
  <si>
    <t>PUMP SUPERII 2HP CONS AZ RISER</t>
  </si>
  <si>
    <t>PUMP SUPERII 2 1/2HP 2SP RISER-</t>
  </si>
  <si>
    <t>PUMP SUPERII 2 1/2HP AZ RISER</t>
  </si>
  <si>
    <t>PUMP SUPERII 3HP CONS AZ RISER</t>
  </si>
  <si>
    <t>PUMP SUPERII 3HP W/RISER</t>
  </si>
  <si>
    <t>PUMP SUPERII 3HP 230PH RISER</t>
  </si>
  <si>
    <t>PUMP COVER TOOL</t>
  </si>
  <si>
    <t>PUMP-TRISTAR VS VARIABLE SPEED</t>
  </si>
  <si>
    <t>PUMP-TRISTAR VS FOR AUTOMATION</t>
  </si>
  <si>
    <t>1/2 HP TRISTAR FULL RATE</t>
  </si>
  <si>
    <t>PUMP-3/4 HP TRISTAR MAXRATE</t>
  </si>
  <si>
    <t>3/4 HP TRISTAR FULL RATE</t>
  </si>
  <si>
    <t>PUMP-1 HP TRISTAR MAXRATE</t>
  </si>
  <si>
    <t>1 HP TRISTAR FULL RATE 2 SPEED</t>
  </si>
  <si>
    <t>1 HP TRISTAR FULL RATE</t>
  </si>
  <si>
    <t>PUMP-1 1/2 HP TRISTAR, MAXRATE</t>
  </si>
  <si>
    <t>PUMP-1 1/2 HP TRISTAR,MAXRATE,2SP</t>
  </si>
  <si>
    <t>1.5 HP TRISTAR FULL RATE 2 SPEED</t>
  </si>
  <si>
    <t>1.5 HP TRISTAR FULL RATE</t>
  </si>
  <si>
    <t>2 HP TRISTAR, MAXRATE</t>
  </si>
  <si>
    <t>PUMP-2 HP TRISTAR,MAXRATE,2 SPEED</t>
  </si>
  <si>
    <t>2 HP TRISTAR FULL RATE 2 SPEED</t>
  </si>
  <si>
    <t>PUMP - 2 HP TRISTAR, 3 PH, VAR SP</t>
  </si>
  <si>
    <t>2 HP TRISTAR FULL RATE</t>
  </si>
  <si>
    <t>PUMP-2 1/2 HP TRISTAR, MAXRATE</t>
  </si>
  <si>
    <t>PUMP-2 1/2 HP TRISTAR,MAXRATE,2 SPEED</t>
  </si>
  <si>
    <t>PUMP-3 HP TRISTAR, MAXRATE</t>
  </si>
  <si>
    <t>3 HP TRISTAR 3 PHASE 230V</t>
  </si>
  <si>
    <t>3 HP TRISTAR FULL RATE</t>
  </si>
  <si>
    <t>5 HP TRISTAR FULL RATE</t>
  </si>
  <si>
    <t>PUMP-ECOSTAR VARIABLE SPEED</t>
  </si>
  <si>
    <t>PUMP-ECOSTAR VAR SPD, SVRS</t>
  </si>
  <si>
    <t>PUMP-TRISTAR WATERFALL, 75 GPM</t>
  </si>
  <si>
    <t>PUMP-TRISTAR WATERFALL, 120GPM</t>
  </si>
  <si>
    <t>PUMP-3/4 HP, NORTHSTAR, FULLRATE EE</t>
  </si>
  <si>
    <t>PUMP-2 HP, NORTHSTAR, MAXRATE,2SP</t>
  </si>
  <si>
    <t>PUMP-2 1/2 HP, NORTHSTAR, MAXRATE, 2SP</t>
  </si>
  <si>
    <t>FUNSPRAY</t>
  </si>
  <si>
    <t>96" UNSUPPORT STEM EXT FOR 8" BY W/LEVER</t>
  </si>
  <si>
    <t>VAT-SOLUTION,15 GAL</t>
  </si>
  <si>
    <t>VAT-SOLUTION,30 GAL</t>
  </si>
  <si>
    <t>1/2" PVC SOL VLV SOC &amp; THD EPDM</t>
  </si>
  <si>
    <t>1/2" PVC SOL VLV SOC &amp; THD VITON</t>
  </si>
  <si>
    <t>3/4" PVC SOL VLV SOC &amp; THD EPDM</t>
  </si>
  <si>
    <t>3/4" PVC SOL VLV SOC &amp; THD EPDM 220VAC ONLY</t>
  </si>
  <si>
    <t>3/4" PVC SOL VLV 24 VAC/DC EPDM</t>
  </si>
  <si>
    <t>3/4" PVC SOL VLV SOC &amp; THD VITON</t>
  </si>
  <si>
    <t>3/4" PVC SOL VLV 24 VAC/DC VITON</t>
  </si>
  <si>
    <t>1" PVC SOL VLV SOC &amp; THD EPDM</t>
  </si>
  <si>
    <t>1" PVC SOL VLV SOC &amp; THD VITON</t>
  </si>
  <si>
    <t>1/4" CPVC SOLENOID VLV,SOC &amp; THD EPDM</t>
  </si>
  <si>
    <t>1/4" CPVC SOL VLV,SOC &amp; THD VITON</t>
  </si>
  <si>
    <t>1/2" CPVC SOLENOID VALVE,  SOC. &amp; THD. W/EPDM</t>
  </si>
  <si>
    <t>1/2" CPVC SOL VLV,SOC &amp; THD VITON</t>
  </si>
  <si>
    <t>3/4" CPVC SOLENOID VALVE,  SOC. &amp; THD. W/EPDM</t>
  </si>
  <si>
    <t>3/4" CPVC SOL VLV, SOC &amp; THD VITON</t>
  </si>
  <si>
    <t>1" CPVC SOL VLV,SOC &amp; THD EPDM</t>
  </si>
  <si>
    <t>1" CPVC SOL VLV,SOC&amp; THD VITON</t>
  </si>
  <si>
    <t>SENSOR-WELL TYPE,BOX OF 5</t>
  </si>
  <si>
    <t>3" PVC SWING CHK VLV EPDM SEALS</t>
  </si>
  <si>
    <t>3" PVC SWING CHK,EPDM,W/C WGT</t>
  </si>
  <si>
    <t>4" PVC SWING CHK VLV EPDM</t>
  </si>
  <si>
    <t>4" PVC SWING CHK EPDM W/CWGT</t>
  </si>
  <si>
    <t>4" PVC SWING CHK FPM</t>
  </si>
  <si>
    <t>6" PVC SWING CHK VLV EPDM SEALS</t>
  </si>
  <si>
    <t>6" PVC SWING CHK,EPDM,W/C-WGT</t>
  </si>
  <si>
    <t>6"PVC SWING CHK VLV VITON SEALS</t>
  </si>
  <si>
    <t>8" PVC SWING CHK VLV EPDM SEALS</t>
  </si>
  <si>
    <t>8" PVC SWING CHK,EPDM,W/C-WGT</t>
  </si>
  <si>
    <t>8"PVC SWING CHK VLV VITON SEALS</t>
  </si>
  <si>
    <t>4" PPL SWING CHK VLV EPDM SEALS</t>
  </si>
  <si>
    <t>CELL-40K GAK, 15FT CBL</t>
  </si>
  <si>
    <t>LONG LIFE 40K GAL CELL</t>
  </si>
  <si>
    <t>CELL-15K GAL,15FT CBL</t>
  </si>
  <si>
    <t>CELL-25K GAL,15FT CBL</t>
  </si>
  <si>
    <t>1/2" PVC TB VLV S/T VITON</t>
  </si>
  <si>
    <t>1/2" PVC TB VLV S/T EPDM</t>
  </si>
  <si>
    <t>3/4" PVC TB BALL VLV S/T VT</t>
  </si>
  <si>
    <t>3/4" PVC TB BALL VLV S/T EPDM</t>
  </si>
  <si>
    <t>1" PVC TB VLV SOC/THD EPDM</t>
  </si>
  <si>
    <t>1-1/4" PVC TB VLV SOC/THD</t>
  </si>
  <si>
    <t>1 1/4" PVC TB VLV S/T EPDM</t>
  </si>
  <si>
    <t>1-1/2"PVC TB VLV SOC/THD VITON</t>
  </si>
  <si>
    <t>1-1/2"PVC TB VLV SOC/THD EPDM</t>
  </si>
  <si>
    <t>2" PVC TB VLV SOC/THD VITON</t>
  </si>
  <si>
    <t>2" PVC TB VLV SOC/THD EPDM</t>
  </si>
  <si>
    <t>2-1/2" PVC TB SOC SAFE BLOCK VLV</t>
  </si>
  <si>
    <t>2-1/2" PVC TB SOC W/EPDM SAFE BLOCK VLV</t>
  </si>
  <si>
    <t>2-1/2" PVC TB THD W/EPDM SAFE BLOCK VLV</t>
  </si>
  <si>
    <t>3" PVC TU BALL VLV SKT VIT</t>
  </si>
  <si>
    <t>3" PVC TU BALL VLV SKT EPDM</t>
  </si>
  <si>
    <t>3" PVC TU BALL VLV THD VIT</t>
  </si>
  <si>
    <t>3" PVC TU BALL VLV THD EPDM</t>
  </si>
  <si>
    <t>4" PVC TU BALL VLV FLG VIT</t>
  </si>
  <si>
    <t>4" PVC TU BALL VLV SKT VIT</t>
  </si>
  <si>
    <t>4" PVC TU BALL VLV SKT EPDM</t>
  </si>
  <si>
    <t>4" PVC TU BALL VLV THD VIT</t>
  </si>
  <si>
    <t>4" PVC TU BALL VLV THD EPDM</t>
  </si>
  <si>
    <t>6" PVC TU BALL VLV FLG VIT</t>
  </si>
  <si>
    <t>6" PVC TU SAFE BLOCK BALL  VALVE FLG W/EPDM</t>
  </si>
  <si>
    <t>3/4"CPVC TB VLV SOC/THD VITON</t>
  </si>
  <si>
    <t>1 1/2" CPVC TB VLV SOC/THD EPDM</t>
  </si>
  <si>
    <t>2" CPVC TB VLV SOC/THD EPDM</t>
  </si>
  <si>
    <t>2-1/2"CPVC SOC TB SAFE BLOCK VLV,EPDM</t>
  </si>
  <si>
    <t>TRUE UNION BALL VLV GRAY 1/2" PVC EPDM SOC/THD</t>
  </si>
  <si>
    <t>TRUE UNION BALL VLV GRAY 3/4" PVC EPDM SOC/THD</t>
  </si>
  <si>
    <t>TRUE UNION BALL VLV GRAY 1" PVC EPDM SOC/THD</t>
  </si>
  <si>
    <t>TRUE UNION BALL VLV GRAY 1-1/4" PVC EPDM SOC/THD</t>
  </si>
  <si>
    <t>TRUE UNION BALL VLV GRAY 1-1/2" PVC EPDM SOC/THD</t>
  </si>
  <si>
    <t>TRUE UNION BALL VLV GRAY 2" PVC EPDM SOC/THD</t>
  </si>
  <si>
    <t>2 1/2" PVC TBB VALVE GRAY SOC EPDM</t>
  </si>
  <si>
    <t>2 1/2" PVC TBB VALVE GRAY THD EPDM</t>
  </si>
  <si>
    <t>3" PVC TBB VALVE GRAY THD EPDM</t>
  </si>
  <si>
    <t>3" PVC TBB VALVE GRAY THD FPM</t>
  </si>
  <si>
    <t>4" PVC TBB VALVE GRAY THD EPDM</t>
  </si>
  <si>
    <t>1" CPVC TBB VALVE GRAY SOC/THD EPDM</t>
  </si>
  <si>
    <t>1 1/4" CPVC TBB VALVE GRAY SOC/THD EPDM</t>
  </si>
  <si>
    <t>1 1/2" CPVC TBB VALVE GRAY SOC/THD EPDM</t>
  </si>
  <si>
    <t>2" CPVC TBB VALVE GRAY SOC/THD EPDM</t>
  </si>
  <si>
    <t>1-1/2" PVC TB VITON LMT SWTCH LOCKING HANDLE</t>
  </si>
  <si>
    <t>3/8" PVC TC BALL CHECK THD FPM</t>
  </si>
  <si>
    <t>1/2 IN PVC TRUE CHECK SOC &amp;THD W/EPDM O'RINGS</t>
  </si>
  <si>
    <t>3/4" PVC T/C SOC&amp;THD W/EPDM</t>
  </si>
  <si>
    <t>1" PVC TC BALL CHECK SKT/THD FPM</t>
  </si>
  <si>
    <t>1 IN PVC TRUE CHECK SOC &amp;  THD W/EPDM O'RINGS</t>
  </si>
  <si>
    <t>1-1/4 IN PVC TRUE CHECK SOC&amp; THD W/EPDM O'RINGS</t>
  </si>
  <si>
    <t>1 1/2" PVC TC BALL CHECK SKT/THD FPM</t>
  </si>
  <si>
    <t>1-1/2" PVC TC SOC &amp; THD EPDM</t>
  </si>
  <si>
    <t>2" PVC TRUE CHECK SOC/THD</t>
  </si>
  <si>
    <t>2 IN PVC TRUE CHECK SOC &amp;  THD EPDM</t>
  </si>
  <si>
    <t>I 1/2" PVC TC BALL CHECK FLG EPDM</t>
  </si>
  <si>
    <t>2-1/2" PVC TC SOC,EPDM VLV</t>
  </si>
  <si>
    <t>2-1/2" PVC TC THD,EPDM VLV</t>
  </si>
  <si>
    <t>3" PVC TRUE UNION BALL CHECK VALVE, FLG W/EPDM</t>
  </si>
  <si>
    <t>3" PVC BALL CHECK SKT VITON</t>
  </si>
  <si>
    <t>3" PVC BALL CHECK VLV SKT E</t>
  </si>
  <si>
    <t>3" PVC BALL CHECK THD VITON</t>
  </si>
  <si>
    <t>3" PVC TRUE BALL VLV THD EPDM</t>
  </si>
  <si>
    <t>4" PVC TRUE UNION BALL CHECK VALVE FLG W/EPDM</t>
  </si>
  <si>
    <t>4" PVC BALL CHECK SKT VITON</t>
  </si>
  <si>
    <t>4"PVC BALL CHECK SKT EPDM</t>
  </si>
  <si>
    <t>4" PVC BALL CHECK THD VITON</t>
  </si>
  <si>
    <t>4"PVC BALL CHECK THD EPDM</t>
  </si>
  <si>
    <t>6" PVC TRUE UNION BALL     CHECK VLV SOC W/EPDM</t>
  </si>
  <si>
    <t>1 IN CPVC TRUE CHECK SOC AND THREADED</t>
  </si>
  <si>
    <t>TRUE UNION CHECK VLV GRAY 1/2" PVC EPDM SOC/THD</t>
  </si>
  <si>
    <t>TRUE UNION CHECK VLV GRAY 3/4" PVC EPDM SOC/THD</t>
  </si>
  <si>
    <t>TRUE UNION CHECK VLV GRAY 1" PVC EPDM SOC/THD</t>
  </si>
  <si>
    <t>TRUE UNION CHECK VLV GRAY 1-1/4" PVC EPDM SOC/TH</t>
  </si>
  <si>
    <t>TRUE UNION CHECK VLV GRAY 1-1/2" PVC EPDM SOC/TH</t>
  </si>
  <si>
    <t>TRUE UNION CHECK VLV GRAY 2" PVC EPDM SOC/THD</t>
  </si>
  <si>
    <t>1/2" PVC 3-WAY BALL VLV SOC&amp;THD</t>
  </si>
  <si>
    <t>3/4" 3-WAY T/U S/T PVC EPDM</t>
  </si>
  <si>
    <t>1" 3WAY T/U S/T PVC EPDM</t>
  </si>
  <si>
    <t>1 1/4" 3WAY TU ST PVC EPDM</t>
  </si>
  <si>
    <t>1 1/2" 3WAY TU ST PVC EPDM</t>
  </si>
  <si>
    <t>2" 3WAY VLV TU S/T PVC EPDM</t>
  </si>
  <si>
    <t>2 1/2" PVC 3-WAY BALL VLV SOC</t>
  </si>
  <si>
    <t>2 1/2" PVC 3-WAY BALL VLV THD</t>
  </si>
  <si>
    <t>3" PVC 3-WAY BALL VLV SKT,EPDM</t>
  </si>
  <si>
    <t>3" PVC 3-WAY BALL VLV THD,EPDM</t>
  </si>
  <si>
    <t>4" 3WAY VLV TU SOC PVC EPDM</t>
  </si>
  <si>
    <t>4" 3WAY VLV TU THD PVC EPDM</t>
  </si>
  <si>
    <t>6" 3WAY VLV TU FLG PVC EPDM</t>
  </si>
  <si>
    <t>REGULATOR VALVE</t>
  </si>
  <si>
    <t>POOL VAC IN LINE VACUUM GAUGE</t>
  </si>
  <si>
    <t>32" CONN HOSE BULK PAK, LG,24PK</t>
  </si>
  <si>
    <t>4' CONN HOSE BULK PK,BLK, 24PK</t>
  </si>
  <si>
    <t>4' CONN HOSE BULK PK,LT GR 24PK</t>
  </si>
  <si>
    <t>4 FT HOSE SET, BLK, 10 PK</t>
  </si>
  <si>
    <t>4' HOSE SET, LT GREY 10 PK</t>
  </si>
  <si>
    <t>POOL VAC BUMPER KIT</t>
  </si>
  <si>
    <t>AQUADROID HOSE KIT,LG</t>
  </si>
  <si>
    <t>4' LEADER HOSE BULK PK,BLK,8PK</t>
  </si>
  <si>
    <t>4' LEADER HOSE BULK PK,LG, 8PK</t>
  </si>
  <si>
    <t>32" LEADER HOSE BULK PAK, LG, 8PK</t>
  </si>
  <si>
    <t>POOL VAC FLOW GAUGE</t>
  </si>
  <si>
    <t>SYS-SAND,VL,13IN 30GPM PUMP</t>
  </si>
  <si>
    <t>VACUUM RELEASE SYSTEM</t>
  </si>
  <si>
    <t>VACUUM RELEASE SYSTEM, NO TIMERS</t>
  </si>
  <si>
    <t>HEATER KIT,110 VAC VR1000</t>
  </si>
  <si>
    <t>HEATER KIT,220 VAC VR1000</t>
  </si>
  <si>
    <t>VALVE ACTUATOR-1.5 IN, 3 PORT</t>
  </si>
  <si>
    <t>VALVE ACTUATOR-2 IN,3 PORT</t>
  </si>
  <si>
    <t>KIT-VAC-LOCK, BLACK, FREE ROTATION</t>
  </si>
  <si>
    <t>KIT-VAC-LOCK,LT GREY, FREE ROTATION</t>
  </si>
  <si>
    <t>KIT-VAC-LOCK, WHITE, FREE ROTATION</t>
  </si>
  <si>
    <t>SM AUTO SKIM VAC PLATE -USA W/O BASKET-</t>
  </si>
  <si>
    <t>LG AUTO SKIM VAC PLATE -USA W/O BASKET-</t>
  </si>
  <si>
    <t>LARGE CAPACITY LEAF CANISTER</t>
  </si>
  <si>
    <t>LEAF CANISTER ADAPTER KIT 1.5</t>
  </si>
  <si>
    <t>STANDARD LEAF CANISTER</t>
  </si>
  <si>
    <t>10" WAFER CHECK VALVE EPDM SSTL SPRING</t>
  </si>
  <si>
    <t>10" WAFER CHECK VALVE FPM SSTL SPRING</t>
  </si>
  <si>
    <t>12" WAFER CHECK VALVE EPDM SSTL SPRING</t>
  </si>
  <si>
    <t>12" PVC WAFER CHECK VALVE FPM SSTL SPRING</t>
  </si>
  <si>
    <t>5" SPRING ASSISTED WAFER CHECK EPDM,PVC,316 SSTL</t>
  </si>
  <si>
    <t>6" SPRING ASSISTED WAFER CHECK EPDM,PVC,316 SSTL</t>
  </si>
  <si>
    <t>8" SPRING ASSISTED WAFER CHECK EPDM,PVC,316 SSTL</t>
  </si>
  <si>
    <t>2" PVC WAFER FULL PATTERN CHK VLV EPDM</t>
  </si>
  <si>
    <t>2" PVC WAFER FULL PATTERN CHK VLV EPDM SS SPRING</t>
  </si>
  <si>
    <t>2" PVC WAFER FULL PATTERN CHK VLV FPM</t>
  </si>
  <si>
    <t>2 1/2" PVC WAFER FULL PATTERN CHK EPDM</t>
  </si>
  <si>
    <t>2 1/2" PVC WAFER FULL PATTERN CHK EPDM SS SPRING</t>
  </si>
  <si>
    <t>2 1/2" PVC WAFER FULL PATTERN CHK FPM</t>
  </si>
  <si>
    <t>3" PVC WAFER FULL PATTERN CHK VLV EPDM</t>
  </si>
  <si>
    <t>3" PVC WAFER FULL PATTERN CHK VLV EPDM SS SPRING</t>
  </si>
  <si>
    <t>3" PVC WAFER FULL PATTERN CHK VLV FPM</t>
  </si>
  <si>
    <t>4" PVC WAFER FULL PATTERN CHK VLV EPDM</t>
  </si>
  <si>
    <t>4" PVC WAFER FULL PATTERN CHK VLV EPDM SS SPRING</t>
  </si>
  <si>
    <t>4" PVC WAFER FULL PATTERN CHK VLV FPM</t>
  </si>
  <si>
    <t>6" PVC WAFER FULL PATTERN CHK VLV EPDM</t>
  </si>
  <si>
    <t>6" PVC WAFER FULL PATTERN CHK VLV EPDM SS SPRING</t>
  </si>
  <si>
    <t>6" PVC WAFER FULL PATTERN CHK VLV FPM</t>
  </si>
  <si>
    <t>8" PVC WAFER FULL PATTERN CHK VLV EPDM</t>
  </si>
  <si>
    <t>8" PVC WAFER FULL PATTERN CHK VLV EPDM SS SPRING</t>
  </si>
  <si>
    <t>8" PVC WAFER FULL PATTERN CHK VLV FPM</t>
  </si>
  <si>
    <t>2" CPVC WAFER FULL PATTERN CHK VLV EPDM SS SPRNG</t>
  </si>
  <si>
    <t>2" CPVC WAFER FULL PATTERN CHK VLV FPM SS SPRING</t>
  </si>
  <si>
    <t>2 1/2" CPVC WAFER FULL PATTERNCK VLV EPDM SS SPR</t>
  </si>
  <si>
    <t>2 1/2" CPVC WAFER FULL PATTERNCHK VLV FPM SS SPR</t>
  </si>
  <si>
    <t>3" CPVC WAFER FULL PATTERN CHK VLV EPDM SS SPRNG</t>
  </si>
  <si>
    <t>3" CPVC WAFER FULL PATTERN CHK VLV FPM SS SPRING</t>
  </si>
  <si>
    <t>4" CPVC WAFER FULL PATTERN CHK VLV EPDM SS SPRNG</t>
  </si>
  <si>
    <t>4" CPVC WAFER FULL PATTERN CHK VLV FPM SS SPRING</t>
  </si>
  <si>
    <t>6" CPVC WAFER FULL PATTERN CHK VLV EPDM SS SPRNG</t>
  </si>
  <si>
    <t>6" CPVC WAFER FULL PATTERN CHK VLV FPM SS SPRING</t>
  </si>
  <si>
    <t>8" CPVC WAFER FULL PATTERN CHK VLV EPDM SS SPRNG</t>
  </si>
  <si>
    <t>8" CPVC WAFER FULL PATTERN CHK VLV FPM SS SPRING</t>
  </si>
  <si>
    <t>FRAME&amp;COVER-DUAL SUCTION,BLACK</t>
  </si>
  <si>
    <t>FRAME&amp;COVER-DUAL SUCTION,DGRAY</t>
  </si>
  <si>
    <t>FRAME&amp;COVER-DUAL SUCTION,GRY</t>
  </si>
  <si>
    <t>FRAME &amp; COVER-DUAL SUCTION</t>
  </si>
  <si>
    <t>FRAME&amp;COVER-DUAL PAK 9SQ HF</t>
  </si>
  <si>
    <t>FRAME&amp;COVER-DUAL PAK 9SQ LV</t>
  </si>
  <si>
    <t>FRAME&amp;COVER-DUAL PAK 12SQ HI FLOW</t>
  </si>
  <si>
    <t>FRAME&amp;COVER-DUAL PAK 12SQ LV</t>
  </si>
  <si>
    <t>FRAME&amp;COVER DUAL PAK 18SQ HI FLOW</t>
  </si>
  <si>
    <t>FRAME&amp;COVER DUAL PAK 18SQ LOW VELOCITY</t>
  </si>
  <si>
    <t>OUTLET-DUAL SUCTN,1-1/2 DK GRY</t>
  </si>
  <si>
    <t>OUTLET-DUAL SUCTN,1-1/2 LT GRY</t>
  </si>
  <si>
    <t>OUTLET-DUAL SUCTN, 1-1/2 WHITE</t>
  </si>
  <si>
    <t>OUTLET-DUAL SUCTION 2 IN, DARK GRAY</t>
  </si>
  <si>
    <t>OUTLET-DUAL SUCTION 2 IN</t>
  </si>
  <si>
    <t>OUTLET-DUAL SUCTION 1-1/2 IN</t>
  </si>
  <si>
    <t>ADJUSTABLE COLLAR</t>
  </si>
  <si>
    <t>SUCTION OUTLETS 3 IN W/HF 9X9 COVERS</t>
  </si>
  <si>
    <t>SUCTION OUTLETS 3 IN W/LV 9X9 COVERS</t>
  </si>
  <si>
    <t>OUTLET-DUAL SUCTION 2 IN SOC BLACK</t>
  </si>
  <si>
    <t>OUTLET-DUAL SUCTION 2 IN SOC DK GRY</t>
  </si>
  <si>
    <t>OUTLET-DUAL SUCTION 2 IN SOC GRY</t>
  </si>
  <si>
    <t>OUTLET-DUAL SUCTION 2 IN SOC</t>
  </si>
  <si>
    <t>KIT-WATER LEVEL CONTROL</t>
  </si>
  <si>
    <t>4" PVC Y CHECK VALVE SOC</t>
  </si>
  <si>
    <t>1/2" CLEAR PVC Y-STRAINER, SOC</t>
  </si>
  <si>
    <t>1/2" PVC CLEAR  Y-STRAINER,SOC, TRUE UNION</t>
  </si>
  <si>
    <t>1/2" CLEAR PVC Y-STRAINER, THD</t>
  </si>
  <si>
    <t>1/2" CLEAR PVC Y STRAINER THD TRUE UNION FPM</t>
  </si>
  <si>
    <t>3/4" CLEAR PVC Y-STRAINER, SOC</t>
  </si>
  <si>
    <t>3/4" CLEAR PVC Y-STRAINER, SOC TRUE UNION</t>
  </si>
  <si>
    <t>3/4" CLEAR PVC Y-STRAINER, THD</t>
  </si>
  <si>
    <t>3/4" CLEAR PVC Y-STRAINER, THD TRUE UNION</t>
  </si>
  <si>
    <t>1" CLEAR PVC Y-STRAINER,SOC</t>
  </si>
  <si>
    <t>1" CLEAR PVC Y-STRAINER,SOC,TRUE UNION</t>
  </si>
  <si>
    <t>1" CLEAR PVC Y-STRAINER,THD</t>
  </si>
  <si>
    <t>1" CLEAR PVC Y-STRAINER,THD UNION</t>
  </si>
  <si>
    <t>1-1/4" CLEAR PVC Y-STRAINER,SOC</t>
  </si>
  <si>
    <t>1-1/4" CLR PVC Y-STRAINER,SOC.TRUE UNION</t>
  </si>
  <si>
    <t>1-1/4" CLEAR PVC Y-STRAINER,THD</t>
  </si>
  <si>
    <t>1-1/2" CLEAR PVC Y-STRAINER,SOC</t>
  </si>
  <si>
    <t>1-1/2" CLEAR PVC Y-STRAINER,SOC TRUE UNION</t>
  </si>
  <si>
    <t>1-1/2" CLEAR PVC Y-STRAINER,THD</t>
  </si>
  <si>
    <t>1-1/2" CLEAR PVC Y-STRAINER,THD TRUE UNION</t>
  </si>
  <si>
    <t>2" CLEAR PVC Y-STRAINER,FLG</t>
  </si>
  <si>
    <t>2" CLEAR PVC Y-STRAINER,SOC</t>
  </si>
  <si>
    <t>2" PVC Y-STRAINER, SOC. TRUE UNION</t>
  </si>
  <si>
    <t>2" CLEAR PVC Y-STRAINER,THD</t>
  </si>
  <si>
    <t>2" CLEAR PVC Y-STRAINER,THD TRUE UNION</t>
  </si>
  <si>
    <t>1/2" PVC Y-STRAINER, SOC.</t>
  </si>
  <si>
    <t>1/2" PVC Y-STRAINER, SOC. TRUE UNION</t>
  </si>
  <si>
    <t>1/2" PVC Y-STRAINER, THD. TRUE UNION</t>
  </si>
  <si>
    <t>3/4" PVC Y-STRAINER, SOC.</t>
  </si>
  <si>
    <t>3/4" PVC Y-STRAINER, SOC. TRUE UNION</t>
  </si>
  <si>
    <t>3/4" PVC Y-STRAINER, THD.</t>
  </si>
  <si>
    <t>3/4" PVC Y STRAINER THD EPDM</t>
  </si>
  <si>
    <t>3/4" PVC Y-STRAINER, THD. TRUE UNION</t>
  </si>
  <si>
    <t>1" PVC Y-STRAINER, SOC.</t>
  </si>
  <si>
    <t>1" PVC Y-STRAINER, SOC. TRUE UNION</t>
  </si>
  <si>
    <t>1" PVC Y-STRAINER, THD.</t>
  </si>
  <si>
    <t>1" PVC Y-STRAINER, THD. TRUE UNION</t>
  </si>
  <si>
    <t>1-1/4" PVC Y-STRAINER, SOC.</t>
  </si>
  <si>
    <t>1-1/4" PVC Y-STRAINER, SOC. TRUE UNION</t>
  </si>
  <si>
    <t>1-1/4" PVC Y-STRAINER, THD.</t>
  </si>
  <si>
    <t>1-1/4" PVC Y-STRAINER, THD. TRUE UNION</t>
  </si>
  <si>
    <t>1-1/2" PVC Y-STRAINER, SOC.</t>
  </si>
  <si>
    <t>1-1/2" PVC Y-STRAINER, SOC. TRUE UNION</t>
  </si>
  <si>
    <t>1-1/2" PVC Y-STRAINER, THD.</t>
  </si>
  <si>
    <t>1-1/2" PVC Y-STRAINER, THD. TRUE UNION</t>
  </si>
  <si>
    <t>2" PVC Y-STRAINER, FLG'D.</t>
  </si>
  <si>
    <t>2" PVC Y-STRAINER, SOC.</t>
  </si>
  <si>
    <t>2" PVC Y-STRAINER, THD.</t>
  </si>
  <si>
    <t>2" PVC Y STRAINER THD EPDM</t>
  </si>
  <si>
    <t>2" PVC Y-STRAINER, THD. TRUE UNION</t>
  </si>
  <si>
    <t>2-1/2" PVC Y-STRAINER,     FLG'D.</t>
  </si>
  <si>
    <t>2-1/2" PVC Y-STRAINER, SOC.</t>
  </si>
  <si>
    <t>2-1/2" PVC Y-STRAINER, SOC. TRUE UNION</t>
  </si>
  <si>
    <t>2-1/2" PVC Y-STRAINER, THD.</t>
  </si>
  <si>
    <t>2-1/2" PVC Y-STRAINER, THD. TRUE UNION</t>
  </si>
  <si>
    <t>3" PVC Y-STRAINER, FLG'D.</t>
  </si>
  <si>
    <t>3" PVC Y-STRAINER, SOC.</t>
  </si>
  <si>
    <t>3" PVC Y-STRAINER, SOC. UNION</t>
  </si>
  <si>
    <t>3" PVC Y-STRAINER, THD.</t>
  </si>
  <si>
    <t>3" PVC Y-STRAINER, THD. UNION</t>
  </si>
  <si>
    <t>4" PVC Y-STRAINER, FLG'D.</t>
  </si>
  <si>
    <t>4" PVC Y-STRAINER, SOC.</t>
  </si>
  <si>
    <t>4" PVC Y-STRAINER, SOC. UNION</t>
  </si>
  <si>
    <t>4" PVC Y-STRAINER, THD.</t>
  </si>
  <si>
    <t>4" PVC Y-STRAINER, THD. UNION</t>
  </si>
  <si>
    <t>100 MESH SSTL SCREEN FOR 3/4" Y-STRAINER</t>
  </si>
  <si>
    <t>20 MESH SSTL SCREEN FOR 3/4" Y-STRAINER</t>
  </si>
  <si>
    <t>2" Y-STR SCREEN 20 MESH SSTL</t>
  </si>
  <si>
    <t>1/2" CPVC Y-STRAINER, SOC.</t>
  </si>
  <si>
    <t>1/2" CPVC Y-STRAINER SOC. TRUE UNION</t>
  </si>
  <si>
    <t>1/2" CPVC Y-STRAINER, THD.</t>
  </si>
  <si>
    <t>1/2" CPVC Y-STRAINER, THD. TRUE UNION</t>
  </si>
  <si>
    <t>3/4" CPVC Y-STRAINER, SOC.</t>
  </si>
  <si>
    <t>3/4" CPVC Y-STRAINER SOC. TRUE UNION</t>
  </si>
  <si>
    <t>3/4" CPVC Y-STRAINER, THD.</t>
  </si>
  <si>
    <t>3/4" CPVC Y-STRAINER, THD. TRUE UNION</t>
  </si>
  <si>
    <t>1" CPVC Y-STRAINER, SOC.</t>
  </si>
  <si>
    <t>1" CPVC Y-STRAINER, SOC. TRUE UNION</t>
  </si>
  <si>
    <t>1" CPVC Y-STRAINER, THD.</t>
  </si>
  <si>
    <t>1" CPVC Y-STRAINER, THD. TRUE UNION</t>
  </si>
  <si>
    <t>1-1/2" CPVC Y-STRAINER,    SOC.</t>
  </si>
  <si>
    <t>1-1/2" CPVC Y-STRAINER,TRUE UNION SOC.</t>
  </si>
  <si>
    <t>1-1/2" CPVC Y-STRAINER,    THD.</t>
  </si>
  <si>
    <t>1-1/2" CPVC Y-STRAINER, THD TRUE UNION</t>
  </si>
  <si>
    <t>2" CPVC Y-STRAINER, FLG'D.</t>
  </si>
  <si>
    <t>2" CPVC Y-STRAINER, SOC.</t>
  </si>
  <si>
    <t>2" CPVC Y-STRAINER, SOC. UNION ENDS</t>
  </si>
  <si>
    <t>2" CPVC Y-STRAINER, THD.</t>
  </si>
  <si>
    <t>2" CPVC Y-STRAINER, THD. UNION ENDS</t>
  </si>
  <si>
    <t>3" CPVC Y-STRAINER, FLG'D.</t>
  </si>
  <si>
    <t>3" CPVC Y-STRAINER, SOC.</t>
  </si>
  <si>
    <t>3" CPVC Y-STRAINER, SOC. UNION</t>
  </si>
  <si>
    <t>3" CPVC Y-STRAINER, THD.</t>
  </si>
  <si>
    <t>4" CPVC Y-STRAINER, FLG'D.</t>
  </si>
  <si>
    <t>4" CPVC Y-STRAINER, SOC.</t>
  </si>
  <si>
    <t>4" CPVC Y-STRAINER,SOC,TRUE UNION</t>
  </si>
  <si>
    <t>4" CPVC Y-STRAINER, THD.</t>
  </si>
  <si>
    <t>4" CPVC Y-STRAINER,THD,TRUE UNION</t>
  </si>
  <si>
    <t>Hayward Pool Products</t>
  </si>
  <si>
    <t>Finished Goods</t>
  </si>
  <si>
    <t>Item Number</t>
  </si>
  <si>
    <t>Item Description</t>
  </si>
  <si>
    <t>GTIN</t>
  </si>
  <si>
    <t>Ctn Qty</t>
  </si>
  <si>
    <t>Base Price</t>
  </si>
  <si>
    <t>2015 Group Alphanumeric Confidential Base Price List (QPL)</t>
  </si>
  <si>
    <t>CAT Low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</si>
</sst>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 x14ac:knownFonts="1">
    <font>
      <sz val="12"/>
      <color theme="1"/>
      <name val="Arial"/>
      <family val="2"/>
    </font>
    <font>
      <b/>
      <i/>
      <sz val="12"/>
      <color indexed="16"/>
      <name val="Arial"/>
      <family val="2"/>
    </font>
    <font>
      <b/>
      <i/>
      <sz val="14"/>
      <color indexed="32"/>
      <name val="Arial"/>
      <family val="2"/>
    </font>
    <font>
      <sz val="10"/>
      <name val="Arial"/>
      <family val="2"/>
    </font>
    <font>
      <sz val="10"/>
      <name val="Arial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0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3" fillId="0" borderId="0"/>
    <xf numFmtId="0" fontId="4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6" fillId="0" borderId="0" xfId="0" applyFont="1" applyProtection="1">
      <protection locked="0"/>
    </xf>
    <xf numFmtId="0" fontId="2" fillId="0" borderId="0" xfId="0" applyFont="1" applyAlignment="1" applyProtection="1">
      <alignment horizontal="centerContinuous"/>
    </xf>
    <xf numFmtId="164" fontId="2" fillId="0" borderId="0" xfId="0" applyNumberFormat="1" applyFont="1" applyAlignment="1" applyProtection="1">
      <alignment horizontal="centerContinuous"/>
    </xf>
    <xf numFmtId="3" fontId="2" fillId="0" borderId="0" xfId="0" applyNumberFormat="1" applyFont="1" applyAlignment="1" applyProtection="1">
      <alignment horizontal="centerContinuous"/>
    </xf>
    <xf numFmtId="0" fontId="7" fillId="0" borderId="0" xfId="0" applyFont="1" applyProtection="1"/>
    <xf numFmtId="164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center"/>
    </xf>
    <xf numFmtId="3" fontId="7" fillId="0" borderId="0" xfId="0" applyNumberFormat="1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164" fontId="1" fillId="0" borderId="0" xfId="0" applyNumberFormat="1" applyFont="1" applyAlignment="1" applyProtection="1">
      <alignment horizontal="center"/>
    </xf>
    <xf numFmtId="3" fontId="1" fillId="0" borderId="0" xfId="0" applyNumberFormat="1" applyFont="1" applyAlignment="1" applyProtection="1">
      <alignment horizontal="center"/>
    </xf>
    <xf numFmtId="0" fontId="6" fillId="2" borderId="1" xfId="0" applyFont="1" applyFill="1" applyBorder="1" applyProtection="1"/>
    <xf numFmtId="0" fontId="6" fillId="2" borderId="1" xfId="0" applyFont="1" applyFill="1" applyBorder="1" applyAlignment="1" applyProtection="1">
      <alignment horizontal="center"/>
    </xf>
    <xf numFmtId="3" fontId="6" fillId="2" borderId="2" xfId="0" applyNumberFormat="1" applyFont="1" applyFill="1" applyBorder="1" applyAlignment="1" applyProtection="1">
      <alignment horizontal="right"/>
    </xf>
    <xf numFmtId="0" fontId="6" fillId="0" borderId="3" xfId="0" applyFont="1" applyBorder="1" applyProtection="1"/>
    <xf numFmtId="0" fontId="6" fillId="0" borderId="3" xfId="0" applyFont="1" applyBorder="1" applyAlignment="1" applyProtection="1">
      <alignment horizontal="center"/>
    </xf>
    <xf numFmtId="3" fontId="6" fillId="0" borderId="4" xfId="0" applyNumberFormat="1" applyFont="1" applyBorder="1" applyAlignment="1" applyProtection="1">
      <alignment horizontal="right"/>
    </xf>
    <xf numFmtId="0" fontId="6" fillId="2" borderId="3" xfId="0" applyFont="1" applyFill="1" applyBorder="1" applyProtection="1"/>
    <xf numFmtId="0" fontId="6" fillId="2" borderId="3" xfId="0" applyFont="1" applyFill="1" applyBorder="1" applyAlignment="1" applyProtection="1">
      <alignment horizontal="center"/>
    </xf>
    <xf numFmtId="3" fontId="6" fillId="2" borderId="4" xfId="0" applyNumberFormat="1" applyFont="1" applyFill="1" applyBorder="1" applyAlignment="1" applyProtection="1">
      <alignment horizontal="right"/>
    </xf>
    <xf numFmtId="0" fontId="6" fillId="0" borderId="5" xfId="0" applyFont="1" applyBorder="1" applyProtection="1"/>
    <xf numFmtId="0" fontId="6" fillId="0" borderId="5" xfId="0" applyFont="1" applyBorder="1" applyAlignment="1" applyProtection="1">
      <alignment horizontal="center"/>
    </xf>
    <xf numFmtId="3" fontId="6" fillId="0" borderId="6" xfId="0" applyNumberFormat="1" applyFont="1" applyBorder="1" applyAlignment="1" applyProtection="1">
      <alignment horizontal="right"/>
    </xf>
    <xf numFmtId="0" fontId="6" fillId="0" borderId="0" xfId="0" applyFont="1" applyProtection="1"/>
    <xf numFmtId="164" fontId="6" fillId="0" borderId="0" xfId="0" applyNumberFormat="1" applyFont="1" applyAlignment="1" applyProtection="1">
      <alignment horizontal="right"/>
    </xf>
    <xf numFmtId="0" fontId="6" fillId="0" borderId="0" xfId="0" applyFont="1" applyAlignment="1" applyProtection="1">
      <alignment horizontal="center"/>
    </xf>
    <xf numFmtId="3" fontId="6" fillId="0" borderId="0" xfId="0" applyNumberFormat="1" applyFont="1" applyAlignment="1" applyProtection="1">
      <alignment horizontal="right"/>
    </xf>
    <xf numFmtId="0" fontId="6" fillId="0" borderId="0" xfId="0" applyFont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44" fontId="5" fillId="3" borderId="4" xfId="5" applyNumberFormat="1" applyFont="1" applyFill="1" applyBorder="1" applyAlignment="1">
      <alignment horizontal="right"/>
    </xf>
    <xf numFmtId="44" fontId="5" fillId="4" borderId="4" xfId="5" applyNumberFormat="1" applyFont="1" applyFill="1" applyBorder="1" applyAlignment="1">
      <alignment horizontal="right"/>
    </xf>
    <xf numFmtId="0" fontId="6" fillId="0" borderId="7" xfId="0" applyFont="1" applyBorder="1" applyAlignment="1" applyProtection="1">
      <alignment horizontal="center"/>
    </xf>
    <xf numFmtId="0" fontId="6" fillId="2" borderId="8" xfId="0" applyFont="1" applyFill="1" applyBorder="1" applyAlignment="1" applyProtection="1">
      <alignment horizontal="center"/>
    </xf>
    <xf numFmtId="44" fontId="5" fillId="0" borderId="4" xfId="5" applyNumberFormat="1" applyFont="1" applyFill="1" applyBorder="1" applyAlignment="1">
      <alignment horizontal="right"/>
    </xf>
    <xf numFmtId="44" fontId="6" fillId="2" borderId="1" xfId="0" applyNumberFormat="1" applyFont="1" applyFill="1" applyBorder="1" applyAlignment="1" applyProtection="1">
      <alignment horizontal="right"/>
    </xf>
    <xf numFmtId="44" fontId="6" fillId="0" borderId="3" xfId="0" applyNumberFormat="1" applyFont="1" applyBorder="1" applyAlignment="1" applyProtection="1">
      <alignment horizontal="right"/>
    </xf>
    <xf numFmtId="44" fontId="6" fillId="2" borderId="3" xfId="0" applyNumberFormat="1" applyFont="1" applyFill="1" applyBorder="1" applyAlignment="1" applyProtection="1">
      <alignment horizontal="right"/>
    </xf>
    <xf numFmtId="44" fontId="6" fillId="0" borderId="5" xfId="0" applyNumberFormat="1" applyFont="1" applyBorder="1" applyAlignment="1" applyProtection="1">
      <alignment horizontal="right"/>
    </xf>
    <xf numFmtId="44" fontId="6" fillId="0" borderId="0" xfId="0" applyNumberFormat="1" applyFont="1" applyAlignment="1" applyProtection="1">
      <alignment horizontal="right"/>
    </xf>
    <xf numFmtId="44" fontId="6" fillId="4" borderId="4" xfId="0" applyNumberFormat="1" applyFont="1" applyFill="1" applyBorder="1" applyAlignment="1" applyProtection="1">
      <alignment horizontal="right"/>
    </xf>
    <xf numFmtId="44" fontId="6" fillId="2" borderId="4" xfId="0" applyNumberFormat="1" applyFont="1" applyFill="1" applyBorder="1" applyAlignment="1" applyProtection="1">
      <alignment horizontal="right"/>
    </xf>
    <xf numFmtId="44" fontId="6" fillId="0" borderId="4" xfId="0" applyNumberFormat="1" applyFont="1" applyBorder="1" applyAlignment="1" applyProtection="1">
      <alignment horizontal="right"/>
    </xf>
    <xf numFmtId="44" fontId="6" fillId="2" borderId="2" xfId="0" applyNumberFormat="1" applyFont="1" applyFill="1" applyBorder="1" applyAlignment="1" applyProtection="1">
      <alignment horizontal="right"/>
    </xf>
    <xf numFmtId="44" fontId="5" fillId="3" borderId="3" xfId="5" applyNumberFormat="1" applyFont="1" applyFill="1" applyBorder="1" applyAlignment="1">
      <alignment horizontal="right"/>
    </xf>
    <xf numFmtId="44" fontId="5" fillId="4" borderId="3" xfId="5" applyNumberFormat="1" applyFont="1" applyFill="1" applyBorder="1" applyAlignment="1">
      <alignment horizontal="right"/>
    </xf>
    <xf numFmtId="0" fontId="6" fillId="5" borderId="1" xfId="0" applyFont="1" applyFill="1" applyBorder="1" applyProtection="1"/>
    <xf numFmtId="0" fontId="6" fillId="5" borderId="3" xfId="0" applyFont="1" applyFill="1" applyBorder="1" applyProtection="1"/>
    <xf numFmtId="44" fontId="5" fillId="5" borderId="3" xfId="5" applyNumberFormat="1" applyFont="1" applyFill="1" applyBorder="1" applyAlignment="1">
      <alignment horizontal="right"/>
    </xf>
    <xf numFmtId="0" fontId="6" fillId="5" borderId="5" xfId="0" applyFont="1" applyFill="1" applyBorder="1" applyProtection="1"/>
    <xf numFmtId="44" fontId="6" fillId="5" borderId="1" xfId="0" applyNumberFormat="1" applyFont="1" applyFill="1" applyBorder="1" applyAlignment="1" applyProtection="1">
      <alignment horizontal="right"/>
    </xf>
    <xf numFmtId="44" fontId="6" fillId="5" borderId="3" xfId="0" applyNumberFormat="1" applyFont="1" applyFill="1" applyBorder="1" applyAlignment="1" applyProtection="1">
      <alignment horizontal="right"/>
    </xf>
    <xf numFmtId="44" fontId="6" fillId="5" borderId="5" xfId="0" applyNumberFormat="1" applyFont="1" applyFill="1" applyBorder="1" applyAlignment="1" applyProtection="1">
      <alignment horizontal="right"/>
    </xf>
    <xf numFmtId="44" fontId="6" fillId="5" borderId="0" xfId="0" applyNumberFormat="1" applyFont="1" applyFill="1" applyBorder="1" applyAlignment="1" applyProtection="1">
      <alignment horizontal="right"/>
    </xf>
    <xf numFmtId="164" fontId="6" fillId="5" borderId="0" xfId="0" applyNumberFormat="1" applyFont="1" applyFill="1" applyAlignment="1" applyProtection="1">
      <alignment horizontal="right"/>
    </xf>
    <xf numFmtId="44" fontId="6" fillId="5" borderId="8" xfId="0" applyNumberFormat="1" applyFont="1" applyFill="1" applyBorder="1" applyAlignment="1" applyProtection="1">
      <alignment horizontal="right"/>
    </xf>
  </cellXfs>
  <cellStyles count="20">
    <cellStyle name="Comma 2" xfId="1"/>
    <cellStyle name="Currency 3" xfId="2"/>
    <cellStyle name="Currency 3 2" xfId="3"/>
    <cellStyle name="Currency 3 3" xfId="4"/>
    <cellStyle name="Followed Hyperlink" xfId="17" builtinId="9" hidden="1"/>
    <cellStyle name="Followed Hyperlink" xfId="19" builtinId="9" hidden="1"/>
    <cellStyle name="Hyperlink" xfId="16" builtinId="8" hidden="1"/>
    <cellStyle name="Hyperlink" xfId="18" builtinId="8" hidden="1"/>
    <cellStyle name="Normal" xfId="0" builtinId="0"/>
    <cellStyle name="Normal 2" xfId="5"/>
    <cellStyle name="Normal 2 2" xfId="6"/>
    <cellStyle name="Normal 2 2 2" xfId="7"/>
    <cellStyle name="Normal 2 2 3" xfId="8"/>
    <cellStyle name="Normal 2 3" xfId="9"/>
    <cellStyle name="Normal 2 4" xfId="10"/>
    <cellStyle name="Normal 2 5" xfId="11"/>
    <cellStyle name="Normal 3" xfId="12"/>
    <cellStyle name="Normal 3 2" xfId="13"/>
    <cellStyle name="Normal 4" xfId="14"/>
    <cellStyle name="Percent 2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5"/>
  <sheetViews>
    <sheetView showGridLines="0" tabSelected="1" topLeftCell="A15" zoomScale="87" zoomScaleNormal="87" zoomScalePageLayoutView="87" workbookViewId="0">
      <selection activeCell="A50" sqref="A50:F1654"/>
    </sheetView>
  </sheetViews>
  <sheetFormatPr baseColWidth="10" defaultColWidth="8.7109375" defaultRowHeight="15" x14ac:dyDescent="0"/>
  <cols>
    <col min="1" max="1" width="17.28515625" style="24" customWidth="1"/>
    <col min="2" max="2" width="46" style="24" customWidth="1"/>
    <col min="3" max="3" width="10.28515625" style="25" bestFit="1" customWidth="1"/>
    <col min="4" max="4" width="12.140625" style="25" customWidth="1"/>
    <col min="5" max="5" width="14.42578125" style="26" customWidth="1"/>
    <col min="6" max="6" width="7.85546875" style="27" customWidth="1"/>
    <col min="7" max="16384" width="8.7109375" style="1"/>
  </cols>
  <sheetData>
    <row r="1" spans="1:6" ht="17">
      <c r="A1" s="2" t="s">
        <v>1554</v>
      </c>
      <c r="B1" s="2"/>
      <c r="C1" s="3"/>
      <c r="D1" s="3"/>
      <c r="E1" s="2"/>
      <c r="F1" s="4"/>
    </row>
    <row r="2" spans="1:6" ht="17">
      <c r="A2" s="2" t="s">
        <v>1561</v>
      </c>
      <c r="B2" s="2"/>
      <c r="C2" s="3"/>
      <c r="D2" s="3"/>
      <c r="E2" s="2"/>
      <c r="F2" s="4"/>
    </row>
    <row r="3" spans="1:6" ht="17">
      <c r="A3" s="2" t="s">
        <v>1555</v>
      </c>
      <c r="B3" s="2"/>
      <c r="C3" s="3"/>
      <c r="D3" s="3"/>
      <c r="E3" s="2"/>
      <c r="F3" s="4"/>
    </row>
    <row r="4" spans="1:6" ht="6" customHeight="1">
      <c r="A4" s="5"/>
      <c r="B4" s="5"/>
      <c r="C4" s="6"/>
      <c r="D4" s="6"/>
      <c r="E4" s="7"/>
      <c r="F4" s="8"/>
    </row>
    <row r="5" spans="1:6" ht="16" thickBot="1">
      <c r="A5" s="9" t="s">
        <v>1556</v>
      </c>
      <c r="B5" s="9" t="s">
        <v>1557</v>
      </c>
      <c r="C5" s="10" t="s">
        <v>1560</v>
      </c>
      <c r="D5" s="10" t="s">
        <v>1562</v>
      </c>
      <c r="E5" s="9" t="s">
        <v>1558</v>
      </c>
      <c r="F5" s="11" t="s">
        <v>1559</v>
      </c>
    </row>
    <row r="6" spans="1:6" ht="16" thickTop="1">
      <c r="A6" s="12" t="str">
        <f>"1005CC"</f>
        <v>1005CC</v>
      </c>
      <c r="B6" s="12" t="s">
        <v>0</v>
      </c>
      <c r="C6" s="35">
        <v>319.5</v>
      </c>
      <c r="D6" s="46"/>
      <c r="E6" s="35" t="str">
        <f>"610377139182"</f>
        <v>610377139182</v>
      </c>
      <c r="F6" s="14">
        <v>1</v>
      </c>
    </row>
    <row r="7" spans="1:6">
      <c r="A7" s="15" t="str">
        <f>"2025ADC"</f>
        <v>2025ADC</v>
      </c>
      <c r="B7" s="15" t="s">
        <v>1</v>
      </c>
      <c r="C7" s="36">
        <v>363.95100000000002</v>
      </c>
      <c r="D7" s="47"/>
      <c r="E7" s="36" t="str">
        <f>"610377124201"</f>
        <v>610377124201</v>
      </c>
      <c r="F7" s="17">
        <v>1</v>
      </c>
    </row>
    <row r="8" spans="1:6">
      <c r="A8" s="18" t="str">
        <f>"2025ADV"</f>
        <v>2025ADV</v>
      </c>
      <c r="B8" s="18" t="s">
        <v>2</v>
      </c>
      <c r="C8" s="37">
        <v>363.95100000000002</v>
      </c>
      <c r="D8" s="47"/>
      <c r="E8" s="37" t="str">
        <f>"610377126557"</f>
        <v>610377126557</v>
      </c>
      <c r="F8" s="20">
        <v>1</v>
      </c>
    </row>
    <row r="9" spans="1:6">
      <c r="A9" s="15" t="str">
        <f>"2028ADC"</f>
        <v>2028ADC</v>
      </c>
      <c r="B9" s="15" t="s">
        <v>3</v>
      </c>
      <c r="C9" s="36">
        <v>287.52300000000002</v>
      </c>
      <c r="D9" s="47"/>
      <c r="E9" s="36" t="str">
        <f>"610377124225"</f>
        <v>610377124225</v>
      </c>
      <c r="F9" s="17">
        <v>1</v>
      </c>
    </row>
    <row r="10" spans="1:6">
      <c r="A10" s="18" t="str">
        <f>"2030ADC"</f>
        <v>2030ADC</v>
      </c>
      <c r="B10" s="18" t="s">
        <v>4</v>
      </c>
      <c r="C10" s="37">
        <v>343.0575</v>
      </c>
      <c r="D10" s="47"/>
      <c r="E10" s="37" t="str">
        <f>"610377124249"</f>
        <v>610377124249</v>
      </c>
      <c r="F10" s="20">
        <v>1</v>
      </c>
    </row>
    <row r="11" spans="1:6">
      <c r="A11" s="15" t="str">
        <f>"500"</f>
        <v>500</v>
      </c>
      <c r="B11" s="15" t="s">
        <v>5</v>
      </c>
      <c r="C11" s="36">
        <v>128.34450000000001</v>
      </c>
      <c r="D11" s="47"/>
      <c r="E11" s="36" t="str">
        <f>"610377244886"</f>
        <v>610377244886</v>
      </c>
      <c r="F11" s="17">
        <v>1</v>
      </c>
    </row>
    <row r="12" spans="1:6">
      <c r="A12" s="18" t="str">
        <f>"5060VKIT *"</f>
        <v>5060VKIT *</v>
      </c>
      <c r="B12" s="18" t="s">
        <v>6</v>
      </c>
      <c r="C12" s="37">
        <v>25.5825</v>
      </c>
      <c r="D12" s="47"/>
      <c r="E12" s="37" t="str">
        <f>"610377536097"</f>
        <v>610377536097</v>
      </c>
      <c r="F12" s="20">
        <v>10</v>
      </c>
    </row>
    <row r="13" spans="1:6">
      <c r="A13" s="15" t="str">
        <f>"6060"</f>
        <v>6060</v>
      </c>
      <c r="B13" s="15" t="s">
        <v>7</v>
      </c>
      <c r="C13" s="36">
        <v>228.1455</v>
      </c>
      <c r="D13" s="47"/>
      <c r="E13" s="36" t="str">
        <f>"610377007078"</f>
        <v>610377007078</v>
      </c>
      <c r="F13" s="17">
        <v>1</v>
      </c>
    </row>
    <row r="14" spans="1:6">
      <c r="A14" s="18" t="str">
        <f>"6060HKIT"</f>
        <v>6060HKIT</v>
      </c>
      <c r="B14" s="18" t="s">
        <v>8</v>
      </c>
      <c r="C14" s="37">
        <v>22.472999999999999</v>
      </c>
      <c r="D14" s="47"/>
      <c r="E14" s="37" t="str">
        <f>"610377007085"</f>
        <v>610377007085</v>
      </c>
      <c r="F14" s="20">
        <v>5</v>
      </c>
    </row>
    <row r="15" spans="1:6">
      <c r="A15" s="15" t="str">
        <f>"700"</f>
        <v>700</v>
      </c>
      <c r="B15" s="15" t="s">
        <v>9</v>
      </c>
      <c r="C15" s="36">
        <v>128.34450000000001</v>
      </c>
      <c r="D15" s="47"/>
      <c r="E15" s="36" t="str">
        <f>"610377823616"</f>
        <v>610377823616</v>
      </c>
      <c r="F15" s="17">
        <v>1</v>
      </c>
    </row>
    <row r="16" spans="1:6">
      <c r="A16" s="18" t="str">
        <f>"900"</f>
        <v>900</v>
      </c>
      <c r="B16" s="18" t="s">
        <v>10</v>
      </c>
      <c r="C16" s="37">
        <v>128.34450000000001</v>
      </c>
      <c r="D16" s="47"/>
      <c r="E16" s="37" t="str">
        <f>"610377174558"</f>
        <v>610377174558</v>
      </c>
      <c r="F16" s="20">
        <v>1</v>
      </c>
    </row>
    <row r="17" spans="1:6">
      <c r="A17" s="15" t="str">
        <f>"925ADC"</f>
        <v>925ADC</v>
      </c>
      <c r="B17" s="15" t="s">
        <v>11</v>
      </c>
      <c r="C17" s="36">
        <v>363.95100000000002</v>
      </c>
      <c r="D17" s="47"/>
      <c r="E17" s="36" t="str">
        <f>"610377126540"</f>
        <v>610377126540</v>
      </c>
      <c r="F17" s="17">
        <v>1</v>
      </c>
    </row>
    <row r="18" spans="1:6">
      <c r="A18" s="18" t="str">
        <f>"925ADF"</f>
        <v>925ADF</v>
      </c>
      <c r="B18" s="18" t="s">
        <v>12</v>
      </c>
      <c r="C18" s="37">
        <v>363.95100000000002</v>
      </c>
      <c r="D18" s="47"/>
      <c r="E18" s="37" t="str">
        <f>"610377124263"</f>
        <v>610377124263</v>
      </c>
      <c r="F18" s="20">
        <v>1</v>
      </c>
    </row>
    <row r="19" spans="1:6">
      <c r="A19" s="15" t="str">
        <f>"925ADV"</f>
        <v>925ADV</v>
      </c>
      <c r="B19" s="15" t="s">
        <v>13</v>
      </c>
      <c r="C19" s="36">
        <v>363.95100000000002</v>
      </c>
      <c r="D19" s="47"/>
      <c r="E19" s="36" t="str">
        <f>"610377124270"</f>
        <v>610377124270</v>
      </c>
      <c r="F19" s="17">
        <v>1</v>
      </c>
    </row>
    <row r="20" spans="1:6">
      <c r="A20" s="18" t="str">
        <f>"925F *"</f>
        <v>925F *</v>
      </c>
      <c r="B20" s="18" t="s">
        <v>14</v>
      </c>
      <c r="C20" s="37">
        <v>363.95100000000002</v>
      </c>
      <c r="D20" s="47"/>
      <c r="E20" s="37" t="str">
        <f>"610377733328"</f>
        <v>610377733328</v>
      </c>
      <c r="F20" s="20">
        <v>1</v>
      </c>
    </row>
    <row r="21" spans="1:6">
      <c r="A21" s="15" t="str">
        <f>"928ADC"</f>
        <v>928ADC</v>
      </c>
      <c r="B21" s="15" t="s">
        <v>15</v>
      </c>
      <c r="C21" s="36">
        <v>287.52300000000002</v>
      </c>
      <c r="D21" s="47"/>
      <c r="E21" s="36" t="str">
        <f>"610377124287"</f>
        <v>610377124287</v>
      </c>
      <c r="F21" s="17">
        <v>1</v>
      </c>
    </row>
    <row r="22" spans="1:6">
      <c r="A22" s="18" t="str">
        <f>"930ADC"</f>
        <v>930ADC</v>
      </c>
      <c r="B22" s="18" t="s">
        <v>16</v>
      </c>
      <c r="C22" s="37">
        <v>343.04849999999999</v>
      </c>
      <c r="D22" s="47"/>
      <c r="E22" s="37" t="str">
        <f>"610377124300"</f>
        <v>610377124300</v>
      </c>
      <c r="F22" s="20">
        <v>1</v>
      </c>
    </row>
    <row r="23" spans="1:6">
      <c r="A23" s="15" t="str">
        <f>"931ADC"</f>
        <v>931ADC</v>
      </c>
      <c r="B23" s="15" t="s">
        <v>17</v>
      </c>
      <c r="C23" s="36">
        <v>358.947</v>
      </c>
      <c r="D23" s="47"/>
      <c r="E23" s="36" t="str">
        <f>"610377124751"</f>
        <v>610377124751</v>
      </c>
      <c r="F23" s="17">
        <v>1</v>
      </c>
    </row>
    <row r="24" spans="1:6">
      <c r="A24" s="18" t="str">
        <f>"933ADC"</f>
        <v>933ADC</v>
      </c>
      <c r="B24" s="18" t="s">
        <v>18</v>
      </c>
      <c r="C24" s="37">
        <v>271.39049999999997</v>
      </c>
      <c r="D24" s="47"/>
      <c r="E24" s="37" t="str">
        <f>"610377124768"</f>
        <v>610377124768</v>
      </c>
      <c r="F24" s="20">
        <v>1</v>
      </c>
    </row>
    <row r="25" spans="1:6">
      <c r="A25" s="15" t="str">
        <f>"AC003"</f>
        <v>AC003</v>
      </c>
      <c r="B25" s="15" t="s">
        <v>19</v>
      </c>
      <c r="C25" s="48"/>
      <c r="D25" s="44">
        <v>188.33</v>
      </c>
      <c r="E25" s="44" t="str">
        <f>"761418012053"</f>
        <v>761418012053</v>
      </c>
      <c r="F25" s="17">
        <v>1</v>
      </c>
    </row>
    <row r="26" spans="1:6">
      <c r="A26" s="18" t="str">
        <f>"AC004"</f>
        <v>AC004</v>
      </c>
      <c r="B26" s="18" t="s">
        <v>20</v>
      </c>
      <c r="C26" s="48"/>
      <c r="D26" s="45">
        <v>353.13</v>
      </c>
      <c r="E26" s="45" t="str">
        <f>"761418012060"</f>
        <v>761418012060</v>
      </c>
      <c r="F26" s="20">
        <v>1</v>
      </c>
    </row>
    <row r="27" spans="1:6">
      <c r="A27" s="15" t="str">
        <f>"AC005"</f>
        <v>AC005</v>
      </c>
      <c r="B27" s="15" t="s">
        <v>21</v>
      </c>
      <c r="C27" s="48"/>
      <c r="D27" s="44">
        <v>706.26</v>
      </c>
      <c r="E27" s="44" t="str">
        <f>"761418012077"</f>
        <v>761418012077</v>
      </c>
      <c r="F27" s="17">
        <v>1</v>
      </c>
    </row>
    <row r="28" spans="1:6">
      <c r="A28" s="18" t="str">
        <f>"AC006"</f>
        <v>AC006</v>
      </c>
      <c r="B28" s="18" t="s">
        <v>22</v>
      </c>
      <c r="C28" s="48"/>
      <c r="D28" s="45">
        <v>706.26</v>
      </c>
      <c r="E28" s="45" t="str">
        <f>"761418012084"</f>
        <v>761418012084</v>
      </c>
      <c r="F28" s="20">
        <v>1</v>
      </c>
    </row>
    <row r="29" spans="1:6">
      <c r="A29" s="15" t="str">
        <f>"AC015"</f>
        <v>AC015</v>
      </c>
      <c r="B29" s="15" t="s">
        <v>23</v>
      </c>
      <c r="C29" s="48"/>
      <c r="D29" s="44">
        <v>188.33</v>
      </c>
      <c r="E29" s="44" t="str">
        <f>"761418012091"</f>
        <v>761418012091</v>
      </c>
      <c r="F29" s="17">
        <v>1</v>
      </c>
    </row>
    <row r="30" spans="1:6">
      <c r="A30" s="18" t="str">
        <f>"AC016"</f>
        <v>AC016</v>
      </c>
      <c r="B30" s="18" t="s">
        <v>24</v>
      </c>
      <c r="C30" s="48"/>
      <c r="D30" s="45">
        <v>162.97999999999999</v>
      </c>
      <c r="E30" s="45" t="str">
        <f>"610377140096"</f>
        <v>610377140096</v>
      </c>
      <c r="F30" s="20">
        <v>1</v>
      </c>
    </row>
    <row r="31" spans="1:6">
      <c r="A31" s="15" t="str">
        <f>"AC018"</f>
        <v>AC018</v>
      </c>
      <c r="B31" s="15" t="s">
        <v>25</v>
      </c>
      <c r="C31" s="48"/>
      <c r="D31" s="44">
        <v>175.34</v>
      </c>
      <c r="E31" s="44" t="str">
        <f>"761418012107"</f>
        <v>761418012107</v>
      </c>
      <c r="F31" s="17">
        <v>1</v>
      </c>
    </row>
    <row r="32" spans="1:6">
      <c r="A32" s="18" t="str">
        <f>"AC025"</f>
        <v>AC025</v>
      </c>
      <c r="B32" s="18" t="s">
        <v>26</v>
      </c>
      <c r="C32" s="48"/>
      <c r="D32" s="45">
        <v>341.36</v>
      </c>
      <c r="E32" s="45" t="str">
        <f>"761418012114"</f>
        <v>761418012114</v>
      </c>
      <c r="F32" s="20">
        <v>1</v>
      </c>
    </row>
    <row r="33" spans="1:6">
      <c r="A33" s="15" t="str">
        <f>"AC030"</f>
        <v>AC030</v>
      </c>
      <c r="B33" s="15" t="s">
        <v>27</v>
      </c>
      <c r="C33" s="48"/>
      <c r="D33" s="44">
        <v>253.08</v>
      </c>
      <c r="E33" s="44" t="str">
        <f>"761418012121"</f>
        <v>761418012121</v>
      </c>
      <c r="F33" s="17">
        <v>1</v>
      </c>
    </row>
    <row r="34" spans="1:6">
      <c r="A34" s="18" t="str">
        <f>"AC0317"</f>
        <v>AC0317</v>
      </c>
      <c r="B34" s="18" t="s">
        <v>28</v>
      </c>
      <c r="C34" s="48"/>
      <c r="D34" s="45">
        <v>104.66</v>
      </c>
      <c r="E34" s="45" t="str">
        <f>"610377144643"</f>
        <v>610377144643</v>
      </c>
      <c r="F34" s="20">
        <v>1</v>
      </c>
    </row>
    <row r="35" spans="1:6">
      <c r="A35" s="15" t="str">
        <f>"AC035"</f>
        <v>AC035</v>
      </c>
      <c r="B35" s="15" t="s">
        <v>29</v>
      </c>
      <c r="C35" s="48"/>
      <c r="D35" s="44">
        <v>21.55</v>
      </c>
      <c r="E35" s="44" t="str">
        <f>"610377146777"</f>
        <v>610377146777</v>
      </c>
      <c r="F35" s="17">
        <v>1</v>
      </c>
    </row>
    <row r="36" spans="1:6">
      <c r="A36" s="18" t="str">
        <f>"AC063"</f>
        <v>AC063</v>
      </c>
      <c r="B36" s="18" t="s">
        <v>30</v>
      </c>
      <c r="C36" s="48"/>
      <c r="D36" s="45">
        <v>117.72</v>
      </c>
      <c r="E36" s="45" t="str">
        <f>"761418012138"</f>
        <v>761418012138</v>
      </c>
      <c r="F36" s="20">
        <v>1</v>
      </c>
    </row>
    <row r="37" spans="1:6">
      <c r="A37" s="15" t="str">
        <f>"AC075"</f>
        <v>AC075</v>
      </c>
      <c r="B37" s="15" t="s">
        <v>31</v>
      </c>
      <c r="C37" s="48"/>
      <c r="D37" s="44">
        <v>347.25</v>
      </c>
      <c r="E37" s="44" t="str">
        <f>"761418012145"</f>
        <v>761418012145</v>
      </c>
      <c r="F37" s="17">
        <v>1</v>
      </c>
    </row>
    <row r="38" spans="1:6">
      <c r="A38" s="18" t="str">
        <f>"AC315"</f>
        <v>AC315</v>
      </c>
      <c r="B38" s="18" t="s">
        <v>32</v>
      </c>
      <c r="C38" s="48"/>
      <c r="D38" s="45">
        <v>39.25</v>
      </c>
      <c r="E38" s="45" t="str">
        <f>"761418012152"</f>
        <v>761418012152</v>
      </c>
      <c r="F38" s="20">
        <v>1</v>
      </c>
    </row>
    <row r="39" spans="1:6">
      <c r="A39" s="15" t="str">
        <f>"AC316"</f>
        <v>AC316</v>
      </c>
      <c r="B39" s="15" t="s">
        <v>33</v>
      </c>
      <c r="C39" s="48"/>
      <c r="D39" s="44">
        <v>40.53</v>
      </c>
      <c r="E39" s="44" t="str">
        <f>"610377143370"</f>
        <v>610377143370</v>
      </c>
      <c r="F39" s="17">
        <v>1</v>
      </c>
    </row>
    <row r="40" spans="1:6">
      <c r="A40" s="18" t="str">
        <f>"AQ-CO-HOMENET"</f>
        <v>AQ-CO-HOMENET</v>
      </c>
      <c r="B40" s="18" t="s">
        <v>34</v>
      </c>
      <c r="C40" s="37">
        <v>376.92899999999997</v>
      </c>
      <c r="D40" s="47"/>
      <c r="E40" s="37" t="str">
        <f>"610377135085"</f>
        <v>610377135085</v>
      </c>
      <c r="F40" s="20">
        <v>1</v>
      </c>
    </row>
    <row r="41" spans="1:6">
      <c r="A41" s="15" t="str">
        <f>"AQ-CO-SERIAL"</f>
        <v>AQ-CO-SERIAL</v>
      </c>
      <c r="B41" s="15" t="s">
        <v>35</v>
      </c>
      <c r="C41" s="36">
        <v>170.48249999999999</v>
      </c>
      <c r="D41" s="47"/>
      <c r="E41" s="36" t="str">
        <f>"761418010493"</f>
        <v>761418010493</v>
      </c>
      <c r="F41" s="17">
        <v>1</v>
      </c>
    </row>
    <row r="42" spans="1:6">
      <c r="A42" s="18" t="str">
        <f>"AQ-SOL-KIT-1P"</f>
        <v>AQ-SOL-KIT-1P</v>
      </c>
      <c r="B42" s="18" t="s">
        <v>36</v>
      </c>
      <c r="C42" s="37">
        <v>162.53550000000001</v>
      </c>
      <c r="D42" s="47"/>
      <c r="E42" s="37" t="str">
        <f>"761418005918"</f>
        <v>761418005918</v>
      </c>
      <c r="F42" s="20">
        <v>6</v>
      </c>
    </row>
    <row r="43" spans="1:6">
      <c r="A43" s="15" t="str">
        <f>"AQ-SOL-KIT-2P"</f>
        <v>AQ-SOL-KIT-2P</v>
      </c>
      <c r="B43" s="15" t="s">
        <v>37</v>
      </c>
      <c r="C43" s="36">
        <v>162.53550000000001</v>
      </c>
      <c r="D43" s="47"/>
      <c r="E43" s="36" t="str">
        <f>"761418005925"</f>
        <v>761418005925</v>
      </c>
      <c r="F43" s="17">
        <v>6</v>
      </c>
    </row>
    <row r="44" spans="1:6">
      <c r="A44" s="18" t="str">
        <f>"AQ-SOL-LV"</f>
        <v>AQ-SOL-LV</v>
      </c>
      <c r="B44" s="18" t="s">
        <v>38</v>
      </c>
      <c r="C44" s="37">
        <v>189.94049999999999</v>
      </c>
      <c r="D44" s="47"/>
      <c r="E44" s="37" t="str">
        <f>"761418004331"</f>
        <v>761418004331</v>
      </c>
      <c r="F44" s="20">
        <v>1</v>
      </c>
    </row>
    <row r="45" spans="1:6">
      <c r="A45" s="15" t="str">
        <f>"AQ-SOL-LV-TC"</f>
        <v>AQ-SOL-LV-TC</v>
      </c>
      <c r="B45" s="15" t="s">
        <v>39</v>
      </c>
      <c r="C45" s="36">
        <v>217.06200000000001</v>
      </c>
      <c r="D45" s="47"/>
      <c r="E45" s="36" t="str">
        <f>"761418004348"</f>
        <v>761418004348</v>
      </c>
      <c r="F45" s="17">
        <v>1</v>
      </c>
    </row>
    <row r="46" spans="1:6">
      <c r="A46" s="18" t="str">
        <f>"AQ-TROL-HP"</f>
        <v>AQ-TROL-HP</v>
      </c>
      <c r="B46" s="18" t="s">
        <v>40</v>
      </c>
      <c r="C46" s="37">
        <v>543.34799999999996</v>
      </c>
      <c r="D46" s="47"/>
      <c r="E46" s="37" t="str">
        <f>"761418002733"</f>
        <v>761418002733</v>
      </c>
      <c r="F46" s="20">
        <v>1</v>
      </c>
    </row>
    <row r="47" spans="1:6" ht="16" thickBot="1">
      <c r="A47" s="21" t="str">
        <f>"AQ-TROL-HP-TL"</f>
        <v>AQ-TROL-HP-TL</v>
      </c>
      <c r="B47" s="21" t="s">
        <v>41</v>
      </c>
      <c r="C47" s="38">
        <v>562.50450000000001</v>
      </c>
      <c r="D47" s="49"/>
      <c r="E47" s="38" t="str">
        <f>"761418002924"</f>
        <v>761418002924</v>
      </c>
      <c r="F47" s="23">
        <v>1</v>
      </c>
    </row>
    <row r="48" spans="1:6" ht="16" thickTop="1">
      <c r="C48" s="39"/>
      <c r="D48" s="39"/>
    </row>
    <row r="49" spans="1:6" ht="16" thickBot="1">
      <c r="A49" s="24" t="s">
        <v>42</v>
      </c>
      <c r="C49" s="39"/>
      <c r="D49" s="39"/>
    </row>
    <row r="50" spans="1:6" ht="16" thickTop="1">
      <c r="A50" s="12" t="str">
        <f>"AQ-TROL-RJ"</f>
        <v>AQ-TROL-RJ</v>
      </c>
      <c r="B50" s="12" t="s">
        <v>43</v>
      </c>
      <c r="C50" s="35">
        <v>419.5575</v>
      </c>
      <c r="D50" s="50"/>
      <c r="E50" s="13" t="str">
        <f>"761418002757"</f>
        <v>761418002757</v>
      </c>
      <c r="F50" s="14">
        <v>1</v>
      </c>
    </row>
    <row r="51" spans="1:6">
      <c r="A51" s="15" t="str">
        <f>"AQ-TROL-RJ-TL"</f>
        <v>AQ-TROL-RJ-TL</v>
      </c>
      <c r="B51" s="15" t="s">
        <v>44</v>
      </c>
      <c r="C51" s="36">
        <v>438.93450000000001</v>
      </c>
      <c r="D51" s="51"/>
      <c r="E51" s="16" t="str">
        <f>"761418002955"</f>
        <v>761418002955</v>
      </c>
      <c r="F51" s="17">
        <v>1</v>
      </c>
    </row>
    <row r="52" spans="1:6">
      <c r="A52" s="18" t="str">
        <f>"AQL-CHEM"</f>
        <v>AQL-CHEM</v>
      </c>
      <c r="B52" s="18" t="s">
        <v>45</v>
      </c>
      <c r="C52" s="37">
        <v>476.56349999999998</v>
      </c>
      <c r="D52" s="51"/>
      <c r="E52" s="19" t="str">
        <f>"761418009046"</f>
        <v>761418009046</v>
      </c>
      <c r="F52" s="20">
        <v>1</v>
      </c>
    </row>
    <row r="53" spans="1:6">
      <c r="A53" s="15" t="str">
        <f>"AQL-CHEM-UPG"</f>
        <v>AQL-CHEM-UPG</v>
      </c>
      <c r="B53" s="15" t="s">
        <v>46</v>
      </c>
      <c r="C53" s="36">
        <v>698.625</v>
      </c>
      <c r="D53" s="51"/>
      <c r="E53" s="16" t="str">
        <f>"610377244688"</f>
        <v>610377244688</v>
      </c>
      <c r="F53" s="17">
        <v>1</v>
      </c>
    </row>
    <row r="54" spans="1:6">
      <c r="A54" s="18" t="str">
        <f>"AQL-CHEM2"</f>
        <v>AQL-CHEM2</v>
      </c>
      <c r="B54" s="18" t="s">
        <v>47</v>
      </c>
      <c r="C54" s="37">
        <v>222.858</v>
      </c>
      <c r="D54" s="51"/>
      <c r="E54" s="19" t="str">
        <f>"761418009473"</f>
        <v>761418009473</v>
      </c>
      <c r="F54" s="20">
        <v>7</v>
      </c>
    </row>
    <row r="55" spans="1:6">
      <c r="A55" s="15" t="str">
        <f>"AQL-CHEM2-240"</f>
        <v>AQL-CHEM2-240</v>
      </c>
      <c r="B55" s="15" t="s">
        <v>48</v>
      </c>
      <c r="C55" s="36">
        <v>222.858</v>
      </c>
      <c r="D55" s="51"/>
      <c r="E55" s="16" t="str">
        <f>"761418010820"</f>
        <v>761418010820</v>
      </c>
      <c r="F55" s="17">
        <v>7</v>
      </c>
    </row>
    <row r="56" spans="1:6">
      <c r="A56" s="18" t="str">
        <f>"AQL-CHEM3-120"</f>
        <v>AQL-CHEM3-120</v>
      </c>
      <c r="B56" s="18" t="s">
        <v>49</v>
      </c>
      <c r="C56" s="37">
        <v>412.72199999999998</v>
      </c>
      <c r="D56" s="51"/>
      <c r="E56" s="19" t="str">
        <f>"610377128827"</f>
        <v>610377128827</v>
      </c>
      <c r="F56" s="20">
        <v>1</v>
      </c>
    </row>
    <row r="57" spans="1:6">
      <c r="A57" s="15" t="str">
        <f>"AQL-CHEM3-240"</f>
        <v>AQL-CHEM3-240</v>
      </c>
      <c r="B57" s="15" t="s">
        <v>50</v>
      </c>
      <c r="C57" s="36">
        <v>412.72199999999998</v>
      </c>
      <c r="D57" s="51"/>
      <c r="E57" s="16" t="str">
        <f>"610377128834"</f>
        <v>610377128834</v>
      </c>
      <c r="F57" s="17">
        <v>1</v>
      </c>
    </row>
    <row r="58" spans="1:6">
      <c r="A58" s="18" t="str">
        <f>"AQL-COLOR-MODHV"</f>
        <v>AQL-COLOR-MODHV</v>
      </c>
      <c r="B58" s="18" t="s">
        <v>51</v>
      </c>
      <c r="C58" s="37">
        <v>182.85749999999999</v>
      </c>
      <c r="D58" s="51"/>
      <c r="E58" s="19" t="str">
        <f>"761418009886"</f>
        <v>761418009886</v>
      </c>
      <c r="F58" s="20">
        <v>1</v>
      </c>
    </row>
    <row r="59" spans="1:6">
      <c r="A59" s="15" t="str">
        <f>"AQL-DC"</f>
        <v>AQL-DC</v>
      </c>
      <c r="B59" s="15" t="s">
        <v>52</v>
      </c>
      <c r="C59" s="36">
        <v>37.872</v>
      </c>
      <c r="D59" s="51"/>
      <c r="E59" s="16" t="str">
        <f>"761418007738"</f>
        <v>761418007738</v>
      </c>
      <c r="F59" s="17">
        <v>1</v>
      </c>
    </row>
    <row r="60" spans="1:6">
      <c r="A60" s="18" t="str">
        <f>"AQL-DIM"</f>
        <v>AQL-DIM</v>
      </c>
      <c r="B60" s="18" t="s">
        <v>53</v>
      </c>
      <c r="C60" s="37">
        <v>156.5325</v>
      </c>
      <c r="D60" s="51"/>
      <c r="E60" s="19" t="str">
        <f>"761418004256"</f>
        <v>761418004256</v>
      </c>
      <c r="F60" s="20">
        <v>20</v>
      </c>
    </row>
    <row r="61" spans="1:6">
      <c r="A61" s="15" t="str">
        <f>"AQL-RELAY-AC-KT"</f>
        <v>AQL-RELAY-AC-KT</v>
      </c>
      <c r="B61" s="15" t="s">
        <v>54</v>
      </c>
      <c r="C61" s="36">
        <v>46.957500000000003</v>
      </c>
      <c r="D61" s="51"/>
      <c r="E61" s="16" t="str">
        <f>"610377073943"</f>
        <v>610377073943</v>
      </c>
      <c r="F61" s="17">
        <v>10</v>
      </c>
    </row>
    <row r="62" spans="1:6">
      <c r="A62" s="18" t="str">
        <f>"AQL-RELAY-DC-KT"</f>
        <v>AQL-RELAY-DC-KT</v>
      </c>
      <c r="B62" s="18" t="s">
        <v>55</v>
      </c>
      <c r="C62" s="37">
        <v>48.064500000000002</v>
      </c>
      <c r="D62" s="51"/>
      <c r="E62" s="19" t="str">
        <f>"761418010400"</f>
        <v>761418010400</v>
      </c>
      <c r="F62" s="20">
        <v>1</v>
      </c>
    </row>
    <row r="63" spans="1:6">
      <c r="A63" s="15" t="str">
        <f>"AQL-SS-6B-B"</f>
        <v>AQL-SS-6B-B</v>
      </c>
      <c r="B63" s="15" t="s">
        <v>56</v>
      </c>
      <c r="C63" s="36">
        <v>156.54150000000001</v>
      </c>
      <c r="D63" s="51"/>
      <c r="E63" s="16" t="str">
        <f>"761418004942"</f>
        <v>761418004942</v>
      </c>
      <c r="F63" s="17">
        <v>8</v>
      </c>
    </row>
    <row r="64" spans="1:6">
      <c r="A64" s="18" t="str">
        <f>"AQL-SS-6B-BOX"</f>
        <v>AQL-SS-6B-BOX</v>
      </c>
      <c r="B64" s="18" t="s">
        <v>57</v>
      </c>
      <c r="C64" s="37">
        <v>16.762499999999999</v>
      </c>
      <c r="D64" s="51"/>
      <c r="E64" s="19" t="str">
        <f>"761418005352"</f>
        <v>761418005352</v>
      </c>
      <c r="F64" s="20">
        <v>12</v>
      </c>
    </row>
    <row r="65" spans="1:6">
      <c r="A65" s="15" t="str">
        <f>"AQL-SS-6B-W"</f>
        <v>AQL-SS-6B-W</v>
      </c>
      <c r="B65" s="15" t="s">
        <v>58</v>
      </c>
      <c r="C65" s="36">
        <v>156.54150000000001</v>
      </c>
      <c r="D65" s="51"/>
      <c r="E65" s="16" t="str">
        <f>"761418005338"</f>
        <v>761418005338</v>
      </c>
      <c r="F65" s="17">
        <v>8</v>
      </c>
    </row>
    <row r="66" spans="1:6">
      <c r="A66" s="18" t="str">
        <f>"AQL-SS-D-B"</f>
        <v>AQL-SS-D-B</v>
      </c>
      <c r="B66" s="18" t="s">
        <v>59</v>
      </c>
      <c r="C66" s="37">
        <v>439.71300000000002</v>
      </c>
      <c r="D66" s="51"/>
      <c r="E66" s="19" t="str">
        <f>"761418005413"</f>
        <v>761418005413</v>
      </c>
      <c r="F66" s="20">
        <v>8</v>
      </c>
    </row>
    <row r="67" spans="1:6">
      <c r="A67" s="15" t="str">
        <f>"AQL-SS-D-BOX"</f>
        <v>AQL-SS-D-BOX</v>
      </c>
      <c r="B67" s="15" t="s">
        <v>60</v>
      </c>
      <c r="C67" s="36">
        <v>19.646999999999998</v>
      </c>
      <c r="D67" s="51"/>
      <c r="E67" s="16" t="str">
        <f>"761418005369"</f>
        <v>761418005369</v>
      </c>
      <c r="F67" s="17">
        <v>20</v>
      </c>
    </row>
    <row r="68" spans="1:6">
      <c r="A68" s="18" t="str">
        <f>"AQL-SS-D-W"</f>
        <v>AQL-SS-D-W</v>
      </c>
      <c r="B68" s="18" t="s">
        <v>61</v>
      </c>
      <c r="C68" s="37">
        <v>439.71300000000002</v>
      </c>
      <c r="D68" s="51"/>
      <c r="E68" s="19" t="str">
        <f>"761418005406"</f>
        <v>761418005406</v>
      </c>
      <c r="F68" s="20">
        <v>8</v>
      </c>
    </row>
    <row r="69" spans="1:6">
      <c r="A69" s="15" t="str">
        <f>"AQL-WW-P-4"</f>
        <v>AQL-WW-P-4</v>
      </c>
      <c r="B69" s="15" t="s">
        <v>62</v>
      </c>
      <c r="C69" s="36">
        <v>115.2675</v>
      </c>
      <c r="D69" s="51"/>
      <c r="E69" s="16" t="str">
        <f>"761418005444"</f>
        <v>761418005444</v>
      </c>
      <c r="F69" s="17">
        <v>12</v>
      </c>
    </row>
    <row r="70" spans="1:6">
      <c r="A70" s="18" t="str">
        <f>"AQL2-BASE-RF"</f>
        <v>AQL2-BASE-RF</v>
      </c>
      <c r="B70" s="18" t="s">
        <v>63</v>
      </c>
      <c r="C70" s="37">
        <v>130.905</v>
      </c>
      <c r="D70" s="51"/>
      <c r="E70" s="19" t="str">
        <f>"761418007783"</f>
        <v>761418007783</v>
      </c>
      <c r="F70" s="20">
        <v>1</v>
      </c>
    </row>
    <row r="71" spans="1:6">
      <c r="A71" s="15" t="str">
        <f>"AQL2-POD"</f>
        <v>AQL2-POD</v>
      </c>
      <c r="B71" s="15" t="s">
        <v>64</v>
      </c>
      <c r="C71" s="36">
        <v>316.21949999999998</v>
      </c>
      <c r="D71" s="51"/>
      <c r="E71" s="16" t="str">
        <f>"761418007257"</f>
        <v>761418007257</v>
      </c>
      <c r="F71" s="17">
        <v>12</v>
      </c>
    </row>
    <row r="72" spans="1:6">
      <c r="A72" s="18" t="str">
        <f>"AQL2-SS-RF"</f>
        <v>AQL2-SS-RF</v>
      </c>
      <c r="B72" s="18" t="s">
        <v>65</v>
      </c>
      <c r="C72" s="37">
        <v>204.9075</v>
      </c>
      <c r="D72" s="51"/>
      <c r="E72" s="19" t="str">
        <f>"761418008131"</f>
        <v>761418008131</v>
      </c>
      <c r="F72" s="20">
        <v>12</v>
      </c>
    </row>
    <row r="73" spans="1:6">
      <c r="A73" s="15" t="str">
        <f>"AQL2-TB-RF-P-4"</f>
        <v>AQL2-TB-RF-P-4</v>
      </c>
      <c r="B73" s="15" t="s">
        <v>66</v>
      </c>
      <c r="C73" s="36">
        <v>341.52749999999997</v>
      </c>
      <c r="D73" s="51"/>
      <c r="E73" s="16" t="str">
        <f>"761418007790"</f>
        <v>761418007790</v>
      </c>
      <c r="F73" s="17">
        <v>6</v>
      </c>
    </row>
    <row r="74" spans="1:6">
      <c r="A74" s="18" t="str">
        <f>"AQL2-TB-RF-PS-4"</f>
        <v>AQL2-TB-RF-PS-4</v>
      </c>
      <c r="B74" s="18" t="s">
        <v>67</v>
      </c>
      <c r="C74" s="37">
        <v>341.52749999999997</v>
      </c>
      <c r="D74" s="51"/>
      <c r="E74" s="19" t="str">
        <f>"761418007813"</f>
        <v>761418007813</v>
      </c>
      <c r="F74" s="20">
        <v>6</v>
      </c>
    </row>
    <row r="75" spans="1:6">
      <c r="A75" s="15" t="str">
        <f>"AQL2-TB-RF-PS-8"</f>
        <v>AQL2-TB-RF-PS-8</v>
      </c>
      <c r="B75" s="15" t="s">
        <v>68</v>
      </c>
      <c r="C75" s="36">
        <v>369.9855</v>
      </c>
      <c r="D75" s="51"/>
      <c r="E75" s="16" t="str">
        <f>"761418007820"</f>
        <v>761418007820</v>
      </c>
      <c r="F75" s="17">
        <v>6</v>
      </c>
    </row>
    <row r="76" spans="1:6">
      <c r="A76" s="18" t="str">
        <f>"AQL2-TB-RF-PS16"</f>
        <v>AQL2-TB-RF-PS16</v>
      </c>
      <c r="B76" s="18" t="s">
        <v>69</v>
      </c>
      <c r="C76" s="37">
        <v>423.82350000000002</v>
      </c>
      <c r="D76" s="51"/>
      <c r="E76" s="19" t="str">
        <f>"761418007806"</f>
        <v>761418007806</v>
      </c>
      <c r="F76" s="20">
        <v>6</v>
      </c>
    </row>
    <row r="77" spans="1:6">
      <c r="A77" s="15" t="str">
        <f>"AQL2-TW-RF-P-4"</f>
        <v>AQL2-TW-RF-P-4</v>
      </c>
      <c r="B77" s="15" t="s">
        <v>70</v>
      </c>
      <c r="C77" s="36">
        <v>341.52749999999997</v>
      </c>
      <c r="D77" s="51"/>
      <c r="E77" s="16" t="str">
        <f>"761418007868"</f>
        <v>761418007868</v>
      </c>
      <c r="F77" s="17">
        <v>6</v>
      </c>
    </row>
    <row r="78" spans="1:6">
      <c r="A78" s="18" t="str">
        <f>"AQL2-TW-RF-PS-4"</f>
        <v>AQL2-TW-RF-PS-4</v>
      </c>
      <c r="B78" s="18" t="s">
        <v>71</v>
      </c>
      <c r="C78" s="37">
        <v>341.52749999999997</v>
      </c>
      <c r="D78" s="51"/>
      <c r="E78" s="19" t="str">
        <f>"761418007875"</f>
        <v>761418007875</v>
      </c>
      <c r="F78" s="20">
        <v>6</v>
      </c>
    </row>
    <row r="79" spans="1:6">
      <c r="A79" s="15" t="str">
        <f>"AQL2-TW-RF-PS-8"</f>
        <v>AQL2-TW-RF-PS-8</v>
      </c>
      <c r="B79" s="15" t="s">
        <v>72</v>
      </c>
      <c r="C79" s="36">
        <v>369.9855</v>
      </c>
      <c r="D79" s="51"/>
      <c r="E79" s="16" t="str">
        <f>"761418007882"</f>
        <v>761418007882</v>
      </c>
      <c r="F79" s="17">
        <v>6</v>
      </c>
    </row>
    <row r="80" spans="1:6">
      <c r="A80" s="18" t="str">
        <f>"AQL2-TW-RF-PS16"</f>
        <v>AQL2-TW-RF-PS16</v>
      </c>
      <c r="B80" s="18" t="s">
        <v>73</v>
      </c>
      <c r="C80" s="37">
        <v>423.82350000000002</v>
      </c>
      <c r="D80" s="51"/>
      <c r="E80" s="19" t="str">
        <f>"761418008056"</f>
        <v>761418008056</v>
      </c>
      <c r="F80" s="20">
        <v>6</v>
      </c>
    </row>
    <row r="81" spans="1:6">
      <c r="A81" s="15" t="str">
        <f>"AQL2-WB-PS-16"</f>
        <v>AQL2-WB-PS-16</v>
      </c>
      <c r="B81" s="15" t="s">
        <v>74</v>
      </c>
      <c r="C81" s="36">
        <v>275.26949999999999</v>
      </c>
      <c r="D81" s="51"/>
      <c r="E81" s="16" t="str">
        <f>"761418008094"</f>
        <v>761418008094</v>
      </c>
      <c r="F81" s="17">
        <v>8</v>
      </c>
    </row>
    <row r="82" spans="1:6">
      <c r="A82" s="18" t="str">
        <f>"AQL2-WB-PS-4"</f>
        <v>AQL2-WB-PS-4</v>
      </c>
      <c r="B82" s="18" t="s">
        <v>75</v>
      </c>
      <c r="C82" s="37">
        <v>210.59100000000001</v>
      </c>
      <c r="D82" s="51"/>
      <c r="E82" s="19" t="str">
        <f>"761418007899"</f>
        <v>761418007899</v>
      </c>
      <c r="F82" s="20">
        <v>8</v>
      </c>
    </row>
    <row r="83" spans="1:6">
      <c r="A83" s="15" t="str">
        <f>"AQL2-WB-PS-8"</f>
        <v>AQL2-WB-PS-8</v>
      </c>
      <c r="B83" s="15" t="s">
        <v>76</v>
      </c>
      <c r="C83" s="36">
        <v>236.20949999999999</v>
      </c>
      <c r="D83" s="51"/>
      <c r="E83" s="16" t="str">
        <f>"761418007905"</f>
        <v>761418007905</v>
      </c>
      <c r="F83" s="17">
        <v>8</v>
      </c>
    </row>
    <row r="84" spans="1:6">
      <c r="A84" s="18" t="str">
        <f>"AQL2-WB-RF-PS-4"</f>
        <v>AQL2-WB-RF-PS-4</v>
      </c>
      <c r="B84" s="18" t="s">
        <v>77</v>
      </c>
      <c r="C84" s="37">
        <v>263.25900000000001</v>
      </c>
      <c r="D84" s="51"/>
      <c r="E84" s="19" t="str">
        <f>"761418007912"</f>
        <v>761418007912</v>
      </c>
      <c r="F84" s="20">
        <v>8</v>
      </c>
    </row>
    <row r="85" spans="1:6">
      <c r="A85" s="15" t="str">
        <f>"AQL2-WB-RF-PS-8"</f>
        <v>AQL2-WB-RF-PS-8</v>
      </c>
      <c r="B85" s="15" t="s">
        <v>78</v>
      </c>
      <c r="C85" s="36">
        <v>284.59800000000001</v>
      </c>
      <c r="D85" s="51"/>
      <c r="E85" s="16" t="str">
        <f>"761418007929"</f>
        <v>761418007929</v>
      </c>
      <c r="F85" s="17">
        <v>8</v>
      </c>
    </row>
    <row r="86" spans="1:6">
      <c r="A86" s="18" t="str">
        <f>"AQL2-WB-RF-PS16"</f>
        <v>AQL2-WB-RF-PS16</v>
      </c>
      <c r="B86" s="18" t="s">
        <v>79</v>
      </c>
      <c r="C86" s="37">
        <v>323.334</v>
      </c>
      <c r="D86" s="51"/>
      <c r="E86" s="19" t="str">
        <f>"761418008063"</f>
        <v>761418008063</v>
      </c>
      <c r="F86" s="20">
        <v>8</v>
      </c>
    </row>
    <row r="87" spans="1:6">
      <c r="A87" s="15" t="str">
        <f>"AQL2-WW-PS-16"</f>
        <v>AQL2-WW-PS-16</v>
      </c>
      <c r="B87" s="15" t="s">
        <v>80</v>
      </c>
      <c r="C87" s="36">
        <v>268.9425</v>
      </c>
      <c r="D87" s="51"/>
      <c r="E87" s="16" t="str">
        <f>"761418008117"</f>
        <v>761418008117</v>
      </c>
      <c r="F87" s="17">
        <v>8</v>
      </c>
    </row>
    <row r="88" spans="1:6">
      <c r="A88" s="18" t="str">
        <f>"AQL2-WW-PS-4"</f>
        <v>AQL2-WW-PS-4</v>
      </c>
      <c r="B88" s="18" t="s">
        <v>81</v>
      </c>
      <c r="C88" s="37">
        <v>210.59100000000001</v>
      </c>
      <c r="D88" s="51"/>
      <c r="E88" s="19" t="str">
        <f>"761418007974"</f>
        <v>761418007974</v>
      </c>
      <c r="F88" s="20">
        <v>8</v>
      </c>
    </row>
    <row r="89" spans="1:6">
      <c r="A89" s="15" t="str">
        <f>"AQL2-WW-PS-8"</f>
        <v>AQL2-WW-PS-8</v>
      </c>
      <c r="B89" s="15" t="s">
        <v>82</v>
      </c>
      <c r="C89" s="36">
        <v>236.20949999999999</v>
      </c>
      <c r="D89" s="51"/>
      <c r="E89" s="16" t="str">
        <f>"761418007981"</f>
        <v>761418007981</v>
      </c>
      <c r="F89" s="17">
        <v>8</v>
      </c>
    </row>
    <row r="90" spans="1:6">
      <c r="A90" s="18" t="str">
        <f>"AQL2-WW-RF-PS-4"</f>
        <v>AQL2-WW-RF-PS-4</v>
      </c>
      <c r="B90" s="18" t="s">
        <v>83</v>
      </c>
      <c r="C90" s="37">
        <v>263.25900000000001</v>
      </c>
      <c r="D90" s="51"/>
      <c r="E90" s="19" t="str">
        <f>"761418007998"</f>
        <v>761418007998</v>
      </c>
      <c r="F90" s="20">
        <v>8</v>
      </c>
    </row>
    <row r="91" spans="1:6">
      <c r="A91" s="15" t="str">
        <f>"AQL2-WW-RF-PS-8"</f>
        <v>AQL2-WW-RF-PS-8</v>
      </c>
      <c r="B91" s="15" t="s">
        <v>84</v>
      </c>
      <c r="C91" s="36">
        <v>284.32350000000002</v>
      </c>
      <c r="D91" s="51"/>
      <c r="E91" s="16" t="str">
        <f>"761418008001"</f>
        <v>761418008001</v>
      </c>
      <c r="F91" s="17">
        <v>8</v>
      </c>
    </row>
    <row r="92" spans="1:6">
      <c r="A92" s="18" t="str">
        <f>"AQL2-WW-RF-PS16"</f>
        <v>AQL2-WW-RF-PS16</v>
      </c>
      <c r="B92" s="18" t="s">
        <v>85</v>
      </c>
      <c r="C92" s="37">
        <v>323.334</v>
      </c>
      <c r="D92" s="51"/>
      <c r="E92" s="19" t="str">
        <f>"761418008087"</f>
        <v>761418008087</v>
      </c>
      <c r="F92" s="20">
        <v>8</v>
      </c>
    </row>
    <row r="93" spans="1:6">
      <c r="A93" s="15" t="str">
        <f>"AQR15"</f>
        <v>AQR15</v>
      </c>
      <c r="B93" s="15" t="s">
        <v>86</v>
      </c>
      <c r="C93" s="36">
        <v>888.84</v>
      </c>
      <c r="D93" s="51"/>
      <c r="E93" s="16" t="str">
        <f>"610377240598"</f>
        <v>610377240598</v>
      </c>
      <c r="F93" s="17">
        <v>1</v>
      </c>
    </row>
    <row r="94" spans="1:6">
      <c r="A94" s="18" t="str">
        <f>"AQR15-120"</f>
        <v>AQR15-120</v>
      </c>
      <c r="B94" s="18" t="s">
        <v>87</v>
      </c>
      <c r="C94" s="37">
        <v>888.84</v>
      </c>
      <c r="D94" s="51"/>
      <c r="E94" s="19" t="str">
        <f>"610377240604"</f>
        <v>610377240604</v>
      </c>
      <c r="F94" s="20">
        <v>1</v>
      </c>
    </row>
    <row r="95" spans="1:6" ht="16" thickBot="1">
      <c r="A95" s="21" t="str">
        <f>"AQR15-LL"</f>
        <v>AQR15-LL</v>
      </c>
      <c r="B95" s="21" t="s">
        <v>88</v>
      </c>
      <c r="C95" s="38">
        <v>922.49099999999999</v>
      </c>
      <c r="D95" s="52"/>
      <c r="E95" s="22" t="str">
        <f>"610377261357"</f>
        <v>610377261357</v>
      </c>
      <c r="F95" s="23">
        <v>1</v>
      </c>
    </row>
    <row r="96" spans="1:6" ht="16" thickTop="1">
      <c r="A96" s="12" t="str">
        <f>"AQR15-PRO"</f>
        <v>AQR15-PRO</v>
      </c>
      <c r="B96" s="12" t="s">
        <v>89</v>
      </c>
      <c r="C96" s="35">
        <v>948.51900000000001</v>
      </c>
      <c r="D96" s="50"/>
      <c r="E96" s="13" t="str">
        <f>"610377240659"</f>
        <v>610377240659</v>
      </c>
      <c r="F96" s="14">
        <v>1</v>
      </c>
    </row>
    <row r="97" spans="1:6">
      <c r="A97" s="15" t="str">
        <f>"AQR15-PRO-SD"</f>
        <v>AQR15-PRO-SD</v>
      </c>
      <c r="B97" s="15" t="s">
        <v>90</v>
      </c>
      <c r="C97" s="36">
        <v>1327.3019999999999</v>
      </c>
      <c r="D97" s="51"/>
      <c r="E97" s="16" t="str">
        <f>"610377240666"</f>
        <v>610377240666</v>
      </c>
      <c r="F97" s="17">
        <v>1</v>
      </c>
    </row>
    <row r="98" spans="1:6">
      <c r="A98" s="18" t="str">
        <f>"AQR3"</f>
        <v>AQR3</v>
      </c>
      <c r="B98" s="18" t="s">
        <v>91</v>
      </c>
      <c r="C98" s="37">
        <v>625.67100000000005</v>
      </c>
      <c r="D98" s="51"/>
      <c r="E98" s="19" t="str">
        <f>"610377240567"</f>
        <v>610377240567</v>
      </c>
      <c r="F98" s="20">
        <v>1</v>
      </c>
    </row>
    <row r="99" spans="1:6">
      <c r="A99" s="15" t="str">
        <f>"AQR9"</f>
        <v>AQR9</v>
      </c>
      <c r="B99" s="15" t="s">
        <v>92</v>
      </c>
      <c r="C99" s="36">
        <v>763.51049999999998</v>
      </c>
      <c r="D99" s="51"/>
      <c r="E99" s="16" t="str">
        <f>"610377240574"</f>
        <v>610377240574</v>
      </c>
      <c r="F99" s="17">
        <v>1</v>
      </c>
    </row>
    <row r="100" spans="1:6">
      <c r="A100" s="18" t="str">
        <f>"AQR9-PRO-SD"</f>
        <v>AQR9-PRO-SD</v>
      </c>
      <c r="B100" s="18" t="s">
        <v>93</v>
      </c>
      <c r="C100" s="37">
        <v>1201.9725000000001</v>
      </c>
      <c r="D100" s="51"/>
      <c r="E100" s="19" t="str">
        <f>"610377274272"</f>
        <v>610377274272</v>
      </c>
      <c r="F100" s="20">
        <v>1</v>
      </c>
    </row>
    <row r="101" spans="1:6">
      <c r="A101" s="15" t="str">
        <f>"AR10075ST"</f>
        <v>AR10075ST</v>
      </c>
      <c r="B101" s="15" t="s">
        <v>94</v>
      </c>
      <c r="C101" s="36">
        <v>124.011</v>
      </c>
      <c r="D101" s="51"/>
      <c r="E101" s="16" t="str">
        <f>"610377641142"</f>
        <v>610377641142</v>
      </c>
      <c r="F101" s="17">
        <v>12</v>
      </c>
    </row>
    <row r="102" spans="1:6">
      <c r="A102" s="18" t="str">
        <f>"ASC-1P-A-LV"</f>
        <v>ASC-1P-A-LV</v>
      </c>
      <c r="B102" s="18" t="s">
        <v>95</v>
      </c>
      <c r="C102" s="37">
        <v>305.23950000000002</v>
      </c>
      <c r="D102" s="51"/>
      <c r="E102" s="19" t="str">
        <f>"761418004294"</f>
        <v>761418004294</v>
      </c>
      <c r="F102" s="20">
        <v>1</v>
      </c>
    </row>
    <row r="103" spans="1:6">
      <c r="A103" s="15" t="str">
        <f>"ASC-1P-A-TC"</f>
        <v>ASC-1P-A-TC</v>
      </c>
      <c r="B103" s="15" t="s">
        <v>96</v>
      </c>
      <c r="C103" s="36">
        <v>332.37450000000001</v>
      </c>
      <c r="D103" s="51"/>
      <c r="E103" s="16" t="str">
        <f>"761418008360"</f>
        <v>761418008360</v>
      </c>
      <c r="F103" s="17">
        <v>1</v>
      </c>
    </row>
    <row r="104" spans="1:6">
      <c r="A104" s="18" t="str">
        <f>"ASC-1P-B-LV"</f>
        <v>ASC-1P-B-LV</v>
      </c>
      <c r="B104" s="18" t="s">
        <v>97</v>
      </c>
      <c r="C104" s="37">
        <v>278.21699999999998</v>
      </c>
      <c r="D104" s="51"/>
      <c r="E104" s="19" t="str">
        <f>"761418004607"</f>
        <v>761418004607</v>
      </c>
      <c r="F104" s="20">
        <v>1</v>
      </c>
    </row>
    <row r="105" spans="1:6">
      <c r="A105" s="15" t="str">
        <f>"ASC-1P-B-TC"</f>
        <v>ASC-1P-B-TC</v>
      </c>
      <c r="B105" s="15" t="s">
        <v>98</v>
      </c>
      <c r="C105" s="36">
        <v>333.39600000000002</v>
      </c>
      <c r="D105" s="51"/>
      <c r="E105" s="16" t="str">
        <f>"761418008377"</f>
        <v>761418008377</v>
      </c>
      <c r="F105" s="17">
        <v>1</v>
      </c>
    </row>
    <row r="106" spans="1:6">
      <c r="A106" s="18" t="str">
        <f>"ASC-2P-A-LV"</f>
        <v>ASC-2P-A-LV</v>
      </c>
      <c r="B106" s="18" t="s">
        <v>99</v>
      </c>
      <c r="C106" s="37">
        <v>305.23950000000002</v>
      </c>
      <c r="D106" s="51"/>
      <c r="E106" s="19" t="str">
        <f>"761418004614"</f>
        <v>761418004614</v>
      </c>
      <c r="F106" s="20">
        <v>1</v>
      </c>
    </row>
    <row r="107" spans="1:6">
      <c r="A107" s="15" t="str">
        <f>"ASC-2P-A-TC"</f>
        <v>ASC-2P-A-TC</v>
      </c>
      <c r="B107" s="15" t="s">
        <v>100</v>
      </c>
      <c r="C107" s="36">
        <v>332.37450000000001</v>
      </c>
      <c r="D107" s="51"/>
      <c r="E107" s="16" t="str">
        <f>"761418008278"</f>
        <v>761418008278</v>
      </c>
      <c r="F107" s="17">
        <v>1</v>
      </c>
    </row>
    <row r="108" spans="1:6">
      <c r="A108" s="18" t="str">
        <f>"ASC-2P-B-LV"</f>
        <v>ASC-2P-B-LV</v>
      </c>
      <c r="B108" s="18" t="s">
        <v>101</v>
      </c>
      <c r="C108" s="37">
        <v>305.23950000000002</v>
      </c>
      <c r="D108" s="51"/>
      <c r="E108" s="19" t="str">
        <f>"761418004621"</f>
        <v>761418004621</v>
      </c>
      <c r="F108" s="20">
        <v>1</v>
      </c>
    </row>
    <row r="109" spans="1:6">
      <c r="A109" s="15" t="str">
        <f>"ASC-2P-B-TC"</f>
        <v>ASC-2P-B-TC</v>
      </c>
      <c r="B109" s="15" t="s">
        <v>102</v>
      </c>
      <c r="C109" s="36">
        <v>332.37450000000001</v>
      </c>
      <c r="D109" s="51"/>
      <c r="E109" s="16" t="str">
        <f>"761418008384"</f>
        <v>761418008384</v>
      </c>
      <c r="F109" s="17">
        <v>1</v>
      </c>
    </row>
    <row r="110" spans="1:6">
      <c r="A110" s="18" t="str">
        <f>"BFA1005CES"</f>
        <v>BFA1005CES</v>
      </c>
      <c r="B110" s="18" t="s">
        <v>103</v>
      </c>
      <c r="C110" s="37">
        <v>8.1315000000000008</v>
      </c>
      <c r="D110" s="51"/>
      <c r="E110" s="19" t="str">
        <f>"610377089180"</f>
        <v>610377089180</v>
      </c>
      <c r="F110" s="20">
        <v>1</v>
      </c>
    </row>
    <row r="111" spans="1:6">
      <c r="A111" s="15" t="str">
        <f>"BFA1005CFS"</f>
        <v>BFA1005CFS</v>
      </c>
      <c r="B111" s="15" t="s">
        <v>104</v>
      </c>
      <c r="C111" s="36">
        <v>13.009499999999999</v>
      </c>
      <c r="D111" s="51"/>
      <c r="E111" s="16" t="str">
        <f>"610377089548"</f>
        <v>610377089548</v>
      </c>
      <c r="F111" s="17">
        <v>36</v>
      </c>
    </row>
    <row r="112" spans="1:6">
      <c r="A112" s="18" t="str">
        <f>"BFA1005SFS"</f>
        <v>BFA1005SFS</v>
      </c>
      <c r="B112" s="18" t="s">
        <v>105</v>
      </c>
      <c r="C112" s="37">
        <v>14.359500000000001</v>
      </c>
      <c r="D112" s="51"/>
      <c r="E112" s="19" t="str">
        <f>"610377089364"</f>
        <v>610377089364</v>
      </c>
      <c r="F112" s="20">
        <v>36</v>
      </c>
    </row>
    <row r="113" spans="1:6">
      <c r="A113" s="15" t="str">
        <f>"BFA1005TES"</f>
        <v>BFA1005TES</v>
      </c>
      <c r="B113" s="15" t="s">
        <v>106</v>
      </c>
      <c r="C113" s="36">
        <v>10.449</v>
      </c>
      <c r="D113" s="51"/>
      <c r="E113" s="16" t="str">
        <f>"610377089098"</f>
        <v>610377089098</v>
      </c>
      <c r="F113" s="17">
        <v>1</v>
      </c>
    </row>
    <row r="114" spans="1:6">
      <c r="A114" s="18" t="str">
        <f>"BFA1005TFS"</f>
        <v>BFA1005TFS</v>
      </c>
      <c r="B114" s="18" t="s">
        <v>107</v>
      </c>
      <c r="C114" s="37">
        <v>16.951499999999999</v>
      </c>
      <c r="D114" s="51"/>
      <c r="E114" s="19" t="str">
        <f>"610377089456"</f>
        <v>610377089456</v>
      </c>
      <c r="F114" s="20">
        <v>36</v>
      </c>
    </row>
    <row r="115" spans="1:6">
      <c r="A115" s="15" t="str">
        <f>"BFA1007CES"</f>
        <v>BFA1007CES</v>
      </c>
      <c r="B115" s="15" t="s">
        <v>108</v>
      </c>
      <c r="C115" s="36">
        <v>8.9864999999999995</v>
      </c>
      <c r="D115" s="51"/>
      <c r="E115" s="16" t="str">
        <f>"610377089197"</f>
        <v>610377089197</v>
      </c>
      <c r="F115" s="17">
        <v>36</v>
      </c>
    </row>
    <row r="116" spans="1:6">
      <c r="A116" s="18" t="str">
        <f>"BFA1007CFS"</f>
        <v>BFA1007CFS</v>
      </c>
      <c r="B116" s="18" t="s">
        <v>109</v>
      </c>
      <c r="C116" s="37">
        <v>14.04</v>
      </c>
      <c r="D116" s="51"/>
      <c r="E116" s="19" t="str">
        <f>"610377089555"</f>
        <v>610377089555</v>
      </c>
      <c r="F116" s="20">
        <v>36</v>
      </c>
    </row>
    <row r="117" spans="1:6">
      <c r="A117" s="15" t="str">
        <f>"BFA1007SFS"</f>
        <v>BFA1007SFS</v>
      </c>
      <c r="B117" s="15" t="s">
        <v>110</v>
      </c>
      <c r="C117" s="36">
        <v>15.489000000000001</v>
      </c>
      <c r="D117" s="51"/>
      <c r="E117" s="16" t="str">
        <f>"610377089371"</f>
        <v>610377089371</v>
      </c>
      <c r="F117" s="17">
        <v>36</v>
      </c>
    </row>
    <row r="118" spans="1:6">
      <c r="A118" s="18" t="str">
        <f>"BFA1007TES"</f>
        <v>BFA1007TES</v>
      </c>
      <c r="B118" s="18" t="s">
        <v>111</v>
      </c>
      <c r="C118" s="37">
        <v>11.4795</v>
      </c>
      <c r="D118" s="51"/>
      <c r="E118" s="19" t="str">
        <f>"610377089104"</f>
        <v>610377089104</v>
      </c>
      <c r="F118" s="20">
        <v>36</v>
      </c>
    </row>
    <row r="119" spans="1:6">
      <c r="A119" s="15" t="str">
        <f>"BFA1007TFS"</f>
        <v>BFA1007TFS</v>
      </c>
      <c r="B119" s="15" t="s">
        <v>112</v>
      </c>
      <c r="C119" s="36">
        <v>16.5105</v>
      </c>
      <c r="D119" s="51"/>
      <c r="E119" s="16" t="str">
        <f>"610377089463"</f>
        <v>610377089463</v>
      </c>
      <c r="F119" s="17">
        <v>36</v>
      </c>
    </row>
    <row r="120" spans="1:6">
      <c r="A120" s="18" t="str">
        <f>"BFA1010CES"</f>
        <v>BFA1010CES</v>
      </c>
      <c r="B120" s="18" t="s">
        <v>113</v>
      </c>
      <c r="C120" s="37">
        <v>9.8505000000000003</v>
      </c>
      <c r="D120" s="51"/>
      <c r="E120" s="19" t="str">
        <f>"610377089203"</f>
        <v>610377089203</v>
      </c>
      <c r="F120" s="20">
        <v>36</v>
      </c>
    </row>
    <row r="121" spans="1:6">
      <c r="A121" s="15" t="str">
        <f>"BFA1010CFS"</f>
        <v>BFA1010CFS</v>
      </c>
      <c r="B121" s="15" t="s">
        <v>114</v>
      </c>
      <c r="C121" s="36">
        <v>16.0425</v>
      </c>
      <c r="D121" s="51"/>
      <c r="E121" s="16" t="str">
        <f>"610377089562"</f>
        <v>610377089562</v>
      </c>
      <c r="F121" s="17">
        <v>36</v>
      </c>
    </row>
    <row r="122" spans="1:6">
      <c r="A122" s="18" t="str">
        <f>"BFA1010SFS"</f>
        <v>BFA1010SFS</v>
      </c>
      <c r="B122" s="18" t="s">
        <v>115</v>
      </c>
      <c r="C122" s="37">
        <v>17.752500000000001</v>
      </c>
      <c r="D122" s="51"/>
      <c r="E122" s="19" t="str">
        <f>"610377089388"</f>
        <v>610377089388</v>
      </c>
      <c r="F122" s="20">
        <v>36</v>
      </c>
    </row>
    <row r="123" spans="1:6">
      <c r="A123" s="15" t="str">
        <f>"BFA1010TES"</f>
        <v>BFA1010TES</v>
      </c>
      <c r="B123" s="15" t="s">
        <v>116</v>
      </c>
      <c r="C123" s="36">
        <v>12.442500000000001</v>
      </c>
      <c r="D123" s="51"/>
      <c r="E123" s="16" t="str">
        <f>"610377089111"</f>
        <v>610377089111</v>
      </c>
      <c r="F123" s="17">
        <v>36</v>
      </c>
    </row>
    <row r="124" spans="1:6">
      <c r="A124" s="18" t="str">
        <f>"BFA1010TFS"</f>
        <v>BFA1010TFS</v>
      </c>
      <c r="B124" s="18" t="s">
        <v>117</v>
      </c>
      <c r="C124" s="37">
        <v>18.616499999999998</v>
      </c>
      <c r="D124" s="51"/>
      <c r="E124" s="19" t="str">
        <f>"610377089470"</f>
        <v>610377089470</v>
      </c>
      <c r="F124" s="20">
        <v>36</v>
      </c>
    </row>
    <row r="125" spans="1:6">
      <c r="A125" s="15" t="str">
        <f>"BFA1012CES"</f>
        <v>BFA1012CES</v>
      </c>
      <c r="B125" s="15" t="s">
        <v>118</v>
      </c>
      <c r="C125" s="36">
        <v>14.4495</v>
      </c>
      <c r="D125" s="51"/>
      <c r="E125" s="16" t="str">
        <f>"610377089210"</f>
        <v>610377089210</v>
      </c>
      <c r="F125" s="17">
        <v>24</v>
      </c>
    </row>
    <row r="126" spans="1:6">
      <c r="A126" s="18" t="str">
        <f>"BFA1012CFS"</f>
        <v>BFA1012CFS</v>
      </c>
      <c r="B126" s="18" t="s">
        <v>119</v>
      </c>
      <c r="C126" s="37">
        <v>19.192499999999999</v>
      </c>
      <c r="D126" s="51"/>
      <c r="E126" s="19" t="str">
        <f>"610377089579"</f>
        <v>610377089579</v>
      </c>
      <c r="F126" s="20">
        <v>24</v>
      </c>
    </row>
    <row r="127" spans="1:6">
      <c r="A127" s="15" t="str">
        <f>"BFA1012TES"</f>
        <v>BFA1012TES</v>
      </c>
      <c r="B127" s="15" t="s">
        <v>120</v>
      </c>
      <c r="C127" s="36">
        <v>18.693000000000001</v>
      </c>
      <c r="D127" s="51"/>
      <c r="E127" s="16" t="str">
        <f>"610377089128"</f>
        <v>610377089128</v>
      </c>
      <c r="F127" s="17">
        <v>24</v>
      </c>
    </row>
    <row r="128" spans="1:6">
      <c r="A128" s="18" t="str">
        <f>"BFA1015CES"</f>
        <v>BFA1015CES</v>
      </c>
      <c r="B128" s="18" t="s">
        <v>121</v>
      </c>
      <c r="C128" s="37">
        <v>13.077</v>
      </c>
      <c r="D128" s="51"/>
      <c r="E128" s="19" t="str">
        <f>"610377089227"</f>
        <v>610377089227</v>
      </c>
      <c r="F128" s="20">
        <v>1</v>
      </c>
    </row>
    <row r="129" spans="1:6">
      <c r="A129" s="15" t="str">
        <f>"BFA1015CFS"</f>
        <v>BFA1015CFS</v>
      </c>
      <c r="B129" s="15" t="s">
        <v>122</v>
      </c>
      <c r="C129" s="36">
        <v>19.192499999999999</v>
      </c>
      <c r="D129" s="51"/>
      <c r="E129" s="16" t="str">
        <f>"610377089586"</f>
        <v>610377089586</v>
      </c>
      <c r="F129" s="17">
        <v>24</v>
      </c>
    </row>
    <row r="130" spans="1:6">
      <c r="A130" s="18" t="str">
        <f>"BFA1015SFS"</f>
        <v>BFA1015SFS</v>
      </c>
      <c r="B130" s="18" t="s">
        <v>123</v>
      </c>
      <c r="C130" s="37">
        <v>21.231000000000002</v>
      </c>
      <c r="D130" s="51"/>
      <c r="E130" s="19" t="str">
        <f>"610377089401"</f>
        <v>610377089401</v>
      </c>
      <c r="F130" s="20">
        <v>24</v>
      </c>
    </row>
    <row r="131" spans="1:6">
      <c r="A131" s="15" t="str">
        <f>"BFA1015TES"</f>
        <v>BFA1015TES</v>
      </c>
      <c r="B131" s="15" t="s">
        <v>124</v>
      </c>
      <c r="C131" s="36">
        <v>17.972999999999999</v>
      </c>
      <c r="D131" s="51"/>
      <c r="E131" s="16" t="str">
        <f>"610377089135"</f>
        <v>610377089135</v>
      </c>
      <c r="F131" s="17">
        <v>1</v>
      </c>
    </row>
    <row r="132" spans="1:6">
      <c r="A132" s="18" t="str">
        <f>"BFA1015TFS"</f>
        <v>BFA1015TFS</v>
      </c>
      <c r="B132" s="18" t="s">
        <v>125</v>
      </c>
      <c r="C132" s="37">
        <v>21.154499999999999</v>
      </c>
      <c r="D132" s="51"/>
      <c r="E132" s="19" t="str">
        <f>"610377089494"</f>
        <v>610377089494</v>
      </c>
      <c r="F132" s="20">
        <v>24</v>
      </c>
    </row>
    <row r="133" spans="1:6">
      <c r="A133" s="15" t="str">
        <f>"BFA1020CES"</f>
        <v>BFA1020CES</v>
      </c>
      <c r="B133" s="15" t="s">
        <v>126</v>
      </c>
      <c r="C133" s="36">
        <v>19.503</v>
      </c>
      <c r="D133" s="51"/>
      <c r="E133" s="16" t="str">
        <f>"610377089234"</f>
        <v>610377089234</v>
      </c>
      <c r="F133" s="17">
        <v>1</v>
      </c>
    </row>
    <row r="134" spans="1:6">
      <c r="A134" s="18" t="str">
        <f>"BFA1020CFS"</f>
        <v>BFA1020CFS</v>
      </c>
      <c r="B134" s="18" t="s">
        <v>127</v>
      </c>
      <c r="C134" s="37">
        <v>31.824000000000002</v>
      </c>
      <c r="D134" s="51"/>
      <c r="E134" s="19" t="str">
        <f>"610377089593"</f>
        <v>610377089593</v>
      </c>
      <c r="F134" s="20">
        <v>12</v>
      </c>
    </row>
    <row r="135" spans="1:6">
      <c r="A135" s="15" t="str">
        <f>"BFA1020SFS"</f>
        <v>BFA1020SFS</v>
      </c>
      <c r="B135" s="15" t="s">
        <v>128</v>
      </c>
      <c r="C135" s="36">
        <v>35.122500000000002</v>
      </c>
      <c r="D135" s="51"/>
      <c r="E135" s="16" t="str">
        <f>"610377089418"</f>
        <v>610377089418</v>
      </c>
      <c r="F135" s="17">
        <v>12</v>
      </c>
    </row>
    <row r="136" spans="1:6">
      <c r="A136" s="18" t="str">
        <f>"BFA1020TES"</f>
        <v>BFA1020TES</v>
      </c>
      <c r="B136" s="18" t="s">
        <v>129</v>
      </c>
      <c r="C136" s="37">
        <v>23.935500000000001</v>
      </c>
      <c r="D136" s="51"/>
      <c r="E136" s="19" t="str">
        <f>"610377089142"</f>
        <v>610377089142</v>
      </c>
      <c r="F136" s="20">
        <v>12</v>
      </c>
    </row>
    <row r="137" spans="1:6">
      <c r="A137" s="15" t="str">
        <f>"BFA1020TFS"</f>
        <v>BFA1020TFS</v>
      </c>
      <c r="B137" s="15" t="s">
        <v>130</v>
      </c>
      <c r="C137" s="36">
        <v>40.198500000000003</v>
      </c>
      <c r="D137" s="51"/>
      <c r="E137" s="16" t="str">
        <f>"610377089500"</f>
        <v>610377089500</v>
      </c>
      <c r="F137" s="17">
        <v>12</v>
      </c>
    </row>
    <row r="138" spans="1:6">
      <c r="A138" s="18" t="str">
        <f>"BFA1030CES"</f>
        <v>BFA1030CES</v>
      </c>
      <c r="B138" s="18" t="s">
        <v>131</v>
      </c>
      <c r="C138" s="37">
        <v>35.811</v>
      </c>
      <c r="D138" s="51"/>
      <c r="E138" s="19" t="str">
        <f>"610377089241"</f>
        <v>610377089241</v>
      </c>
      <c r="F138" s="20">
        <v>8</v>
      </c>
    </row>
    <row r="139" spans="1:6">
      <c r="A139" s="15" t="str">
        <f>"BFA1030CFS"</f>
        <v>BFA1030CFS</v>
      </c>
      <c r="B139" s="15" t="s">
        <v>132</v>
      </c>
      <c r="C139" s="36">
        <v>56.231999999999999</v>
      </c>
      <c r="D139" s="51"/>
      <c r="E139" s="16" t="str">
        <f>"610377089609"</f>
        <v>610377089609</v>
      </c>
      <c r="F139" s="17">
        <v>8</v>
      </c>
    </row>
    <row r="140" spans="1:6">
      <c r="A140" s="18" t="str">
        <f>"BFA1030SFS"</f>
        <v>BFA1030SFS</v>
      </c>
      <c r="B140" s="18" t="s">
        <v>133</v>
      </c>
      <c r="C140" s="37">
        <v>63.279000000000003</v>
      </c>
      <c r="D140" s="51"/>
      <c r="E140" s="19" t="str">
        <f>"610377089425"</f>
        <v>610377089425</v>
      </c>
      <c r="F140" s="20">
        <v>8</v>
      </c>
    </row>
    <row r="141" spans="1:6" ht="16" thickBot="1">
      <c r="A141" s="21" t="str">
        <f>"BFA1030TES"</f>
        <v>BFA1030TES</v>
      </c>
      <c r="B141" s="21" t="s">
        <v>134</v>
      </c>
      <c r="C141" s="38">
        <v>41.706000000000003</v>
      </c>
      <c r="D141" s="52"/>
      <c r="E141" s="22" t="str">
        <f>"610377089159"</f>
        <v>610377089159</v>
      </c>
      <c r="F141" s="23">
        <v>1</v>
      </c>
    </row>
    <row r="142" spans="1:6" ht="16" thickTop="1">
      <c r="A142" s="12" t="str">
        <f>"BFA1030TFS"</f>
        <v>BFA1030TFS</v>
      </c>
      <c r="B142" s="12" t="s">
        <v>135</v>
      </c>
      <c r="C142" s="35">
        <v>62.2485</v>
      </c>
      <c r="D142" s="50"/>
      <c r="E142" s="13" t="str">
        <f>"610377089517"</f>
        <v>610377089517</v>
      </c>
      <c r="F142" s="14">
        <v>8</v>
      </c>
    </row>
    <row r="143" spans="1:6">
      <c r="A143" s="15" t="str">
        <f>"BFA1040CFS"</f>
        <v>BFA1040CFS</v>
      </c>
      <c r="B143" s="15" t="s">
        <v>136</v>
      </c>
      <c r="C143" s="36">
        <v>137.8305</v>
      </c>
      <c r="D143" s="51"/>
      <c r="E143" s="16" t="str">
        <f>"610377089678"</f>
        <v>610377089678</v>
      </c>
      <c r="F143" s="17">
        <v>1</v>
      </c>
    </row>
    <row r="144" spans="1:6">
      <c r="A144" s="18" t="str">
        <f>"BFA1040SES"</f>
        <v>BFA1040SES</v>
      </c>
      <c r="B144" s="18" t="s">
        <v>137</v>
      </c>
      <c r="C144" s="37">
        <v>76.644000000000005</v>
      </c>
      <c r="D144" s="51"/>
      <c r="E144" s="19" t="str">
        <f>"610377089074"</f>
        <v>610377089074</v>
      </c>
      <c r="F144" s="20">
        <v>1</v>
      </c>
    </row>
    <row r="145" spans="1:6">
      <c r="A145" s="15" t="str">
        <f>"BFA1040SFS"</f>
        <v>BFA1040SFS</v>
      </c>
      <c r="B145" s="15" t="s">
        <v>138</v>
      </c>
      <c r="C145" s="36">
        <v>162.8595</v>
      </c>
      <c r="D145" s="51"/>
      <c r="E145" s="16" t="str">
        <f>"610377089432"</f>
        <v>610377089432</v>
      </c>
      <c r="F145" s="17">
        <v>1</v>
      </c>
    </row>
    <row r="146" spans="1:6">
      <c r="A146" s="18" t="str">
        <f>"BFA1040TFS"</f>
        <v>BFA1040TFS</v>
      </c>
      <c r="B146" s="18" t="s">
        <v>139</v>
      </c>
      <c r="C146" s="37">
        <v>172.15649999999999</v>
      </c>
      <c r="D146" s="51"/>
      <c r="E146" s="19" t="str">
        <f>"610377089524"</f>
        <v>610377089524</v>
      </c>
      <c r="F146" s="20">
        <v>1</v>
      </c>
    </row>
    <row r="147" spans="1:6">
      <c r="A147" s="15" t="str">
        <f>"BFA1060SES"</f>
        <v>BFA1060SES</v>
      </c>
      <c r="B147" s="15" t="s">
        <v>140</v>
      </c>
      <c r="C147" s="36">
        <v>207.25649999999999</v>
      </c>
      <c r="D147" s="51"/>
      <c r="E147" s="16" t="str">
        <f>"610377089081"</f>
        <v>610377089081</v>
      </c>
      <c r="F147" s="17">
        <v>1</v>
      </c>
    </row>
    <row r="148" spans="1:6">
      <c r="A148" s="18" t="str">
        <f>"BFA1060SFS"</f>
        <v>BFA1060SFS</v>
      </c>
      <c r="B148" s="18" t="s">
        <v>141</v>
      </c>
      <c r="C148" s="37">
        <v>317.18700000000001</v>
      </c>
      <c r="D148" s="51"/>
      <c r="E148" s="19" t="str">
        <f>"610377089449"</f>
        <v>610377089449</v>
      </c>
      <c r="F148" s="20">
        <v>1</v>
      </c>
    </row>
    <row r="149" spans="1:6">
      <c r="A149" s="15" t="str">
        <f>"BFA1060TFS"</f>
        <v>BFA1060TFS</v>
      </c>
      <c r="B149" s="15" t="s">
        <v>142</v>
      </c>
      <c r="C149" s="36">
        <v>317.18700000000001</v>
      </c>
      <c r="D149" s="51"/>
      <c r="E149" s="16" t="str">
        <f>"610377089531"</f>
        <v>610377089531</v>
      </c>
      <c r="F149" s="17">
        <v>1</v>
      </c>
    </row>
    <row r="150" spans="1:6">
      <c r="A150" s="18" t="str">
        <f>"BFA2040TES"</f>
        <v>BFA2040TES</v>
      </c>
      <c r="B150" s="18" t="s">
        <v>143</v>
      </c>
      <c r="C150" s="37">
        <v>102.96899999999999</v>
      </c>
      <c r="D150" s="51"/>
      <c r="E150" s="19" t="str">
        <f>"610377090278"</f>
        <v>610377090278</v>
      </c>
      <c r="F150" s="20">
        <v>1</v>
      </c>
    </row>
    <row r="151" spans="1:6">
      <c r="A151" s="15" t="str">
        <f>"BFAS1005CFS"</f>
        <v>BFAS1005CFS</v>
      </c>
      <c r="B151" s="15" t="s">
        <v>144</v>
      </c>
      <c r="C151" s="36">
        <v>14.359500000000001</v>
      </c>
      <c r="D151" s="51"/>
      <c r="E151" s="16" t="str">
        <f>"610377136952"</f>
        <v>610377136952</v>
      </c>
      <c r="F151" s="17">
        <v>36</v>
      </c>
    </row>
    <row r="152" spans="1:6">
      <c r="A152" s="18" t="str">
        <f>"BFAS1010TFS"</f>
        <v>BFAS1010TFS</v>
      </c>
      <c r="B152" s="18" t="s">
        <v>145</v>
      </c>
      <c r="C152" s="37">
        <v>22.549499999999998</v>
      </c>
      <c r="D152" s="51"/>
      <c r="E152" s="19" t="str">
        <f>"610377137041"</f>
        <v>610377137041</v>
      </c>
      <c r="F152" s="20">
        <v>36</v>
      </c>
    </row>
    <row r="153" spans="1:6">
      <c r="A153" s="15" t="str">
        <f>"BFAS1020CES"</f>
        <v>BFAS1020CES</v>
      </c>
      <c r="B153" s="15" t="s">
        <v>146</v>
      </c>
      <c r="C153" s="36">
        <v>19.503</v>
      </c>
      <c r="D153" s="51"/>
      <c r="E153" s="16" t="str">
        <f>"610377136822"</f>
        <v>610377136822</v>
      </c>
      <c r="F153" s="17">
        <v>1</v>
      </c>
    </row>
    <row r="154" spans="1:6">
      <c r="A154" s="18" t="str">
        <f>"BFAS1020CFS"</f>
        <v>BFAS1020CFS</v>
      </c>
      <c r="B154" s="18" t="s">
        <v>147</v>
      </c>
      <c r="C154" s="37">
        <v>34.672499999999999</v>
      </c>
      <c r="D154" s="51"/>
      <c r="E154" s="19" t="str">
        <f>"610377137157"</f>
        <v>610377137157</v>
      </c>
      <c r="F154" s="20">
        <v>12</v>
      </c>
    </row>
    <row r="155" spans="1:6">
      <c r="A155" s="15" t="str">
        <f>"BFAS1020TES"</f>
        <v>BFAS1020TES</v>
      </c>
      <c r="B155" s="15" t="s">
        <v>148</v>
      </c>
      <c r="C155" s="36">
        <v>23.935500000000001</v>
      </c>
      <c r="D155" s="51"/>
      <c r="E155" s="16" t="str">
        <f>"610377136839"</f>
        <v>610377136839</v>
      </c>
      <c r="F155" s="17">
        <v>1</v>
      </c>
    </row>
    <row r="156" spans="1:6">
      <c r="A156" s="18" t="str">
        <f>"BFAS1030CES"</f>
        <v>BFAS1030CES</v>
      </c>
      <c r="B156" s="18" t="s">
        <v>149</v>
      </c>
      <c r="C156" s="37">
        <v>35.811</v>
      </c>
      <c r="D156" s="51"/>
      <c r="E156" s="19" t="str">
        <f>"610377136860"</f>
        <v>610377136860</v>
      </c>
      <c r="F156" s="20">
        <v>1</v>
      </c>
    </row>
    <row r="157" spans="1:6">
      <c r="A157" s="15" t="str">
        <f>"BFAS1030CFS"</f>
        <v>BFAS1030CFS</v>
      </c>
      <c r="B157" s="15" t="s">
        <v>150</v>
      </c>
      <c r="C157" s="36">
        <v>61.420499999999997</v>
      </c>
      <c r="D157" s="51"/>
      <c r="E157" s="16" t="str">
        <f>"610377137195"</f>
        <v>610377137195</v>
      </c>
      <c r="F157" s="17">
        <v>8</v>
      </c>
    </row>
    <row r="158" spans="1:6">
      <c r="A158" s="18" t="str">
        <f>"BFAS1030TES"</f>
        <v>BFAS1030TES</v>
      </c>
      <c r="B158" s="18" t="s">
        <v>151</v>
      </c>
      <c r="C158" s="37">
        <v>41.706000000000003</v>
      </c>
      <c r="D158" s="51"/>
      <c r="E158" s="19" t="str">
        <f>"610377136877"</f>
        <v>610377136877</v>
      </c>
      <c r="F158" s="20">
        <v>1</v>
      </c>
    </row>
    <row r="159" spans="1:6">
      <c r="A159" s="15" t="str">
        <f>"BFAS1040TES"</f>
        <v>BFAS1040TES</v>
      </c>
      <c r="B159" s="15" t="s">
        <v>152</v>
      </c>
      <c r="C159" s="36">
        <v>82.548000000000002</v>
      </c>
      <c r="D159" s="51"/>
      <c r="E159" s="16" t="str">
        <f>"610377144513"</f>
        <v>610377144513</v>
      </c>
      <c r="F159" s="17">
        <v>1</v>
      </c>
    </row>
    <row r="160" spans="1:6">
      <c r="A160" s="18" t="str">
        <f>"BFAS2020CES"</f>
        <v>BFAS2020CES</v>
      </c>
      <c r="B160" s="18" t="s">
        <v>153</v>
      </c>
      <c r="C160" s="37">
        <v>11.07</v>
      </c>
      <c r="D160" s="51"/>
      <c r="E160" s="19" t="str">
        <f>"610377137232"</f>
        <v>610377137232</v>
      </c>
      <c r="F160" s="20">
        <v>12</v>
      </c>
    </row>
    <row r="161" spans="1:6">
      <c r="A161" s="15" t="str">
        <f>"BFAS3015TFS"</f>
        <v>BFAS3015TFS</v>
      </c>
      <c r="B161" s="15" t="s">
        <v>154</v>
      </c>
      <c r="C161" s="36">
        <v>25.816500000000001</v>
      </c>
      <c r="D161" s="51"/>
      <c r="E161" s="16" t="str">
        <f>"610377137140"</f>
        <v>610377137140</v>
      </c>
      <c r="F161" s="17">
        <v>24</v>
      </c>
    </row>
    <row r="162" spans="1:6">
      <c r="A162" s="18" t="str">
        <f>"BLUCON"</f>
        <v>BLUCON</v>
      </c>
      <c r="B162" s="18" t="s">
        <v>155</v>
      </c>
      <c r="C162" s="37">
        <v>264.82049999999998</v>
      </c>
      <c r="D162" s="51"/>
      <c r="E162" s="19" t="str">
        <f>"610377216340"</f>
        <v>610377216340</v>
      </c>
      <c r="F162" s="20">
        <v>1</v>
      </c>
    </row>
    <row r="163" spans="1:6">
      <c r="A163" s="15" t="str">
        <f>"BLUVIN"</f>
        <v>BLUVIN</v>
      </c>
      <c r="B163" s="15" t="s">
        <v>156</v>
      </c>
      <c r="C163" s="36">
        <v>264.82049999999998</v>
      </c>
      <c r="D163" s="51"/>
      <c r="E163" s="16" t="str">
        <f>"610377216401"</f>
        <v>610377216401</v>
      </c>
      <c r="F163" s="17">
        <v>1</v>
      </c>
    </row>
    <row r="164" spans="1:6">
      <c r="A164" s="18" t="str">
        <f>"BS12001/8"</f>
        <v>BS12001/8</v>
      </c>
      <c r="B164" s="18" t="s">
        <v>157</v>
      </c>
      <c r="C164" s="37">
        <v>123.03449999999999</v>
      </c>
      <c r="D164" s="51"/>
      <c r="E164" s="19" t="str">
        <f>"610377793070"</f>
        <v>610377793070</v>
      </c>
      <c r="F164" s="20">
        <v>1</v>
      </c>
    </row>
    <row r="165" spans="1:6">
      <c r="A165" s="15" t="str">
        <f>"BS22001/8"</f>
        <v>BS22001/8</v>
      </c>
      <c r="B165" s="15" t="s">
        <v>158</v>
      </c>
      <c r="C165" s="36">
        <v>150.13800000000001</v>
      </c>
      <c r="D165" s="51"/>
      <c r="E165" s="16" t="str">
        <f>"610377793124"</f>
        <v>610377793124</v>
      </c>
      <c r="F165" s="17">
        <v>1</v>
      </c>
    </row>
    <row r="166" spans="1:6">
      <c r="A166" s="18" t="str">
        <f>"BS7401-8"</f>
        <v>BS7401-8</v>
      </c>
      <c r="B166" s="18" t="s">
        <v>159</v>
      </c>
      <c r="C166" s="37">
        <v>557.75250000000005</v>
      </c>
      <c r="D166" s="51"/>
      <c r="E166" s="19" t="str">
        <f>"610377137485"</f>
        <v>610377137485</v>
      </c>
      <c r="F166" s="20">
        <v>1</v>
      </c>
    </row>
    <row r="167" spans="1:6">
      <c r="A167" s="15" t="str">
        <f>"BYCN1020E1GGB"</f>
        <v>BYCN1020E1GGB</v>
      </c>
      <c r="B167" s="15" t="s">
        <v>160</v>
      </c>
      <c r="C167" s="36">
        <v>257.62950000000001</v>
      </c>
      <c r="D167" s="51"/>
      <c r="E167" s="16" t="str">
        <f>"610377148689"</f>
        <v>610377148689</v>
      </c>
      <c r="F167" s="17">
        <v>1</v>
      </c>
    </row>
    <row r="168" spans="1:6">
      <c r="A168" s="18" t="str">
        <f>"BYCN1020E1LGB"</f>
        <v>BYCN1020E1LGB</v>
      </c>
      <c r="B168" s="18" t="s">
        <v>161</v>
      </c>
      <c r="C168" s="37">
        <v>82.881</v>
      </c>
      <c r="D168" s="51"/>
      <c r="E168" s="19" t="str">
        <f>"610377148610"</f>
        <v>610377148610</v>
      </c>
      <c r="F168" s="20">
        <v>8</v>
      </c>
    </row>
    <row r="169" spans="1:6">
      <c r="A169" s="15" t="str">
        <f>"BYCN1025E1GGB"</f>
        <v>BYCN1025E1GGB</v>
      </c>
      <c r="B169" s="15" t="s">
        <v>162</v>
      </c>
      <c r="C169" s="36">
        <v>263.66849999999999</v>
      </c>
      <c r="D169" s="51"/>
      <c r="E169" s="16" t="str">
        <f>"610377148696"</f>
        <v>610377148696</v>
      </c>
      <c r="F169" s="17">
        <v>1</v>
      </c>
    </row>
    <row r="170" spans="1:6">
      <c r="A170" s="18" t="str">
        <f>"BYCN1025E1LGB"</f>
        <v>BYCN1025E1LGB</v>
      </c>
      <c r="B170" s="18" t="s">
        <v>163</v>
      </c>
      <c r="C170" s="37">
        <v>82.881</v>
      </c>
      <c r="D170" s="51"/>
      <c r="E170" s="19" t="str">
        <f>"610377148627"</f>
        <v>610377148627</v>
      </c>
      <c r="F170" s="20">
        <v>8</v>
      </c>
    </row>
    <row r="171" spans="1:6">
      <c r="A171" s="15" t="str">
        <f>"BYCN1030E1GGB"</f>
        <v>BYCN1030E1GGB</v>
      </c>
      <c r="B171" s="15" t="s">
        <v>164</v>
      </c>
      <c r="C171" s="36">
        <v>268.99650000000003</v>
      </c>
      <c r="D171" s="51"/>
      <c r="E171" s="16" t="str">
        <f>"610377148702"</f>
        <v>610377148702</v>
      </c>
      <c r="F171" s="17">
        <v>1</v>
      </c>
    </row>
    <row r="172" spans="1:6">
      <c r="A172" s="18" t="str">
        <f>"BYCN1030E1LGB"</f>
        <v>BYCN1030E1LGB</v>
      </c>
      <c r="B172" s="18" t="s">
        <v>165</v>
      </c>
      <c r="C172" s="37">
        <v>94.239000000000004</v>
      </c>
      <c r="D172" s="51"/>
      <c r="E172" s="19" t="str">
        <f>"610377148634"</f>
        <v>610377148634</v>
      </c>
      <c r="F172" s="20">
        <v>8</v>
      </c>
    </row>
    <row r="173" spans="1:6">
      <c r="A173" s="15" t="str">
        <f>"BYCN1040E1GGB"</f>
        <v>BYCN1040E1GGB</v>
      </c>
      <c r="B173" s="15" t="s">
        <v>166</v>
      </c>
      <c r="C173" s="36">
        <v>278.11799999999999</v>
      </c>
      <c r="D173" s="51"/>
      <c r="E173" s="16" t="str">
        <f>"610377148719"</f>
        <v>610377148719</v>
      </c>
      <c r="F173" s="17">
        <v>1</v>
      </c>
    </row>
    <row r="174" spans="1:6">
      <c r="A174" s="18" t="str">
        <f>"BYCN1040E1LGB"</f>
        <v>BYCN1040E1LGB</v>
      </c>
      <c r="B174" s="18" t="s">
        <v>167</v>
      </c>
      <c r="C174" s="37">
        <v>103.35599999999999</v>
      </c>
      <c r="D174" s="51"/>
      <c r="E174" s="19" t="str">
        <f>"610377148641"</f>
        <v>610377148641</v>
      </c>
      <c r="F174" s="20">
        <v>8</v>
      </c>
    </row>
    <row r="175" spans="1:6">
      <c r="A175" s="15" t="str">
        <f>"BYCN1050E1GGB"</f>
        <v>BYCN1050E1GGB</v>
      </c>
      <c r="B175" s="15" t="s">
        <v>168</v>
      </c>
      <c r="C175" s="36">
        <v>319.15800000000002</v>
      </c>
      <c r="D175" s="51"/>
      <c r="E175" s="16" t="str">
        <f>"610377148726"</f>
        <v>610377148726</v>
      </c>
      <c r="F175" s="17">
        <v>1</v>
      </c>
    </row>
    <row r="176" spans="1:6">
      <c r="A176" s="18" t="str">
        <f>"BYCN1050E1LGB"</f>
        <v>BYCN1050E1LGB</v>
      </c>
      <c r="B176" s="18" t="s">
        <v>169</v>
      </c>
      <c r="C176" s="37">
        <v>144.387</v>
      </c>
      <c r="D176" s="51"/>
      <c r="E176" s="19" t="str">
        <f>"610377148658"</f>
        <v>610377148658</v>
      </c>
      <c r="F176" s="20">
        <v>3</v>
      </c>
    </row>
    <row r="177" spans="1:6">
      <c r="A177" s="15" t="str">
        <f>"BYCN1060E1GGB"</f>
        <v>BYCN1060E1GGB</v>
      </c>
      <c r="B177" s="15" t="s">
        <v>170</v>
      </c>
      <c r="C177" s="36">
        <v>333.59399999999999</v>
      </c>
      <c r="D177" s="51"/>
      <c r="E177" s="16" t="str">
        <f>"610377148733"</f>
        <v>610377148733</v>
      </c>
      <c r="F177" s="17">
        <v>1</v>
      </c>
    </row>
    <row r="178" spans="1:6">
      <c r="A178" s="18" t="str">
        <f>"BYCN1060E1LGB"</f>
        <v>BYCN1060E1LGB</v>
      </c>
      <c r="B178" s="18" t="s">
        <v>171</v>
      </c>
      <c r="C178" s="37">
        <v>158.82749999999999</v>
      </c>
      <c r="D178" s="51"/>
      <c r="E178" s="19" t="str">
        <f>"610377148665"</f>
        <v>610377148665</v>
      </c>
      <c r="F178" s="20">
        <v>3</v>
      </c>
    </row>
    <row r="179" spans="1:6">
      <c r="A179" s="15" t="str">
        <f>"BYCN1080E1GGB"</f>
        <v>BYCN1080E1GGB</v>
      </c>
      <c r="B179" s="15" t="s">
        <v>172</v>
      </c>
      <c r="C179" s="36">
        <v>452.15550000000002</v>
      </c>
      <c r="D179" s="51"/>
      <c r="E179" s="16" t="str">
        <f>"610377148740"</f>
        <v>610377148740</v>
      </c>
      <c r="F179" s="17">
        <v>1</v>
      </c>
    </row>
    <row r="180" spans="1:6">
      <c r="A180" s="18" t="str">
        <f>"BYCN1080E1LGB"</f>
        <v>BYCN1080E1LGB</v>
      </c>
      <c r="B180" s="18" t="s">
        <v>173</v>
      </c>
      <c r="C180" s="37">
        <v>277.39800000000002</v>
      </c>
      <c r="D180" s="51"/>
      <c r="E180" s="19" t="str">
        <f>"610377148672"</f>
        <v>610377148672</v>
      </c>
      <c r="F180" s="20">
        <v>3</v>
      </c>
    </row>
    <row r="181" spans="1:6">
      <c r="A181" s="15" t="str">
        <f>"BYV11020A0EG000"</f>
        <v>BYV11020A0EG000</v>
      </c>
      <c r="B181" s="15" t="s">
        <v>174</v>
      </c>
      <c r="C181" s="36">
        <v>361.90800000000002</v>
      </c>
      <c r="D181" s="51"/>
      <c r="E181" s="16" t="str">
        <f>"610377260237"</f>
        <v>610377260237</v>
      </c>
      <c r="F181" s="17">
        <v>1</v>
      </c>
    </row>
    <row r="182" spans="1:6">
      <c r="A182" s="18" t="str">
        <f>"BYV11020A0EL000"</f>
        <v>BYV11020A0EL000</v>
      </c>
      <c r="B182" s="18" t="s">
        <v>175</v>
      </c>
      <c r="C182" s="37">
        <v>144.02250000000001</v>
      </c>
      <c r="D182" s="51"/>
      <c r="E182" s="19" t="str">
        <f>"610377247085"</f>
        <v>610377247085</v>
      </c>
      <c r="F182" s="20">
        <v>1</v>
      </c>
    </row>
    <row r="183" spans="1:6">
      <c r="A183" s="15" t="str">
        <f>"BYV11025A0EG000"</f>
        <v>BYV11025A0EG000</v>
      </c>
      <c r="B183" s="15" t="s">
        <v>176</v>
      </c>
      <c r="C183" s="36">
        <v>379.7235</v>
      </c>
      <c r="D183" s="51"/>
      <c r="E183" s="16" t="str">
        <f>"610377260312"</f>
        <v>610377260312</v>
      </c>
      <c r="F183" s="17">
        <v>1</v>
      </c>
    </row>
    <row r="184" spans="1:6">
      <c r="A184" s="18" t="str">
        <f>"BYV11025A0EL000"</f>
        <v>BYV11025A0EL000</v>
      </c>
      <c r="B184" s="18" t="s">
        <v>177</v>
      </c>
      <c r="C184" s="37">
        <v>161.83799999999999</v>
      </c>
      <c r="D184" s="51"/>
      <c r="E184" s="19" t="str">
        <f>"610377247092"</f>
        <v>610377247092</v>
      </c>
      <c r="F184" s="20">
        <v>1</v>
      </c>
    </row>
    <row r="185" spans="1:6">
      <c r="A185" s="15" t="str">
        <f>"BYV11030A0EG000"</f>
        <v>BYV11030A0EG000</v>
      </c>
      <c r="B185" s="15" t="s">
        <v>178</v>
      </c>
      <c r="C185" s="36">
        <v>374.28300000000002</v>
      </c>
      <c r="D185" s="51"/>
      <c r="E185" s="16" t="str">
        <f>"610377260145"</f>
        <v>610377260145</v>
      </c>
      <c r="F185" s="17">
        <v>1</v>
      </c>
    </row>
    <row r="186" spans="1:6">
      <c r="A186" s="18" t="str">
        <f>"BYV11030A0EL000"</f>
        <v>BYV11030A0EL000</v>
      </c>
      <c r="B186" s="18" t="s">
        <v>179</v>
      </c>
      <c r="C186" s="37">
        <v>156.39750000000001</v>
      </c>
      <c r="D186" s="51"/>
      <c r="E186" s="19" t="str">
        <f>"610377247108"</f>
        <v>610377247108</v>
      </c>
      <c r="F186" s="20">
        <v>1</v>
      </c>
    </row>
    <row r="187" spans="1:6">
      <c r="A187" s="15" t="str">
        <f>"BYV11040A0EG000"</f>
        <v>BYV11040A0EG000</v>
      </c>
      <c r="B187" s="15" t="s">
        <v>180</v>
      </c>
      <c r="C187" s="36">
        <v>399.52350000000001</v>
      </c>
      <c r="D187" s="51"/>
      <c r="E187" s="16" t="str">
        <f>"610377260060"</f>
        <v>610377260060</v>
      </c>
      <c r="F187" s="17">
        <v>1</v>
      </c>
    </row>
    <row r="188" spans="1:6">
      <c r="A188" s="18" t="str">
        <f>"BYV11040A0EL000"</f>
        <v>BYV11040A0EL000</v>
      </c>
      <c r="B188" s="18" t="s">
        <v>181</v>
      </c>
      <c r="C188" s="37">
        <v>181.63800000000001</v>
      </c>
      <c r="D188" s="51"/>
      <c r="E188" s="19" t="str">
        <f>"610377239097"</f>
        <v>610377239097</v>
      </c>
      <c r="F188" s="20">
        <v>1</v>
      </c>
    </row>
    <row r="189" spans="1:6">
      <c r="A189" s="15" t="str">
        <f>"BYV11060A0EG000"</f>
        <v>BYV11060A0EG000</v>
      </c>
      <c r="B189" s="15" t="s">
        <v>182</v>
      </c>
      <c r="C189" s="36">
        <v>440.5095</v>
      </c>
      <c r="D189" s="51"/>
      <c r="E189" s="16" t="str">
        <f>"610377251570"</f>
        <v>610377251570</v>
      </c>
      <c r="F189" s="17">
        <v>1</v>
      </c>
    </row>
    <row r="190" spans="1:6">
      <c r="A190" s="18" t="str">
        <f>"BYV11060A0EL000"</f>
        <v>BYV11060A0EL000</v>
      </c>
      <c r="B190" s="18" t="s">
        <v>183</v>
      </c>
      <c r="C190" s="37">
        <v>272.22300000000001</v>
      </c>
      <c r="D190" s="51"/>
      <c r="E190" s="19" t="str">
        <f>"610377239431"</f>
        <v>610377239431</v>
      </c>
      <c r="F190" s="20">
        <v>1</v>
      </c>
    </row>
    <row r="191" spans="1:6">
      <c r="A191" s="15" t="str">
        <f>"BYV11080A0EG000"</f>
        <v>BYV11080A0EG000</v>
      </c>
      <c r="B191" s="15" t="s">
        <v>184</v>
      </c>
      <c r="C191" s="36">
        <v>673.61850000000004</v>
      </c>
      <c r="D191" s="51"/>
      <c r="E191" s="16" t="str">
        <f>"610377251778"</f>
        <v>610377251778</v>
      </c>
      <c r="F191" s="17">
        <v>1</v>
      </c>
    </row>
    <row r="192" spans="1:6">
      <c r="A192" s="18" t="str">
        <f>"BYV11080A0EL000"</f>
        <v>BYV11080A0EL000</v>
      </c>
      <c r="B192" s="18" t="s">
        <v>185</v>
      </c>
      <c r="C192" s="37">
        <v>505.84050000000002</v>
      </c>
      <c r="D192" s="51"/>
      <c r="E192" s="19" t="str">
        <f>"610377247115"</f>
        <v>610377247115</v>
      </c>
      <c r="F192" s="20">
        <v>1</v>
      </c>
    </row>
    <row r="193" spans="1:6">
      <c r="A193" s="15" t="str">
        <f>"BYV11100A0EG000"</f>
        <v>BYV11100A0EG000</v>
      </c>
      <c r="B193" s="15" t="s">
        <v>186</v>
      </c>
      <c r="C193" s="36">
        <v>965.15099999999995</v>
      </c>
      <c r="D193" s="51"/>
      <c r="E193" s="16" t="str">
        <f>"610377255929"</f>
        <v>610377255929</v>
      </c>
      <c r="F193" s="17">
        <v>1</v>
      </c>
    </row>
    <row r="194" spans="1:6">
      <c r="A194" s="18" t="str">
        <f>"BYV11120A0EG000"</f>
        <v>BYV11120A0EG000</v>
      </c>
      <c r="B194" s="18" t="s">
        <v>187</v>
      </c>
      <c r="C194" s="37">
        <v>1502.1495</v>
      </c>
      <c r="D194" s="51"/>
      <c r="E194" s="19" t="str">
        <f>"610377256025"</f>
        <v>610377256025</v>
      </c>
      <c r="F194" s="20">
        <v>1</v>
      </c>
    </row>
    <row r="195" spans="1:6">
      <c r="A195" s="15" t="str">
        <f>"C1200"</f>
        <v>C1200</v>
      </c>
      <c r="B195" s="15" t="s">
        <v>188</v>
      </c>
      <c r="C195" s="36">
        <v>290.78100000000001</v>
      </c>
      <c r="D195" s="51"/>
      <c r="E195" s="16" t="str">
        <f>"610377205832"</f>
        <v>610377205832</v>
      </c>
      <c r="F195" s="17">
        <v>1</v>
      </c>
    </row>
    <row r="196" spans="1:6">
      <c r="A196" s="18" t="str">
        <f>"C12002"</f>
        <v>C12002</v>
      </c>
      <c r="B196" s="18" t="s">
        <v>189</v>
      </c>
      <c r="C196" s="37">
        <v>290.78100000000001</v>
      </c>
      <c r="D196" s="51"/>
      <c r="E196" s="19" t="str">
        <f>"610377205849"</f>
        <v>610377205849</v>
      </c>
      <c r="F196" s="20">
        <v>1</v>
      </c>
    </row>
    <row r="197" spans="1:6">
      <c r="A197" s="15" t="str">
        <f>"C12002S"</f>
        <v>C12002S</v>
      </c>
      <c r="B197" s="15" t="s">
        <v>190</v>
      </c>
      <c r="C197" s="36">
        <v>296.13150000000002</v>
      </c>
      <c r="D197" s="51"/>
      <c r="E197" s="16" t="str">
        <f>"610377205924"</f>
        <v>610377205924</v>
      </c>
      <c r="F197" s="17">
        <v>1</v>
      </c>
    </row>
    <row r="198" spans="1:6">
      <c r="A198" s="18" t="str">
        <f>"C1502"</f>
        <v>C1502</v>
      </c>
      <c r="B198" s="18" t="s">
        <v>191</v>
      </c>
      <c r="C198" s="37">
        <v>349.67250000000001</v>
      </c>
      <c r="D198" s="51"/>
      <c r="E198" s="19" t="str">
        <f>"610377147200"</f>
        <v>610377147200</v>
      </c>
      <c r="F198" s="20">
        <v>1</v>
      </c>
    </row>
    <row r="199" spans="1:6">
      <c r="A199" s="15" t="str">
        <f>"C17502"</f>
        <v>C17502</v>
      </c>
      <c r="B199" s="15" t="s">
        <v>192</v>
      </c>
      <c r="C199" s="36">
        <v>377.88299999999998</v>
      </c>
      <c r="D199" s="51"/>
      <c r="E199" s="16" t="str">
        <f>"610377338714"</f>
        <v>610377338714</v>
      </c>
      <c r="F199" s="17">
        <v>1</v>
      </c>
    </row>
    <row r="200" spans="1:6">
      <c r="A200" s="18" t="str">
        <f>"C17502S"</f>
        <v>C17502S</v>
      </c>
      <c r="B200" s="18" t="s">
        <v>193</v>
      </c>
      <c r="C200" s="37">
        <v>382.62599999999998</v>
      </c>
      <c r="D200" s="51"/>
      <c r="E200" s="19" t="str">
        <f>"610377338721"</f>
        <v>610377338721</v>
      </c>
      <c r="F200" s="20">
        <v>1</v>
      </c>
    </row>
    <row r="201" spans="1:6">
      <c r="A201" s="15" t="str">
        <f>"C2002"</f>
        <v>C2002</v>
      </c>
      <c r="B201" s="15" t="s">
        <v>194</v>
      </c>
      <c r="C201" s="36">
        <v>414.81450000000001</v>
      </c>
      <c r="D201" s="51"/>
      <c r="E201" s="16" t="str">
        <f>"610377147217"</f>
        <v>610377147217</v>
      </c>
      <c r="F201" s="17">
        <v>1</v>
      </c>
    </row>
    <row r="202" spans="1:6">
      <c r="A202" s="18" t="str">
        <f>"C2030"</f>
        <v>C2030</v>
      </c>
      <c r="B202" s="18" t="s">
        <v>195</v>
      </c>
      <c r="C202" s="37">
        <v>479.20049999999998</v>
      </c>
      <c r="D202" s="51"/>
      <c r="E202" s="19" t="str">
        <f>"610377123907"</f>
        <v>610377123907</v>
      </c>
      <c r="F202" s="20">
        <v>1</v>
      </c>
    </row>
    <row r="203" spans="1:6">
      <c r="A203" s="15" t="str">
        <f>"C225"</f>
        <v>C225</v>
      </c>
      <c r="B203" s="15" t="s">
        <v>196</v>
      </c>
      <c r="C203" s="36">
        <v>55.543500000000002</v>
      </c>
      <c r="D203" s="51"/>
      <c r="E203" s="16" t="str">
        <f>"610377019934"</f>
        <v>610377019934</v>
      </c>
      <c r="F203" s="17">
        <v>1</v>
      </c>
    </row>
    <row r="204" spans="1:6">
      <c r="A204" s="18" t="str">
        <f>"C2251540LSS"</f>
        <v>C2251540LSS</v>
      </c>
      <c r="B204" s="18" t="s">
        <v>197</v>
      </c>
      <c r="C204" s="37">
        <v>240.88499999999999</v>
      </c>
      <c r="D204" s="51"/>
      <c r="E204" s="19" t="str">
        <f>"610377565813"</f>
        <v>610377565813</v>
      </c>
      <c r="F204" s="20">
        <v>1</v>
      </c>
    </row>
    <row r="205" spans="1:6">
      <c r="A205" s="15" t="str">
        <f>"C250"</f>
        <v>C250</v>
      </c>
      <c r="B205" s="15" t="s">
        <v>198</v>
      </c>
      <c r="C205" s="36">
        <v>125.8515</v>
      </c>
      <c r="D205" s="51"/>
      <c r="E205" s="16" t="str">
        <f>"610377020015"</f>
        <v>610377020015</v>
      </c>
      <c r="F205" s="17">
        <v>1</v>
      </c>
    </row>
    <row r="206" spans="1:6">
      <c r="A206" s="18" t="str">
        <f>"C3030"</f>
        <v>C3030</v>
      </c>
      <c r="B206" s="18" t="s">
        <v>199</v>
      </c>
      <c r="C206" s="37">
        <v>573.12900000000002</v>
      </c>
      <c r="D206" s="51"/>
      <c r="E206" s="19" t="str">
        <f>"610377123945"</f>
        <v>610377123945</v>
      </c>
      <c r="F206" s="20">
        <v>1</v>
      </c>
    </row>
    <row r="207" spans="1:6">
      <c r="A207" s="15" t="str">
        <f>"C4001575XES"</f>
        <v>C4001575XES</v>
      </c>
      <c r="B207" s="15" t="s">
        <v>200</v>
      </c>
      <c r="C207" s="36">
        <v>327.53250000000003</v>
      </c>
      <c r="D207" s="51"/>
      <c r="E207" s="16" t="str">
        <f>"610377614986"</f>
        <v>610377614986</v>
      </c>
      <c r="F207" s="17">
        <v>1</v>
      </c>
    </row>
    <row r="208" spans="1:6">
      <c r="A208" s="18" t="str">
        <f>"C4030"</f>
        <v>C4030</v>
      </c>
      <c r="B208" s="18" t="s">
        <v>201</v>
      </c>
      <c r="C208" s="37">
        <v>650.59199999999998</v>
      </c>
      <c r="D208" s="51"/>
      <c r="E208" s="19" t="str">
        <f>"610377123952"</f>
        <v>610377123952</v>
      </c>
      <c r="F208" s="20">
        <v>1</v>
      </c>
    </row>
    <row r="209" spans="1:6" ht="16" thickBot="1">
      <c r="A209" s="21" t="str">
        <f>"C500"</f>
        <v>C500</v>
      </c>
      <c r="B209" s="21" t="s">
        <v>202</v>
      </c>
      <c r="C209" s="38">
        <v>168.678</v>
      </c>
      <c r="D209" s="52"/>
      <c r="E209" s="22" t="str">
        <f>"610377020435"</f>
        <v>610377020435</v>
      </c>
      <c r="F209" s="23">
        <v>1</v>
      </c>
    </row>
    <row r="210" spans="1:6" ht="16" thickTop="1">
      <c r="A210" s="12" t="str">
        <f>"C5030"</f>
        <v>C5030</v>
      </c>
      <c r="B210" s="12" t="s">
        <v>203</v>
      </c>
      <c r="C210" s="35">
        <v>805.37400000000002</v>
      </c>
      <c r="D210" s="50"/>
      <c r="E210" s="13" t="str">
        <f>"610377123976"</f>
        <v>610377123976</v>
      </c>
      <c r="F210" s="14">
        <v>1</v>
      </c>
    </row>
    <row r="211" spans="1:6">
      <c r="A211" s="15" t="str">
        <f>"C550"</f>
        <v>C550</v>
      </c>
      <c r="B211" s="15" t="s">
        <v>204</v>
      </c>
      <c r="C211" s="36">
        <v>162.4725</v>
      </c>
      <c r="D211" s="51"/>
      <c r="E211" s="16" t="str">
        <f>"610377206488"</f>
        <v>610377206488</v>
      </c>
      <c r="F211" s="17">
        <v>1</v>
      </c>
    </row>
    <row r="212" spans="1:6">
      <c r="A212" s="18" t="str">
        <f>"C5501575XES"</f>
        <v>C5501575XES</v>
      </c>
      <c r="B212" s="18" t="s">
        <v>205</v>
      </c>
      <c r="C212" s="37">
        <v>345.95100000000002</v>
      </c>
      <c r="D212" s="51"/>
      <c r="E212" s="19" t="str">
        <f>"610377219280"</f>
        <v>610377219280</v>
      </c>
      <c r="F212" s="20">
        <v>1</v>
      </c>
    </row>
    <row r="213" spans="1:6">
      <c r="A213" s="15" t="str">
        <f>"C7030"</f>
        <v>C7030</v>
      </c>
      <c r="B213" s="15" t="s">
        <v>206</v>
      </c>
      <c r="C213" s="36">
        <v>856.58849999999995</v>
      </c>
      <c r="D213" s="51"/>
      <c r="E213" s="16" t="str">
        <f>"610377123990"</f>
        <v>610377123990</v>
      </c>
      <c r="F213" s="17">
        <v>1</v>
      </c>
    </row>
    <row r="214" spans="1:6">
      <c r="A214" s="18" t="str">
        <f>"C751"</f>
        <v>C751</v>
      </c>
      <c r="B214" s="18" t="s">
        <v>207</v>
      </c>
      <c r="C214" s="37">
        <v>214.21799999999999</v>
      </c>
      <c r="D214" s="51"/>
      <c r="E214" s="19" t="str">
        <f>"610377461979"</f>
        <v>610377461979</v>
      </c>
      <c r="F214" s="20">
        <v>1</v>
      </c>
    </row>
    <row r="215" spans="1:6">
      <c r="A215" s="15" t="str">
        <f>"C7512"</f>
        <v>C7512</v>
      </c>
      <c r="B215" s="15" t="s">
        <v>208</v>
      </c>
      <c r="C215" s="36">
        <v>216.23400000000001</v>
      </c>
      <c r="D215" s="51"/>
      <c r="E215" s="16" t="str">
        <f>"610377461986"</f>
        <v>610377461986</v>
      </c>
      <c r="F215" s="17">
        <v>1</v>
      </c>
    </row>
    <row r="216" spans="1:6">
      <c r="A216" s="18" t="str">
        <f>"C900"</f>
        <v>C900</v>
      </c>
      <c r="B216" s="18" t="s">
        <v>209</v>
      </c>
      <c r="C216" s="37">
        <v>246.53700000000001</v>
      </c>
      <c r="D216" s="51"/>
      <c r="E216" s="19" t="str">
        <f>"610377178341"</f>
        <v>610377178341</v>
      </c>
      <c r="F216" s="20">
        <v>1</v>
      </c>
    </row>
    <row r="217" spans="1:6">
      <c r="A217" s="15" t="str">
        <f>"C9002"</f>
        <v>C9002</v>
      </c>
      <c r="B217" s="15" t="s">
        <v>210</v>
      </c>
      <c r="C217" s="36">
        <v>246.636</v>
      </c>
      <c r="D217" s="51"/>
      <c r="E217" s="16" t="str">
        <f>"610377205818"</f>
        <v>610377205818</v>
      </c>
      <c r="F217" s="17">
        <v>1</v>
      </c>
    </row>
    <row r="218" spans="1:6">
      <c r="A218" s="18" t="str">
        <f>"C9002S"</f>
        <v>C9002S</v>
      </c>
      <c r="B218" s="18" t="s">
        <v>211</v>
      </c>
      <c r="C218" s="37">
        <v>251.96850000000001</v>
      </c>
      <c r="D218" s="51"/>
      <c r="E218" s="19" t="str">
        <f>"610377205825"</f>
        <v>610377205825</v>
      </c>
      <c r="F218" s="20">
        <v>1</v>
      </c>
    </row>
    <row r="219" spans="1:6">
      <c r="A219" s="15" t="str">
        <f>"C9002SEP"</f>
        <v>C9002SEP</v>
      </c>
      <c r="B219" s="15" t="s">
        <v>212</v>
      </c>
      <c r="C219" s="36">
        <v>257.49450000000002</v>
      </c>
      <c r="D219" s="51"/>
      <c r="E219" s="16" t="str">
        <f>"610377541794"</f>
        <v>610377541794</v>
      </c>
      <c r="F219" s="17">
        <v>1</v>
      </c>
    </row>
    <row r="220" spans="1:6">
      <c r="A220" s="18" t="str">
        <f>"CA400075CELLAU"</f>
        <v>CA400075CELLAU</v>
      </c>
      <c r="B220" s="18" t="s">
        <v>213</v>
      </c>
      <c r="C220" s="51"/>
      <c r="D220" s="31">
        <v>2107.25</v>
      </c>
      <c r="E220" s="29" t="str">
        <f>"610377233712"</f>
        <v>610377233712</v>
      </c>
      <c r="F220" s="20">
        <v>1</v>
      </c>
    </row>
    <row r="221" spans="1:6">
      <c r="A221" s="15" t="str">
        <f>"CA400075WIFIAU"</f>
        <v>CA400075WIFIAU</v>
      </c>
      <c r="B221" s="15" t="s">
        <v>214</v>
      </c>
      <c r="C221" s="51"/>
      <c r="D221" s="30">
        <v>2066.2199999999998</v>
      </c>
      <c r="E221" s="28" t="str">
        <f>"610377233705"</f>
        <v>610377233705</v>
      </c>
      <c r="F221" s="17">
        <v>1</v>
      </c>
    </row>
    <row r="222" spans="1:6">
      <c r="A222" s="18" t="str">
        <f>"CA500075CELLAU"</f>
        <v>CA500075CELLAU</v>
      </c>
      <c r="B222" s="18" t="s">
        <v>215</v>
      </c>
      <c r="C222" s="51"/>
      <c r="D222" s="31">
        <v>2561.27</v>
      </c>
      <c r="E222" s="29" t="str">
        <f>"610377233811"</f>
        <v>610377233811</v>
      </c>
      <c r="F222" s="20">
        <v>1</v>
      </c>
    </row>
    <row r="223" spans="1:6">
      <c r="A223" s="15" t="str">
        <f>"CA500075CELULAU"</f>
        <v>CA500075CELULAU</v>
      </c>
      <c r="B223" s="15" t="s">
        <v>216</v>
      </c>
      <c r="C223" s="51"/>
      <c r="D223" s="30">
        <v>2561.27</v>
      </c>
      <c r="E223" s="28" t="str">
        <f>"610377234122"</f>
        <v>610377234122</v>
      </c>
      <c r="F223" s="17">
        <v>1</v>
      </c>
    </row>
    <row r="224" spans="1:6">
      <c r="A224" s="18" t="str">
        <f>"CA500075DS100AU"</f>
        <v>CA500075DS100AU</v>
      </c>
      <c r="B224" s="18" t="s">
        <v>217</v>
      </c>
      <c r="C224" s="51"/>
      <c r="D224" s="31">
        <v>2471.89</v>
      </c>
      <c r="E224" s="29" t="str">
        <f>"610377233859"</f>
        <v>610377233859</v>
      </c>
      <c r="F224" s="20">
        <v>1</v>
      </c>
    </row>
    <row r="225" spans="1:6">
      <c r="A225" s="15" t="str">
        <f>"CA500075DSULAU"</f>
        <v>CA500075DSULAU</v>
      </c>
      <c r="B225" s="15" t="s">
        <v>218</v>
      </c>
      <c r="C225" s="51"/>
      <c r="D225" s="30">
        <v>2471.89</v>
      </c>
      <c r="E225" s="28" t="str">
        <f>"610377233835"</f>
        <v>610377233835</v>
      </c>
      <c r="F225" s="17">
        <v>1</v>
      </c>
    </row>
    <row r="226" spans="1:6">
      <c r="A226" s="18" t="str">
        <f>"CA500075WIFIAU"</f>
        <v>CA500075WIFIAU</v>
      </c>
      <c r="B226" s="18" t="s">
        <v>219</v>
      </c>
      <c r="C226" s="51"/>
      <c r="D226" s="31">
        <v>2518.7800000000002</v>
      </c>
      <c r="E226" s="29" t="str">
        <f>"610377233804"</f>
        <v>610377233804</v>
      </c>
      <c r="F226" s="20">
        <v>1</v>
      </c>
    </row>
    <row r="227" spans="1:6">
      <c r="A227" s="15" t="str">
        <f>"CA500075WIFULAU"</f>
        <v>CA500075WIFULAU</v>
      </c>
      <c r="B227" s="15" t="s">
        <v>220</v>
      </c>
      <c r="C227" s="51"/>
      <c r="D227" s="30">
        <v>2518.7800000000002</v>
      </c>
      <c r="E227" s="28" t="str">
        <f>"610377233934"</f>
        <v>610377233934</v>
      </c>
      <c r="F227" s="17">
        <v>1</v>
      </c>
    </row>
    <row r="228" spans="1:6">
      <c r="A228" s="18" t="str">
        <f>"CA5000CELLUL-AU"</f>
        <v>CA5000CELLUL-AU</v>
      </c>
      <c r="B228" s="18" t="s">
        <v>221</v>
      </c>
      <c r="C228" s="51"/>
      <c r="D228" s="31">
        <v>2337.06</v>
      </c>
      <c r="E228" s="29" t="str">
        <f>"610377233910"</f>
        <v>610377233910</v>
      </c>
      <c r="F228" s="20">
        <v>1</v>
      </c>
    </row>
    <row r="229" spans="1:6">
      <c r="A229" s="15" t="str">
        <f>"CA5000DS1ULAU"</f>
        <v>CA5000DS1ULAU</v>
      </c>
      <c r="B229" s="15" t="s">
        <v>222</v>
      </c>
      <c r="C229" s="51"/>
      <c r="D229" s="30">
        <v>2247.69</v>
      </c>
      <c r="E229" s="28" t="str">
        <f>"610377233828"</f>
        <v>610377233828</v>
      </c>
      <c r="F229" s="17">
        <v>1</v>
      </c>
    </row>
    <row r="230" spans="1:6">
      <c r="A230" s="18" t="str">
        <f>"CA5000WIFIUL-AU"</f>
        <v>CA5000WIFIUL-AU</v>
      </c>
      <c r="B230" s="18" t="s">
        <v>223</v>
      </c>
      <c r="C230" s="51"/>
      <c r="D230" s="31">
        <v>2294.5700000000002</v>
      </c>
      <c r="E230" s="29" t="str">
        <f>"610377233903"</f>
        <v>610377233903</v>
      </c>
      <c r="F230" s="20">
        <v>1</v>
      </c>
    </row>
    <row r="231" spans="1:6">
      <c r="A231" s="15" t="str">
        <f>"CAT-1000-CO2"</f>
        <v>CAT-1000-CO2</v>
      </c>
      <c r="B231" s="15" t="s">
        <v>224</v>
      </c>
      <c r="C231" s="51"/>
      <c r="D231" s="30">
        <v>838.54</v>
      </c>
      <c r="E231" s="28" t="str">
        <f>"761418011759"</f>
        <v>761418011759</v>
      </c>
      <c r="F231" s="17">
        <v>1</v>
      </c>
    </row>
    <row r="232" spans="1:6">
      <c r="A232" s="18" t="str">
        <f>"CAT-1000-CO2-UL"</f>
        <v>CAT-1000-CO2-UL</v>
      </c>
      <c r="B232" s="18" t="s">
        <v>225</v>
      </c>
      <c r="C232" s="51"/>
      <c r="D232" s="31">
        <v>838.54</v>
      </c>
      <c r="E232" s="29" t="str">
        <f>"761418011803"</f>
        <v>761418011803</v>
      </c>
      <c r="F232" s="20">
        <v>1</v>
      </c>
    </row>
    <row r="233" spans="1:6">
      <c r="A233" s="15" t="str">
        <f>"CAT-1000-ORP"</f>
        <v>CAT-1000-ORP</v>
      </c>
      <c r="B233" s="15" t="s">
        <v>226</v>
      </c>
      <c r="C233" s="51"/>
      <c r="D233" s="30">
        <v>659.18</v>
      </c>
      <c r="E233" s="28" t="str">
        <f>"761418011773"</f>
        <v>761418011773</v>
      </c>
      <c r="F233" s="17">
        <v>1</v>
      </c>
    </row>
    <row r="234" spans="1:6">
      <c r="A234" s="18" t="str">
        <f>"CAT-1000-ORP-UL"</f>
        <v>CAT-1000-ORP-UL</v>
      </c>
      <c r="B234" s="18" t="s">
        <v>227</v>
      </c>
      <c r="C234" s="51"/>
      <c r="D234" s="31">
        <v>659.18</v>
      </c>
      <c r="E234" s="29" t="str">
        <f>"761418011827"</f>
        <v>761418011827</v>
      </c>
      <c r="F234" s="20">
        <v>1</v>
      </c>
    </row>
    <row r="235" spans="1:6">
      <c r="A235" s="15" t="str">
        <f>"CAT-1000-PH"</f>
        <v>CAT-1000-PH</v>
      </c>
      <c r="B235" s="15" t="s">
        <v>228</v>
      </c>
      <c r="C235" s="51"/>
      <c r="D235" s="30">
        <v>659.18</v>
      </c>
      <c r="E235" s="28" t="str">
        <f>"761418011742"</f>
        <v>761418011742</v>
      </c>
      <c r="F235" s="17">
        <v>1</v>
      </c>
    </row>
    <row r="236" spans="1:6">
      <c r="A236" s="18" t="str">
        <f>"CAT-1000-PH-UL"</f>
        <v>CAT-1000-PH-UL</v>
      </c>
      <c r="B236" s="18" t="s">
        <v>229</v>
      </c>
      <c r="C236" s="51"/>
      <c r="D236" s="31">
        <v>659.18</v>
      </c>
      <c r="E236" s="29" t="str">
        <f>"761418011797"</f>
        <v>761418011797</v>
      </c>
      <c r="F236" s="20">
        <v>1</v>
      </c>
    </row>
    <row r="237" spans="1:6">
      <c r="A237" s="15" t="str">
        <f>"CAT-1000-PTC"</f>
        <v>CAT-1000-PTC</v>
      </c>
      <c r="B237" s="15" t="s">
        <v>230</v>
      </c>
      <c r="C237" s="51"/>
      <c r="D237" s="30">
        <v>1051.54</v>
      </c>
      <c r="E237" s="28" t="str">
        <f>"761418011766"</f>
        <v>761418011766</v>
      </c>
      <c r="F237" s="17">
        <v>1</v>
      </c>
    </row>
    <row r="238" spans="1:6">
      <c r="A238" s="18" t="str">
        <f>"CAT-1000-PTC-UL"</f>
        <v>CAT-1000-PTC-UL</v>
      </c>
      <c r="B238" s="18" t="s">
        <v>231</v>
      </c>
      <c r="C238" s="51"/>
      <c r="D238" s="31">
        <v>1051.54</v>
      </c>
      <c r="E238" s="29" t="str">
        <f>"761418011810"</f>
        <v>761418011810</v>
      </c>
      <c r="F238" s="20">
        <v>1</v>
      </c>
    </row>
    <row r="239" spans="1:6">
      <c r="A239" s="15" t="str">
        <f>"CAT-1000ORPPTC"</f>
        <v>CAT-1000ORPPTC</v>
      </c>
      <c r="B239" s="15" t="s">
        <v>232</v>
      </c>
      <c r="C239" s="51"/>
      <c r="D239" s="30">
        <v>1051.54</v>
      </c>
      <c r="E239" s="28" t="str">
        <f>"761418011780"</f>
        <v>761418011780</v>
      </c>
      <c r="F239" s="17">
        <v>1</v>
      </c>
    </row>
    <row r="240" spans="1:6">
      <c r="A240" s="18" t="str">
        <f>"CAT-2000"</f>
        <v>CAT-2000</v>
      </c>
      <c r="B240" s="18" t="s">
        <v>233</v>
      </c>
      <c r="C240" s="51"/>
      <c r="D240" s="31">
        <v>988.75</v>
      </c>
      <c r="E240" s="29" t="str">
        <f>"761418011841"</f>
        <v>761418011841</v>
      </c>
      <c r="F240" s="20">
        <v>1</v>
      </c>
    </row>
    <row r="241" spans="1:6">
      <c r="A241" s="15" t="str">
        <f>"CAT-2000-AU"</f>
        <v>CAT-2000-AU</v>
      </c>
      <c r="B241" s="15" t="s">
        <v>234</v>
      </c>
      <c r="C241" s="51"/>
      <c r="D241" s="30">
        <v>988.75</v>
      </c>
      <c r="E241" s="28" t="str">
        <f>"610377233545"</f>
        <v>610377233545</v>
      </c>
      <c r="F241" s="17">
        <v>1</v>
      </c>
    </row>
    <row r="242" spans="1:6">
      <c r="A242" s="18" t="str">
        <f>"CAT-4000-CELL"</f>
        <v>CAT-4000-CELL</v>
      </c>
      <c r="B242" s="18" t="s">
        <v>235</v>
      </c>
      <c r="C242" s="51"/>
      <c r="D242" s="31">
        <v>1902.09</v>
      </c>
      <c r="E242" s="29" t="str">
        <f>"610377220378"</f>
        <v>610377220378</v>
      </c>
      <c r="F242" s="20">
        <v>1</v>
      </c>
    </row>
    <row r="243" spans="1:6">
      <c r="A243" s="15" t="str">
        <f>"CAT-4000-CELLAU"</f>
        <v>CAT-4000-CELLAU</v>
      </c>
      <c r="B243" s="15" t="s">
        <v>236</v>
      </c>
      <c r="C243" s="51"/>
      <c r="D243" s="30">
        <v>1902.09</v>
      </c>
      <c r="E243" s="28" t="str">
        <f>"610377233613"</f>
        <v>610377233613</v>
      </c>
      <c r="F243" s="17">
        <v>1</v>
      </c>
    </row>
    <row r="244" spans="1:6">
      <c r="A244" s="15" t="str">
        <f>"CAT-4000-WIFI"</f>
        <v>CAT-4000-WIFI</v>
      </c>
      <c r="B244" s="15" t="s">
        <v>237</v>
      </c>
      <c r="C244" s="51"/>
      <c r="D244" s="30">
        <v>1861.06</v>
      </c>
      <c r="E244" s="28" t="str">
        <f>"610377220323"</f>
        <v>610377220323</v>
      </c>
      <c r="F244" s="17">
        <v>1</v>
      </c>
    </row>
    <row r="245" spans="1:6">
      <c r="A245" s="18" t="str">
        <f>"CAT-4000-WIFIAU"</f>
        <v>CAT-4000-WIFIAU</v>
      </c>
      <c r="B245" s="18" t="s">
        <v>238</v>
      </c>
      <c r="C245" s="51"/>
      <c r="D245" s="31">
        <v>1861.06</v>
      </c>
      <c r="E245" s="29" t="str">
        <f>"610377233606"</f>
        <v>610377233606</v>
      </c>
      <c r="F245" s="20">
        <v>1</v>
      </c>
    </row>
    <row r="246" spans="1:6">
      <c r="A246" s="18" t="str">
        <f>"CAT-5000-CELL"</f>
        <v>CAT-5000-CELL</v>
      </c>
      <c r="B246" s="18" t="s">
        <v>239</v>
      </c>
      <c r="C246" s="51"/>
      <c r="D246" s="31">
        <v>2337.06</v>
      </c>
      <c r="E246" s="29" t="str">
        <f>"610377220408"</f>
        <v>610377220408</v>
      </c>
      <c r="F246" s="20">
        <v>1</v>
      </c>
    </row>
    <row r="247" spans="1:6">
      <c r="A247" s="15" t="str">
        <f>"CAT-5000-CELLAU"</f>
        <v>CAT-5000-CELLAU</v>
      </c>
      <c r="B247" s="15" t="s">
        <v>240</v>
      </c>
      <c r="C247" s="51"/>
      <c r="D247" s="30">
        <v>2337.06</v>
      </c>
      <c r="E247" s="28" t="str">
        <f>"610377233743"</f>
        <v>610377233743</v>
      </c>
      <c r="F247" s="17">
        <v>1</v>
      </c>
    </row>
    <row r="248" spans="1:6">
      <c r="A248" s="18" t="str">
        <f>"CAT-5000-DS100"</f>
        <v>CAT-5000-DS100</v>
      </c>
      <c r="B248" s="18" t="s">
        <v>241</v>
      </c>
      <c r="C248" s="51"/>
      <c r="D248" s="31">
        <v>2247.69</v>
      </c>
      <c r="E248" s="29" t="str">
        <f>"761418011957"</f>
        <v>761418011957</v>
      </c>
      <c r="F248" s="20">
        <v>1</v>
      </c>
    </row>
    <row r="249" spans="1:6">
      <c r="A249" s="15" t="str">
        <f>"CAT-5000-WIFI"</f>
        <v>CAT-5000-WIFI</v>
      </c>
      <c r="B249" s="15" t="s">
        <v>242</v>
      </c>
      <c r="C249" s="51"/>
      <c r="D249" s="30">
        <v>2294.5700000000002</v>
      </c>
      <c r="E249" s="28" t="str">
        <f>"610377220392"</f>
        <v>610377220392</v>
      </c>
      <c r="F249" s="17">
        <v>1</v>
      </c>
    </row>
    <row r="250" spans="1:6">
      <c r="A250" s="18" t="str">
        <f>"CAT-5000-WIFIAU"</f>
        <v>CAT-5000-WIFIAU</v>
      </c>
      <c r="B250" s="18" t="s">
        <v>243</v>
      </c>
      <c r="C250" s="51"/>
      <c r="D250" s="31">
        <v>2294.5700000000002</v>
      </c>
      <c r="E250" s="29" t="str">
        <f>"610377233736"</f>
        <v>610377233736</v>
      </c>
      <c r="F250" s="20">
        <v>1</v>
      </c>
    </row>
    <row r="251" spans="1:6">
      <c r="A251" s="15" t="str">
        <f>"CAT-PP2000"</f>
        <v>CAT-PP2000</v>
      </c>
      <c r="B251" s="15" t="s">
        <v>244</v>
      </c>
      <c r="C251" s="51"/>
      <c r="D251" s="30">
        <v>1428.2</v>
      </c>
      <c r="E251" s="28" t="str">
        <f>"761418011865"</f>
        <v>761418011865</v>
      </c>
      <c r="F251" s="17">
        <v>1</v>
      </c>
    </row>
    <row r="252" spans="1:6">
      <c r="A252" s="18" t="str">
        <f>"CAT-PP2000-AU"</f>
        <v>CAT-PP2000-AU</v>
      </c>
      <c r="B252" s="18" t="s">
        <v>245</v>
      </c>
      <c r="C252" s="51"/>
      <c r="D252" s="31">
        <v>1428.2</v>
      </c>
      <c r="E252" s="29" t="str">
        <f>"610377233552"</f>
        <v>610377233552</v>
      </c>
      <c r="F252" s="20">
        <v>1</v>
      </c>
    </row>
    <row r="253" spans="1:6" ht="16" thickBot="1">
      <c r="A253" s="21" t="str">
        <f>"CAT1000ORPPTCUL"</f>
        <v>CAT1000ORPPTCUL</v>
      </c>
      <c r="B253" s="21" t="s">
        <v>246</v>
      </c>
      <c r="C253" s="49"/>
      <c r="D253" s="30">
        <v>1051.54</v>
      </c>
      <c r="E253" s="32" t="str">
        <f>"761418011834"</f>
        <v>761418011834</v>
      </c>
      <c r="F253" s="23">
        <v>1</v>
      </c>
    </row>
    <row r="254" spans="1:6" ht="16" thickTop="1">
      <c r="A254" s="12" t="str">
        <f>"CAT4000075-CELL"</f>
        <v>CAT4000075-CELL</v>
      </c>
      <c r="B254" s="12" t="s">
        <v>247</v>
      </c>
      <c r="C254" s="51"/>
      <c r="D254" s="31">
        <v>2107.25</v>
      </c>
      <c r="E254" s="33" t="str">
        <f>"610377220385"</f>
        <v>610377220385</v>
      </c>
      <c r="F254" s="14">
        <v>1</v>
      </c>
    </row>
    <row r="255" spans="1:6">
      <c r="A255" s="15" t="str">
        <f>"CAT4000075-WIFI"</f>
        <v>CAT4000075-WIFI</v>
      </c>
      <c r="B255" s="15" t="s">
        <v>248</v>
      </c>
      <c r="C255" s="51"/>
      <c r="D255" s="30">
        <v>2066.2199999999998</v>
      </c>
      <c r="E255" s="28" t="str">
        <f>"610377220293"</f>
        <v>610377220293</v>
      </c>
      <c r="F255" s="17">
        <v>1</v>
      </c>
    </row>
    <row r="256" spans="1:6">
      <c r="A256" s="18" t="str">
        <f>"CAT4000CELLCSO"</f>
        <v>CAT4000CELLCSO</v>
      </c>
      <c r="B256" s="18" t="s">
        <v>249</v>
      </c>
      <c r="C256" s="51"/>
      <c r="D256" s="31">
        <v>967.72</v>
      </c>
      <c r="E256" s="29" t="str">
        <f>"610377265546"</f>
        <v>610377265546</v>
      </c>
      <c r="F256" s="20">
        <v>1</v>
      </c>
    </row>
    <row r="257" spans="1:6">
      <c r="A257" s="15" t="str">
        <f>"CAT4000CSOCELL"</f>
        <v>CAT4000CSOCELL</v>
      </c>
      <c r="B257" s="15" t="s">
        <v>249</v>
      </c>
      <c r="C257" s="51"/>
      <c r="D257" s="30">
        <v>967.72</v>
      </c>
      <c r="E257" s="28" t="str">
        <f>"610377220910"</f>
        <v>610377220910</v>
      </c>
      <c r="F257" s="17">
        <v>1</v>
      </c>
    </row>
    <row r="258" spans="1:6">
      <c r="A258" s="18" t="str">
        <f>"CAT4000CSOWIFI"</f>
        <v>CAT4000CSOWIFI</v>
      </c>
      <c r="B258" s="18" t="s">
        <v>250</v>
      </c>
      <c r="C258" s="51"/>
      <c r="D258" s="40">
        <v>926.42</v>
      </c>
      <c r="E258" s="29" t="str">
        <f>"610377220859"</f>
        <v>610377220859</v>
      </c>
      <c r="F258" s="20">
        <v>1</v>
      </c>
    </row>
    <row r="259" spans="1:6">
      <c r="A259" s="18" t="str">
        <f>"CAT4000WIFICSO"</f>
        <v>CAT4000WIFICSO</v>
      </c>
      <c r="B259" s="18" t="s">
        <v>250</v>
      </c>
      <c r="C259" s="51"/>
      <c r="D259" s="40">
        <v>926.42</v>
      </c>
      <c r="E259" s="29" t="str">
        <f>"610377269339"</f>
        <v>610377269339</v>
      </c>
      <c r="F259" s="20">
        <v>1</v>
      </c>
    </row>
    <row r="260" spans="1:6">
      <c r="A260" s="15" t="str">
        <f>"CAT5000-CELL-UL"</f>
        <v>CAT5000-CELL-UL</v>
      </c>
      <c r="B260" s="15" t="s">
        <v>251</v>
      </c>
      <c r="C260" s="51"/>
      <c r="D260" s="30">
        <v>2337.06</v>
      </c>
      <c r="E260" s="28" t="str">
        <f>"610377220545"</f>
        <v>610377220545</v>
      </c>
      <c r="F260" s="17">
        <v>1</v>
      </c>
    </row>
    <row r="261" spans="1:6">
      <c r="A261" s="18" t="str">
        <f>"CAT5000-WIFI-UL"</f>
        <v>CAT5000-WIFI-UL</v>
      </c>
      <c r="B261" s="18" t="s">
        <v>252</v>
      </c>
      <c r="C261" s="51"/>
      <c r="D261" s="31">
        <v>2294.5700000000002</v>
      </c>
      <c r="E261" s="29" t="str">
        <f>"610377220439"</f>
        <v>610377220439</v>
      </c>
      <c r="F261" s="20">
        <v>1</v>
      </c>
    </row>
    <row r="262" spans="1:6">
      <c r="A262" s="15" t="str">
        <f>"CAT5000075-CELL"</f>
        <v>CAT5000075-CELL</v>
      </c>
      <c r="B262" s="15" t="s">
        <v>253</v>
      </c>
      <c r="C262" s="51"/>
      <c r="D262" s="30">
        <v>2561.27</v>
      </c>
      <c r="E262" s="28" t="str">
        <f>"610377220422"</f>
        <v>610377220422</v>
      </c>
      <c r="F262" s="17">
        <v>1</v>
      </c>
    </row>
    <row r="263" spans="1:6">
      <c r="A263" s="18" t="str">
        <f>"CAT5000075-WIFI"</f>
        <v>CAT5000075-WIFI</v>
      </c>
      <c r="B263" s="18" t="s">
        <v>254</v>
      </c>
      <c r="C263" s="51"/>
      <c r="D263" s="31">
        <v>2518.7800000000002</v>
      </c>
      <c r="E263" s="29" t="str">
        <f>"610377220415"</f>
        <v>610377220415</v>
      </c>
      <c r="F263" s="20">
        <v>1</v>
      </c>
    </row>
    <row r="264" spans="1:6">
      <c r="A264" s="15" t="str">
        <f>"CAT5000075DS100"</f>
        <v>CAT5000075DS100</v>
      </c>
      <c r="B264" s="15" t="s">
        <v>255</v>
      </c>
      <c r="C264" s="51"/>
      <c r="D264" s="30">
        <v>2471.89</v>
      </c>
      <c r="E264" s="28" t="str">
        <f>"761418011988"</f>
        <v>761418011988</v>
      </c>
      <c r="F264" s="17">
        <v>1</v>
      </c>
    </row>
    <row r="265" spans="1:6">
      <c r="A265" s="18" t="str">
        <f>"CAT500075D100UL"</f>
        <v>CAT500075D100UL</v>
      </c>
      <c r="B265" s="18" t="s">
        <v>256</v>
      </c>
      <c r="C265" s="51"/>
      <c r="D265" s="31">
        <v>2471.89</v>
      </c>
      <c r="E265" s="29" t="str">
        <f>"761418012046"</f>
        <v>761418012046</v>
      </c>
      <c r="F265" s="20">
        <v>1</v>
      </c>
    </row>
    <row r="266" spans="1:6">
      <c r="A266" s="15" t="str">
        <f>"CAT5000CELLCSO"</f>
        <v>CAT5000CELLCSO</v>
      </c>
      <c r="B266" s="15" t="s">
        <v>257</v>
      </c>
      <c r="C266" s="51"/>
      <c r="D266" s="30">
        <v>1114.24</v>
      </c>
      <c r="E266" s="28" t="str">
        <f>"610377265553"</f>
        <v>610377265553</v>
      </c>
      <c r="F266" s="17">
        <v>1</v>
      </c>
    </row>
    <row r="267" spans="1:6">
      <c r="A267" s="18" t="str">
        <f>"CAT5000CSOCELL"</f>
        <v>CAT5000CSOCELL</v>
      </c>
      <c r="B267" s="18" t="s">
        <v>257</v>
      </c>
      <c r="C267" s="51"/>
      <c r="D267" s="31">
        <v>1114.24</v>
      </c>
      <c r="E267" s="29" t="str">
        <f>"610377220989"</f>
        <v>610377220989</v>
      </c>
      <c r="F267" s="20">
        <v>1</v>
      </c>
    </row>
    <row r="268" spans="1:6">
      <c r="A268" s="15" t="str">
        <f>"CAT5000CSOWIFI"</f>
        <v>CAT5000CSOWIFI</v>
      </c>
      <c r="B268" s="15" t="s">
        <v>258</v>
      </c>
      <c r="C268" s="51"/>
      <c r="D268" s="30">
        <v>1071.75</v>
      </c>
      <c r="E268" s="28" t="str">
        <f>"610377221252"</f>
        <v>610377221252</v>
      </c>
      <c r="F268" s="17">
        <v>1</v>
      </c>
    </row>
    <row r="269" spans="1:6">
      <c r="A269" s="18" t="str">
        <f>"CAT5000DS100-AU"</f>
        <v>CAT5000DS100-AU</v>
      </c>
      <c r="B269" s="18" t="s">
        <v>259</v>
      </c>
      <c r="C269" s="51"/>
      <c r="D269" s="31">
        <v>2247.69</v>
      </c>
      <c r="E269" s="29" t="str">
        <f>"610377233750"</f>
        <v>610377233750</v>
      </c>
      <c r="F269" s="20">
        <v>1</v>
      </c>
    </row>
    <row r="270" spans="1:6">
      <c r="A270" s="15" t="str">
        <f>"CAT5000DS100CSO"</f>
        <v>CAT5000DS100CSO</v>
      </c>
      <c r="B270" s="15" t="s">
        <v>260</v>
      </c>
      <c r="C270" s="51"/>
      <c r="D270" s="30">
        <v>1024.8599999999999</v>
      </c>
      <c r="E270" s="28" t="str">
        <f>"610377205443"</f>
        <v>610377205443</v>
      </c>
      <c r="F270" s="17">
        <v>1</v>
      </c>
    </row>
    <row r="271" spans="1:6">
      <c r="A271" s="18" t="str">
        <f>"CAT5000DS100UL"</f>
        <v>CAT5000DS100UL</v>
      </c>
      <c r="B271" s="18" t="s">
        <v>261</v>
      </c>
      <c r="C271" s="51"/>
      <c r="D271" s="31">
        <v>2247.69</v>
      </c>
      <c r="E271" s="29" t="str">
        <f>"761418012015"</f>
        <v>761418012015</v>
      </c>
      <c r="F271" s="20">
        <v>1</v>
      </c>
    </row>
    <row r="272" spans="1:6">
      <c r="A272" s="15" t="str">
        <f>"CAT5000WIFICSO"</f>
        <v>CAT5000WIFICSO</v>
      </c>
      <c r="B272" s="15" t="s">
        <v>258</v>
      </c>
      <c r="C272" s="51"/>
      <c r="D272" s="30">
        <v>1071.75</v>
      </c>
      <c r="E272" s="28" t="str">
        <f>"610377265560"</f>
        <v>610377265560</v>
      </c>
      <c r="F272" s="17">
        <v>1</v>
      </c>
    </row>
    <row r="273" spans="1:6">
      <c r="A273" s="18" t="str">
        <f>"CC10080S"</f>
        <v>CC10080S</v>
      </c>
      <c r="B273" s="18" t="s">
        <v>262</v>
      </c>
      <c r="C273" s="18">
        <v>376.77600000000001</v>
      </c>
      <c r="D273" s="53"/>
      <c r="E273" s="29" t="str">
        <f>"610377147255"</f>
        <v>610377147255</v>
      </c>
      <c r="F273" s="20">
        <v>1</v>
      </c>
    </row>
    <row r="274" spans="1:6">
      <c r="A274" s="15" t="str">
        <f>"CC10080STL"</f>
        <v>CC10080STL</v>
      </c>
      <c r="B274" s="15" t="s">
        <v>263</v>
      </c>
      <c r="C274" s="36">
        <v>383.58</v>
      </c>
      <c r="D274" s="51"/>
      <c r="E274" s="16" t="str">
        <f>"610377147262"</f>
        <v>610377147262</v>
      </c>
      <c r="F274" s="17">
        <v>1</v>
      </c>
    </row>
    <row r="275" spans="1:6">
      <c r="A275" s="18" t="str">
        <f>"CC100922S"</f>
        <v>CC100922S</v>
      </c>
      <c r="B275" s="18" t="s">
        <v>264</v>
      </c>
      <c r="C275" s="37">
        <v>435.76650000000001</v>
      </c>
      <c r="D275" s="51"/>
      <c r="E275" s="19" t="str">
        <f>"610377079327"</f>
        <v>610377079327</v>
      </c>
      <c r="F275" s="20">
        <v>1</v>
      </c>
    </row>
    <row r="276" spans="1:6">
      <c r="A276" s="15" t="str">
        <f>"CC10092S"</f>
        <v>CC10092S</v>
      </c>
      <c r="B276" s="15" t="s">
        <v>265</v>
      </c>
      <c r="C276" s="36">
        <v>397.03050000000002</v>
      </c>
      <c r="D276" s="51"/>
      <c r="E276" s="16" t="str">
        <f>"610377851251"</f>
        <v>610377851251</v>
      </c>
      <c r="F276" s="17">
        <v>1</v>
      </c>
    </row>
    <row r="277" spans="1:6">
      <c r="A277" s="18" t="str">
        <f>"CC10092SFT *"</f>
        <v>CC10092SFT *</v>
      </c>
      <c r="B277" s="18" t="s">
        <v>266</v>
      </c>
      <c r="C277" s="37">
        <v>430.947</v>
      </c>
      <c r="D277" s="51"/>
      <c r="E277" s="19" t="str">
        <f>"610377851268"</f>
        <v>610377851268</v>
      </c>
      <c r="F277" s="20">
        <v>1</v>
      </c>
    </row>
    <row r="278" spans="1:6">
      <c r="A278" s="15" t="str">
        <f>"CC10092SFTTL"</f>
        <v>CC10092SFTTL</v>
      </c>
      <c r="B278" s="15" t="s">
        <v>267</v>
      </c>
      <c r="C278" s="36">
        <v>437.89499999999998</v>
      </c>
      <c r="D278" s="51"/>
      <c r="E278" s="16" t="str">
        <f>"610377851282"</f>
        <v>610377851282</v>
      </c>
      <c r="F278" s="17">
        <v>1</v>
      </c>
    </row>
    <row r="279" spans="1:6">
      <c r="A279" s="18" t="str">
        <f>"CC10092STL"</f>
        <v>CC10092STL</v>
      </c>
      <c r="B279" s="18" t="s">
        <v>268</v>
      </c>
      <c r="C279" s="37">
        <v>403.75799999999998</v>
      </c>
      <c r="D279" s="51"/>
      <c r="E279" s="19" t="str">
        <f>"610377851275"</f>
        <v>610377851275</v>
      </c>
      <c r="F279" s="20">
        <v>1</v>
      </c>
    </row>
    <row r="280" spans="1:6">
      <c r="A280" s="15" t="str">
        <f>"CC15080X5S"</f>
        <v>CC15080X5S</v>
      </c>
      <c r="B280" s="15" t="s">
        <v>269</v>
      </c>
      <c r="C280" s="36">
        <v>402.27300000000002</v>
      </c>
      <c r="D280" s="51"/>
      <c r="E280" s="16" t="str">
        <f>"610377147279"</f>
        <v>610377147279</v>
      </c>
      <c r="F280" s="17">
        <v>1</v>
      </c>
    </row>
    <row r="281" spans="1:6">
      <c r="A281" s="18" t="str">
        <f>"CC15080X5STL"</f>
        <v>CC15080X5STL</v>
      </c>
      <c r="B281" s="18" t="s">
        <v>270</v>
      </c>
      <c r="C281" s="37">
        <v>409.08600000000001</v>
      </c>
      <c r="D281" s="51"/>
      <c r="E281" s="19" t="str">
        <f>"610377147286"</f>
        <v>610377147286</v>
      </c>
      <c r="F281" s="20">
        <v>1</v>
      </c>
    </row>
    <row r="282" spans="1:6">
      <c r="A282" s="15" t="str">
        <f>"CC15091S"</f>
        <v>CC15091S</v>
      </c>
      <c r="B282" s="15" t="s">
        <v>271</v>
      </c>
      <c r="C282" s="36">
        <v>349.92899999999997</v>
      </c>
      <c r="D282" s="51"/>
      <c r="E282" s="16" t="str">
        <f>"610377018456"</f>
        <v>610377018456</v>
      </c>
      <c r="F282" s="17">
        <v>1</v>
      </c>
    </row>
    <row r="283" spans="1:6">
      <c r="A283" s="18" t="str">
        <f>"CC15091STL"</f>
        <v>CC15091STL</v>
      </c>
      <c r="B283" s="18" t="s">
        <v>272</v>
      </c>
      <c r="C283" s="37">
        <v>356.79599999999999</v>
      </c>
      <c r="D283" s="51"/>
      <c r="E283" s="19" t="str">
        <f>"610377257640"</f>
        <v>610377257640</v>
      </c>
      <c r="F283" s="20">
        <v>1</v>
      </c>
    </row>
    <row r="284" spans="1:6">
      <c r="A284" s="15" t="str">
        <f>"CC15092STL"</f>
        <v>CC15092STL</v>
      </c>
      <c r="B284" s="15" t="s">
        <v>273</v>
      </c>
      <c r="C284" s="36">
        <v>415.03500000000003</v>
      </c>
      <c r="D284" s="51"/>
      <c r="E284" s="16" t="str">
        <f>"610377050838"</f>
        <v>610377050838</v>
      </c>
      <c r="F284" s="17">
        <v>1</v>
      </c>
    </row>
    <row r="285" spans="1:6">
      <c r="A285" s="18" t="str">
        <f>"CC150932S"</f>
        <v>CC150932S</v>
      </c>
      <c r="B285" s="18" t="s">
        <v>274</v>
      </c>
      <c r="C285" s="37">
        <v>462.71249999999998</v>
      </c>
      <c r="D285" s="51"/>
      <c r="E285" s="19" t="str">
        <f>"610377079334"</f>
        <v>610377079334</v>
      </c>
      <c r="F285" s="20">
        <v>1</v>
      </c>
    </row>
    <row r="286" spans="1:6">
      <c r="A286" s="15" t="str">
        <f>"CC15093S"</f>
        <v>CC15093S</v>
      </c>
      <c r="B286" s="15" t="s">
        <v>275</v>
      </c>
      <c r="C286" s="36">
        <v>423.92250000000001</v>
      </c>
      <c r="D286" s="51"/>
      <c r="E286" s="16" t="str">
        <f>"610377851299"</f>
        <v>610377851299</v>
      </c>
      <c r="F286" s="17">
        <v>1</v>
      </c>
    </row>
    <row r="287" spans="1:6">
      <c r="A287" s="18" t="str">
        <f>"CC15093SFT"</f>
        <v>CC15093SFT</v>
      </c>
      <c r="B287" s="18" t="s">
        <v>276</v>
      </c>
      <c r="C287" s="37">
        <v>458.0505</v>
      </c>
      <c r="D287" s="51"/>
      <c r="E287" s="19" t="str">
        <f>"610377851305"</f>
        <v>610377851305</v>
      </c>
      <c r="F287" s="20">
        <v>1</v>
      </c>
    </row>
    <row r="288" spans="1:6">
      <c r="A288" s="15" t="str">
        <f>"CC15093SFTTL"</f>
        <v>CC15093SFTTL</v>
      </c>
      <c r="B288" s="15" t="s">
        <v>277</v>
      </c>
      <c r="C288" s="36">
        <v>464.28750000000002</v>
      </c>
      <c r="D288" s="51"/>
      <c r="E288" s="16" t="str">
        <f>"610377851404"</f>
        <v>610377851404</v>
      </c>
      <c r="F288" s="17">
        <v>1</v>
      </c>
    </row>
    <row r="289" spans="1:6">
      <c r="A289" s="18" t="str">
        <f>"CC15093STL"</f>
        <v>CC15093STL</v>
      </c>
      <c r="B289" s="18" t="s">
        <v>278</v>
      </c>
      <c r="C289" s="37">
        <v>430.6275</v>
      </c>
      <c r="D289" s="51"/>
      <c r="E289" s="19" t="str">
        <f>"610377851381"</f>
        <v>610377851381</v>
      </c>
      <c r="F289" s="20">
        <v>1</v>
      </c>
    </row>
    <row r="290" spans="1:6">
      <c r="A290" s="15" t="str">
        <f>"CC20093S"</f>
        <v>CC20093S</v>
      </c>
      <c r="B290" s="15" t="s">
        <v>279</v>
      </c>
      <c r="C290" s="36">
        <v>476.79750000000001</v>
      </c>
      <c r="D290" s="51"/>
      <c r="E290" s="16" t="str">
        <f>"610377851411"</f>
        <v>610377851411</v>
      </c>
      <c r="F290" s="17">
        <v>1</v>
      </c>
    </row>
    <row r="291" spans="1:6">
      <c r="A291" s="18" t="str">
        <f>"CL100"</f>
        <v>CL100</v>
      </c>
      <c r="B291" s="18" t="s">
        <v>280</v>
      </c>
      <c r="C291" s="37">
        <v>39.834000000000003</v>
      </c>
      <c r="D291" s="51"/>
      <c r="E291" s="19" t="str">
        <f>"610377003698"</f>
        <v>610377003698</v>
      </c>
      <c r="F291" s="20">
        <v>10</v>
      </c>
    </row>
    <row r="292" spans="1:6">
      <c r="A292" s="15" t="str">
        <f>"CL110"</f>
        <v>CL110</v>
      </c>
      <c r="B292" s="15" t="s">
        <v>280</v>
      </c>
      <c r="C292" s="36">
        <v>44.954999999999998</v>
      </c>
      <c r="D292" s="51"/>
      <c r="E292" s="16" t="str">
        <f>"610377003728"</f>
        <v>610377003728</v>
      </c>
      <c r="F292" s="17">
        <v>10</v>
      </c>
    </row>
    <row r="293" spans="1:6">
      <c r="A293" s="18" t="str">
        <f>"CL110ABG"</f>
        <v>CL110ABG</v>
      </c>
      <c r="B293" s="18" t="s">
        <v>281</v>
      </c>
      <c r="C293" s="37">
        <v>51.435000000000002</v>
      </c>
      <c r="D293" s="51"/>
      <c r="E293" s="19" t="str">
        <f>"610377003735"</f>
        <v>610377003735</v>
      </c>
      <c r="F293" s="20">
        <v>10</v>
      </c>
    </row>
    <row r="294" spans="1:6">
      <c r="A294" s="15" t="str">
        <f>"CL200"</f>
        <v>CL200</v>
      </c>
      <c r="B294" s="15" t="s">
        <v>282</v>
      </c>
      <c r="C294" s="36">
        <v>51.155999999999999</v>
      </c>
      <c r="D294" s="51"/>
      <c r="E294" s="16" t="str">
        <f>"610377003780"</f>
        <v>610377003780</v>
      </c>
      <c r="F294" s="17">
        <v>10</v>
      </c>
    </row>
    <row r="295" spans="1:6">
      <c r="A295" s="18" t="str">
        <f>"CL2002S"</f>
        <v>CL2002S</v>
      </c>
      <c r="B295" s="18" t="s">
        <v>283</v>
      </c>
      <c r="C295" s="37">
        <v>61.762500000000003</v>
      </c>
      <c r="D295" s="51"/>
      <c r="E295" s="19" t="str">
        <f>"610377003858"</f>
        <v>610377003858</v>
      </c>
      <c r="F295" s="20">
        <v>10</v>
      </c>
    </row>
    <row r="296" spans="1:6" ht="16" thickBot="1">
      <c r="A296" s="21" t="str">
        <f>"CL220"</f>
        <v>CL220</v>
      </c>
      <c r="B296" s="21" t="s">
        <v>284</v>
      </c>
      <c r="C296" s="38">
        <v>65.763000000000005</v>
      </c>
      <c r="D296" s="52"/>
      <c r="E296" s="22" t="str">
        <f>"610377003872"</f>
        <v>610377003872</v>
      </c>
      <c r="F296" s="23">
        <v>10</v>
      </c>
    </row>
    <row r="297" spans="1:6" ht="16" thickTop="1">
      <c r="C297" s="39"/>
      <c r="D297" s="39"/>
    </row>
    <row r="298" spans="1:6" ht="16" thickBot="1">
      <c r="A298" s="24" t="s">
        <v>42</v>
      </c>
      <c r="C298" s="39"/>
      <c r="D298" s="39"/>
    </row>
    <row r="299" spans="1:6" ht="16" thickTop="1">
      <c r="A299" s="12" t="str">
        <f>"CL220ABG"</f>
        <v>CL220ABG</v>
      </c>
      <c r="B299" s="12" t="s">
        <v>285</v>
      </c>
      <c r="C299" s="35">
        <v>70.159499999999994</v>
      </c>
      <c r="D299" s="50"/>
      <c r="E299" s="13" t="str">
        <f>"610377003889"</f>
        <v>610377003889</v>
      </c>
      <c r="F299" s="14">
        <v>10</v>
      </c>
    </row>
    <row r="300" spans="1:6">
      <c r="A300" s="15" t="str">
        <f>"CL220BR"</f>
        <v>CL220BR</v>
      </c>
      <c r="B300" s="15" t="s">
        <v>286</v>
      </c>
      <c r="C300" s="36">
        <v>65.763000000000005</v>
      </c>
      <c r="D300" s="51"/>
      <c r="E300" s="16" t="str">
        <f>"610377003896"</f>
        <v>610377003896</v>
      </c>
      <c r="F300" s="17">
        <v>10</v>
      </c>
    </row>
    <row r="301" spans="1:6">
      <c r="A301" s="18" t="str">
        <f>"CSPAXI11"</f>
        <v>CSPAXI11</v>
      </c>
      <c r="B301" s="18" t="s">
        <v>287</v>
      </c>
      <c r="C301" s="37">
        <v>449.99549999999999</v>
      </c>
      <c r="D301" s="51"/>
      <c r="E301" s="19" t="str">
        <f>"610377003957"</f>
        <v>610377003957</v>
      </c>
      <c r="F301" s="20">
        <v>1</v>
      </c>
    </row>
    <row r="302" spans="1:6">
      <c r="A302" s="15" t="str">
        <f>"CSPAXI55"</f>
        <v>CSPAXI55</v>
      </c>
      <c r="B302" s="15" t="s">
        <v>287</v>
      </c>
      <c r="C302" s="36">
        <v>417.01049999999998</v>
      </c>
      <c r="D302" s="51"/>
      <c r="E302" s="16" t="str">
        <f>"610377003971"</f>
        <v>610377003971</v>
      </c>
      <c r="F302" s="17">
        <v>1</v>
      </c>
    </row>
    <row r="303" spans="1:6">
      <c r="A303" s="18" t="str">
        <f>"DAB1005UEE"</f>
        <v>DAB1005UEE</v>
      </c>
      <c r="B303" s="18" t="s">
        <v>288</v>
      </c>
      <c r="C303" s="37">
        <v>78.691500000000005</v>
      </c>
      <c r="D303" s="51"/>
      <c r="E303" s="19" t="str">
        <f>"610377087018"</f>
        <v>610377087018</v>
      </c>
      <c r="F303" s="20">
        <v>1</v>
      </c>
    </row>
    <row r="304" spans="1:6">
      <c r="A304" s="15" t="str">
        <f>"DAB1007UEE"</f>
        <v>DAB1007UEE</v>
      </c>
      <c r="B304" s="15" t="s">
        <v>289</v>
      </c>
      <c r="C304" s="36">
        <v>89.495999999999995</v>
      </c>
      <c r="D304" s="51"/>
      <c r="E304" s="16" t="str">
        <f>"610377087025"</f>
        <v>610377087025</v>
      </c>
      <c r="F304" s="17">
        <v>1</v>
      </c>
    </row>
    <row r="305" spans="1:6">
      <c r="A305" s="18" t="str">
        <f>"DAB1010UEE"</f>
        <v>DAB1010UEE</v>
      </c>
      <c r="B305" s="18" t="s">
        <v>290</v>
      </c>
      <c r="C305" s="37">
        <v>111.2265</v>
      </c>
      <c r="D305" s="51"/>
      <c r="E305" s="19" t="str">
        <f>"610377087056"</f>
        <v>610377087056</v>
      </c>
      <c r="F305" s="20">
        <v>1</v>
      </c>
    </row>
    <row r="306" spans="1:6">
      <c r="A306" s="15" t="str">
        <f>"DAB1012UEE"</f>
        <v>DAB1012UEE</v>
      </c>
      <c r="B306" s="15" t="s">
        <v>291</v>
      </c>
      <c r="C306" s="36">
        <v>170.946</v>
      </c>
      <c r="D306" s="51"/>
      <c r="E306" s="16" t="str">
        <f>"610377087087"</f>
        <v>610377087087</v>
      </c>
      <c r="F306" s="17">
        <v>1</v>
      </c>
    </row>
    <row r="307" spans="1:6">
      <c r="A307" s="18" t="str">
        <f>"DAB1015UEE"</f>
        <v>DAB1015UEE</v>
      </c>
      <c r="B307" s="18" t="s">
        <v>292</v>
      </c>
      <c r="C307" s="37">
        <v>170.946</v>
      </c>
      <c r="D307" s="51"/>
      <c r="E307" s="19" t="str">
        <f>"610377087094"</f>
        <v>610377087094</v>
      </c>
      <c r="F307" s="20">
        <v>1</v>
      </c>
    </row>
    <row r="308" spans="1:6">
      <c r="A308" s="15" t="str">
        <f>"DAB1020UEE"</f>
        <v>DAB1020UEE</v>
      </c>
      <c r="B308" s="15" t="s">
        <v>293</v>
      </c>
      <c r="C308" s="36">
        <v>202.12649999999999</v>
      </c>
      <c r="D308" s="51"/>
      <c r="E308" s="16" t="str">
        <f>"610377076531"</f>
        <v>610377076531</v>
      </c>
      <c r="F308" s="17">
        <v>1</v>
      </c>
    </row>
    <row r="309" spans="1:6">
      <c r="A309" s="18" t="str">
        <f>"DAB1025FEK"</f>
        <v>DAB1025FEK</v>
      </c>
      <c r="B309" s="18" t="s">
        <v>294</v>
      </c>
      <c r="C309" s="37">
        <v>373.54050000000001</v>
      </c>
      <c r="D309" s="51"/>
      <c r="E309" s="19" t="str">
        <f>"610377085564"</f>
        <v>610377085564</v>
      </c>
      <c r="F309" s="20">
        <v>1</v>
      </c>
    </row>
    <row r="310" spans="1:6">
      <c r="A310" s="15" t="str">
        <f>"DAB1030FEK"</f>
        <v>DAB1030FEK</v>
      </c>
      <c r="B310" s="15" t="s">
        <v>295</v>
      </c>
      <c r="C310" s="36">
        <v>470.69099999999997</v>
      </c>
      <c r="D310" s="51"/>
      <c r="E310" s="16" t="str">
        <f>"610377083621"</f>
        <v>610377083621</v>
      </c>
      <c r="F310" s="17">
        <v>1</v>
      </c>
    </row>
    <row r="311" spans="1:6">
      <c r="A311" s="18" t="str">
        <f>"DAB1040FEK"</f>
        <v>DAB1040FEK</v>
      </c>
      <c r="B311" s="18" t="s">
        <v>296</v>
      </c>
      <c r="C311" s="37">
        <v>669.70799999999997</v>
      </c>
      <c r="D311" s="51"/>
      <c r="E311" s="19" t="str">
        <f>"610377085588"</f>
        <v>610377085588</v>
      </c>
      <c r="F311" s="20">
        <v>1</v>
      </c>
    </row>
    <row r="312" spans="1:6">
      <c r="A312" s="15" t="str">
        <f>"DAB1060FEK"</f>
        <v>DAB1060FEK</v>
      </c>
      <c r="B312" s="15" t="s">
        <v>297</v>
      </c>
      <c r="C312" s="36">
        <v>1517.9939999999999</v>
      </c>
      <c r="D312" s="51"/>
      <c r="E312" s="16" t="str">
        <f>"610377085601"</f>
        <v>610377085601</v>
      </c>
      <c r="F312" s="17">
        <v>1</v>
      </c>
    </row>
    <row r="313" spans="1:6">
      <c r="A313" s="18" t="str">
        <f>"DC176PAK24"</f>
        <v>DC176PAK24</v>
      </c>
      <c r="B313" s="18" t="s">
        <v>298</v>
      </c>
      <c r="C313" s="37">
        <v>128.79900000000001</v>
      </c>
      <c r="D313" s="51"/>
      <c r="E313" s="19" t="str">
        <f>"610377109307"</f>
        <v>610377109307</v>
      </c>
      <c r="F313" s="20">
        <v>1</v>
      </c>
    </row>
    <row r="314" spans="1:6">
      <c r="A314" s="15" t="str">
        <f>"DC178PAK8"</f>
        <v>DC178PAK8</v>
      </c>
      <c r="B314" s="15" t="s">
        <v>299</v>
      </c>
      <c r="C314" s="36">
        <v>46.881</v>
      </c>
      <c r="D314" s="51"/>
      <c r="E314" s="16" t="str">
        <f>"610377109314"</f>
        <v>610377109314</v>
      </c>
      <c r="F314" s="17">
        <v>1</v>
      </c>
    </row>
    <row r="315" spans="1:6">
      <c r="A315" s="18" t="str">
        <f>"DC2072PAK24"</f>
        <v>DC2072PAK24</v>
      </c>
      <c r="B315" s="18" t="s">
        <v>300</v>
      </c>
      <c r="C315" s="37">
        <v>128.79900000000001</v>
      </c>
      <c r="D315" s="51"/>
      <c r="E315" s="19" t="str">
        <f>"610377141000"</f>
        <v>610377141000</v>
      </c>
      <c r="F315" s="20">
        <v>1</v>
      </c>
    </row>
    <row r="316" spans="1:6">
      <c r="A316" s="15" t="str">
        <f>"DE2400PAK2CS"</f>
        <v>DE2400PAK2CS</v>
      </c>
      <c r="B316" s="15" t="s">
        <v>301</v>
      </c>
      <c r="C316" s="36">
        <v>15.6915</v>
      </c>
      <c r="D316" s="51"/>
      <c r="E316" s="16" t="str">
        <f>"610377021715"</f>
        <v>610377021715</v>
      </c>
      <c r="F316" s="17">
        <v>10</v>
      </c>
    </row>
    <row r="317" spans="1:6">
      <c r="A317" s="18" t="str">
        <f>"DE2420"</f>
        <v>DE2420</v>
      </c>
      <c r="B317" s="18" t="s">
        <v>302</v>
      </c>
      <c r="C317" s="37">
        <v>444.99599999999998</v>
      </c>
      <c r="D317" s="51"/>
      <c r="E317" s="19" t="str">
        <f>"610377493017"</f>
        <v>610377493017</v>
      </c>
      <c r="F317" s="20">
        <v>1</v>
      </c>
    </row>
    <row r="318" spans="1:6">
      <c r="A318" s="15" t="str">
        <f>"DE3620"</f>
        <v>DE3620</v>
      </c>
      <c r="B318" s="15" t="s">
        <v>303</v>
      </c>
      <c r="C318" s="36">
        <v>492.90750000000003</v>
      </c>
      <c r="D318" s="51"/>
      <c r="E318" s="16" t="str">
        <f>"610377493031"</f>
        <v>610377493031</v>
      </c>
      <c r="F318" s="17">
        <v>1</v>
      </c>
    </row>
    <row r="319" spans="1:6">
      <c r="A319" s="18" t="str">
        <f>"DE4820"</f>
        <v>DE4820</v>
      </c>
      <c r="B319" s="18" t="s">
        <v>304</v>
      </c>
      <c r="C319" s="37">
        <v>554.58000000000004</v>
      </c>
      <c r="D319" s="51"/>
      <c r="E319" s="19" t="str">
        <f>"610377493048"</f>
        <v>610377493048</v>
      </c>
      <c r="F319" s="20">
        <v>1</v>
      </c>
    </row>
    <row r="320" spans="1:6">
      <c r="A320" s="15" t="str">
        <f>"DE6020"</f>
        <v>DE6020</v>
      </c>
      <c r="B320" s="15" t="s">
        <v>305</v>
      </c>
      <c r="C320" s="36">
        <v>612.26549999999997</v>
      </c>
      <c r="D320" s="51"/>
      <c r="E320" s="16" t="str">
        <f>"610377493055"</f>
        <v>610377493055</v>
      </c>
      <c r="F320" s="17">
        <v>1</v>
      </c>
    </row>
    <row r="321" spans="1:6">
      <c r="A321" s="18" t="str">
        <f>"DE7220"</f>
        <v>DE7220</v>
      </c>
      <c r="B321" s="18" t="s">
        <v>306</v>
      </c>
      <c r="C321" s="37">
        <v>775.71</v>
      </c>
      <c r="D321" s="51"/>
      <c r="E321" s="19" t="str">
        <f>"610377493062"</f>
        <v>610377493062</v>
      </c>
      <c r="F321" s="20">
        <v>1</v>
      </c>
    </row>
    <row r="322" spans="1:6">
      <c r="A322" s="15" t="str">
        <f>"DF010"</f>
        <v>DF010</v>
      </c>
      <c r="B322" s="15" t="s">
        <v>307</v>
      </c>
      <c r="C322" s="54"/>
      <c r="D322" s="36">
        <v>326.06099999999998</v>
      </c>
      <c r="E322" s="16" t="str">
        <f>"761418012169"</f>
        <v>761418012169</v>
      </c>
      <c r="F322" s="17">
        <v>1</v>
      </c>
    </row>
    <row r="323" spans="1:6">
      <c r="A323" s="18" t="str">
        <f>"DF015-1-5"</f>
        <v>DF015-1-5</v>
      </c>
      <c r="B323" s="18" t="s">
        <v>308</v>
      </c>
      <c r="C323" s="54"/>
      <c r="D323" s="31">
        <v>58.86</v>
      </c>
      <c r="E323" s="29" t="str">
        <f>"761418012176"</f>
        <v>761418012176</v>
      </c>
      <c r="F323" s="20">
        <v>1</v>
      </c>
    </row>
    <row r="324" spans="1:6">
      <c r="A324" s="15" t="str">
        <f>"DF020-2"</f>
        <v>DF020-2</v>
      </c>
      <c r="B324" s="15" t="s">
        <v>309</v>
      </c>
      <c r="C324" s="54"/>
      <c r="D324" s="34">
        <v>58.86</v>
      </c>
      <c r="E324" s="28" t="str">
        <f>"610377146227"</f>
        <v>610377146227</v>
      </c>
      <c r="F324" s="17">
        <v>1</v>
      </c>
    </row>
    <row r="325" spans="1:6">
      <c r="A325" s="18" t="str">
        <f>"DF030-3"</f>
        <v>DF030-3</v>
      </c>
      <c r="B325" s="18" t="s">
        <v>310</v>
      </c>
      <c r="C325" s="54"/>
      <c r="D325" s="31">
        <v>58.86</v>
      </c>
      <c r="E325" s="29" t="str">
        <f>"761418012213"</f>
        <v>761418012213</v>
      </c>
      <c r="F325" s="20">
        <v>1</v>
      </c>
    </row>
    <row r="326" spans="1:6">
      <c r="A326" s="15" t="str">
        <f>"DF040-4"</f>
        <v>DF040-4</v>
      </c>
      <c r="B326" s="15" t="s">
        <v>311</v>
      </c>
      <c r="C326" s="54"/>
      <c r="D326" s="34">
        <v>117.72</v>
      </c>
      <c r="E326" s="28" t="str">
        <f>"761418013166"</f>
        <v>761418013166</v>
      </c>
      <c r="F326" s="17">
        <v>1</v>
      </c>
    </row>
    <row r="327" spans="1:6">
      <c r="A327" s="18" t="str">
        <f>"DF060-6"</f>
        <v>DF060-6</v>
      </c>
      <c r="B327" s="18" t="s">
        <v>312</v>
      </c>
      <c r="C327" s="54"/>
      <c r="D327" s="31">
        <v>117.72</v>
      </c>
      <c r="E327" s="29" t="str">
        <f>"761418012251"</f>
        <v>761418012251</v>
      </c>
      <c r="F327" s="20">
        <v>1</v>
      </c>
    </row>
    <row r="328" spans="1:6">
      <c r="A328" s="15" t="str">
        <f>"DF080-8"</f>
        <v>DF080-8</v>
      </c>
      <c r="B328" s="15" t="s">
        <v>313</v>
      </c>
      <c r="C328" s="54"/>
      <c r="D328" s="34">
        <v>117.72</v>
      </c>
      <c r="E328" s="28" t="str">
        <f>"761418012268"</f>
        <v>761418012268</v>
      </c>
      <c r="F328" s="17">
        <v>1</v>
      </c>
    </row>
    <row r="329" spans="1:6">
      <c r="A329" s="18" t="str">
        <f>"DF100-10"</f>
        <v>DF100-10</v>
      </c>
      <c r="B329" s="18" t="s">
        <v>314</v>
      </c>
      <c r="C329" s="54"/>
      <c r="D329" s="31">
        <v>176.56</v>
      </c>
      <c r="E329" s="29" t="str">
        <f>"761418012275"</f>
        <v>761418012275</v>
      </c>
      <c r="F329" s="20">
        <v>1</v>
      </c>
    </row>
    <row r="330" spans="1:6">
      <c r="A330" s="15" t="str">
        <f>"DF120-12"</f>
        <v>DF120-12</v>
      </c>
      <c r="B330" s="15" t="s">
        <v>315</v>
      </c>
      <c r="C330" s="54"/>
      <c r="D330" s="30">
        <v>176.56</v>
      </c>
      <c r="E330" s="28" t="str">
        <f>"761418012282"</f>
        <v>761418012282</v>
      </c>
      <c r="F330" s="17">
        <v>1</v>
      </c>
    </row>
    <row r="331" spans="1:6">
      <c r="A331" s="18" t="str">
        <f>"DF8100-10"</f>
        <v>DF8100-10</v>
      </c>
      <c r="B331" s="18" t="s">
        <v>316</v>
      </c>
      <c r="C331" s="54"/>
      <c r="D331" s="31">
        <v>121.86</v>
      </c>
      <c r="E331" s="29" t="str">
        <f>"610377138284"</f>
        <v>610377138284</v>
      </c>
      <c r="F331" s="20">
        <v>1</v>
      </c>
    </row>
    <row r="332" spans="1:6">
      <c r="A332" s="15" t="str">
        <f>"DF8120-12"</f>
        <v>DF8120-12</v>
      </c>
      <c r="B332" s="15" t="s">
        <v>317</v>
      </c>
      <c r="C332" s="54"/>
      <c r="D332" s="30">
        <v>121.86</v>
      </c>
      <c r="E332" s="28" t="str">
        <f>"610377138307"</f>
        <v>610377138307</v>
      </c>
      <c r="F332" s="17">
        <v>1</v>
      </c>
    </row>
    <row r="333" spans="1:6">
      <c r="A333" s="18" t="str">
        <f>"DF815-1-5"</f>
        <v>DF815-1-5</v>
      </c>
      <c r="B333" s="18" t="s">
        <v>318</v>
      </c>
      <c r="C333" s="54"/>
      <c r="D333" s="31">
        <v>53.26</v>
      </c>
      <c r="E333" s="29" t="str">
        <f>"610377138208"</f>
        <v>610377138208</v>
      </c>
      <c r="F333" s="20">
        <v>1</v>
      </c>
    </row>
    <row r="334" spans="1:6">
      <c r="A334" s="15" t="str">
        <f>"DF820-2"</f>
        <v>DF820-2</v>
      </c>
      <c r="B334" s="15" t="s">
        <v>319</v>
      </c>
      <c r="C334" s="54"/>
      <c r="D334" s="30">
        <v>53.26</v>
      </c>
      <c r="E334" s="28" t="str">
        <f>"610377138215"</f>
        <v>610377138215</v>
      </c>
      <c r="F334" s="17">
        <v>1</v>
      </c>
    </row>
    <row r="335" spans="1:6">
      <c r="A335" s="18" t="str">
        <f>"DF825-2-5"</f>
        <v>DF825-2-5</v>
      </c>
      <c r="B335" s="18" t="s">
        <v>320</v>
      </c>
      <c r="C335" s="54"/>
      <c r="D335" s="31">
        <v>109.69</v>
      </c>
      <c r="E335" s="29" t="str">
        <f>"610377138222"</f>
        <v>610377138222</v>
      </c>
      <c r="F335" s="20">
        <v>1</v>
      </c>
    </row>
    <row r="336" spans="1:6">
      <c r="A336" s="15" t="str">
        <f>"DF830-3"</f>
        <v>DF830-3</v>
      </c>
      <c r="B336" s="15" t="s">
        <v>321</v>
      </c>
      <c r="C336" s="54"/>
      <c r="D336" s="30">
        <v>53.26</v>
      </c>
      <c r="E336" s="28" t="str">
        <f>"610377138239"</f>
        <v>610377138239</v>
      </c>
      <c r="F336" s="17">
        <v>1</v>
      </c>
    </row>
    <row r="337" spans="1:6">
      <c r="A337" s="18" t="str">
        <f>"DF840-4"</f>
        <v>DF840-4</v>
      </c>
      <c r="B337" s="18" t="s">
        <v>322</v>
      </c>
      <c r="C337" s="54"/>
      <c r="D337" s="31">
        <v>109.69</v>
      </c>
      <c r="E337" s="29" t="str">
        <f>"610377138246"</f>
        <v>610377138246</v>
      </c>
      <c r="F337" s="20">
        <v>1</v>
      </c>
    </row>
    <row r="338" spans="1:6">
      <c r="A338" s="15" t="str">
        <f>"DF860-6"</f>
        <v>DF860-6</v>
      </c>
      <c r="B338" s="15" t="s">
        <v>323</v>
      </c>
      <c r="C338" s="54"/>
      <c r="D338" s="30">
        <v>109.69</v>
      </c>
      <c r="E338" s="28" t="str">
        <f>"610377138253"</f>
        <v>610377138253</v>
      </c>
      <c r="F338" s="17">
        <v>1</v>
      </c>
    </row>
    <row r="339" spans="1:6">
      <c r="A339" s="18" t="str">
        <f>"DF880-8"</f>
        <v>DF880-8</v>
      </c>
      <c r="B339" s="18" t="s">
        <v>324</v>
      </c>
      <c r="C339" s="54"/>
      <c r="D339" s="31">
        <v>109.69</v>
      </c>
      <c r="E339" s="29" t="str">
        <f>"610377138277"</f>
        <v>610377138277</v>
      </c>
      <c r="F339" s="20">
        <v>1</v>
      </c>
    </row>
    <row r="340" spans="1:6">
      <c r="A340" s="15" t="str">
        <f>"DHI150"</f>
        <v>DHI150</v>
      </c>
      <c r="B340" s="15" t="s">
        <v>325</v>
      </c>
      <c r="C340" s="36">
        <v>149.88149999999999</v>
      </c>
      <c r="D340" s="51"/>
      <c r="E340" s="16" t="str">
        <f>"610377282062"</f>
        <v>610377282062</v>
      </c>
      <c r="F340" s="17">
        <v>1</v>
      </c>
    </row>
    <row r="341" spans="1:6">
      <c r="A341" s="18" t="str">
        <f>"DHI200"</f>
        <v>DHI200</v>
      </c>
      <c r="B341" s="18" t="s">
        <v>325</v>
      </c>
      <c r="C341" s="37">
        <v>149.88149999999999</v>
      </c>
      <c r="D341" s="51"/>
      <c r="E341" s="19" t="str">
        <f>"610377282086"</f>
        <v>610377282086</v>
      </c>
      <c r="F341" s="20">
        <v>1</v>
      </c>
    </row>
    <row r="342" spans="1:6">
      <c r="A342" s="15" t="str">
        <f>"DHI250"</f>
        <v>DHI250</v>
      </c>
      <c r="B342" s="15" t="s">
        <v>325</v>
      </c>
      <c r="C342" s="36">
        <v>149.88149999999999</v>
      </c>
      <c r="D342" s="51"/>
      <c r="E342" s="16" t="str">
        <f>"610377282093"</f>
        <v>610377282093</v>
      </c>
      <c r="F342" s="17">
        <v>1</v>
      </c>
    </row>
    <row r="343" spans="1:6">
      <c r="A343" s="18" t="str">
        <f>"DHI300"</f>
        <v>DHI300</v>
      </c>
      <c r="B343" s="18" t="s">
        <v>325</v>
      </c>
      <c r="C343" s="37">
        <v>149.88149999999999</v>
      </c>
      <c r="D343" s="51"/>
      <c r="E343" s="19" t="str">
        <f>"610377282109"</f>
        <v>610377282109</v>
      </c>
      <c r="F343" s="20">
        <v>1</v>
      </c>
    </row>
    <row r="344" spans="1:6" ht="16" thickBot="1">
      <c r="A344" s="21" t="str">
        <f>"DHI350"</f>
        <v>DHI350</v>
      </c>
      <c r="B344" s="21" t="s">
        <v>325</v>
      </c>
      <c r="C344" s="38">
        <v>149.88149999999999</v>
      </c>
      <c r="D344" s="52"/>
      <c r="E344" s="22" t="str">
        <f>"610377282116"</f>
        <v>610377282116</v>
      </c>
      <c r="F344" s="23">
        <v>1</v>
      </c>
    </row>
    <row r="345" spans="1:6" ht="16" thickTop="1">
      <c r="A345" s="12" t="str">
        <f>"DHI400"</f>
        <v>DHI400</v>
      </c>
      <c r="B345" s="12" t="s">
        <v>325</v>
      </c>
      <c r="C345" s="35">
        <v>149.88149999999999</v>
      </c>
      <c r="D345" s="50"/>
      <c r="E345" s="13" t="str">
        <f>"610377282123"</f>
        <v>610377282123</v>
      </c>
      <c r="F345" s="14">
        <v>1</v>
      </c>
    </row>
    <row r="346" spans="1:6">
      <c r="A346" s="15" t="str">
        <f>"DIY-POLYPIPE"</f>
        <v>DIY-POLYPIPE</v>
      </c>
      <c r="B346" s="15" t="s">
        <v>326</v>
      </c>
      <c r="C346" s="36">
        <v>15.124499999999999</v>
      </c>
      <c r="D346" s="51"/>
      <c r="E346" s="16" t="str">
        <f>"610377142106"</f>
        <v>610377142106</v>
      </c>
      <c r="F346" s="17">
        <v>1</v>
      </c>
    </row>
    <row r="347" spans="1:6">
      <c r="A347" s="18" t="str">
        <f>"DV1000"</f>
        <v>DV1000</v>
      </c>
      <c r="B347" s="18" t="s">
        <v>327</v>
      </c>
      <c r="C347" s="37">
        <v>95.831999999999994</v>
      </c>
      <c r="D347" s="51"/>
      <c r="E347" s="19" t="str">
        <f>"610377139274"</f>
        <v>610377139274</v>
      </c>
      <c r="F347" s="20">
        <v>1</v>
      </c>
    </row>
    <row r="348" spans="1:6">
      <c r="A348" s="15" t="str">
        <f>"DV5000"</f>
        <v>DV5000</v>
      </c>
      <c r="B348" s="15" t="s">
        <v>328</v>
      </c>
      <c r="C348" s="36">
        <v>173.96100000000001</v>
      </c>
      <c r="D348" s="51"/>
      <c r="E348" s="16" t="str">
        <f>"610377139281"</f>
        <v>610377139281</v>
      </c>
      <c r="F348" s="17">
        <v>1</v>
      </c>
    </row>
    <row r="349" spans="1:6">
      <c r="A349" s="18" t="str">
        <f>"E-KIT"</f>
        <v>E-KIT</v>
      </c>
      <c r="B349" s="18" t="s">
        <v>329</v>
      </c>
      <c r="C349" s="37">
        <v>41.417999999999999</v>
      </c>
      <c r="D349" s="51"/>
      <c r="E349" s="19" t="str">
        <f>"761418011186"</f>
        <v>761418011186</v>
      </c>
      <c r="F349" s="20">
        <v>1</v>
      </c>
    </row>
    <row r="350" spans="1:6">
      <c r="A350" s="15" t="str">
        <f>"EAUTB105STE"</f>
        <v>EAUTB105STE</v>
      </c>
      <c r="B350" s="15" t="s">
        <v>330</v>
      </c>
      <c r="C350" s="36">
        <v>320.79599999999999</v>
      </c>
      <c r="D350" s="51"/>
      <c r="E350" s="16" t="str">
        <f>"610377239103"</f>
        <v>610377239103</v>
      </c>
      <c r="F350" s="17">
        <v>1</v>
      </c>
    </row>
    <row r="351" spans="1:6">
      <c r="A351" s="18" t="str">
        <f>"EAUTB105STV"</f>
        <v>EAUTB105STV</v>
      </c>
      <c r="B351" s="18" t="s">
        <v>331</v>
      </c>
      <c r="C351" s="37">
        <v>321.93</v>
      </c>
      <c r="D351" s="51"/>
      <c r="E351" s="19" t="str">
        <f>"610377294539"</f>
        <v>610377294539</v>
      </c>
      <c r="F351" s="20">
        <v>1</v>
      </c>
    </row>
    <row r="352" spans="1:6">
      <c r="A352" s="15" t="str">
        <f>"EAUTB107STE"</f>
        <v>EAUTB107STE</v>
      </c>
      <c r="B352" s="15" t="s">
        <v>332</v>
      </c>
      <c r="C352" s="36">
        <v>326.59199999999998</v>
      </c>
      <c r="D352" s="51"/>
      <c r="E352" s="16" t="str">
        <f>"610377239653"</f>
        <v>610377239653</v>
      </c>
      <c r="F352" s="17">
        <v>1</v>
      </c>
    </row>
    <row r="353" spans="1:6">
      <c r="A353" s="18" t="str">
        <f>"EAUTB107STV"</f>
        <v>EAUTB107STV</v>
      </c>
      <c r="B353" s="18" t="s">
        <v>333</v>
      </c>
      <c r="C353" s="37">
        <v>329.12099999999998</v>
      </c>
      <c r="D353" s="51"/>
      <c r="E353" s="19" t="str">
        <f>"610377293983"</f>
        <v>610377293983</v>
      </c>
      <c r="F353" s="20">
        <v>1</v>
      </c>
    </row>
    <row r="354" spans="1:6">
      <c r="A354" s="15" t="str">
        <f>"EAUTB110STE"</f>
        <v>EAUTB110STE</v>
      </c>
      <c r="B354" s="15" t="s">
        <v>334</v>
      </c>
      <c r="C354" s="36">
        <v>338.4495</v>
      </c>
      <c r="D354" s="51"/>
      <c r="E354" s="16" t="str">
        <f>"610377305662"</f>
        <v>610377305662</v>
      </c>
      <c r="F354" s="17">
        <v>1</v>
      </c>
    </row>
    <row r="355" spans="1:6">
      <c r="A355" s="18" t="str">
        <f>"EAUTB110STV"</f>
        <v>EAUTB110STV</v>
      </c>
      <c r="B355" s="18" t="s">
        <v>335</v>
      </c>
      <c r="C355" s="37">
        <v>340.68599999999998</v>
      </c>
      <c r="D355" s="51"/>
      <c r="E355" s="19" t="str">
        <f>"610377237260"</f>
        <v>610377237260</v>
      </c>
      <c r="F355" s="20">
        <v>1</v>
      </c>
    </row>
    <row r="356" spans="1:6">
      <c r="A356" s="15" t="str">
        <f>"EAUTB115STE"</f>
        <v>EAUTB115STE</v>
      </c>
      <c r="B356" s="15" t="s">
        <v>336</v>
      </c>
      <c r="C356" s="36">
        <v>352.48950000000002</v>
      </c>
      <c r="D356" s="51"/>
      <c r="E356" s="16" t="str">
        <f>"610377247139"</f>
        <v>610377247139</v>
      </c>
      <c r="F356" s="17">
        <v>1</v>
      </c>
    </row>
    <row r="357" spans="1:6">
      <c r="A357" s="18" t="str">
        <f>"EAUTB115STV"</f>
        <v>EAUTB115STV</v>
      </c>
      <c r="B357" s="18" t="s">
        <v>337</v>
      </c>
      <c r="C357" s="37">
        <v>354.99149999999997</v>
      </c>
      <c r="D357" s="51"/>
      <c r="E357" s="19" t="str">
        <f>"610377296878"</f>
        <v>610377296878</v>
      </c>
      <c r="F357" s="20">
        <v>1</v>
      </c>
    </row>
    <row r="358" spans="1:6">
      <c r="A358" s="15" t="str">
        <f>"EAUTB120STE"</f>
        <v>EAUTB120STE</v>
      </c>
      <c r="B358" s="15" t="s">
        <v>338</v>
      </c>
      <c r="C358" s="36">
        <v>379.7235</v>
      </c>
      <c r="D358" s="51"/>
      <c r="E358" s="16" t="str">
        <f>"610377239219"</f>
        <v>610377239219</v>
      </c>
      <c r="F358" s="17">
        <v>1</v>
      </c>
    </row>
    <row r="359" spans="1:6">
      <c r="A359" s="18" t="str">
        <f>"EAUTB120STV"</f>
        <v>EAUTB120STV</v>
      </c>
      <c r="B359" s="18" t="s">
        <v>339</v>
      </c>
      <c r="C359" s="37">
        <v>383.04899999999998</v>
      </c>
      <c r="D359" s="51"/>
      <c r="E359" s="19" t="str">
        <f>"610377246828"</f>
        <v>610377246828</v>
      </c>
      <c r="F359" s="20">
        <v>1</v>
      </c>
    </row>
    <row r="360" spans="1:6">
      <c r="A360" s="15" t="str">
        <f>"EAUTN105STE"</f>
        <v>EAUTN105STE</v>
      </c>
      <c r="B360" s="15" t="s">
        <v>340</v>
      </c>
      <c r="C360" s="36">
        <v>349.47449999999998</v>
      </c>
      <c r="D360" s="51"/>
      <c r="E360" s="16" t="str">
        <f>"610377134026"</f>
        <v>610377134026</v>
      </c>
      <c r="F360" s="17">
        <v>1</v>
      </c>
    </row>
    <row r="361" spans="1:6">
      <c r="A361" s="18" t="str">
        <f>"EAUTN107STE"</f>
        <v>EAUTN107STE</v>
      </c>
      <c r="B361" s="18" t="s">
        <v>341</v>
      </c>
      <c r="C361" s="37">
        <v>355.27050000000003</v>
      </c>
      <c r="D361" s="51"/>
      <c r="E361" s="19" t="str">
        <f>"610377134033"</f>
        <v>610377134033</v>
      </c>
      <c r="F361" s="20">
        <v>1</v>
      </c>
    </row>
    <row r="362" spans="1:6">
      <c r="A362" s="15" t="str">
        <f>"EAUTN110STE"</f>
        <v>EAUTN110STE</v>
      </c>
      <c r="B362" s="15" t="s">
        <v>342</v>
      </c>
      <c r="C362" s="36">
        <v>373.52699999999999</v>
      </c>
      <c r="D362" s="51"/>
      <c r="E362" s="16" t="str">
        <f>"610377134040"</f>
        <v>610377134040</v>
      </c>
      <c r="F362" s="17">
        <v>1</v>
      </c>
    </row>
    <row r="363" spans="1:6">
      <c r="A363" s="18" t="str">
        <f>"EAUTN1125STE"</f>
        <v>EAUTN1125STE</v>
      </c>
      <c r="B363" s="18" t="s">
        <v>343</v>
      </c>
      <c r="C363" s="37">
        <v>404.48700000000002</v>
      </c>
      <c r="D363" s="51"/>
      <c r="E363" s="19" t="str">
        <f>"610377134057"</f>
        <v>610377134057</v>
      </c>
      <c r="F363" s="20">
        <v>1</v>
      </c>
    </row>
    <row r="364" spans="1:6">
      <c r="A364" s="15" t="str">
        <f>"EAUTN115STE"</f>
        <v>EAUTN115STE</v>
      </c>
      <c r="B364" s="15" t="s">
        <v>344</v>
      </c>
      <c r="C364" s="36">
        <v>437.63850000000002</v>
      </c>
      <c r="D364" s="51"/>
      <c r="E364" s="16" t="str">
        <f>"610377134064"</f>
        <v>610377134064</v>
      </c>
      <c r="F364" s="17">
        <v>1</v>
      </c>
    </row>
    <row r="365" spans="1:6">
      <c r="A365" s="18" t="str">
        <f>"EAUTN120STE"</f>
        <v>EAUTN120STE</v>
      </c>
      <c r="B365" s="18" t="s">
        <v>345</v>
      </c>
      <c r="C365" s="37">
        <v>502.87049999999999</v>
      </c>
      <c r="D365" s="51"/>
      <c r="E365" s="19" t="str">
        <f>"610377134071"</f>
        <v>610377134071</v>
      </c>
      <c r="F365" s="20">
        <v>1</v>
      </c>
    </row>
    <row r="366" spans="1:6">
      <c r="A366" s="15" t="str">
        <f>"EC1079SPK24"</f>
        <v>EC1079SPK24</v>
      </c>
      <c r="B366" s="15" t="s">
        <v>346</v>
      </c>
      <c r="C366" s="36">
        <v>268.2765</v>
      </c>
      <c r="D366" s="51"/>
      <c r="E366" s="16" t="str">
        <f>"610377847803"</f>
        <v>610377847803</v>
      </c>
      <c r="F366" s="17">
        <v>1</v>
      </c>
    </row>
    <row r="367" spans="1:6">
      <c r="A367" s="18" t="str">
        <f>"EC10SC50"</f>
        <v>EC10SC50</v>
      </c>
      <c r="B367" s="18" t="s">
        <v>347</v>
      </c>
      <c r="C367" s="37">
        <v>154.66050000000001</v>
      </c>
      <c r="D367" s="51"/>
      <c r="E367" s="19" t="str">
        <f>"610377025379"</f>
        <v>610377025379</v>
      </c>
      <c r="F367" s="20">
        <v>1</v>
      </c>
    </row>
    <row r="368" spans="1:6">
      <c r="A368" s="15" t="str">
        <f>"EC1155"</f>
        <v>EC1155</v>
      </c>
      <c r="B368" s="15" t="s">
        <v>348</v>
      </c>
      <c r="C368" s="36">
        <v>22.0275</v>
      </c>
      <c r="D368" s="51"/>
      <c r="E368" s="16" t="str">
        <f>"610377025416"</f>
        <v>610377025416</v>
      </c>
      <c r="F368" s="17">
        <v>1</v>
      </c>
    </row>
    <row r="369" spans="1:6">
      <c r="A369" s="18" t="str">
        <f>"EC1161LK"</f>
        <v>EC1161LK</v>
      </c>
      <c r="B369" s="18" t="s">
        <v>349</v>
      </c>
      <c r="C369" s="37">
        <v>39.204000000000001</v>
      </c>
      <c r="D369" s="51"/>
      <c r="E369" s="19" t="str">
        <f>"610377025423"</f>
        <v>610377025423</v>
      </c>
      <c r="F369" s="20">
        <v>1</v>
      </c>
    </row>
    <row r="370" spans="1:6">
      <c r="A370" s="15" t="str">
        <f>"EC1161PAK"</f>
        <v>EC1161PAK</v>
      </c>
      <c r="B370" s="15" t="s">
        <v>350</v>
      </c>
      <c r="C370" s="36">
        <v>20.808</v>
      </c>
      <c r="D370" s="51"/>
      <c r="E370" s="16" t="str">
        <f>"610377025447"</f>
        <v>610377025447</v>
      </c>
      <c r="F370" s="17">
        <v>1</v>
      </c>
    </row>
    <row r="371" spans="1:6">
      <c r="A371" s="18" t="str">
        <f>"EC2024"</f>
        <v>EC2024</v>
      </c>
      <c r="B371" s="18" t="s">
        <v>351</v>
      </c>
      <c r="C371" s="37">
        <v>17.783999999999999</v>
      </c>
      <c r="D371" s="51"/>
      <c r="E371" s="19" t="str">
        <f>"610377025492"</f>
        <v>610377025492</v>
      </c>
      <c r="F371" s="20">
        <v>10</v>
      </c>
    </row>
    <row r="372" spans="1:6">
      <c r="A372" s="15" t="str">
        <f>"EC301540ESNV"</f>
        <v>EC301540ESNV</v>
      </c>
      <c r="B372" s="15" t="s">
        <v>352</v>
      </c>
      <c r="C372" s="36">
        <v>374.70150000000001</v>
      </c>
      <c r="D372" s="51"/>
      <c r="E372" s="16" t="str">
        <f>"610377613897"</f>
        <v>610377613897</v>
      </c>
      <c r="F372" s="17">
        <v>1</v>
      </c>
    </row>
    <row r="373" spans="1:6">
      <c r="A373" s="18" t="str">
        <f>"EC301540ESNVTL"</f>
        <v>EC301540ESNVTL</v>
      </c>
      <c r="B373" s="18" t="s">
        <v>353</v>
      </c>
      <c r="C373" s="37">
        <v>383.99849999999998</v>
      </c>
      <c r="D373" s="51"/>
      <c r="E373" s="19" t="str">
        <f>"610377613903"</f>
        <v>610377613903</v>
      </c>
      <c r="F373" s="20">
        <v>1</v>
      </c>
    </row>
    <row r="374" spans="1:6">
      <c r="A374" s="15" t="str">
        <f>"EC40AC"</f>
        <v>EC40AC</v>
      </c>
      <c r="B374" s="15" t="s">
        <v>354</v>
      </c>
      <c r="C374" s="36">
        <v>229.56299999999999</v>
      </c>
      <c r="D374" s="51"/>
      <c r="E374" s="16" t="str">
        <f>"610377722742"</f>
        <v>610377722742</v>
      </c>
      <c r="F374" s="17">
        <v>1</v>
      </c>
    </row>
    <row r="375" spans="1:6">
      <c r="A375" s="18" t="str">
        <f>"EC40C80S"</f>
        <v>EC40C80S</v>
      </c>
      <c r="B375" s="18" t="s">
        <v>355</v>
      </c>
      <c r="C375" s="37">
        <v>407.94299999999998</v>
      </c>
      <c r="D375" s="51"/>
      <c r="E375" s="19" t="str">
        <f>"610377131582"</f>
        <v>610377131582</v>
      </c>
      <c r="F375" s="20">
        <v>1</v>
      </c>
    </row>
    <row r="376" spans="1:6">
      <c r="A376" s="15" t="str">
        <f>"EC40C80STL"</f>
        <v>EC40C80STL</v>
      </c>
      <c r="B376" s="15" t="s">
        <v>355</v>
      </c>
      <c r="C376" s="36">
        <v>413.63099999999997</v>
      </c>
      <c r="D376" s="51"/>
      <c r="E376" s="16" t="str">
        <f>"610377138352"</f>
        <v>610377138352</v>
      </c>
      <c r="F376" s="17">
        <v>1</v>
      </c>
    </row>
    <row r="377" spans="1:6">
      <c r="A377" s="18" t="str">
        <f>"EC40C91S"</f>
        <v>EC40C91S</v>
      </c>
      <c r="B377" s="18" t="s">
        <v>356</v>
      </c>
      <c r="C377" s="37">
        <v>441.39600000000002</v>
      </c>
      <c r="D377" s="51"/>
      <c r="E377" s="19" t="str">
        <f>"610377857277"</f>
        <v>610377857277</v>
      </c>
      <c r="F377" s="20">
        <v>1</v>
      </c>
    </row>
    <row r="378" spans="1:6">
      <c r="A378" s="15" t="str">
        <f>"EC40C92S"</f>
        <v>EC40C92S</v>
      </c>
      <c r="B378" s="15" t="s">
        <v>357</v>
      </c>
      <c r="C378" s="36">
        <v>441.94049999999999</v>
      </c>
      <c r="D378" s="51"/>
      <c r="E378" s="16" t="str">
        <f>"610377855563"</f>
        <v>610377855563</v>
      </c>
      <c r="F378" s="17">
        <v>1</v>
      </c>
    </row>
    <row r="379" spans="1:6">
      <c r="A379" s="18" t="str">
        <f>"EC40C92SFT"</f>
        <v>EC40C92SFT</v>
      </c>
      <c r="B379" s="18" t="s">
        <v>358</v>
      </c>
      <c r="C379" s="37">
        <v>472.65300000000002</v>
      </c>
      <c r="D379" s="51"/>
      <c r="E379" s="19" t="str">
        <f>"610377857307"</f>
        <v>610377857307</v>
      </c>
      <c r="F379" s="20">
        <v>1</v>
      </c>
    </row>
    <row r="380" spans="1:6">
      <c r="A380" s="15" t="str">
        <f>"EC40C92STL"</f>
        <v>EC40C92STL</v>
      </c>
      <c r="B380" s="15" t="s">
        <v>359</v>
      </c>
      <c r="C380" s="36">
        <v>447.87599999999998</v>
      </c>
      <c r="D380" s="51"/>
      <c r="E380" s="16" t="str">
        <f>"610377857314"</f>
        <v>610377857314</v>
      </c>
      <c r="F380" s="17">
        <v>1</v>
      </c>
    </row>
    <row r="381" spans="1:6">
      <c r="A381" s="18" t="str">
        <f>"EC50AC"</f>
        <v>EC50AC</v>
      </c>
      <c r="B381" s="18" t="s">
        <v>354</v>
      </c>
      <c r="C381" s="37">
        <v>292.113</v>
      </c>
      <c r="D381" s="51"/>
      <c r="E381" s="19" t="str">
        <f>"610377026352"</f>
        <v>610377026352</v>
      </c>
      <c r="F381" s="20">
        <v>1</v>
      </c>
    </row>
    <row r="382" spans="1:6">
      <c r="A382" s="15" t="str">
        <f>"EC50C80X5S"</f>
        <v>EC50C80X5S</v>
      </c>
      <c r="B382" s="15" t="s">
        <v>360</v>
      </c>
      <c r="C382" s="36">
        <v>443.322</v>
      </c>
      <c r="D382" s="51"/>
      <c r="E382" s="16" t="str">
        <f>"610377349239"</f>
        <v>610377349239</v>
      </c>
      <c r="F382" s="17">
        <v>1</v>
      </c>
    </row>
    <row r="383" spans="1:6">
      <c r="A383" s="18" t="str">
        <f>"EC50C80X5STL"</f>
        <v>EC50C80X5STL</v>
      </c>
      <c r="B383" s="18" t="s">
        <v>361</v>
      </c>
      <c r="C383" s="37">
        <v>448.82100000000003</v>
      </c>
      <c r="D383" s="51"/>
      <c r="E383" s="19" t="str">
        <f>"610377349246"</f>
        <v>610377349246</v>
      </c>
      <c r="F383" s="20">
        <v>1</v>
      </c>
    </row>
    <row r="384" spans="1:6">
      <c r="A384" s="15" t="str">
        <f>"EC50C92S"</f>
        <v>EC50C92S</v>
      </c>
      <c r="B384" s="15" t="s">
        <v>362</v>
      </c>
      <c r="C384" s="36">
        <v>468.09899999999999</v>
      </c>
      <c r="D384" s="51"/>
      <c r="E384" s="16" t="str">
        <f>"610377857338"</f>
        <v>610377857338</v>
      </c>
      <c r="F384" s="17">
        <v>1</v>
      </c>
    </row>
    <row r="385" spans="1:6">
      <c r="A385" s="18" t="str">
        <f>"EC50C92SFTTL"</f>
        <v>EC50C92SFTTL</v>
      </c>
      <c r="B385" s="18" t="s">
        <v>363</v>
      </c>
      <c r="C385" s="37">
        <v>500.42250000000001</v>
      </c>
      <c r="D385" s="51"/>
      <c r="E385" s="19" t="str">
        <f>"610377857352"</f>
        <v>610377857352</v>
      </c>
      <c r="F385" s="20">
        <v>1</v>
      </c>
    </row>
    <row r="386" spans="1:6">
      <c r="A386" s="15" t="str">
        <f>"EC50C92STL"</f>
        <v>EC50C92STL</v>
      </c>
      <c r="B386" s="15" t="s">
        <v>364</v>
      </c>
      <c r="C386" s="36">
        <v>473.84100000000001</v>
      </c>
      <c r="D386" s="51"/>
      <c r="E386" s="16" t="str">
        <f>"610377857369"</f>
        <v>610377857369</v>
      </c>
      <c r="F386" s="17">
        <v>1</v>
      </c>
    </row>
    <row r="387" spans="1:6">
      <c r="A387" s="18" t="str">
        <f>"EC50C93S"</f>
        <v>EC50C93S</v>
      </c>
      <c r="B387" s="18" t="s">
        <v>365</v>
      </c>
      <c r="C387" s="37">
        <v>476.964</v>
      </c>
      <c r="D387" s="51"/>
      <c r="E387" s="19" t="str">
        <f>"610377857376"</f>
        <v>610377857376</v>
      </c>
      <c r="F387" s="20">
        <v>1</v>
      </c>
    </row>
    <row r="388" spans="1:6">
      <c r="A388" s="15" t="str">
        <f>"EC50C93SFT"</f>
        <v>EC50C93SFT</v>
      </c>
      <c r="B388" s="15" t="s">
        <v>366</v>
      </c>
      <c r="C388" s="36">
        <v>507.97800000000001</v>
      </c>
      <c r="D388" s="51"/>
      <c r="E388" s="16" t="str">
        <f>"610377857383"</f>
        <v>610377857383</v>
      </c>
      <c r="F388" s="17">
        <v>1</v>
      </c>
    </row>
    <row r="389" spans="1:6">
      <c r="A389" s="18" t="str">
        <f>"EC50C93STL"</f>
        <v>EC50C93STL</v>
      </c>
      <c r="B389" s="18" t="s">
        <v>367</v>
      </c>
      <c r="C389" s="37">
        <v>482.904</v>
      </c>
      <c r="D389" s="51"/>
      <c r="E389" s="19" t="str">
        <f>"610377857390"</f>
        <v>610377857390</v>
      </c>
      <c r="F389" s="20">
        <v>1</v>
      </c>
    </row>
    <row r="390" spans="1:6" ht="16" thickBot="1">
      <c r="A390" s="21" t="str">
        <f>"EC65A"</f>
        <v>EC65A</v>
      </c>
      <c r="B390" s="21" t="s">
        <v>368</v>
      </c>
      <c r="C390" s="38">
        <v>437.57549999999998</v>
      </c>
      <c r="D390" s="52"/>
      <c r="E390" s="22" t="str">
        <f>"610377026543"</f>
        <v>610377026543</v>
      </c>
      <c r="F390" s="23">
        <v>1</v>
      </c>
    </row>
    <row r="391" spans="1:6" ht="16" thickTop="1">
      <c r="A391" s="12" t="str">
        <f>"EC65BLP"</f>
        <v>EC65BLP</v>
      </c>
      <c r="B391" s="12" t="s">
        <v>369</v>
      </c>
      <c r="C391" s="35">
        <v>77.728499999999997</v>
      </c>
      <c r="D391" s="50"/>
      <c r="E391" s="13" t="str">
        <f>"610377026550"</f>
        <v>610377026550</v>
      </c>
      <c r="F391" s="14">
        <v>1</v>
      </c>
    </row>
    <row r="392" spans="1:6">
      <c r="A392" s="15" t="str">
        <f>"EC75A"</f>
        <v>EC75A</v>
      </c>
      <c r="B392" s="15" t="s">
        <v>368</v>
      </c>
      <c r="C392" s="36">
        <v>471.06</v>
      </c>
      <c r="D392" s="51"/>
      <c r="E392" s="16" t="str">
        <f>"610377026598"</f>
        <v>610377026598</v>
      </c>
      <c r="F392" s="17">
        <v>1</v>
      </c>
    </row>
    <row r="393" spans="1:6">
      <c r="A393" s="18" t="str">
        <f>"EM3BY113E"</f>
        <v>EM3BY113E</v>
      </c>
      <c r="B393" s="18" t="s">
        <v>370</v>
      </c>
      <c r="C393" s="37">
        <v>663.822</v>
      </c>
      <c r="D393" s="51"/>
      <c r="E393" s="19" t="str">
        <f>"610377135184"</f>
        <v>610377135184</v>
      </c>
      <c r="F393" s="20">
        <v>1</v>
      </c>
    </row>
    <row r="394" spans="1:6">
      <c r="A394" s="15" t="str">
        <f>"EM3TB14SE"</f>
        <v>EM3TB14SE</v>
      </c>
      <c r="B394" s="15" t="s">
        <v>371</v>
      </c>
      <c r="C394" s="36">
        <v>869.36400000000003</v>
      </c>
      <c r="D394" s="51"/>
      <c r="E394" s="16" t="str">
        <f>"610377234566"</f>
        <v>610377234566</v>
      </c>
      <c r="F394" s="17">
        <v>1</v>
      </c>
    </row>
    <row r="395" spans="1:6">
      <c r="A395" s="18" t="str">
        <f>"EM3TB16FE"</f>
        <v>EM3TB16FE</v>
      </c>
      <c r="B395" s="18" t="s">
        <v>372</v>
      </c>
      <c r="C395" s="37">
        <v>1323.18</v>
      </c>
      <c r="D395" s="51"/>
      <c r="E395" s="19" t="str">
        <f>"610377234535"</f>
        <v>610377234535</v>
      </c>
      <c r="F395" s="20">
        <v>1</v>
      </c>
    </row>
    <row r="396" spans="1:6">
      <c r="A396" s="15" t="str">
        <f>"EM3TN125SE"</f>
        <v>EM3TN125SE</v>
      </c>
      <c r="B396" s="15" t="s">
        <v>373</v>
      </c>
      <c r="C396" s="36">
        <v>938.13750000000005</v>
      </c>
      <c r="D396" s="51"/>
      <c r="E396" s="16" t="str">
        <f>"610377134095"</f>
        <v>610377134095</v>
      </c>
      <c r="F396" s="17">
        <v>1</v>
      </c>
    </row>
    <row r="397" spans="1:6">
      <c r="A397" s="18" t="str">
        <f>"EM3TN125TE"</f>
        <v>EM3TN125TE</v>
      </c>
      <c r="B397" s="18" t="s">
        <v>373</v>
      </c>
      <c r="C397" s="37">
        <v>938.13750000000005</v>
      </c>
      <c r="D397" s="51"/>
      <c r="E397" s="19" t="str">
        <f>"610377134088"</f>
        <v>610377134088</v>
      </c>
      <c r="F397" s="20">
        <v>1</v>
      </c>
    </row>
    <row r="398" spans="1:6">
      <c r="A398" s="15" t="str">
        <f>"EM3TN13SE"</f>
        <v>EM3TN13SE</v>
      </c>
      <c r="B398" s="15" t="s">
        <v>374</v>
      </c>
      <c r="C398" s="36">
        <v>938.13750000000005</v>
      </c>
      <c r="D398" s="51"/>
      <c r="E398" s="16" t="str">
        <f>"610377134118"</f>
        <v>610377134118</v>
      </c>
      <c r="F398" s="17">
        <v>1</v>
      </c>
    </row>
    <row r="399" spans="1:6">
      <c r="A399" s="18" t="str">
        <f>"EM3TN13TE"</f>
        <v>EM3TN13TE</v>
      </c>
      <c r="B399" s="18" t="s">
        <v>374</v>
      </c>
      <c r="C399" s="37">
        <v>938.13750000000005</v>
      </c>
      <c r="D399" s="51"/>
      <c r="E399" s="19" t="str">
        <f>"610377134101"</f>
        <v>610377134101</v>
      </c>
      <c r="F399" s="20">
        <v>1</v>
      </c>
    </row>
    <row r="400" spans="1:6">
      <c r="A400" s="15" t="str">
        <f>"EM8TN14SE"</f>
        <v>EM8TN14SE</v>
      </c>
      <c r="B400" s="15" t="s">
        <v>375</v>
      </c>
      <c r="C400" s="36">
        <v>1788.453</v>
      </c>
      <c r="D400" s="51"/>
      <c r="E400" s="16" t="str">
        <f>"610377134149"</f>
        <v>610377134149</v>
      </c>
      <c r="F400" s="17">
        <v>1</v>
      </c>
    </row>
    <row r="401" spans="1:6">
      <c r="A401" s="18" t="str">
        <f>"EM8TN14TE"</f>
        <v>EM8TN14TE</v>
      </c>
      <c r="B401" s="18" t="s">
        <v>375</v>
      </c>
      <c r="C401" s="37">
        <v>1788.453</v>
      </c>
      <c r="D401" s="51"/>
      <c r="E401" s="19" t="str">
        <f>"610377134156"</f>
        <v>610377134156</v>
      </c>
      <c r="F401" s="20">
        <v>1</v>
      </c>
    </row>
    <row r="402" spans="1:6">
      <c r="A402" s="15" t="str">
        <f>"EM8TN16FE"</f>
        <v>EM8TN16FE</v>
      </c>
      <c r="B402" s="15" t="s">
        <v>376</v>
      </c>
      <c r="C402" s="36">
        <v>2289.087</v>
      </c>
      <c r="D402" s="51"/>
      <c r="E402" s="16" t="str">
        <f>"610377134163"</f>
        <v>610377134163</v>
      </c>
      <c r="F402" s="17">
        <v>1</v>
      </c>
    </row>
    <row r="403" spans="1:6">
      <c r="A403" s="18" t="str">
        <f>"GC-3-5PK"</f>
        <v>GC-3-5PK</v>
      </c>
      <c r="B403" s="18" t="s">
        <v>377</v>
      </c>
      <c r="C403" s="37">
        <v>116.001</v>
      </c>
      <c r="D403" s="51"/>
      <c r="E403" s="19" t="str">
        <f>"761418007189"</f>
        <v>761418007189</v>
      </c>
      <c r="F403" s="20">
        <v>1</v>
      </c>
    </row>
    <row r="404" spans="1:6">
      <c r="A404" s="15" t="str">
        <f>"GG060DUAL"</f>
        <v>GG060DUAL</v>
      </c>
      <c r="B404" s="15" t="s">
        <v>378</v>
      </c>
      <c r="C404" s="36">
        <v>21.338999999999999</v>
      </c>
      <c r="D404" s="51"/>
      <c r="E404" s="16" t="str">
        <f>"610377117203"</f>
        <v>610377117203</v>
      </c>
      <c r="F404" s="17">
        <v>1</v>
      </c>
    </row>
    <row r="405" spans="1:6">
      <c r="A405" s="18" t="str">
        <f>"GG125X25030"</f>
        <v>GG125X25030</v>
      </c>
      <c r="B405" s="18" t="s">
        <v>379</v>
      </c>
      <c r="C405" s="37">
        <v>69.641999999999996</v>
      </c>
      <c r="D405" s="51"/>
      <c r="E405" s="19" t="str">
        <f>"610377609807"</f>
        <v>610377609807</v>
      </c>
      <c r="F405" s="20">
        <v>1</v>
      </c>
    </row>
    <row r="406" spans="1:6">
      <c r="A406" s="15" t="str">
        <f>"GL-235"</f>
        <v>GL-235</v>
      </c>
      <c r="B406" s="15" t="s">
        <v>380</v>
      </c>
      <c r="C406" s="36">
        <v>162.792</v>
      </c>
      <c r="D406" s="51"/>
      <c r="E406" s="16" t="str">
        <f>"761418003907"</f>
        <v>761418003907</v>
      </c>
      <c r="F406" s="17">
        <v>1</v>
      </c>
    </row>
    <row r="407" spans="1:6">
      <c r="A407" s="18" t="str">
        <f>"GLC-1P-A"</f>
        <v>GLC-1P-A</v>
      </c>
      <c r="B407" s="18" t="s">
        <v>381</v>
      </c>
      <c r="C407" s="37">
        <v>242.83799999999999</v>
      </c>
      <c r="D407" s="51"/>
      <c r="E407" s="19" t="str">
        <f>"761418004713"</f>
        <v>761418004713</v>
      </c>
      <c r="F407" s="20">
        <v>1</v>
      </c>
    </row>
    <row r="408" spans="1:6">
      <c r="A408" s="15" t="str">
        <f>"GLC-1P-B"</f>
        <v>GLC-1P-B</v>
      </c>
      <c r="B408" s="15" t="s">
        <v>382</v>
      </c>
      <c r="C408" s="36">
        <v>242.83799999999999</v>
      </c>
      <c r="D408" s="51"/>
      <c r="E408" s="16" t="str">
        <f>"761418004737"</f>
        <v>761418004737</v>
      </c>
      <c r="F408" s="17">
        <v>1</v>
      </c>
    </row>
    <row r="409" spans="1:6">
      <c r="A409" s="18" t="str">
        <f>"GLC-2P-A"</f>
        <v>GLC-2P-A</v>
      </c>
      <c r="B409" s="18" t="s">
        <v>383</v>
      </c>
      <c r="C409" s="37">
        <v>242.83799999999999</v>
      </c>
      <c r="D409" s="51"/>
      <c r="E409" s="19" t="str">
        <f>"761418004720"</f>
        <v>761418004720</v>
      </c>
      <c r="F409" s="20">
        <v>1</v>
      </c>
    </row>
    <row r="410" spans="1:6">
      <c r="A410" s="15" t="str">
        <f>"GLC-2P-B"</f>
        <v>GLC-2P-B</v>
      </c>
      <c r="B410" s="15" t="s">
        <v>384</v>
      </c>
      <c r="C410" s="36">
        <v>242.83799999999999</v>
      </c>
      <c r="D410" s="51"/>
      <c r="E410" s="16" t="str">
        <f>"761418004744"</f>
        <v>761418004744</v>
      </c>
      <c r="F410" s="17">
        <v>1</v>
      </c>
    </row>
    <row r="411" spans="1:6">
      <c r="A411" s="18" t="str">
        <f>"GLC-GVA-A"</f>
        <v>GLC-GVA-A</v>
      </c>
      <c r="B411" s="18" t="s">
        <v>385</v>
      </c>
      <c r="C411" s="37">
        <v>282.37049999999999</v>
      </c>
      <c r="D411" s="51"/>
      <c r="E411" s="19" t="str">
        <f>"610377145411"</f>
        <v>610377145411</v>
      </c>
      <c r="F411" s="20">
        <v>1</v>
      </c>
    </row>
    <row r="412" spans="1:6">
      <c r="A412" s="15" t="str">
        <f>"GVA-24"</f>
        <v>GVA-24</v>
      </c>
      <c r="B412" s="15" t="s">
        <v>386</v>
      </c>
      <c r="C412" s="36">
        <v>93.915000000000006</v>
      </c>
      <c r="D412" s="51"/>
      <c r="E412" s="16" t="str">
        <f>"761418002139"</f>
        <v>761418002139</v>
      </c>
      <c r="F412" s="17">
        <v>12</v>
      </c>
    </row>
    <row r="413" spans="1:6">
      <c r="A413" s="18" t="str">
        <f>"H100ID1"</f>
        <v>H100ID1</v>
      </c>
      <c r="B413" s="18" t="s">
        <v>387</v>
      </c>
      <c r="C413" s="37">
        <v>771.98850000000004</v>
      </c>
      <c r="D413" s="51"/>
      <c r="E413" s="19" t="str">
        <f>"610377441445"</f>
        <v>610377441445</v>
      </c>
      <c r="F413" s="20">
        <v>1</v>
      </c>
    </row>
    <row r="414" spans="1:6">
      <c r="A414" s="15" t="str">
        <f>"H100IDP1"</f>
        <v>H100IDP1</v>
      </c>
      <c r="B414" s="15" t="s">
        <v>388</v>
      </c>
      <c r="C414" s="36">
        <v>771.98850000000004</v>
      </c>
      <c r="D414" s="51"/>
      <c r="E414" s="16" t="str">
        <f>"610377441452"</f>
        <v>610377441452</v>
      </c>
      <c r="F414" s="17">
        <v>1</v>
      </c>
    </row>
    <row r="415" spans="1:6">
      <c r="A415" s="18" t="str">
        <f>"H150FDN"</f>
        <v>H150FDN</v>
      </c>
      <c r="B415" s="18" t="s">
        <v>389</v>
      </c>
      <c r="C415" s="37">
        <v>1094.4045000000001</v>
      </c>
      <c r="D415" s="51"/>
      <c r="E415" s="19" t="str">
        <f>"610377047043"</f>
        <v>610377047043</v>
      </c>
      <c r="F415" s="20">
        <v>1</v>
      </c>
    </row>
    <row r="416" spans="1:6">
      <c r="A416" s="15" t="str">
        <f>"H150FDP"</f>
        <v>H150FDP</v>
      </c>
      <c r="B416" s="15" t="s">
        <v>390</v>
      </c>
      <c r="C416" s="36">
        <v>1094.4045000000001</v>
      </c>
      <c r="D416" s="51"/>
      <c r="E416" s="16" t="str">
        <f>"610377047128"</f>
        <v>610377047128</v>
      </c>
      <c r="F416" s="17">
        <v>1</v>
      </c>
    </row>
    <row r="417" spans="1:6">
      <c r="A417" s="18" t="str">
        <f>"H200FDN"</f>
        <v>H200FDN</v>
      </c>
      <c r="B417" s="18" t="s">
        <v>391</v>
      </c>
      <c r="C417" s="37">
        <v>1267.3035</v>
      </c>
      <c r="D417" s="51"/>
      <c r="E417" s="19" t="str">
        <f>"610377083638"</f>
        <v>610377083638</v>
      </c>
      <c r="F417" s="20">
        <v>1</v>
      </c>
    </row>
    <row r="418" spans="1:6">
      <c r="A418" s="15" t="str">
        <f>"H200FDP"</f>
        <v>H200FDP</v>
      </c>
      <c r="B418" s="15" t="s">
        <v>392</v>
      </c>
      <c r="C418" s="36">
        <v>1267.3035</v>
      </c>
      <c r="D418" s="51"/>
      <c r="E418" s="16" t="str">
        <f>"610377083645"</f>
        <v>610377083645</v>
      </c>
      <c r="F418" s="17">
        <v>1</v>
      </c>
    </row>
    <row r="419" spans="1:6">
      <c r="A419" s="18" t="str">
        <f>"H2101"</f>
        <v>H2101</v>
      </c>
      <c r="B419" s="18" t="s">
        <v>393</v>
      </c>
      <c r="C419" s="37">
        <v>1369.251</v>
      </c>
      <c r="D419" s="51"/>
      <c r="E419" s="19" t="str">
        <f>"610377227070"</f>
        <v>610377227070</v>
      </c>
      <c r="F419" s="20">
        <v>1</v>
      </c>
    </row>
    <row r="420" spans="1:6">
      <c r="A420" s="15" t="str">
        <f>"H210P1"</f>
        <v>H210P1</v>
      </c>
      <c r="B420" s="15" t="s">
        <v>394</v>
      </c>
      <c r="C420" s="36">
        <v>1369.251</v>
      </c>
      <c r="D420" s="51"/>
      <c r="E420" s="16" t="str">
        <f>"610377227087"</f>
        <v>610377227087</v>
      </c>
      <c r="F420" s="17">
        <v>1</v>
      </c>
    </row>
    <row r="421" spans="1:6">
      <c r="A421" s="18" t="str">
        <f>"H250FDN"</f>
        <v>H250FDN</v>
      </c>
      <c r="B421" s="18" t="s">
        <v>395</v>
      </c>
      <c r="C421" s="37">
        <v>1401.1965</v>
      </c>
      <c r="D421" s="51"/>
      <c r="E421" s="19" t="str">
        <f>"610377027274"</f>
        <v>610377027274</v>
      </c>
      <c r="F421" s="20">
        <v>1</v>
      </c>
    </row>
    <row r="422" spans="1:6">
      <c r="A422" s="15" t="str">
        <f>"H250FDNASME"</f>
        <v>H250FDNASME</v>
      </c>
      <c r="B422" s="15" t="s">
        <v>396</v>
      </c>
      <c r="C422" s="36">
        <v>1827.1890000000001</v>
      </c>
      <c r="D422" s="51"/>
      <c r="E422" s="16" t="str">
        <f>"610377135269"</f>
        <v>610377135269</v>
      </c>
      <c r="F422" s="17">
        <v>1</v>
      </c>
    </row>
    <row r="423" spans="1:6">
      <c r="A423" s="18" t="str">
        <f>"H250FDP"</f>
        <v>H250FDP</v>
      </c>
      <c r="B423" s="18" t="s">
        <v>397</v>
      </c>
      <c r="C423" s="37">
        <v>1401.1965</v>
      </c>
      <c r="D423" s="51"/>
      <c r="E423" s="19" t="str">
        <f>"610377027298"</f>
        <v>610377027298</v>
      </c>
      <c r="F423" s="20">
        <v>1</v>
      </c>
    </row>
    <row r="424" spans="1:6">
      <c r="A424" s="15" t="str">
        <f>"H250FDPASME"</f>
        <v>H250FDPASME</v>
      </c>
      <c r="B424" s="15" t="s">
        <v>398</v>
      </c>
      <c r="C424" s="36">
        <v>1827.1890000000001</v>
      </c>
      <c r="D424" s="51"/>
      <c r="E424" s="16" t="str">
        <f>"610377135276"</f>
        <v>610377135276</v>
      </c>
      <c r="F424" s="17">
        <v>1</v>
      </c>
    </row>
    <row r="425" spans="1:6">
      <c r="A425" s="18" t="str">
        <f>"H300FDN"</f>
        <v>H300FDN</v>
      </c>
      <c r="B425" s="18" t="s">
        <v>399</v>
      </c>
      <c r="C425" s="37">
        <v>1550.2365</v>
      </c>
      <c r="D425" s="51"/>
      <c r="E425" s="19" t="str">
        <f>"610377083652"</f>
        <v>610377083652</v>
      </c>
      <c r="F425" s="20">
        <v>1</v>
      </c>
    </row>
    <row r="426" spans="1:6">
      <c r="A426" s="15" t="str">
        <f>"H300FDP"</f>
        <v>H300FDP</v>
      </c>
      <c r="B426" s="15" t="s">
        <v>400</v>
      </c>
      <c r="C426" s="36">
        <v>1550.2365</v>
      </c>
      <c r="D426" s="51"/>
      <c r="E426" s="16" t="str">
        <f>"610377083669"</f>
        <v>610377083669</v>
      </c>
      <c r="F426" s="17">
        <v>1</v>
      </c>
    </row>
    <row r="427" spans="1:6">
      <c r="A427" s="18" t="str">
        <f>"H350FDN"</f>
        <v>H350FDN</v>
      </c>
      <c r="B427" s="18" t="s">
        <v>401</v>
      </c>
      <c r="C427" s="37">
        <v>1606.347</v>
      </c>
      <c r="D427" s="51"/>
      <c r="E427" s="19" t="str">
        <f>"610377027304"</f>
        <v>610377027304</v>
      </c>
      <c r="F427" s="20">
        <v>1</v>
      </c>
    </row>
    <row r="428" spans="1:6">
      <c r="A428" s="15" t="str">
        <f>"H350FDP"</f>
        <v>H350FDP</v>
      </c>
      <c r="B428" s="15" t="s">
        <v>402</v>
      </c>
      <c r="C428" s="36">
        <v>1606.347</v>
      </c>
      <c r="D428" s="51"/>
      <c r="E428" s="16" t="str">
        <f>"610377027328"</f>
        <v>610377027328</v>
      </c>
      <c r="F428" s="17">
        <v>1</v>
      </c>
    </row>
    <row r="429" spans="1:6">
      <c r="A429" s="18" t="str">
        <f>"H400FDN"</f>
        <v>H400FDN</v>
      </c>
      <c r="B429" s="18" t="s">
        <v>403</v>
      </c>
      <c r="C429" s="37">
        <v>1804.8105</v>
      </c>
      <c r="D429" s="51"/>
      <c r="E429" s="19" t="str">
        <f>"610377027250"</f>
        <v>610377027250</v>
      </c>
      <c r="F429" s="20">
        <v>1</v>
      </c>
    </row>
    <row r="430" spans="1:6">
      <c r="A430" s="15" t="str">
        <f>"H400FDNASME"</f>
        <v>H400FDNASME</v>
      </c>
      <c r="B430" s="15" t="s">
        <v>404</v>
      </c>
      <c r="C430" s="36">
        <v>2192.6295</v>
      </c>
      <c r="D430" s="51"/>
      <c r="E430" s="16" t="str">
        <f>"610377135245"</f>
        <v>610377135245</v>
      </c>
      <c r="F430" s="17">
        <v>1</v>
      </c>
    </row>
    <row r="431" spans="1:6">
      <c r="A431" s="18" t="str">
        <f>"H400FDP"</f>
        <v>H400FDP</v>
      </c>
      <c r="B431" s="18" t="s">
        <v>405</v>
      </c>
      <c r="C431" s="37">
        <v>1804.8105</v>
      </c>
      <c r="D431" s="51"/>
      <c r="E431" s="19" t="str">
        <f>"610377027267"</f>
        <v>610377027267</v>
      </c>
      <c r="F431" s="20">
        <v>1</v>
      </c>
    </row>
    <row r="432" spans="1:6">
      <c r="A432" s="15" t="str">
        <f>"H400FDPASME"</f>
        <v>H400FDPASME</v>
      </c>
      <c r="B432" s="15" t="s">
        <v>406</v>
      </c>
      <c r="C432" s="36">
        <v>2192.6295</v>
      </c>
      <c r="D432" s="51"/>
      <c r="E432" s="16" t="str">
        <f>"610377135252"</f>
        <v>610377135252</v>
      </c>
      <c r="F432" s="17">
        <v>1</v>
      </c>
    </row>
    <row r="433" spans="1:6">
      <c r="A433" s="18" t="str">
        <f>"HCC1000-CO2"</f>
        <v>HCC1000-CO2</v>
      </c>
      <c r="B433" s="18" t="s">
        <v>407</v>
      </c>
      <c r="C433" s="37">
        <v>898.68150000000003</v>
      </c>
      <c r="D433" s="51"/>
      <c r="E433" s="19" t="str">
        <f>"610377209861"</f>
        <v>610377209861</v>
      </c>
      <c r="F433" s="20">
        <v>1</v>
      </c>
    </row>
    <row r="434" spans="1:6">
      <c r="A434" s="15" t="str">
        <f>"HCC1000-ORP"</f>
        <v>HCC1000-ORP</v>
      </c>
      <c r="B434" s="15" t="s">
        <v>408</v>
      </c>
      <c r="C434" s="36">
        <v>695.75400000000002</v>
      </c>
      <c r="D434" s="51"/>
      <c r="E434" s="16" t="str">
        <f>"610377205481"</f>
        <v>610377205481</v>
      </c>
      <c r="F434" s="17">
        <v>1</v>
      </c>
    </row>
    <row r="435" spans="1:6">
      <c r="A435" s="18" t="str">
        <f>"HCC1000-PH"</f>
        <v>HCC1000-PH</v>
      </c>
      <c r="B435" s="18" t="s">
        <v>409</v>
      </c>
      <c r="C435" s="37">
        <v>695.75400000000002</v>
      </c>
      <c r="D435" s="51"/>
      <c r="E435" s="19" t="str">
        <f>"610377187466"</f>
        <v>610377187466</v>
      </c>
      <c r="F435" s="20">
        <v>1</v>
      </c>
    </row>
    <row r="436" spans="1:6" ht="16" thickBot="1">
      <c r="A436" s="21" t="str">
        <f>"HCC1000-PH-CP"</f>
        <v>HCC1000-PH-CP</v>
      </c>
      <c r="B436" s="21" t="s">
        <v>410</v>
      </c>
      <c r="C436" s="38">
        <v>898.68150000000003</v>
      </c>
      <c r="D436" s="52"/>
      <c r="E436" s="22" t="str">
        <f>"610377187022"</f>
        <v>610377187022</v>
      </c>
      <c r="F436" s="23">
        <v>1</v>
      </c>
    </row>
    <row r="437" spans="1:6" ht="16" thickTop="1">
      <c r="A437" s="12" t="str">
        <f>"HCC2000"</f>
        <v>HCC2000</v>
      </c>
      <c r="B437" s="12" t="s">
        <v>411</v>
      </c>
      <c r="C437" s="35">
        <v>985.65300000000002</v>
      </c>
      <c r="D437" s="50"/>
      <c r="E437" s="13" t="str">
        <f>"610377139243"</f>
        <v>610377139243</v>
      </c>
      <c r="F437" s="14">
        <v>1</v>
      </c>
    </row>
    <row r="438" spans="1:6">
      <c r="A438" s="15" t="str">
        <f>"HCC2000-AU"</f>
        <v>HCC2000-AU</v>
      </c>
      <c r="B438" s="15" t="s">
        <v>412</v>
      </c>
      <c r="C438" s="36">
        <v>985.65300000000002</v>
      </c>
      <c r="D438" s="51"/>
      <c r="E438" s="16" t="str">
        <f>"610377144902"</f>
        <v>610377144902</v>
      </c>
      <c r="F438" s="17">
        <v>1</v>
      </c>
    </row>
    <row r="439" spans="1:6">
      <c r="A439" s="18" t="str">
        <f>"HCC2000-CP"</f>
        <v>HCC2000-CP</v>
      </c>
      <c r="B439" s="18" t="s">
        <v>413</v>
      </c>
      <c r="C439" s="37">
        <v>1188.576</v>
      </c>
      <c r="D439" s="51"/>
      <c r="E439" s="19" t="str">
        <f>"610377148054"</f>
        <v>610377148054</v>
      </c>
      <c r="F439" s="20">
        <v>1</v>
      </c>
    </row>
    <row r="440" spans="1:6">
      <c r="A440" s="15" t="str">
        <f>"HCF302T"</f>
        <v>HCF302T</v>
      </c>
      <c r="B440" s="15" t="s">
        <v>414</v>
      </c>
      <c r="C440" s="36">
        <v>883.04849999999999</v>
      </c>
      <c r="D440" s="51"/>
      <c r="E440" s="16" t="str">
        <f>"610377190046"</f>
        <v>610377190046</v>
      </c>
      <c r="F440" s="17">
        <v>1</v>
      </c>
    </row>
    <row r="441" spans="1:6">
      <c r="A441" s="18" t="str">
        <f>"HCF342T"</f>
        <v>HCF342T</v>
      </c>
      <c r="B441" s="18" t="s">
        <v>415</v>
      </c>
      <c r="C441" s="37">
        <v>1135.5119999999999</v>
      </c>
      <c r="D441" s="51"/>
      <c r="E441" s="19" t="str">
        <f>"610377190053"</f>
        <v>610377190053</v>
      </c>
      <c r="F441" s="20">
        <v>1</v>
      </c>
    </row>
    <row r="442" spans="1:6">
      <c r="A442" s="15" t="str">
        <f>"HCF343F"</f>
        <v>HCF343F</v>
      </c>
      <c r="B442" s="15" t="s">
        <v>416</v>
      </c>
      <c r="C442" s="36">
        <v>1308.8655000000001</v>
      </c>
      <c r="D442" s="51"/>
      <c r="E442" s="16" t="str">
        <f>"610377194679"</f>
        <v>610377194679</v>
      </c>
      <c r="F442" s="17">
        <v>1</v>
      </c>
    </row>
    <row r="443" spans="1:6">
      <c r="A443" s="18" t="str">
        <f>"HCF343T"</f>
        <v>HCF343T</v>
      </c>
      <c r="B443" s="18" t="s">
        <v>417</v>
      </c>
      <c r="C443" s="37">
        <v>1266.9794999999999</v>
      </c>
      <c r="D443" s="51"/>
      <c r="E443" s="19" t="str">
        <f>"610377194662"</f>
        <v>610377194662</v>
      </c>
      <c r="F443" s="20">
        <v>1</v>
      </c>
    </row>
    <row r="444" spans="1:6">
      <c r="A444" s="15" t="str">
        <f>"HCF362T"</f>
        <v>HCF362T</v>
      </c>
      <c r="B444" s="15" t="s">
        <v>418</v>
      </c>
      <c r="C444" s="36">
        <v>1157.616</v>
      </c>
      <c r="D444" s="51"/>
      <c r="E444" s="16" t="str">
        <f>"610377194686"</f>
        <v>610377194686</v>
      </c>
      <c r="F444" s="17">
        <v>1</v>
      </c>
    </row>
    <row r="445" spans="1:6">
      <c r="A445" s="18" t="str">
        <f>"HCF363F"</f>
        <v>HCF363F</v>
      </c>
      <c r="B445" s="18" t="s">
        <v>419</v>
      </c>
      <c r="C445" s="37">
        <v>1336.788</v>
      </c>
      <c r="D445" s="51"/>
      <c r="E445" s="19" t="str">
        <f>"610377194709"</f>
        <v>610377194709</v>
      </c>
      <c r="F445" s="20">
        <v>1</v>
      </c>
    </row>
    <row r="446" spans="1:6">
      <c r="A446" s="15" t="str">
        <f>"HCF363T"</f>
        <v>HCF363T</v>
      </c>
      <c r="B446" s="15" t="s">
        <v>420</v>
      </c>
      <c r="C446" s="36">
        <v>1294.902</v>
      </c>
      <c r="D446" s="51"/>
      <c r="E446" s="16" t="str">
        <f>"610377194693"</f>
        <v>610377194693</v>
      </c>
      <c r="F446" s="17">
        <v>1</v>
      </c>
    </row>
    <row r="447" spans="1:6">
      <c r="A447" s="18" t="str">
        <f>"HCF375KIT"</f>
        <v>HCF375KIT</v>
      </c>
      <c r="B447" s="18" t="s">
        <v>421</v>
      </c>
      <c r="C447" s="37">
        <v>101.286</v>
      </c>
      <c r="D447" s="51"/>
      <c r="E447" s="19" t="str">
        <f>"610377242882"</f>
        <v>610377242882</v>
      </c>
      <c r="F447" s="20">
        <v>1</v>
      </c>
    </row>
    <row r="448" spans="1:6">
      <c r="A448" s="15" t="str">
        <f>"HCF7030C"</f>
        <v>HCF7030C</v>
      </c>
      <c r="B448" s="15" t="s">
        <v>422</v>
      </c>
      <c r="C448" s="36">
        <v>865.91700000000003</v>
      </c>
      <c r="D448" s="51"/>
      <c r="E448" s="16" t="str">
        <f>"610377142670"</f>
        <v>610377142670</v>
      </c>
      <c r="F448" s="17">
        <v>1</v>
      </c>
    </row>
    <row r="449" spans="1:6">
      <c r="A449" s="18" t="str">
        <f>"HCP100"</f>
        <v>HCP100</v>
      </c>
      <c r="B449" s="18" t="s">
        <v>423</v>
      </c>
      <c r="C449" s="37">
        <v>3371.4225000000001</v>
      </c>
      <c r="D449" s="51"/>
      <c r="E449" s="19" t="str">
        <f>"610377132985"</f>
        <v>610377132985</v>
      </c>
      <c r="F449" s="20">
        <v>1</v>
      </c>
    </row>
    <row r="450" spans="1:6">
      <c r="A450" s="15" t="str">
        <f>"HCP125"</f>
        <v>HCP125</v>
      </c>
      <c r="B450" s="15" t="s">
        <v>424</v>
      </c>
      <c r="C450" s="36">
        <v>3535.4564999999998</v>
      </c>
      <c r="D450" s="51"/>
      <c r="E450" s="16" t="str">
        <f>"610377131926"</f>
        <v>610377131926</v>
      </c>
      <c r="F450" s="17">
        <v>1</v>
      </c>
    </row>
    <row r="451" spans="1:6">
      <c r="A451" s="18" t="str">
        <f>"HCP3400VSP"</f>
        <v>HCP3400VSP</v>
      </c>
      <c r="B451" s="18" t="s">
        <v>425</v>
      </c>
      <c r="C451" s="37">
        <v>955.70100000000002</v>
      </c>
      <c r="D451" s="51"/>
      <c r="E451" s="19" t="str">
        <f>"610377141024"</f>
        <v>610377141024</v>
      </c>
      <c r="F451" s="20">
        <v>1</v>
      </c>
    </row>
    <row r="452" spans="1:6">
      <c r="A452" s="15" t="str">
        <f>"HCP3400VSPVR"</f>
        <v>HCP3400VSPVR</v>
      </c>
      <c r="B452" s="15" t="s">
        <v>426</v>
      </c>
      <c r="C452" s="36">
        <v>1113.3855000000001</v>
      </c>
      <c r="D452" s="51"/>
      <c r="E452" s="16" t="str">
        <f>"610377141031"</f>
        <v>610377141031</v>
      </c>
      <c r="F452" s="17">
        <v>1</v>
      </c>
    </row>
    <row r="453" spans="1:6">
      <c r="A453" s="18" t="str">
        <f>"HCP55"</f>
        <v>HCP55</v>
      </c>
      <c r="B453" s="18" t="s">
        <v>427</v>
      </c>
      <c r="C453" s="37">
        <v>2868.3539999999998</v>
      </c>
      <c r="D453" s="51"/>
      <c r="E453" s="19" t="str">
        <f>"610377131896"</f>
        <v>610377131896</v>
      </c>
      <c r="F453" s="20">
        <v>1</v>
      </c>
    </row>
    <row r="454" spans="1:6">
      <c r="A454" s="15" t="str">
        <f>"HCP75"</f>
        <v>HCP75</v>
      </c>
      <c r="B454" s="15" t="s">
        <v>428</v>
      </c>
      <c r="C454" s="36">
        <v>3055.1579999999999</v>
      </c>
      <c r="D454" s="51"/>
      <c r="E454" s="16" t="str">
        <f>"610377131902"</f>
        <v>610377131902</v>
      </c>
      <c r="F454" s="17">
        <v>1</v>
      </c>
    </row>
    <row r="455" spans="1:6">
      <c r="A455" s="18" t="str">
        <f>"HCSBP3-KIT"</f>
        <v>HCSBP3-KIT</v>
      </c>
      <c r="B455" s="18" t="s">
        <v>429</v>
      </c>
      <c r="C455" s="37">
        <v>339.39</v>
      </c>
      <c r="D455" s="51"/>
      <c r="E455" s="19" t="str">
        <f>"610377224406"</f>
        <v>610377224406</v>
      </c>
      <c r="F455" s="20">
        <v>1</v>
      </c>
    </row>
    <row r="456" spans="1:6">
      <c r="A456" s="15" t="str">
        <f>"HCSBP4-KIT"</f>
        <v>HCSBP4-KIT</v>
      </c>
      <c r="B456" s="15" t="s">
        <v>430</v>
      </c>
      <c r="C456" s="36">
        <v>395.95499999999998</v>
      </c>
      <c r="D456" s="51"/>
      <c r="E456" s="16" t="str">
        <f>"610377224413"</f>
        <v>610377224413</v>
      </c>
      <c r="F456" s="17">
        <v>1</v>
      </c>
    </row>
    <row r="457" spans="1:6">
      <c r="A457" s="18" t="str">
        <f>"HCSC60"</f>
        <v>HCSC60</v>
      </c>
      <c r="B457" s="18" t="s">
        <v>431</v>
      </c>
      <c r="C457" s="37">
        <v>3656.511</v>
      </c>
      <c r="D457" s="51"/>
      <c r="E457" s="19" t="str">
        <f>"610377218351"</f>
        <v>610377218351</v>
      </c>
      <c r="F457" s="20">
        <v>1</v>
      </c>
    </row>
    <row r="458" spans="1:6">
      <c r="A458" s="15" t="str">
        <f>"HCSCECFS15"</f>
        <v>HCSCECFS15</v>
      </c>
      <c r="B458" s="15" t="s">
        <v>432</v>
      </c>
      <c r="C458" s="36">
        <v>79.191000000000003</v>
      </c>
      <c r="D458" s="51"/>
      <c r="E458" s="16" t="str">
        <f>"610377269810"</f>
        <v>610377269810</v>
      </c>
      <c r="F458" s="17">
        <v>1</v>
      </c>
    </row>
    <row r="459" spans="1:6">
      <c r="A459" s="18" t="str">
        <f>"HCSCECK15"</f>
        <v>HCSCECK15</v>
      </c>
      <c r="B459" s="18" t="s">
        <v>433</v>
      </c>
      <c r="C459" s="37">
        <v>239.63399999999999</v>
      </c>
      <c r="D459" s="51"/>
      <c r="E459" s="19" t="str">
        <f>"610377249003"</f>
        <v>610377249003</v>
      </c>
      <c r="F459" s="20">
        <v>1</v>
      </c>
    </row>
    <row r="460" spans="1:6">
      <c r="A460" s="15" t="str">
        <f>"HCSJBOX-BU"</f>
        <v>HCSJBOX-BU</v>
      </c>
      <c r="B460" s="15" t="s">
        <v>434</v>
      </c>
      <c r="C460" s="36">
        <v>175.35599999999999</v>
      </c>
      <c r="D460" s="51"/>
      <c r="E460" s="16" t="str">
        <f>"610377232562"</f>
        <v>610377232562</v>
      </c>
      <c r="F460" s="17">
        <v>1</v>
      </c>
    </row>
    <row r="461" spans="1:6">
      <c r="A461" s="18" t="str">
        <f>"HCV20715"</f>
        <v>HCV20715</v>
      </c>
      <c r="B461" s="18" t="s">
        <v>435</v>
      </c>
      <c r="C461" s="37">
        <v>109.35</v>
      </c>
      <c r="D461" s="51"/>
      <c r="E461" s="19" t="str">
        <f>"610377137805"</f>
        <v>610377137805</v>
      </c>
      <c r="F461" s="20">
        <v>1</v>
      </c>
    </row>
    <row r="462" spans="1:6">
      <c r="A462" s="15" t="str">
        <f>"HCV275"</f>
        <v>HCV275</v>
      </c>
      <c r="B462" s="15" t="s">
        <v>435</v>
      </c>
      <c r="C462" s="36">
        <v>109.35</v>
      </c>
      <c r="D462" s="51"/>
      <c r="E462" s="16" t="str">
        <f>"610377148771"</f>
        <v>610377148771</v>
      </c>
      <c r="F462" s="17">
        <v>1</v>
      </c>
    </row>
    <row r="463" spans="1:6">
      <c r="A463" s="18" t="str">
        <f>"HCV375"</f>
        <v>HCV375</v>
      </c>
      <c r="B463" s="18" t="s">
        <v>436</v>
      </c>
      <c r="C463" s="37">
        <v>462.68099999999998</v>
      </c>
      <c r="D463" s="51"/>
      <c r="E463" s="19" t="str">
        <f>"610377194716"</f>
        <v>610377194716</v>
      </c>
      <c r="F463" s="20">
        <v>1</v>
      </c>
    </row>
    <row r="464" spans="1:6">
      <c r="A464" s="15" t="str">
        <f>"HCV375KIT"</f>
        <v>HCV375KIT</v>
      </c>
      <c r="B464" s="15" t="s">
        <v>437</v>
      </c>
      <c r="C464" s="36">
        <v>158.328</v>
      </c>
      <c r="D464" s="51"/>
      <c r="E464" s="16" t="str">
        <f>"610377236027"</f>
        <v>610377236027</v>
      </c>
      <c r="F464" s="17">
        <v>1</v>
      </c>
    </row>
    <row r="465" spans="1:6">
      <c r="A465" s="18" t="str">
        <f>"HL-CHEM"</f>
        <v>HL-CHEM</v>
      </c>
      <c r="B465" s="18" t="s">
        <v>438</v>
      </c>
      <c r="C465" s="37">
        <v>476.56349999999998</v>
      </c>
      <c r="D465" s="51"/>
      <c r="E465" s="19" t="str">
        <f>"610377235457"</f>
        <v>610377235457</v>
      </c>
      <c r="F465" s="20">
        <v>1</v>
      </c>
    </row>
    <row r="466" spans="1:6">
      <c r="A466" s="15" t="str">
        <f>"HLBASE"</f>
        <v>HLBASE</v>
      </c>
      <c r="B466" s="15" t="s">
        <v>439</v>
      </c>
      <c r="C466" s="36">
        <v>1268.6220000000001</v>
      </c>
      <c r="D466" s="51"/>
      <c r="E466" s="16" t="str">
        <f>"610377224826"</f>
        <v>610377224826</v>
      </c>
      <c r="F466" s="17">
        <v>1</v>
      </c>
    </row>
    <row r="467" spans="1:6">
      <c r="A467" s="18" t="str">
        <f>"HLIOEXPAND"</f>
        <v>HLIOEXPAND</v>
      </c>
      <c r="B467" s="18" t="s">
        <v>440</v>
      </c>
      <c r="C467" s="37">
        <v>191.95650000000001</v>
      </c>
      <c r="D467" s="51"/>
      <c r="E467" s="19" t="str">
        <f>"610377223256"</f>
        <v>610377223256</v>
      </c>
      <c r="F467" s="20">
        <v>1</v>
      </c>
    </row>
    <row r="468" spans="1:6">
      <c r="A468" s="15" t="str">
        <f>"HLRELAY"</f>
        <v>HLRELAY</v>
      </c>
      <c r="B468" s="15" t="s">
        <v>441</v>
      </c>
      <c r="C468" s="36">
        <v>42.857999999999997</v>
      </c>
      <c r="D468" s="51"/>
      <c r="E468" s="16" t="str">
        <f>"610377225007"</f>
        <v>610377225007</v>
      </c>
      <c r="F468" s="17">
        <v>1</v>
      </c>
    </row>
    <row r="469" spans="1:6">
      <c r="A469" s="18" t="str">
        <f>"HLRELAYBANK"</f>
        <v>HLRELAYBANK</v>
      </c>
      <c r="B469" s="18" t="s">
        <v>442</v>
      </c>
      <c r="C469" s="37">
        <v>431.49149999999997</v>
      </c>
      <c r="D469" s="51"/>
      <c r="E469" s="19" t="str">
        <f>"610377225021"</f>
        <v>610377225021</v>
      </c>
      <c r="F469" s="20">
        <v>1</v>
      </c>
    </row>
    <row r="470" spans="1:6">
      <c r="A470" s="15" t="str">
        <f>"HLWALLMOUNT"</f>
        <v>HLWALLMOUNT</v>
      </c>
      <c r="B470" s="15" t="s">
        <v>443</v>
      </c>
      <c r="C470" s="36">
        <v>278.74799999999999</v>
      </c>
      <c r="D470" s="51"/>
      <c r="E470" s="16" t="str">
        <f>"610377225076"</f>
        <v>610377225076</v>
      </c>
      <c r="F470" s="17">
        <v>1</v>
      </c>
    </row>
    <row r="471" spans="1:6">
      <c r="A471" s="18" t="str">
        <f>"HLWLAN"</f>
        <v>HLWLAN</v>
      </c>
      <c r="B471" s="18" t="s">
        <v>444</v>
      </c>
      <c r="C471" s="37">
        <v>138.32550000000001</v>
      </c>
      <c r="D471" s="51"/>
      <c r="E471" s="19" t="str">
        <f>"610377225052"</f>
        <v>610377225052</v>
      </c>
      <c r="F471" s="20">
        <v>1</v>
      </c>
    </row>
    <row r="472" spans="1:6">
      <c r="A472" s="15" t="str">
        <f>"HP21004T"</f>
        <v>HP21004T</v>
      </c>
      <c r="B472" s="15" t="s">
        <v>445</v>
      </c>
      <c r="C472" s="36">
        <v>2160.6660000000002</v>
      </c>
      <c r="D472" s="51"/>
      <c r="E472" s="16" t="str">
        <f>"610377208277"</f>
        <v>610377208277</v>
      </c>
      <c r="F472" s="17">
        <v>1</v>
      </c>
    </row>
    <row r="473" spans="1:6">
      <c r="A473" s="18" t="str">
        <f>"HP21104T"</f>
        <v>HP21104T</v>
      </c>
      <c r="B473" s="18" t="s">
        <v>446</v>
      </c>
      <c r="C473" s="37">
        <v>2441.8305</v>
      </c>
      <c r="D473" s="51"/>
      <c r="E473" s="19" t="str">
        <f>"610377119795"</f>
        <v>610377119795</v>
      </c>
      <c r="F473" s="20">
        <v>1</v>
      </c>
    </row>
    <row r="474" spans="1:6">
      <c r="A474" s="15" t="str">
        <f>"HP21104TC"</f>
        <v>HP21104TC</v>
      </c>
      <c r="B474" s="15" t="s">
        <v>446</v>
      </c>
      <c r="C474" s="36">
        <v>2552.6295</v>
      </c>
      <c r="D474" s="51"/>
      <c r="E474" s="16" t="str">
        <f>"610377186759"</f>
        <v>610377186759</v>
      </c>
      <c r="F474" s="17">
        <v>1</v>
      </c>
    </row>
    <row r="475" spans="1:6">
      <c r="A475" s="18" t="str">
        <f>"HP21124T"</f>
        <v>HP21124T</v>
      </c>
      <c r="B475" s="18" t="s">
        <v>446</v>
      </c>
      <c r="C475" s="37">
        <v>2326.8690000000001</v>
      </c>
      <c r="D475" s="51"/>
      <c r="E475" s="19" t="str">
        <f>"610377239318"</f>
        <v>610377239318</v>
      </c>
      <c r="F475" s="20">
        <v>1</v>
      </c>
    </row>
    <row r="476" spans="1:6">
      <c r="A476" s="15" t="str">
        <f>"HP21254T"</f>
        <v>HP21254T</v>
      </c>
      <c r="B476" s="15" t="s">
        <v>447</v>
      </c>
      <c r="C476" s="36">
        <v>2548.4760000000001</v>
      </c>
      <c r="D476" s="51"/>
      <c r="E476" s="16" t="str">
        <f>"610377208284"</f>
        <v>610377208284</v>
      </c>
      <c r="F476" s="17">
        <v>1</v>
      </c>
    </row>
    <row r="477" spans="1:6">
      <c r="A477" s="18" t="str">
        <f>"HP21404T"</f>
        <v>HP21404T</v>
      </c>
      <c r="B477" s="18" t="s">
        <v>448</v>
      </c>
      <c r="C477" s="37">
        <v>2782.5524999999998</v>
      </c>
      <c r="D477" s="51"/>
      <c r="E477" s="19" t="str">
        <f>"610377124836"</f>
        <v>610377124836</v>
      </c>
      <c r="F477" s="20">
        <v>1</v>
      </c>
    </row>
    <row r="478" spans="1:6">
      <c r="A478" s="15" t="str">
        <f>"HP2261"</f>
        <v>HP2261</v>
      </c>
      <c r="B478" s="15" t="s">
        <v>449</v>
      </c>
      <c r="C478" s="36">
        <v>23.665500000000002</v>
      </c>
      <c r="D478" s="51"/>
      <c r="E478" s="16" t="str">
        <f>"610377832052"</f>
        <v>610377832052</v>
      </c>
      <c r="F478" s="17">
        <v>1</v>
      </c>
    </row>
    <row r="479" spans="1:6">
      <c r="A479" s="18" t="str">
        <f>"HP31204T"</f>
        <v>HP31204T</v>
      </c>
      <c r="B479" s="18" t="s">
        <v>450</v>
      </c>
      <c r="C479" s="37">
        <v>3157.893</v>
      </c>
      <c r="D479" s="51"/>
      <c r="E479" s="19" t="str">
        <f>"610377237154"</f>
        <v>610377237154</v>
      </c>
      <c r="F479" s="20">
        <v>1</v>
      </c>
    </row>
    <row r="480" spans="1:6">
      <c r="A480" s="15" t="str">
        <f>"HP50HA"</f>
        <v>HP50HA</v>
      </c>
      <c r="B480" s="15" t="s">
        <v>451</v>
      </c>
      <c r="C480" s="36">
        <v>1249.4069999999999</v>
      </c>
      <c r="D480" s="51"/>
      <c r="E480" s="16" t="str">
        <f>"610377240444"</f>
        <v>610377240444</v>
      </c>
      <c r="F480" s="17">
        <v>1</v>
      </c>
    </row>
    <row r="481" spans="1:6">
      <c r="A481" s="18" t="str">
        <f>"HP50TA"</f>
        <v>HP50TA</v>
      </c>
      <c r="B481" s="18" t="s">
        <v>452</v>
      </c>
      <c r="C481" s="37">
        <v>1511.7660000000001</v>
      </c>
      <c r="D481" s="51"/>
      <c r="E481" s="19" t="str">
        <f>"610377121538"</f>
        <v>610377121538</v>
      </c>
      <c r="F481" s="20">
        <v>1</v>
      </c>
    </row>
    <row r="482" spans="1:6" ht="16" thickBot="1">
      <c r="A482" s="21" t="str">
        <f>"HPC-4"</f>
        <v>HPC-4</v>
      </c>
      <c r="B482" s="21" t="s">
        <v>453</v>
      </c>
      <c r="C482" s="38">
        <v>360.22050000000002</v>
      </c>
      <c r="D482" s="52"/>
      <c r="E482" s="22" t="str">
        <f>"761418011261"</f>
        <v>761418011261</v>
      </c>
      <c r="F482" s="23">
        <v>1</v>
      </c>
    </row>
    <row r="483" spans="1:6" ht="16" thickTop="1">
      <c r="A483" s="12" t="str">
        <f>"HPC-4-ACT"</f>
        <v>HPC-4-ACT</v>
      </c>
      <c r="B483" s="12" t="s">
        <v>454</v>
      </c>
      <c r="C483" s="35">
        <v>433.6155</v>
      </c>
      <c r="D483" s="50"/>
      <c r="E483" s="13" t="str">
        <f>"761418011339"</f>
        <v>761418011339</v>
      </c>
      <c r="F483" s="14">
        <v>1</v>
      </c>
    </row>
    <row r="484" spans="1:6">
      <c r="A484" s="15" t="str">
        <f>"HPC-4-ACT-RC"</f>
        <v>HPC-4-ACT-RC</v>
      </c>
      <c r="B484" s="15" t="s">
        <v>455</v>
      </c>
      <c r="C484" s="36">
        <v>613.70550000000003</v>
      </c>
      <c r="D484" s="51"/>
      <c r="E484" s="16" t="str">
        <f>"761418011438"</f>
        <v>761418011438</v>
      </c>
      <c r="F484" s="17">
        <v>1</v>
      </c>
    </row>
    <row r="485" spans="1:6">
      <c r="A485" s="18" t="str">
        <f>"HPC-4-RC"</f>
        <v>HPC-4-RC</v>
      </c>
      <c r="B485" s="18" t="s">
        <v>456</v>
      </c>
      <c r="C485" s="37">
        <v>540.35550000000001</v>
      </c>
      <c r="D485" s="51"/>
      <c r="E485" s="19" t="str">
        <f>"761418011421"</f>
        <v>761418011421</v>
      </c>
      <c r="F485" s="20">
        <v>1</v>
      </c>
    </row>
    <row r="486" spans="1:6">
      <c r="A486" s="15" t="str">
        <f>"HWS150"</f>
        <v>HWS150</v>
      </c>
      <c r="B486" s="15" t="s">
        <v>457</v>
      </c>
      <c r="C486" s="36">
        <v>149.88149999999999</v>
      </c>
      <c r="D486" s="51"/>
      <c r="E486" s="16" t="str">
        <f>"610377282079"</f>
        <v>610377282079</v>
      </c>
      <c r="F486" s="17">
        <v>1</v>
      </c>
    </row>
    <row r="487" spans="1:6">
      <c r="A487" s="18" t="str">
        <f>"HWS200"</f>
        <v>HWS200</v>
      </c>
      <c r="B487" s="18" t="s">
        <v>457</v>
      </c>
      <c r="C487" s="37">
        <v>149.88149999999999</v>
      </c>
      <c r="D487" s="51"/>
      <c r="E487" s="19" t="str">
        <f>"610377282130"</f>
        <v>610377282130</v>
      </c>
      <c r="F487" s="20">
        <v>1</v>
      </c>
    </row>
    <row r="488" spans="1:6">
      <c r="A488" s="15" t="str">
        <f>"HWS250"</f>
        <v>HWS250</v>
      </c>
      <c r="B488" s="15" t="s">
        <v>457</v>
      </c>
      <c r="C488" s="36">
        <v>149.88149999999999</v>
      </c>
      <c r="D488" s="51"/>
      <c r="E488" s="16" t="str">
        <f>"610377282147"</f>
        <v>610377282147</v>
      </c>
      <c r="F488" s="17">
        <v>1</v>
      </c>
    </row>
    <row r="489" spans="1:6">
      <c r="A489" s="18" t="str">
        <f>"HWS300"</f>
        <v>HWS300</v>
      </c>
      <c r="B489" s="18" t="s">
        <v>457</v>
      </c>
      <c r="C489" s="37">
        <v>149.88149999999999</v>
      </c>
      <c r="D489" s="51"/>
      <c r="E489" s="19" t="str">
        <f>"610377282154"</f>
        <v>610377282154</v>
      </c>
      <c r="F489" s="20">
        <v>1</v>
      </c>
    </row>
    <row r="490" spans="1:6">
      <c r="A490" s="15" t="str">
        <f>"HWS350"</f>
        <v>HWS350</v>
      </c>
      <c r="B490" s="15" t="s">
        <v>457</v>
      </c>
      <c r="C490" s="36">
        <v>149.88149999999999</v>
      </c>
      <c r="D490" s="51"/>
      <c r="E490" s="16" t="str">
        <f>"610377282161"</f>
        <v>610377282161</v>
      </c>
      <c r="F490" s="17">
        <v>1</v>
      </c>
    </row>
    <row r="491" spans="1:6">
      <c r="A491" s="18" t="str">
        <f>"HWS400"</f>
        <v>HWS400</v>
      </c>
      <c r="B491" s="18" t="s">
        <v>457</v>
      </c>
      <c r="C491" s="37">
        <v>149.88149999999999</v>
      </c>
      <c r="D491" s="51"/>
      <c r="E491" s="19" t="str">
        <f>"610377282178"</f>
        <v>610377282178</v>
      </c>
      <c r="F491" s="20">
        <v>1</v>
      </c>
    </row>
    <row r="492" spans="1:6">
      <c r="A492" s="15" t="str">
        <f>"LACUN11030"</f>
        <v>LACUN11030</v>
      </c>
      <c r="B492" s="15" t="s">
        <v>458</v>
      </c>
      <c r="C492" s="36">
        <v>225.32849999999999</v>
      </c>
      <c r="D492" s="51"/>
      <c r="E492" s="16" t="str">
        <f>"610377236072"</f>
        <v>610377236072</v>
      </c>
      <c r="F492" s="17">
        <v>1</v>
      </c>
    </row>
    <row r="493" spans="1:6">
      <c r="A493" s="18" t="str">
        <f>"LACUN11050"</f>
        <v>LACUN11050</v>
      </c>
      <c r="B493" s="18" t="s">
        <v>459</v>
      </c>
      <c r="C493" s="37">
        <v>235.512</v>
      </c>
      <c r="D493" s="51"/>
      <c r="E493" s="19" t="str">
        <f>"610377236119"</f>
        <v>610377236119</v>
      </c>
      <c r="F493" s="20">
        <v>1</v>
      </c>
    </row>
    <row r="494" spans="1:6">
      <c r="A494" s="15" t="str">
        <f>"LACUN11100"</f>
        <v>LACUN11100</v>
      </c>
      <c r="B494" s="15" t="s">
        <v>460</v>
      </c>
      <c r="C494" s="36">
        <v>260.964</v>
      </c>
      <c r="D494" s="51"/>
      <c r="E494" s="16" t="str">
        <f>"610377236157"</f>
        <v>610377236157</v>
      </c>
      <c r="F494" s="17">
        <v>1</v>
      </c>
    </row>
    <row r="495" spans="1:6">
      <c r="A495" s="18" t="str">
        <f>"LACUN11150"</f>
        <v>LACUN11150</v>
      </c>
      <c r="B495" s="18" t="s">
        <v>461</v>
      </c>
      <c r="C495" s="37">
        <v>286.42500000000001</v>
      </c>
      <c r="D495" s="51"/>
      <c r="E495" s="19" t="str">
        <f>"610377236164"</f>
        <v>610377236164</v>
      </c>
      <c r="F495" s="20">
        <v>1</v>
      </c>
    </row>
    <row r="496" spans="1:6">
      <c r="A496" s="15" t="str">
        <f>"LACUS11030"</f>
        <v>LACUS11030</v>
      </c>
      <c r="B496" s="15" t="s">
        <v>462</v>
      </c>
      <c r="C496" s="36">
        <v>197.5275</v>
      </c>
      <c r="D496" s="51"/>
      <c r="E496" s="16" t="str">
        <f>"610377236034"</f>
        <v>610377236034</v>
      </c>
      <c r="F496" s="17">
        <v>1</v>
      </c>
    </row>
    <row r="497" spans="1:6">
      <c r="A497" s="18" t="str">
        <f>"LACUS11050"</f>
        <v>LACUS11050</v>
      </c>
      <c r="B497" s="18" t="s">
        <v>463</v>
      </c>
      <c r="C497" s="37">
        <v>207.71100000000001</v>
      </c>
      <c r="D497" s="51"/>
      <c r="E497" s="19" t="str">
        <f>"610377236041"</f>
        <v>610377236041</v>
      </c>
      <c r="F497" s="20">
        <v>1</v>
      </c>
    </row>
    <row r="498" spans="1:6">
      <c r="A498" s="15" t="str">
        <f>"LACUS11100"</f>
        <v>LACUS11100</v>
      </c>
      <c r="B498" s="15" t="s">
        <v>464</v>
      </c>
      <c r="C498" s="36">
        <v>233.16300000000001</v>
      </c>
      <c r="D498" s="51"/>
      <c r="E498" s="16" t="str">
        <f>"610377236058"</f>
        <v>610377236058</v>
      </c>
      <c r="F498" s="17">
        <v>1</v>
      </c>
    </row>
    <row r="499" spans="1:6">
      <c r="A499" s="18" t="str">
        <f>"LACUS11150"</f>
        <v>LACUS11150</v>
      </c>
      <c r="B499" s="18" t="s">
        <v>465</v>
      </c>
      <c r="C499" s="37">
        <v>258.61500000000001</v>
      </c>
      <c r="D499" s="51"/>
      <c r="E499" s="19" t="str">
        <f>"610377236065"</f>
        <v>610377236065</v>
      </c>
      <c r="F499" s="20">
        <v>1</v>
      </c>
    </row>
    <row r="500" spans="1:6">
      <c r="A500" s="15" t="str">
        <f>"LAWUS11030"</f>
        <v>LAWUS11030</v>
      </c>
      <c r="B500" s="15" t="s">
        <v>466</v>
      </c>
      <c r="C500" s="36">
        <v>197.5275</v>
      </c>
      <c r="D500" s="51"/>
      <c r="E500" s="16" t="str">
        <f>"610377269209"</f>
        <v>610377269209</v>
      </c>
      <c r="F500" s="17">
        <v>1</v>
      </c>
    </row>
    <row r="501" spans="1:6">
      <c r="A501" s="18" t="str">
        <f>"LAWUS11050"</f>
        <v>LAWUS11050</v>
      </c>
      <c r="B501" s="18" t="s">
        <v>467</v>
      </c>
      <c r="C501" s="37">
        <v>207.71100000000001</v>
      </c>
      <c r="D501" s="51"/>
      <c r="E501" s="19" t="str">
        <f>"610377269193"</f>
        <v>610377269193</v>
      </c>
      <c r="F501" s="20">
        <v>1</v>
      </c>
    </row>
    <row r="502" spans="1:6">
      <c r="A502" s="15" t="str">
        <f>"LAWUS11100"</f>
        <v>LAWUS11100</v>
      </c>
      <c r="B502" s="15" t="s">
        <v>468</v>
      </c>
      <c r="C502" s="36">
        <v>233.16300000000001</v>
      </c>
      <c r="D502" s="51"/>
      <c r="E502" s="16" t="str">
        <f>"610377269186"</f>
        <v>610377269186</v>
      </c>
      <c r="F502" s="17">
        <v>1</v>
      </c>
    </row>
    <row r="503" spans="1:6">
      <c r="A503" s="18" t="str">
        <f>"LAWUS11150"</f>
        <v>LAWUS11150</v>
      </c>
      <c r="B503" s="18" t="s">
        <v>469</v>
      </c>
      <c r="C503" s="37">
        <v>258.61500000000001</v>
      </c>
      <c r="D503" s="51"/>
      <c r="E503" s="19" t="str">
        <f>"610377269179"</f>
        <v>610377269179</v>
      </c>
      <c r="F503" s="20">
        <v>1</v>
      </c>
    </row>
    <row r="504" spans="1:6">
      <c r="A504" s="15" t="str">
        <f>"LCRUY1000"</f>
        <v>LCRUY1000</v>
      </c>
      <c r="B504" s="15" t="s">
        <v>470</v>
      </c>
      <c r="C504" s="36">
        <v>5.8185000000000002</v>
      </c>
      <c r="D504" s="51"/>
      <c r="E504" s="16" t="str">
        <f>"610377257824"</f>
        <v>610377257824</v>
      </c>
      <c r="F504" s="17">
        <v>1</v>
      </c>
    </row>
    <row r="505" spans="1:6">
      <c r="A505" s="18" t="str">
        <f>"LFGUY1000"</f>
        <v>LFGUY1000</v>
      </c>
      <c r="B505" s="18" t="s">
        <v>471</v>
      </c>
      <c r="C505" s="37">
        <v>38.780999999999999</v>
      </c>
      <c r="D505" s="51"/>
      <c r="E505" s="19" t="str">
        <f>"610377147781"</f>
        <v>610377147781</v>
      </c>
      <c r="F505" s="20">
        <v>1</v>
      </c>
    </row>
    <row r="506" spans="1:6">
      <c r="A506" s="15" t="str">
        <f>"LGGUY1000"</f>
        <v>LGGUY1000</v>
      </c>
      <c r="B506" s="15" t="s">
        <v>472</v>
      </c>
      <c r="C506" s="36">
        <v>36.9405</v>
      </c>
      <c r="D506" s="51"/>
      <c r="E506" s="16" t="str">
        <f>"610377147798"</f>
        <v>610377147798</v>
      </c>
      <c r="F506" s="17">
        <v>1</v>
      </c>
    </row>
    <row r="507" spans="1:6">
      <c r="A507" s="18" t="str">
        <f>"LJBUY00PP1"</f>
        <v>LJBUY00PP1</v>
      </c>
      <c r="B507" s="18" t="s">
        <v>473</v>
      </c>
      <c r="C507" s="37">
        <v>18.040500000000002</v>
      </c>
      <c r="D507" s="51"/>
      <c r="E507" s="19" t="str">
        <f>"610377248891"</f>
        <v>610377248891</v>
      </c>
      <c r="F507" s="20">
        <v>1</v>
      </c>
    </row>
    <row r="508" spans="1:6">
      <c r="A508" s="15" t="str">
        <f>"LKBUN1000"</f>
        <v>LKBUN1000</v>
      </c>
      <c r="B508" s="15" t="s">
        <v>474</v>
      </c>
      <c r="C508" s="36">
        <v>36.387</v>
      </c>
      <c r="D508" s="51"/>
      <c r="E508" s="16" t="str">
        <f>"610377146739"</f>
        <v>610377146739</v>
      </c>
      <c r="F508" s="17">
        <v>15</v>
      </c>
    </row>
    <row r="509" spans="1:6">
      <c r="A509" s="18" t="str">
        <f>"LNBUY1000"</f>
        <v>LNBUY1000</v>
      </c>
      <c r="B509" s="18" t="s">
        <v>475</v>
      </c>
      <c r="C509" s="37">
        <v>5.8185000000000002</v>
      </c>
      <c r="D509" s="51"/>
      <c r="E509" s="19" t="str">
        <f>"610377171410"</f>
        <v>610377171410</v>
      </c>
      <c r="F509" s="20">
        <v>10</v>
      </c>
    </row>
    <row r="510" spans="1:6">
      <c r="A510" s="15" t="str">
        <f>"LNEUY1000"</f>
        <v>LNEUY1000</v>
      </c>
      <c r="B510" s="15" t="s">
        <v>476</v>
      </c>
      <c r="C510" s="36">
        <v>5.8185000000000002</v>
      </c>
      <c r="D510" s="51"/>
      <c r="E510" s="16" t="str">
        <f>"610377171618"</f>
        <v>610377171618</v>
      </c>
      <c r="F510" s="17">
        <v>10</v>
      </c>
    </row>
    <row r="511" spans="1:6">
      <c r="A511" s="18" t="str">
        <f>"LNFUY1000"</f>
        <v>LNFUY1000</v>
      </c>
      <c r="B511" s="18" t="s">
        <v>477</v>
      </c>
      <c r="C511" s="37">
        <v>5.8185000000000002</v>
      </c>
      <c r="D511" s="51"/>
      <c r="E511" s="19" t="str">
        <f>"610377171724"</f>
        <v>610377171724</v>
      </c>
      <c r="F511" s="20">
        <v>10</v>
      </c>
    </row>
    <row r="512" spans="1:6">
      <c r="A512" s="15" t="str">
        <f>"LNGUY1000"</f>
        <v>LNGUY1000</v>
      </c>
      <c r="B512" s="15" t="s">
        <v>478</v>
      </c>
      <c r="C512" s="36">
        <v>5.8185000000000002</v>
      </c>
      <c r="D512" s="51"/>
      <c r="E512" s="16" t="str">
        <f>"610377171519"</f>
        <v>610377171519</v>
      </c>
      <c r="F512" s="17">
        <v>10</v>
      </c>
    </row>
    <row r="513" spans="1:6">
      <c r="A513" s="18" t="str">
        <f>"LNRUY1000"</f>
        <v>LNRUY1000</v>
      </c>
      <c r="B513" s="18" t="s">
        <v>479</v>
      </c>
      <c r="C513" s="37">
        <v>5.8185000000000002</v>
      </c>
      <c r="D513" s="51"/>
      <c r="E513" s="19" t="str">
        <f>"610377201698"</f>
        <v>610377201698</v>
      </c>
      <c r="F513" s="20">
        <v>10</v>
      </c>
    </row>
    <row r="514" spans="1:6">
      <c r="A514" s="15" t="str">
        <f>"LNVUY1000"</f>
        <v>LNVUY1000</v>
      </c>
      <c r="B514" s="15" t="s">
        <v>480</v>
      </c>
      <c r="C514" s="36">
        <v>5.8185000000000002</v>
      </c>
      <c r="D514" s="51"/>
      <c r="E514" s="16" t="str">
        <f>"610377171649"</f>
        <v>610377171649</v>
      </c>
      <c r="F514" s="17">
        <v>10</v>
      </c>
    </row>
    <row r="515" spans="1:6">
      <c r="A515" s="18" t="str">
        <f>"LNZUY1000"</f>
        <v>LNZUY1000</v>
      </c>
      <c r="B515" s="18" t="s">
        <v>481</v>
      </c>
      <c r="C515" s="37">
        <v>5.8185000000000002</v>
      </c>
      <c r="D515" s="51"/>
      <c r="E515" s="19" t="str">
        <f>"610377201711"</f>
        <v>610377201711</v>
      </c>
      <c r="F515" s="20">
        <v>10</v>
      </c>
    </row>
    <row r="516" spans="1:6">
      <c r="A516" s="15" t="str">
        <f>"LPCUN11030"</f>
        <v>LPCUN11030</v>
      </c>
      <c r="B516" s="15" t="s">
        <v>482</v>
      </c>
      <c r="C516" s="36">
        <v>465.26400000000001</v>
      </c>
      <c r="D516" s="51"/>
      <c r="E516" s="16" t="str">
        <f>"610377143837"</f>
        <v>610377143837</v>
      </c>
      <c r="F516" s="17">
        <v>1</v>
      </c>
    </row>
    <row r="517" spans="1:6">
      <c r="A517" s="18" t="str">
        <f>"LPCUN11050"</f>
        <v>LPCUN11050</v>
      </c>
      <c r="B517" s="18" t="s">
        <v>483</v>
      </c>
      <c r="C517" s="37">
        <v>477.92700000000002</v>
      </c>
      <c r="D517" s="51"/>
      <c r="E517" s="19" t="str">
        <f>"610377143844"</f>
        <v>610377143844</v>
      </c>
      <c r="F517" s="20">
        <v>1</v>
      </c>
    </row>
    <row r="518" spans="1:6">
      <c r="A518" s="15" t="str">
        <f>"LPCUN11100"</f>
        <v>LPCUN11100</v>
      </c>
      <c r="B518" s="15" t="s">
        <v>484</v>
      </c>
      <c r="C518" s="36">
        <v>509.58449999999999</v>
      </c>
      <c r="D518" s="51"/>
      <c r="E518" s="16" t="str">
        <f>"610377143851"</f>
        <v>610377143851</v>
      </c>
      <c r="F518" s="17">
        <v>1</v>
      </c>
    </row>
    <row r="519" spans="1:6">
      <c r="A519" s="18" t="str">
        <f>"LPCUN11150"</f>
        <v>LPCUN11150</v>
      </c>
      <c r="B519" s="18" t="s">
        <v>485</v>
      </c>
      <c r="C519" s="37">
        <v>561.31650000000002</v>
      </c>
      <c r="D519" s="51"/>
      <c r="E519" s="19" t="str">
        <f>"610377233941"</f>
        <v>610377233941</v>
      </c>
      <c r="F519" s="20">
        <v>1</v>
      </c>
    </row>
    <row r="520" spans="1:6">
      <c r="A520" s="15" t="str">
        <f>"LPCUS11030"</f>
        <v>LPCUS11030</v>
      </c>
      <c r="B520" s="15" t="s">
        <v>486</v>
      </c>
      <c r="C520" s="36">
        <v>422.892</v>
      </c>
      <c r="D520" s="51"/>
      <c r="E520" s="16" t="str">
        <f>"610377143776"</f>
        <v>610377143776</v>
      </c>
      <c r="F520" s="17">
        <v>1</v>
      </c>
    </row>
    <row r="521" spans="1:6">
      <c r="A521" s="18" t="str">
        <f>"LPCUS11050"</f>
        <v>LPCUS11050</v>
      </c>
      <c r="B521" s="18" t="s">
        <v>487</v>
      </c>
      <c r="C521" s="37">
        <v>435.37950000000001</v>
      </c>
      <c r="D521" s="51"/>
      <c r="E521" s="19" t="str">
        <f>"610377143783"</f>
        <v>610377143783</v>
      </c>
      <c r="F521" s="20">
        <v>1</v>
      </c>
    </row>
    <row r="522" spans="1:6">
      <c r="A522" s="15" t="str">
        <f>"LPCUS11100"</f>
        <v>LPCUS11100</v>
      </c>
      <c r="B522" s="15" t="s">
        <v>488</v>
      </c>
      <c r="C522" s="36">
        <v>466.56900000000002</v>
      </c>
      <c r="D522" s="51"/>
      <c r="E522" s="16" t="str">
        <f>"610377143790"</f>
        <v>610377143790</v>
      </c>
      <c r="F522" s="17">
        <v>1</v>
      </c>
    </row>
    <row r="523" spans="1:6">
      <c r="A523" s="18" t="str">
        <f>"LPCUS11150"</f>
        <v>LPCUS11150</v>
      </c>
      <c r="B523" s="18" t="s">
        <v>489</v>
      </c>
      <c r="C523" s="37">
        <v>524.28599999999994</v>
      </c>
      <c r="D523" s="51"/>
      <c r="E523" s="19" t="str">
        <f>"610377233958"</f>
        <v>610377233958</v>
      </c>
      <c r="F523" s="20">
        <v>1</v>
      </c>
    </row>
    <row r="524" spans="1:6">
      <c r="A524" s="15" t="str">
        <f>"LPCUSDEMO1"</f>
        <v>LPCUSDEMO1</v>
      </c>
      <c r="B524" s="15" t="s">
        <v>490</v>
      </c>
      <c r="C524" s="36">
        <v>468.35550000000001</v>
      </c>
      <c r="D524" s="51"/>
      <c r="E524" s="16" t="str">
        <f>"610377228206"</f>
        <v>610377228206</v>
      </c>
      <c r="F524" s="17">
        <v>1</v>
      </c>
    </row>
    <row r="525" spans="1:6">
      <c r="A525" s="18" t="str">
        <f>"LPLUS11030"</f>
        <v>LPLUS11030</v>
      </c>
      <c r="B525" s="18" t="s">
        <v>491</v>
      </c>
      <c r="C525" s="37">
        <v>275.43599999999998</v>
      </c>
      <c r="D525" s="51"/>
      <c r="E525" s="19" t="str">
        <f>"610377143868"</f>
        <v>610377143868</v>
      </c>
      <c r="F525" s="20">
        <v>1</v>
      </c>
    </row>
    <row r="526" spans="1:6">
      <c r="A526" s="15" t="str">
        <f>"LPLUS11050"</f>
        <v>LPLUS11050</v>
      </c>
      <c r="B526" s="15" t="s">
        <v>492</v>
      </c>
      <c r="C526" s="36">
        <v>288.05399999999997</v>
      </c>
      <c r="D526" s="51"/>
      <c r="E526" s="16" t="str">
        <f>"610377143875"</f>
        <v>610377143875</v>
      </c>
      <c r="F526" s="17">
        <v>1</v>
      </c>
    </row>
    <row r="527" spans="1:6">
      <c r="A527" s="18" t="str">
        <f>"LPLUS11100"</f>
        <v>LPLUS11100</v>
      </c>
      <c r="B527" s="18" t="s">
        <v>493</v>
      </c>
      <c r="C527" s="37">
        <v>319.54500000000002</v>
      </c>
      <c r="D527" s="51"/>
      <c r="E527" s="19" t="str">
        <f>"610377143882"</f>
        <v>610377143882</v>
      </c>
      <c r="F527" s="20">
        <v>1</v>
      </c>
    </row>
    <row r="528" spans="1:6" ht="16" thickBot="1">
      <c r="A528" s="21" t="str">
        <f>"LPLUS11150"</f>
        <v>LPLUS11150</v>
      </c>
      <c r="B528" s="21" t="s">
        <v>494</v>
      </c>
      <c r="C528" s="38">
        <v>360.19799999999998</v>
      </c>
      <c r="D528" s="52"/>
      <c r="E528" s="22" t="str">
        <f>"610377233965"</f>
        <v>610377233965</v>
      </c>
      <c r="F528" s="23">
        <v>1</v>
      </c>
    </row>
    <row r="529" spans="1:6" ht="16" thickTop="1">
      <c r="A529" s="12" t="str">
        <f>"LPWUS11030"</f>
        <v>LPWUS11030</v>
      </c>
      <c r="B529" s="12" t="s">
        <v>495</v>
      </c>
      <c r="C529" s="35">
        <v>326.13749999999999</v>
      </c>
      <c r="D529" s="50"/>
      <c r="E529" s="13" t="str">
        <f>"610377143899"</f>
        <v>610377143899</v>
      </c>
      <c r="F529" s="14">
        <v>1</v>
      </c>
    </row>
    <row r="530" spans="1:6">
      <c r="A530" s="15" t="str">
        <f>"LPWUS11050"</f>
        <v>LPWUS11050</v>
      </c>
      <c r="B530" s="15" t="s">
        <v>496</v>
      </c>
      <c r="C530" s="36">
        <v>338.76</v>
      </c>
      <c r="D530" s="51"/>
      <c r="E530" s="16" t="str">
        <f>"610377143905"</f>
        <v>610377143905</v>
      </c>
      <c r="F530" s="17">
        <v>1</v>
      </c>
    </row>
    <row r="531" spans="1:6">
      <c r="A531" s="18" t="str">
        <f>"LPWUS11100"</f>
        <v>LPWUS11100</v>
      </c>
      <c r="B531" s="18" t="s">
        <v>497</v>
      </c>
      <c r="C531" s="37">
        <v>370.28250000000003</v>
      </c>
      <c r="D531" s="51"/>
      <c r="E531" s="19" t="str">
        <f>"610377143912"</f>
        <v>610377143912</v>
      </c>
      <c r="F531" s="20">
        <v>1</v>
      </c>
    </row>
    <row r="532" spans="1:6">
      <c r="A532" s="15" t="str">
        <f>"LPWUS11150"</f>
        <v>LPWUS11150</v>
      </c>
      <c r="B532" s="15" t="s">
        <v>498</v>
      </c>
      <c r="C532" s="36">
        <v>410.4135</v>
      </c>
      <c r="D532" s="51"/>
      <c r="E532" s="16" t="str">
        <f>"610377233972"</f>
        <v>610377233972</v>
      </c>
      <c r="F532" s="17">
        <v>1</v>
      </c>
    </row>
    <row r="533" spans="1:6">
      <c r="A533" s="18" t="str">
        <f>"LPWUSDEMO1"</f>
        <v>LPWUSDEMO1</v>
      </c>
      <c r="B533" s="18" t="s">
        <v>499</v>
      </c>
      <c r="C533" s="37">
        <v>468.35550000000001</v>
      </c>
      <c r="D533" s="51"/>
      <c r="E533" s="19" t="str">
        <f>"610377229838"</f>
        <v>610377229838</v>
      </c>
      <c r="F533" s="20">
        <v>1</v>
      </c>
    </row>
    <row r="534" spans="1:6">
      <c r="A534" s="15" t="str">
        <f>"LQBUY1000"</f>
        <v>LQBUY1000</v>
      </c>
      <c r="B534" s="15" t="s">
        <v>500</v>
      </c>
      <c r="C534" s="36">
        <v>4.6665000000000001</v>
      </c>
      <c r="D534" s="51"/>
      <c r="E534" s="16" t="str">
        <f>"610377171755"</f>
        <v>610377171755</v>
      </c>
      <c r="F534" s="17">
        <v>5</v>
      </c>
    </row>
    <row r="535" spans="1:6">
      <c r="A535" s="18" t="str">
        <f>"LQEUY1000"</f>
        <v>LQEUY1000</v>
      </c>
      <c r="B535" s="18" t="s">
        <v>501</v>
      </c>
      <c r="C535" s="37">
        <v>4.6665000000000001</v>
      </c>
      <c r="D535" s="51"/>
      <c r="E535" s="19" t="str">
        <f>"610377171786"</f>
        <v>610377171786</v>
      </c>
      <c r="F535" s="20">
        <v>5</v>
      </c>
    </row>
    <row r="536" spans="1:6">
      <c r="A536" s="15" t="str">
        <f>"LQFUY1000"</f>
        <v>LQFUY1000</v>
      </c>
      <c r="B536" s="15" t="s">
        <v>502</v>
      </c>
      <c r="C536" s="36">
        <v>4.6665000000000001</v>
      </c>
      <c r="D536" s="51"/>
      <c r="E536" s="16" t="str">
        <f>"610377177160"</f>
        <v>610377177160</v>
      </c>
      <c r="F536" s="17">
        <v>5</v>
      </c>
    </row>
    <row r="537" spans="1:6">
      <c r="A537" s="18" t="str">
        <f>"LQGUY1000"</f>
        <v>LQGUY1000</v>
      </c>
      <c r="B537" s="18" t="s">
        <v>503</v>
      </c>
      <c r="C537" s="37">
        <v>4.6665000000000001</v>
      </c>
      <c r="D537" s="51"/>
      <c r="E537" s="19" t="str">
        <f>"610377171779"</f>
        <v>610377171779</v>
      </c>
      <c r="F537" s="20">
        <v>5</v>
      </c>
    </row>
    <row r="538" spans="1:6">
      <c r="A538" s="15" t="str">
        <f>"LQRUY1000"</f>
        <v>LQRUY1000</v>
      </c>
      <c r="B538" s="15" t="s">
        <v>504</v>
      </c>
      <c r="C538" s="36">
        <v>4.6665000000000001</v>
      </c>
      <c r="D538" s="51"/>
      <c r="E538" s="16" t="str">
        <f>"610377201735"</f>
        <v>610377201735</v>
      </c>
      <c r="F538" s="17">
        <v>5</v>
      </c>
    </row>
    <row r="539" spans="1:6">
      <c r="A539" s="18" t="str">
        <f>"LQVUY1000"</f>
        <v>LQVUY1000</v>
      </c>
      <c r="B539" s="18" t="s">
        <v>505</v>
      </c>
      <c r="C539" s="37">
        <v>4.6665000000000001</v>
      </c>
      <c r="D539" s="51"/>
      <c r="E539" s="19" t="str">
        <f>"610377174589"</f>
        <v>610377174589</v>
      </c>
      <c r="F539" s="20">
        <v>5</v>
      </c>
    </row>
    <row r="540" spans="1:6">
      <c r="A540" s="15" t="str">
        <f>"LQZUY1000"</f>
        <v>LQZUY1000</v>
      </c>
      <c r="B540" s="15" t="s">
        <v>506</v>
      </c>
      <c r="C540" s="36">
        <v>4.6665000000000001</v>
      </c>
      <c r="D540" s="51"/>
      <c r="E540" s="16" t="str">
        <f>"610377201797"</f>
        <v>610377201797</v>
      </c>
      <c r="F540" s="17">
        <v>5</v>
      </c>
    </row>
    <row r="541" spans="1:6">
      <c r="A541" s="18" t="str">
        <f>"LRBUY11H65"</f>
        <v>LRBUY11H65</v>
      </c>
      <c r="B541" s="18" t="s">
        <v>507</v>
      </c>
      <c r="C541" s="37">
        <v>46.237499999999997</v>
      </c>
      <c r="D541" s="51"/>
      <c r="E541" s="19" t="str">
        <f>"610377144100"</f>
        <v>610377144100</v>
      </c>
      <c r="F541" s="20">
        <v>1</v>
      </c>
    </row>
    <row r="542" spans="1:6">
      <c r="A542" s="15" t="str">
        <f>"LRBUY11M13"</f>
        <v>LRBUY11M13</v>
      </c>
      <c r="B542" s="15" t="s">
        <v>508</v>
      </c>
      <c r="C542" s="36">
        <v>73.3095</v>
      </c>
      <c r="D542" s="51"/>
      <c r="E542" s="16" t="str">
        <f>"610377177177"</f>
        <v>610377177177</v>
      </c>
      <c r="F542" s="17">
        <v>1</v>
      </c>
    </row>
    <row r="543" spans="1:6">
      <c r="A543" s="18" t="str">
        <f>"LRBUY11M65"</f>
        <v>LRBUY11M65</v>
      </c>
      <c r="B543" s="18" t="s">
        <v>509</v>
      </c>
      <c r="C543" s="37">
        <v>46.237499999999997</v>
      </c>
      <c r="D543" s="51"/>
      <c r="E543" s="19" t="str">
        <f>"610377144148"</f>
        <v>610377144148</v>
      </c>
      <c r="F543" s="20">
        <v>1</v>
      </c>
    </row>
    <row r="544" spans="1:6">
      <c r="A544" s="15" t="str">
        <f>"LRBUY11P65"</f>
        <v>LRBUY11P65</v>
      </c>
      <c r="B544" s="15" t="s">
        <v>510</v>
      </c>
      <c r="C544" s="36">
        <v>46.237499999999997</v>
      </c>
      <c r="D544" s="51"/>
      <c r="E544" s="16" t="str">
        <f>"610377144124"</f>
        <v>610377144124</v>
      </c>
      <c r="F544" s="17">
        <v>1</v>
      </c>
    </row>
    <row r="545" spans="1:6">
      <c r="A545" s="18" t="str">
        <f>"LRBUY11T65"</f>
        <v>LRBUY11T65</v>
      </c>
      <c r="B545" s="18" t="s">
        <v>511</v>
      </c>
      <c r="C545" s="41">
        <v>46.237499999999997</v>
      </c>
      <c r="D545" s="53"/>
      <c r="E545" s="29" t="str">
        <f>"610377148573"</f>
        <v>610377148573</v>
      </c>
      <c r="F545" s="20">
        <v>1</v>
      </c>
    </row>
    <row r="546" spans="1:6">
      <c r="A546" s="15" t="str">
        <f>"LS010"</f>
        <v>LS010</v>
      </c>
      <c r="B546" s="15" t="s">
        <v>512</v>
      </c>
      <c r="C546" s="54"/>
      <c r="D546" s="30">
        <v>133.66</v>
      </c>
      <c r="E546" s="28" t="str">
        <f>"761418012299"</f>
        <v>761418012299</v>
      </c>
      <c r="F546" s="17">
        <v>1</v>
      </c>
    </row>
    <row r="547" spans="1:6">
      <c r="A547" s="18" t="str">
        <f>"LS020"</f>
        <v>LS020</v>
      </c>
      <c r="B547" s="18" t="s">
        <v>513</v>
      </c>
      <c r="C547" s="54"/>
      <c r="D547" s="31">
        <v>47.63</v>
      </c>
      <c r="E547" s="29" t="str">
        <f>"761418012305"</f>
        <v>761418012305</v>
      </c>
      <c r="F547" s="20">
        <v>1</v>
      </c>
    </row>
    <row r="548" spans="1:6">
      <c r="A548" s="15" t="str">
        <f>"LSCUN11030"</f>
        <v>LSCUN11030</v>
      </c>
      <c r="B548" s="15" t="s">
        <v>514</v>
      </c>
      <c r="C548" s="42">
        <v>379.23750000000001</v>
      </c>
      <c r="D548" s="53"/>
      <c r="E548" s="28" t="str">
        <f>"610377143929"</f>
        <v>610377143929</v>
      </c>
      <c r="F548" s="17">
        <v>1</v>
      </c>
    </row>
    <row r="549" spans="1:6">
      <c r="A549" s="18" t="str">
        <f>"LSCUN11050"</f>
        <v>LSCUN11050</v>
      </c>
      <c r="B549" s="18" t="s">
        <v>515</v>
      </c>
      <c r="C549" s="41">
        <v>391.887</v>
      </c>
      <c r="D549" s="53"/>
      <c r="E549" s="29" t="str">
        <f>"610377143936"</f>
        <v>610377143936</v>
      </c>
      <c r="F549" s="20">
        <v>1</v>
      </c>
    </row>
    <row r="550" spans="1:6">
      <c r="A550" s="15" t="str">
        <f>"LSCUN11100"</f>
        <v>LSCUN11100</v>
      </c>
      <c r="B550" s="15" t="s">
        <v>516</v>
      </c>
      <c r="C550" s="36">
        <v>423.53550000000001</v>
      </c>
      <c r="D550" s="51"/>
      <c r="E550" s="16" t="str">
        <f>"610377143943"</f>
        <v>610377143943</v>
      </c>
      <c r="F550" s="17">
        <v>1</v>
      </c>
    </row>
    <row r="551" spans="1:6">
      <c r="A551" s="18" t="str">
        <f>"LSCUN11150"</f>
        <v>LSCUN11150</v>
      </c>
      <c r="B551" s="18" t="s">
        <v>517</v>
      </c>
      <c r="C551" s="37">
        <v>474.1155</v>
      </c>
      <c r="D551" s="51"/>
      <c r="E551" s="19" t="str">
        <f>"610377233989"</f>
        <v>610377233989</v>
      </c>
      <c r="F551" s="20">
        <v>1</v>
      </c>
    </row>
    <row r="552" spans="1:6">
      <c r="A552" s="15" t="str">
        <f>"LSCUS11030"</f>
        <v>LSCUS11030</v>
      </c>
      <c r="B552" s="15" t="s">
        <v>518</v>
      </c>
      <c r="C552" s="36">
        <v>348.1875</v>
      </c>
      <c r="D552" s="51"/>
      <c r="E552" s="16" t="str">
        <f>"610377143806"</f>
        <v>610377143806</v>
      </c>
      <c r="F552" s="17">
        <v>1</v>
      </c>
    </row>
    <row r="553" spans="1:6">
      <c r="A553" s="18" t="str">
        <f>"LSCUS11050"</f>
        <v>LSCUS11050</v>
      </c>
      <c r="B553" s="18" t="s">
        <v>519</v>
      </c>
      <c r="C553" s="37">
        <v>360.64350000000002</v>
      </c>
      <c r="D553" s="51"/>
      <c r="E553" s="19" t="str">
        <f>"610377143813"</f>
        <v>610377143813</v>
      </c>
      <c r="F553" s="20">
        <v>1</v>
      </c>
    </row>
    <row r="554" spans="1:6">
      <c r="A554" s="15" t="str">
        <f>"LSCUS11100"</f>
        <v>LSCUS11100</v>
      </c>
      <c r="B554" s="15" t="s">
        <v>520</v>
      </c>
      <c r="C554" s="36">
        <v>392.40899999999999</v>
      </c>
      <c r="D554" s="51"/>
      <c r="E554" s="16" t="str">
        <f>"610377143820"</f>
        <v>610377143820</v>
      </c>
      <c r="F554" s="17">
        <v>1</v>
      </c>
    </row>
    <row r="555" spans="1:6">
      <c r="A555" s="18" t="str">
        <f>"LSCUS11150"</f>
        <v>LSCUS11150</v>
      </c>
      <c r="B555" s="18" t="s">
        <v>521</v>
      </c>
      <c r="C555" s="37">
        <v>433.46249999999998</v>
      </c>
      <c r="D555" s="51"/>
      <c r="E555" s="19" t="str">
        <f>"610377233996"</f>
        <v>610377233996</v>
      </c>
      <c r="F555" s="20">
        <v>1</v>
      </c>
    </row>
    <row r="556" spans="1:6">
      <c r="A556" s="15" t="str">
        <f>"LSE25"</f>
        <v>LSE25</v>
      </c>
      <c r="B556" s="15" t="s">
        <v>522</v>
      </c>
      <c r="C556" s="36">
        <v>96.596999999999994</v>
      </c>
      <c r="D556" s="51"/>
      <c r="E556" s="16" t="str">
        <f>"610377145978"</f>
        <v>610377145978</v>
      </c>
      <c r="F556" s="17"/>
    </row>
    <row r="557" spans="1:6">
      <c r="A557" s="18" t="str">
        <f>"LSE50"</f>
        <v>LSE50</v>
      </c>
      <c r="B557" s="18" t="s">
        <v>523</v>
      </c>
      <c r="C557" s="37">
        <v>155.82149999999999</v>
      </c>
      <c r="D557" s="51"/>
      <c r="E557" s="19" t="str">
        <f>"610377145985"</f>
        <v>610377145985</v>
      </c>
      <c r="F557" s="20">
        <v>1</v>
      </c>
    </row>
    <row r="558" spans="1:6">
      <c r="A558" s="15" t="str">
        <f>"LSLUS11030"</f>
        <v>LSLUS11030</v>
      </c>
      <c r="B558" s="15" t="s">
        <v>524</v>
      </c>
      <c r="C558" s="36">
        <v>274.51350000000002</v>
      </c>
      <c r="D558" s="51"/>
      <c r="E558" s="16" t="str">
        <f>"610377143950"</f>
        <v>610377143950</v>
      </c>
      <c r="F558" s="17">
        <v>1</v>
      </c>
    </row>
    <row r="559" spans="1:6">
      <c r="A559" s="18" t="str">
        <f>"LSLUS11050"</f>
        <v>LSLUS11050</v>
      </c>
      <c r="B559" s="18" t="s">
        <v>525</v>
      </c>
      <c r="C559" s="37">
        <v>287.1225</v>
      </c>
      <c r="D559" s="51"/>
      <c r="E559" s="19" t="str">
        <f>"610377143967"</f>
        <v>610377143967</v>
      </c>
      <c r="F559" s="20">
        <v>1</v>
      </c>
    </row>
    <row r="560" spans="1:6">
      <c r="A560" s="15" t="str">
        <f>"LSLUS11100"</f>
        <v>LSLUS11100</v>
      </c>
      <c r="B560" s="15" t="s">
        <v>526</v>
      </c>
      <c r="C560" s="36">
        <v>318.64949999999999</v>
      </c>
      <c r="D560" s="51"/>
      <c r="E560" s="16" t="str">
        <f>"610377143974"</f>
        <v>610377143974</v>
      </c>
      <c r="F560" s="17">
        <v>1</v>
      </c>
    </row>
    <row r="561" spans="1:6">
      <c r="A561" s="18" t="str">
        <f>"LSLUS11150"</f>
        <v>LSLUS11150</v>
      </c>
      <c r="B561" s="18" t="s">
        <v>527</v>
      </c>
      <c r="C561" s="37">
        <v>353.15100000000001</v>
      </c>
      <c r="D561" s="51"/>
      <c r="E561" s="19" t="str">
        <f>"610377234023"</f>
        <v>610377234023</v>
      </c>
      <c r="F561" s="20">
        <v>1</v>
      </c>
    </row>
    <row r="562" spans="1:6">
      <c r="A562" s="15" t="str">
        <f>"LTBUY11300"</f>
        <v>LTBUY11300</v>
      </c>
      <c r="B562" s="15" t="s">
        <v>528</v>
      </c>
      <c r="C562" s="36">
        <v>109.584</v>
      </c>
      <c r="D562" s="51"/>
      <c r="E562" s="16" t="str">
        <f>"610377143981"</f>
        <v>610377143981</v>
      </c>
      <c r="F562" s="17">
        <v>1</v>
      </c>
    </row>
    <row r="563" spans="1:6">
      <c r="A563" s="18" t="str">
        <f>"LTBUY11H14"</f>
        <v>LTBUY11H14</v>
      </c>
      <c r="B563" s="18" t="s">
        <v>529</v>
      </c>
      <c r="C563" s="37">
        <v>88.209000000000003</v>
      </c>
      <c r="D563" s="51"/>
      <c r="E563" s="19" t="str">
        <f>"610377256988"</f>
        <v>610377256988</v>
      </c>
      <c r="F563" s="20">
        <v>1</v>
      </c>
    </row>
    <row r="564" spans="1:6">
      <c r="A564" s="15" t="str">
        <f>"LTBUY11H65"</f>
        <v>LTBUY11H65</v>
      </c>
      <c r="B564" s="15" t="s">
        <v>530</v>
      </c>
      <c r="C564" s="36">
        <v>82.003500000000003</v>
      </c>
      <c r="D564" s="51"/>
      <c r="E564" s="16" t="str">
        <f>"610377203920"</f>
        <v>610377203920</v>
      </c>
      <c r="F564" s="17">
        <v>1</v>
      </c>
    </row>
    <row r="565" spans="1:6">
      <c r="A565" s="18" t="str">
        <f>"LTBUY11H70"</f>
        <v>LTBUY11H70</v>
      </c>
      <c r="B565" s="18" t="s">
        <v>531</v>
      </c>
      <c r="C565" s="37">
        <v>61.128</v>
      </c>
      <c r="D565" s="51"/>
      <c r="E565" s="19" t="str">
        <f>"610377256995"</f>
        <v>610377256995</v>
      </c>
      <c r="F565" s="20">
        <v>1</v>
      </c>
    </row>
    <row r="566" spans="1:6">
      <c r="A566" s="15" t="str">
        <f>"LYCUN11030"</f>
        <v>LYCUN11030</v>
      </c>
      <c r="B566" s="15" t="s">
        <v>532</v>
      </c>
      <c r="C566" s="36">
        <v>205.81649999999999</v>
      </c>
      <c r="D566" s="51"/>
      <c r="E566" s="16" t="str">
        <f>"610377235976"</f>
        <v>610377235976</v>
      </c>
      <c r="F566" s="17">
        <v>1</v>
      </c>
    </row>
    <row r="567" spans="1:6">
      <c r="A567" s="18" t="str">
        <f>"LYCUN11050"</f>
        <v>LYCUN11050</v>
      </c>
      <c r="B567" s="18" t="s">
        <v>533</v>
      </c>
      <c r="C567" s="37">
        <v>216</v>
      </c>
      <c r="D567" s="51"/>
      <c r="E567" s="19" t="str">
        <f>"610377235983"</f>
        <v>610377235983</v>
      </c>
      <c r="F567" s="20">
        <v>1</v>
      </c>
    </row>
    <row r="568" spans="1:6">
      <c r="A568" s="15" t="str">
        <f>"LYCUN11100"</f>
        <v>LYCUN11100</v>
      </c>
      <c r="B568" s="15" t="s">
        <v>534</v>
      </c>
      <c r="C568" s="36">
        <v>241.452</v>
      </c>
      <c r="D568" s="51"/>
      <c r="E568" s="16" t="str">
        <f>"610377235990"</f>
        <v>610377235990</v>
      </c>
      <c r="F568" s="17">
        <v>1</v>
      </c>
    </row>
    <row r="569" spans="1:6">
      <c r="A569" s="18" t="str">
        <f>"LYCUN11150"</f>
        <v>LYCUN11150</v>
      </c>
      <c r="B569" s="18" t="s">
        <v>535</v>
      </c>
      <c r="C569" s="37">
        <v>266.904</v>
      </c>
      <c r="D569" s="51"/>
      <c r="E569" s="19" t="str">
        <f>"610377236010"</f>
        <v>610377236010</v>
      </c>
      <c r="F569" s="20">
        <v>1</v>
      </c>
    </row>
    <row r="570" spans="1:6">
      <c r="A570" s="15" t="str">
        <f>"LYCUS11030"</f>
        <v>LYCUS11030</v>
      </c>
      <c r="B570" s="15" t="s">
        <v>536</v>
      </c>
      <c r="C570" s="36">
        <v>178.00649999999999</v>
      </c>
      <c r="D570" s="51"/>
      <c r="E570" s="16" t="str">
        <f>"610377235860"</f>
        <v>610377235860</v>
      </c>
      <c r="F570" s="17">
        <v>1</v>
      </c>
    </row>
    <row r="571" spans="1:6">
      <c r="A571" s="18" t="str">
        <f>"LYCUS11050"</f>
        <v>LYCUS11050</v>
      </c>
      <c r="B571" s="18" t="s">
        <v>537</v>
      </c>
      <c r="C571" s="37">
        <v>188.19</v>
      </c>
      <c r="D571" s="51"/>
      <c r="E571" s="19" t="str">
        <f>"610377235877"</f>
        <v>610377235877</v>
      </c>
      <c r="F571" s="20">
        <v>1</v>
      </c>
    </row>
    <row r="572" spans="1:6">
      <c r="A572" s="15" t="str">
        <f>"LYCUS11100"</f>
        <v>LYCUS11100</v>
      </c>
      <c r="B572" s="15" t="s">
        <v>538</v>
      </c>
      <c r="C572" s="36">
        <v>213.65100000000001</v>
      </c>
      <c r="D572" s="51"/>
      <c r="E572" s="16" t="str">
        <f>"610377235884"</f>
        <v>610377235884</v>
      </c>
      <c r="F572" s="17">
        <v>1</v>
      </c>
    </row>
    <row r="573" spans="1:6">
      <c r="A573" s="18" t="str">
        <f>"LYCUS11150"</f>
        <v>LYCUS11150</v>
      </c>
      <c r="B573" s="18" t="s">
        <v>539</v>
      </c>
      <c r="C573" s="37">
        <v>239.10300000000001</v>
      </c>
      <c r="D573" s="51"/>
      <c r="E573" s="19" t="str">
        <f>"610377235921"</f>
        <v>610377235921</v>
      </c>
      <c r="F573" s="20">
        <v>1</v>
      </c>
    </row>
    <row r="574" spans="1:6" ht="16" thickBot="1">
      <c r="A574" s="21" t="str">
        <f>"LYWUS11030"</f>
        <v>LYWUS11030</v>
      </c>
      <c r="B574" s="21" t="s">
        <v>540</v>
      </c>
      <c r="C574" s="38">
        <v>178.00649999999999</v>
      </c>
      <c r="D574" s="52"/>
      <c r="E574" s="22" t="str">
        <f>"610377269162"</f>
        <v>610377269162</v>
      </c>
      <c r="F574" s="23">
        <v>1</v>
      </c>
    </row>
    <row r="575" spans="1:6" ht="16" thickTop="1">
      <c r="A575" s="12" t="str">
        <f>"LYWUS11050"</f>
        <v>LYWUS11050</v>
      </c>
      <c r="B575" s="12" t="s">
        <v>541</v>
      </c>
      <c r="C575" s="35">
        <v>188.19</v>
      </c>
      <c r="D575" s="50"/>
      <c r="E575" s="13" t="str">
        <f>"610377269155"</f>
        <v>610377269155</v>
      </c>
      <c r="F575" s="14">
        <v>1</v>
      </c>
    </row>
    <row r="576" spans="1:6">
      <c r="A576" s="15" t="str">
        <f>"LYWUS11100"</f>
        <v>LYWUS11100</v>
      </c>
      <c r="B576" s="15" t="s">
        <v>542</v>
      </c>
      <c r="C576" s="36">
        <v>213.65100000000001</v>
      </c>
      <c r="D576" s="51"/>
      <c r="E576" s="16" t="str">
        <f>"610377269148"</f>
        <v>610377269148</v>
      </c>
      <c r="F576" s="17">
        <v>1</v>
      </c>
    </row>
    <row r="577" spans="1:6">
      <c r="A577" s="18" t="str">
        <f>"LYWUS11150"</f>
        <v>LYWUS11150</v>
      </c>
      <c r="B577" s="18" t="s">
        <v>543</v>
      </c>
      <c r="C577" s="37">
        <v>239.10300000000001</v>
      </c>
      <c r="D577" s="51"/>
      <c r="E577" s="19" t="str">
        <f>"610377269131"</f>
        <v>610377269131</v>
      </c>
      <c r="F577" s="20">
        <v>1</v>
      </c>
    </row>
    <row r="578" spans="1:6">
      <c r="A578" s="15" t="str">
        <f>"ONCOM"</f>
        <v>ONCOM</v>
      </c>
      <c r="B578" s="15" t="s">
        <v>544</v>
      </c>
      <c r="C578" s="36">
        <v>348.56549999999999</v>
      </c>
      <c r="D578" s="51"/>
      <c r="E578" s="16" t="str">
        <f>"761418013494"</f>
        <v>761418013494</v>
      </c>
      <c r="F578" s="17">
        <v>1</v>
      </c>
    </row>
    <row r="579" spans="1:6">
      <c r="A579" s="18" t="str">
        <f>"ONCOM-ACT"</f>
        <v>ONCOM-ACT</v>
      </c>
      <c r="B579" s="18" t="s">
        <v>545</v>
      </c>
      <c r="C579" s="37">
        <v>419.0265</v>
      </c>
      <c r="D579" s="51"/>
      <c r="E579" s="19" t="str">
        <f>"761418013500"</f>
        <v>761418013500</v>
      </c>
      <c r="F579" s="20">
        <v>1</v>
      </c>
    </row>
    <row r="580" spans="1:6">
      <c r="A580" s="15" t="str">
        <f>"ONCOM-ACT-POD"</f>
        <v>ONCOM-ACT-POD</v>
      </c>
      <c r="B580" s="15" t="s">
        <v>546</v>
      </c>
      <c r="C580" s="36">
        <v>757.88549999999998</v>
      </c>
      <c r="D580" s="51"/>
      <c r="E580" s="16" t="str">
        <f>"610377137713"</f>
        <v>610377137713</v>
      </c>
      <c r="F580" s="17">
        <v>1</v>
      </c>
    </row>
    <row r="581" spans="1:6">
      <c r="A581" s="18" t="str">
        <f>"ONCOM-ACT-RC"</f>
        <v>ONCOM-ACT-RC</v>
      </c>
      <c r="B581" s="18" t="s">
        <v>547</v>
      </c>
      <c r="C581" s="37">
        <v>593.649</v>
      </c>
      <c r="D581" s="51"/>
      <c r="E581" s="19" t="str">
        <f>"761418013517"</f>
        <v>761418013517</v>
      </c>
      <c r="F581" s="20">
        <v>1</v>
      </c>
    </row>
    <row r="582" spans="1:6">
      <c r="A582" s="15" t="str">
        <f>"ONCOM-POD"</f>
        <v>ONCOM-POD</v>
      </c>
      <c r="B582" s="15" t="s">
        <v>548</v>
      </c>
      <c r="C582" s="36">
        <v>631.34550000000002</v>
      </c>
      <c r="D582" s="51"/>
      <c r="E582" s="16" t="str">
        <f>"610377137706"</f>
        <v>610377137706</v>
      </c>
      <c r="F582" s="17">
        <v>1</v>
      </c>
    </row>
    <row r="583" spans="1:6">
      <c r="A583" s="18" t="str">
        <f>"ONCOM-RC"</f>
        <v>ONCOM-RC</v>
      </c>
      <c r="B583" s="18" t="s">
        <v>549</v>
      </c>
      <c r="C583" s="37">
        <v>522.67049999999995</v>
      </c>
      <c r="D583" s="51"/>
      <c r="E583" s="19" t="str">
        <f>"761418013524"</f>
        <v>761418013524</v>
      </c>
      <c r="F583" s="20">
        <v>1</v>
      </c>
    </row>
    <row r="584" spans="1:6">
      <c r="A584" s="15" t="str">
        <f>"P-KIT"</f>
        <v>P-KIT</v>
      </c>
      <c r="B584" s="15" t="s">
        <v>550</v>
      </c>
      <c r="C584" s="36">
        <v>106.3845</v>
      </c>
      <c r="D584" s="51"/>
      <c r="E584" s="16" t="str">
        <f>"761418011179"</f>
        <v>761418011179</v>
      </c>
      <c r="F584" s="17">
        <v>1</v>
      </c>
    </row>
    <row r="585" spans="1:6">
      <c r="A585" s="18" t="str">
        <f>"PC-5PK"</f>
        <v>PC-5PK</v>
      </c>
      <c r="B585" s="18" t="s">
        <v>551</v>
      </c>
      <c r="C585" s="37">
        <v>66.415499999999994</v>
      </c>
      <c r="D585" s="51"/>
      <c r="E585" s="19" t="str">
        <f>"761418002221"</f>
        <v>761418002221</v>
      </c>
      <c r="F585" s="20">
        <v>1</v>
      </c>
    </row>
    <row r="586" spans="1:6">
      <c r="A586" s="15" t="str">
        <f>"PL-P-4"</f>
        <v>PL-P-4</v>
      </c>
      <c r="B586" s="15" t="s">
        <v>552</v>
      </c>
      <c r="C586" s="36">
        <v>544.91849999999999</v>
      </c>
      <c r="D586" s="51"/>
      <c r="E586" s="16" t="str">
        <f>"610377080279"</f>
        <v>610377080279</v>
      </c>
      <c r="F586" s="17">
        <v>1</v>
      </c>
    </row>
    <row r="587" spans="1:6">
      <c r="A587" s="18" t="str">
        <f>"PL-PLUS"</f>
        <v>PL-PLUS</v>
      </c>
      <c r="B587" s="18" t="s">
        <v>553</v>
      </c>
      <c r="C587" s="37">
        <v>1030.3064999999999</v>
      </c>
      <c r="D587" s="51"/>
      <c r="E587" s="19" t="str">
        <f>"761418009404"</f>
        <v>761418009404</v>
      </c>
      <c r="F587" s="20">
        <v>1</v>
      </c>
    </row>
    <row r="588" spans="1:6">
      <c r="A588" s="15" t="str">
        <f>"PL-PLUS-16V"</f>
        <v>PL-PLUS-16V</v>
      </c>
      <c r="B588" s="15" t="s">
        <v>554</v>
      </c>
      <c r="C588" s="36">
        <v>1540.6424999999999</v>
      </c>
      <c r="D588" s="51"/>
      <c r="E588" s="16" t="str">
        <f>"610377137690"</f>
        <v>610377137690</v>
      </c>
      <c r="F588" s="17">
        <v>1</v>
      </c>
    </row>
    <row r="589" spans="1:6">
      <c r="A589" s="18" t="str">
        <f>"PL-PLUS-20G"</f>
        <v>PL-PLUS-20G</v>
      </c>
      <c r="B589" s="18" t="s">
        <v>555</v>
      </c>
      <c r="C589" s="37">
        <v>996.43050000000005</v>
      </c>
      <c r="D589" s="51"/>
      <c r="E589" s="19" t="str">
        <f>"761418009411"</f>
        <v>761418009411</v>
      </c>
      <c r="F589" s="20">
        <v>1</v>
      </c>
    </row>
    <row r="590" spans="1:6">
      <c r="A590" s="15" t="str">
        <f>"PL-PS-16"</f>
        <v>PL-PS-16</v>
      </c>
      <c r="B590" s="15" t="s">
        <v>556</v>
      </c>
      <c r="C590" s="36">
        <v>1937.0744999999999</v>
      </c>
      <c r="D590" s="51"/>
      <c r="E590" s="16" t="str">
        <f>"761418009299"</f>
        <v>761418009299</v>
      </c>
      <c r="F590" s="17">
        <v>1</v>
      </c>
    </row>
    <row r="591" spans="1:6">
      <c r="A591" s="18" t="str">
        <f>"PL-PS-16-V"</f>
        <v>PL-PS-16-V</v>
      </c>
      <c r="B591" s="18" t="s">
        <v>557</v>
      </c>
      <c r="C591" s="37">
        <v>1230.7049999999999</v>
      </c>
      <c r="D591" s="51"/>
      <c r="E591" s="19" t="str">
        <f>"761418009305"</f>
        <v>761418009305</v>
      </c>
      <c r="F591" s="20">
        <v>1</v>
      </c>
    </row>
    <row r="592" spans="1:6">
      <c r="A592" s="15" t="str">
        <f>"PL-PS-4"</f>
        <v>PL-PS-4</v>
      </c>
      <c r="B592" s="15" t="s">
        <v>558</v>
      </c>
      <c r="C592" s="36">
        <v>818.226</v>
      </c>
      <c r="D592" s="51"/>
      <c r="E592" s="16" t="str">
        <f>"761418009169"</f>
        <v>761418009169</v>
      </c>
      <c r="F592" s="17">
        <v>1</v>
      </c>
    </row>
    <row r="593" spans="1:6">
      <c r="A593" s="18" t="str">
        <f>"PL-PS-8"</f>
        <v>PL-PS-8</v>
      </c>
      <c r="B593" s="18" t="s">
        <v>552</v>
      </c>
      <c r="C593" s="41">
        <v>1067.2335</v>
      </c>
      <c r="D593" s="53"/>
      <c r="E593" s="29" t="str">
        <f>"761418009244"</f>
        <v>761418009244</v>
      </c>
      <c r="F593" s="20">
        <v>1</v>
      </c>
    </row>
    <row r="594" spans="1:6">
      <c r="A594" s="15" t="str">
        <f>"PL-PS-8-V"</f>
        <v>PL-PS-8-V</v>
      </c>
      <c r="B594" s="15" t="s">
        <v>559</v>
      </c>
      <c r="C594" s="42">
        <v>968.53049999999996</v>
      </c>
      <c r="D594" s="53"/>
      <c r="E594" s="28" t="str">
        <f>"761418009251"</f>
        <v>761418009251</v>
      </c>
      <c r="F594" s="17">
        <v>1</v>
      </c>
    </row>
    <row r="595" spans="1:6">
      <c r="A595" s="18" t="str">
        <f>"PRO15-10"</f>
        <v>PRO15-10</v>
      </c>
      <c r="B595" s="18" t="s">
        <v>560</v>
      </c>
      <c r="C595" s="54"/>
      <c r="D595" s="31">
        <v>141.25</v>
      </c>
      <c r="E595" s="29" t="str">
        <f>"761418012343"</f>
        <v>761418012343</v>
      </c>
      <c r="F595" s="20">
        <v>1</v>
      </c>
    </row>
    <row r="596" spans="1:6">
      <c r="A596" s="15" t="str">
        <f>"PRO15-2"</f>
        <v>PRO15-2</v>
      </c>
      <c r="B596" s="15" t="s">
        <v>561</v>
      </c>
      <c r="C596" s="54"/>
      <c r="D596" s="30">
        <v>141.25</v>
      </c>
      <c r="E596" s="28" t="str">
        <f>"761418012336"</f>
        <v>761418012336</v>
      </c>
      <c r="F596" s="17">
        <v>1</v>
      </c>
    </row>
    <row r="597" spans="1:6">
      <c r="A597" s="18" t="str">
        <f>"PRO25-10"</f>
        <v>PRO25-10</v>
      </c>
      <c r="B597" s="18" t="s">
        <v>562</v>
      </c>
      <c r="C597" s="54"/>
      <c r="D597" s="31">
        <v>141.25</v>
      </c>
      <c r="E597" s="29" t="str">
        <f>"761418012381"</f>
        <v>761418012381</v>
      </c>
      <c r="F597" s="20">
        <v>1</v>
      </c>
    </row>
    <row r="598" spans="1:6">
      <c r="A598" s="15" t="str">
        <f>"PRO25-2"</f>
        <v>PRO25-2</v>
      </c>
      <c r="B598" s="15" t="s">
        <v>563</v>
      </c>
      <c r="C598" s="54"/>
      <c r="D598" s="30">
        <v>141.25</v>
      </c>
      <c r="E598" s="28" t="str">
        <f>"761418012374"</f>
        <v>761418012374</v>
      </c>
      <c r="F598" s="17">
        <v>1</v>
      </c>
    </row>
    <row r="599" spans="1:6">
      <c r="A599" s="18" t="str">
        <f>"PRO25-AU-10"</f>
        <v>PRO25-AU-10</v>
      </c>
      <c r="B599" s="18" t="s">
        <v>564</v>
      </c>
      <c r="C599" s="54"/>
      <c r="D599" s="31">
        <v>141.25</v>
      </c>
      <c r="E599" s="29" t="str">
        <f>"761418012367"</f>
        <v>761418012367</v>
      </c>
      <c r="F599" s="20">
        <v>1</v>
      </c>
    </row>
    <row r="600" spans="1:6">
      <c r="A600" s="15" t="str">
        <f>"PRO25-AU-2"</f>
        <v>PRO25-AU-2</v>
      </c>
      <c r="B600" s="15" t="s">
        <v>565</v>
      </c>
      <c r="C600" s="54"/>
      <c r="D600" s="30">
        <v>141.25</v>
      </c>
      <c r="E600" s="28" t="str">
        <f>"761418012350"</f>
        <v>761418012350</v>
      </c>
      <c r="F600" s="17">
        <v>1</v>
      </c>
    </row>
    <row r="601" spans="1:6">
      <c r="A601" s="18" t="str">
        <f>"PS001"</f>
        <v>PS001</v>
      </c>
      <c r="B601" s="18" t="s">
        <v>566</v>
      </c>
      <c r="C601" s="54"/>
      <c r="D601" s="41">
        <v>407.59199999999998</v>
      </c>
      <c r="E601" s="29" t="str">
        <f>"761418013333"</f>
        <v>761418013333</v>
      </c>
      <c r="F601" s="20">
        <v>1</v>
      </c>
    </row>
    <row r="602" spans="1:6">
      <c r="A602" s="15" t="str">
        <f>"PSCV2S"</f>
        <v>PSCV2S</v>
      </c>
      <c r="B602" s="15" t="s">
        <v>567</v>
      </c>
      <c r="C602" s="42">
        <v>20.5335</v>
      </c>
      <c r="D602" s="53"/>
      <c r="E602" s="28" t="str">
        <f>"610377238748"</f>
        <v>610377238748</v>
      </c>
      <c r="F602" s="17">
        <v>20</v>
      </c>
    </row>
    <row r="603" spans="1:6">
      <c r="A603" s="18" t="str">
        <f>"PSCV2S2"</f>
        <v>PSCV2S2</v>
      </c>
      <c r="B603" s="18" t="s">
        <v>568</v>
      </c>
      <c r="C603" s="41">
        <v>21.375</v>
      </c>
      <c r="D603" s="53"/>
      <c r="E603" s="29" t="str">
        <f>"610377237963"</f>
        <v>610377237963</v>
      </c>
      <c r="F603" s="20">
        <v>20</v>
      </c>
    </row>
    <row r="604" spans="1:6">
      <c r="A604" s="15" t="str">
        <f>"PSCV2S2DGR"</f>
        <v>PSCV2S2DGR</v>
      </c>
      <c r="B604" s="15" t="s">
        <v>569</v>
      </c>
      <c r="C604" s="36">
        <v>18.846</v>
      </c>
      <c r="D604" s="51"/>
      <c r="E604" s="16" t="str">
        <f>"610377238007"</f>
        <v>610377238007</v>
      </c>
      <c r="F604" s="17">
        <v>20</v>
      </c>
    </row>
    <row r="605" spans="1:6">
      <c r="A605" s="18" t="str">
        <f>"PSCV2SDGR"</f>
        <v>PSCV2SDGR</v>
      </c>
      <c r="B605" s="18" t="s">
        <v>570</v>
      </c>
      <c r="C605" s="37">
        <v>18.1035</v>
      </c>
      <c r="D605" s="51"/>
      <c r="E605" s="19" t="str">
        <f>"610377237970"</f>
        <v>610377237970</v>
      </c>
      <c r="F605" s="20">
        <v>20</v>
      </c>
    </row>
    <row r="606" spans="1:6">
      <c r="A606" s="15" t="str">
        <f>"PSV2S"</f>
        <v>PSV2S</v>
      </c>
      <c r="B606" s="15" t="s">
        <v>571</v>
      </c>
      <c r="C606" s="36">
        <v>29.587499999999999</v>
      </c>
      <c r="D606" s="51"/>
      <c r="E606" s="16" t="str">
        <f>"610377676755"</f>
        <v>610377676755</v>
      </c>
      <c r="F606" s="17">
        <v>20</v>
      </c>
    </row>
    <row r="607" spans="1:6">
      <c r="A607" s="18" t="str">
        <f>"PSV2S2"</f>
        <v>PSV2S2</v>
      </c>
      <c r="B607" s="18" t="s">
        <v>572</v>
      </c>
      <c r="C607" s="37">
        <v>30.951000000000001</v>
      </c>
      <c r="D607" s="51"/>
      <c r="E607" s="19" t="str">
        <f>"610377676762"</f>
        <v>610377676762</v>
      </c>
      <c r="F607" s="20">
        <v>20</v>
      </c>
    </row>
    <row r="608" spans="1:6">
      <c r="A608" s="15" t="str">
        <f>"PSV2S2DGR"</f>
        <v>PSV2S2DGR</v>
      </c>
      <c r="B608" s="15" t="s">
        <v>573</v>
      </c>
      <c r="C608" s="36">
        <v>18.504000000000001</v>
      </c>
      <c r="D608" s="51"/>
      <c r="E608" s="16" t="str">
        <f>"610377214575"</f>
        <v>610377214575</v>
      </c>
      <c r="F608" s="17">
        <v>20</v>
      </c>
    </row>
    <row r="609" spans="1:6">
      <c r="A609" s="18" t="str">
        <f>"PSV2SDGR"</f>
        <v>PSV2SDGR</v>
      </c>
      <c r="B609" s="18" t="s">
        <v>574</v>
      </c>
      <c r="C609" s="37">
        <v>14.958</v>
      </c>
      <c r="D609" s="51"/>
      <c r="E609" s="19" t="str">
        <f>"610377214568"</f>
        <v>610377214568</v>
      </c>
      <c r="F609" s="20">
        <v>20</v>
      </c>
    </row>
    <row r="610" spans="1:6">
      <c r="A610" s="15" t="str">
        <f>"PSV3S"</f>
        <v>PSV3S</v>
      </c>
      <c r="B610" s="15" t="s">
        <v>575</v>
      </c>
      <c r="C610" s="36">
        <v>32.390999999999998</v>
      </c>
      <c r="D610" s="51"/>
      <c r="E610" s="16" t="str">
        <f>"610377676724"</f>
        <v>610377676724</v>
      </c>
      <c r="F610" s="17">
        <v>20</v>
      </c>
    </row>
    <row r="611" spans="1:6">
      <c r="A611" s="18" t="str">
        <f>"PSV3S2"</f>
        <v>PSV3S2</v>
      </c>
      <c r="B611" s="18" t="s">
        <v>576</v>
      </c>
      <c r="C611" s="37">
        <v>33.952500000000001</v>
      </c>
      <c r="D611" s="51"/>
      <c r="E611" s="19" t="str">
        <f>"610377676731"</f>
        <v>610377676731</v>
      </c>
      <c r="F611" s="20">
        <v>20</v>
      </c>
    </row>
    <row r="612" spans="1:6">
      <c r="A612" s="15" t="str">
        <f>"PSV3S2DGR"</f>
        <v>PSV3S2DGR</v>
      </c>
      <c r="B612" s="15" t="s">
        <v>577</v>
      </c>
      <c r="C612" s="36">
        <v>18.504000000000001</v>
      </c>
      <c r="D612" s="51"/>
      <c r="E612" s="16" t="str">
        <f>"610377214612"</f>
        <v>610377214612</v>
      </c>
      <c r="F612" s="17">
        <v>20</v>
      </c>
    </row>
    <row r="613" spans="1:6">
      <c r="A613" s="18" t="str">
        <f>"PSV3SDGR"</f>
        <v>PSV3SDGR</v>
      </c>
      <c r="B613" s="18" t="s">
        <v>578</v>
      </c>
      <c r="C613" s="37">
        <v>18.2835</v>
      </c>
      <c r="D613" s="51"/>
      <c r="E613" s="19" t="str">
        <f>"610377214582"</f>
        <v>610377214582</v>
      </c>
      <c r="F613" s="20">
        <v>20</v>
      </c>
    </row>
    <row r="614" spans="1:6">
      <c r="A614" s="15" t="str">
        <f>"PSV3SM"</f>
        <v>PSV3SM</v>
      </c>
      <c r="B614" s="15" t="s">
        <v>579</v>
      </c>
      <c r="C614" s="36">
        <v>32.706000000000003</v>
      </c>
      <c r="D614" s="51"/>
      <c r="E614" s="16" t="str">
        <f>"610377801690"</f>
        <v>610377801690</v>
      </c>
      <c r="F614" s="17">
        <v>20</v>
      </c>
    </row>
    <row r="615" spans="1:6">
      <c r="A615" s="18" t="str">
        <f>"PSV3SMDGR"</f>
        <v>PSV3SMDGR</v>
      </c>
      <c r="B615" s="18" t="s">
        <v>580</v>
      </c>
      <c r="C615" s="41">
        <v>21.586500000000001</v>
      </c>
      <c r="D615" s="53"/>
      <c r="E615" s="29" t="str">
        <f>"610377214629"</f>
        <v>610377214629</v>
      </c>
      <c r="F615" s="20">
        <v>20</v>
      </c>
    </row>
    <row r="616" spans="1:6">
      <c r="A616" s="15" t="str">
        <f>"PTC15"</f>
        <v>PTC15</v>
      </c>
      <c r="B616" s="15" t="s">
        <v>581</v>
      </c>
      <c r="C616" s="54"/>
      <c r="D616" s="30">
        <v>482.61</v>
      </c>
      <c r="E616" s="28" t="str">
        <f>"761418012398"</f>
        <v>761418012398</v>
      </c>
      <c r="F616" s="17">
        <v>1</v>
      </c>
    </row>
    <row r="617" spans="1:6">
      <c r="A617" s="18" t="str">
        <f>"PTC30"</f>
        <v>PTC30</v>
      </c>
      <c r="B617" s="18" t="s">
        <v>582</v>
      </c>
      <c r="C617" s="54"/>
      <c r="D617" s="31">
        <v>541.46</v>
      </c>
      <c r="E617" s="29" t="str">
        <f>"761418012404"</f>
        <v>761418012404</v>
      </c>
      <c r="F617" s="20">
        <v>1</v>
      </c>
    </row>
    <row r="618" spans="1:6">
      <c r="A618" s="15" t="str">
        <f>"PTCRES"</f>
        <v>PTCRES</v>
      </c>
      <c r="B618" s="15" t="s">
        <v>583</v>
      </c>
      <c r="C618" s="54"/>
      <c r="D618" s="30">
        <v>411.98</v>
      </c>
      <c r="E618" s="28" t="str">
        <f>"761418012411"</f>
        <v>761418012411</v>
      </c>
      <c r="F618" s="17">
        <v>1</v>
      </c>
    </row>
    <row r="619" spans="1:6">
      <c r="A619" s="18" t="str">
        <f>"QTA1005CSEG"</f>
        <v>QTA1005CSEG</v>
      </c>
      <c r="B619" s="18" t="s">
        <v>584</v>
      </c>
      <c r="C619" s="41">
        <v>2.4929999999999999</v>
      </c>
      <c r="D619" s="53"/>
      <c r="E619" s="29" t="str">
        <f>"610377095150"</f>
        <v>610377095150</v>
      </c>
      <c r="F619" s="20">
        <v>140</v>
      </c>
    </row>
    <row r="620" spans="1:6" ht="16" thickBot="1">
      <c r="A620" s="21" t="str">
        <f>"QTA1005CSEW"</f>
        <v>QTA1005CSEW</v>
      </c>
      <c r="B620" s="21" t="s">
        <v>585</v>
      </c>
      <c r="C620" s="42">
        <v>2.4929999999999999</v>
      </c>
      <c r="D620" s="53"/>
      <c r="E620" s="32" t="str">
        <f>"610377095211"</f>
        <v>610377095211</v>
      </c>
      <c r="F620" s="23">
        <v>140</v>
      </c>
    </row>
    <row r="621" spans="1:6" ht="16" thickTop="1">
      <c r="A621" s="12" t="str">
        <f>"QTA1007CSEG"</f>
        <v>QTA1007CSEG</v>
      </c>
      <c r="B621" s="12" t="s">
        <v>586</v>
      </c>
      <c r="C621" s="37">
        <v>3.411</v>
      </c>
      <c r="D621" s="51"/>
      <c r="E621" s="13" t="str">
        <f>"610377095167"</f>
        <v>610377095167</v>
      </c>
      <c r="F621" s="14">
        <v>80</v>
      </c>
    </row>
    <row r="622" spans="1:6">
      <c r="A622" s="15" t="str">
        <f>"QTA1007CSEW"</f>
        <v>QTA1007CSEW</v>
      </c>
      <c r="B622" s="15" t="s">
        <v>587</v>
      </c>
      <c r="C622" s="36">
        <v>3.3344999999999998</v>
      </c>
      <c r="D622" s="51"/>
      <c r="E622" s="16" t="str">
        <f>"610377095228"</f>
        <v>610377095228</v>
      </c>
      <c r="F622" s="17">
        <v>80</v>
      </c>
    </row>
    <row r="623" spans="1:6">
      <c r="A623" s="18" t="str">
        <f>"QTA1010CSEG"</f>
        <v>QTA1010CSEG</v>
      </c>
      <c r="B623" s="18" t="s">
        <v>588</v>
      </c>
      <c r="C623" s="37">
        <v>4.3784999999999998</v>
      </c>
      <c r="D623" s="51"/>
      <c r="E623" s="19" t="str">
        <f>"610377095174"</f>
        <v>610377095174</v>
      </c>
      <c r="F623" s="20">
        <v>50</v>
      </c>
    </row>
    <row r="624" spans="1:6">
      <c r="A624" s="15" t="str">
        <f>"QTA1010CSEW"</f>
        <v>QTA1010CSEW</v>
      </c>
      <c r="B624" s="15" t="s">
        <v>589</v>
      </c>
      <c r="C624" s="36">
        <v>3.8115000000000001</v>
      </c>
      <c r="D624" s="51"/>
      <c r="E624" s="16" t="str">
        <f>"610377095235"</f>
        <v>610377095235</v>
      </c>
      <c r="F624" s="17">
        <v>50</v>
      </c>
    </row>
    <row r="625" spans="1:6">
      <c r="A625" s="18" t="str">
        <f>"QTA1012CSEG"</f>
        <v>QTA1012CSEG</v>
      </c>
      <c r="B625" s="18" t="s">
        <v>590</v>
      </c>
      <c r="C625" s="37">
        <v>7.4474999999999998</v>
      </c>
      <c r="D625" s="51"/>
      <c r="E625" s="19" t="str">
        <f>"610377095181"</f>
        <v>610377095181</v>
      </c>
      <c r="F625" s="20">
        <v>27</v>
      </c>
    </row>
    <row r="626" spans="1:6">
      <c r="A626" s="15" t="str">
        <f>"QTA1012CSEW"</f>
        <v>QTA1012CSEW</v>
      </c>
      <c r="B626" s="15" t="s">
        <v>591</v>
      </c>
      <c r="C626" s="36">
        <v>7.4474999999999998</v>
      </c>
      <c r="D626" s="51"/>
      <c r="E626" s="16" t="str">
        <f>"610377095242"</f>
        <v>610377095242</v>
      </c>
      <c r="F626" s="17">
        <v>27</v>
      </c>
    </row>
    <row r="627" spans="1:6">
      <c r="A627" s="18" t="str">
        <f>"QTA1015CSEG"</f>
        <v>QTA1015CSEG</v>
      </c>
      <c r="B627" s="18" t="s">
        <v>592</v>
      </c>
      <c r="C627" s="37">
        <v>7.758</v>
      </c>
      <c r="D627" s="51"/>
      <c r="E627" s="19" t="str">
        <f>"610377095198"</f>
        <v>610377095198</v>
      </c>
      <c r="F627" s="20">
        <v>20</v>
      </c>
    </row>
    <row r="628" spans="1:6">
      <c r="A628" s="15" t="str">
        <f>"QTA1015CSEW"</f>
        <v>QTA1015CSEW</v>
      </c>
      <c r="B628" s="15" t="s">
        <v>593</v>
      </c>
      <c r="C628" s="36">
        <v>6.7590000000000003</v>
      </c>
      <c r="D628" s="51"/>
      <c r="E628" s="16" t="str">
        <f>"610377095259"</f>
        <v>610377095259</v>
      </c>
      <c r="F628" s="17">
        <v>20</v>
      </c>
    </row>
    <row r="629" spans="1:6">
      <c r="A629" s="18" t="str">
        <f>"QTA1020CSEG"</f>
        <v>QTA1020CSEG</v>
      </c>
      <c r="B629" s="18" t="s">
        <v>594</v>
      </c>
      <c r="C629" s="37">
        <v>11.5245</v>
      </c>
      <c r="D629" s="51"/>
      <c r="E629" s="19" t="str">
        <f>"610377095204"</f>
        <v>610377095204</v>
      </c>
      <c r="F629" s="20">
        <v>18</v>
      </c>
    </row>
    <row r="630" spans="1:6">
      <c r="A630" s="15" t="str">
        <f>"QTA1020CSEW"</f>
        <v>QTA1020CSEW</v>
      </c>
      <c r="B630" s="15" t="s">
        <v>595</v>
      </c>
      <c r="C630" s="36">
        <v>10.026</v>
      </c>
      <c r="D630" s="51"/>
      <c r="E630" s="16" t="str">
        <f>"610377095266"</f>
        <v>610377095266</v>
      </c>
      <c r="F630" s="17">
        <v>18</v>
      </c>
    </row>
    <row r="631" spans="1:6">
      <c r="A631" s="18" t="str">
        <f>"QVC1005SSEG"</f>
        <v>QVC1005SSEG</v>
      </c>
      <c r="B631" s="18" t="s">
        <v>596</v>
      </c>
      <c r="C631" s="37">
        <v>0.71099999999999997</v>
      </c>
      <c r="D631" s="51"/>
      <c r="E631" s="19" t="str">
        <f>"610377084376"</f>
        <v>610377084376</v>
      </c>
      <c r="F631" s="20">
        <v>210</v>
      </c>
    </row>
    <row r="632" spans="1:6">
      <c r="A632" s="15" t="str">
        <f>"QVC1005SSEW"</f>
        <v>QVC1005SSEW</v>
      </c>
      <c r="B632" s="15" t="s">
        <v>597</v>
      </c>
      <c r="C632" s="36">
        <v>0.59850000000000003</v>
      </c>
      <c r="D632" s="51"/>
      <c r="E632" s="16" t="str">
        <f>"610377084550"</f>
        <v>610377084550</v>
      </c>
      <c r="F632" s="17">
        <v>210</v>
      </c>
    </row>
    <row r="633" spans="1:6">
      <c r="A633" s="18" t="str">
        <f>"QVC1005TSEG"</f>
        <v>QVC1005TSEG</v>
      </c>
      <c r="B633" s="18" t="s">
        <v>598</v>
      </c>
      <c r="C633" s="37">
        <v>0.69750000000000001</v>
      </c>
      <c r="D633" s="51"/>
      <c r="E633" s="19" t="str">
        <f>"610377084468"</f>
        <v>610377084468</v>
      </c>
      <c r="F633" s="20">
        <v>210</v>
      </c>
    </row>
    <row r="634" spans="1:6">
      <c r="A634" s="15" t="str">
        <f>"QVC1005TSEW"</f>
        <v>QVC1005TSEW</v>
      </c>
      <c r="B634" s="15" t="s">
        <v>599</v>
      </c>
      <c r="C634" s="36">
        <v>0.59850000000000003</v>
      </c>
      <c r="D634" s="51"/>
      <c r="E634" s="16" t="str">
        <f>"610377084765"</f>
        <v>610377084765</v>
      </c>
      <c r="F634" s="17">
        <v>210</v>
      </c>
    </row>
    <row r="635" spans="1:6">
      <c r="A635" s="18" t="str">
        <f>"QVC1007SSEG"</f>
        <v>QVC1007SSEG</v>
      </c>
      <c r="B635" s="18" t="s">
        <v>600</v>
      </c>
      <c r="C635" s="37">
        <v>0.88649999999999995</v>
      </c>
      <c r="D635" s="51"/>
      <c r="E635" s="19" t="str">
        <f>"610377084383"</f>
        <v>610377084383</v>
      </c>
      <c r="F635" s="20">
        <v>140</v>
      </c>
    </row>
    <row r="636" spans="1:6">
      <c r="A636" s="15" t="str">
        <f>"QVC1010SSEG"</f>
        <v>QVC1010SSEG</v>
      </c>
      <c r="B636" s="15" t="s">
        <v>601</v>
      </c>
      <c r="C636" s="36">
        <v>1.44</v>
      </c>
      <c r="D636" s="51"/>
      <c r="E636" s="16" t="str">
        <f>"610377084390"</f>
        <v>610377084390</v>
      </c>
      <c r="F636" s="17">
        <v>100</v>
      </c>
    </row>
    <row r="637" spans="1:6">
      <c r="A637" s="18" t="str">
        <f>"QVC1010SSEW"</f>
        <v>QVC1010SSEW</v>
      </c>
      <c r="B637" s="18" t="s">
        <v>602</v>
      </c>
      <c r="C637" s="37">
        <v>1.2509999999999999</v>
      </c>
      <c r="D637" s="51"/>
      <c r="E637" s="19" t="str">
        <f>"610377084574"</f>
        <v>610377084574</v>
      </c>
      <c r="F637" s="20">
        <v>100</v>
      </c>
    </row>
    <row r="638" spans="1:6">
      <c r="A638" s="15" t="str">
        <f>"QVC1010TSEG"</f>
        <v>QVC1010TSEG</v>
      </c>
      <c r="B638" s="15" t="s">
        <v>603</v>
      </c>
      <c r="C638" s="36">
        <v>1.44</v>
      </c>
      <c r="D638" s="51"/>
      <c r="E638" s="16" t="str">
        <f>"610377084482"</f>
        <v>610377084482</v>
      </c>
      <c r="F638" s="17">
        <v>100</v>
      </c>
    </row>
    <row r="639" spans="1:6">
      <c r="A639" s="18" t="str">
        <f>"QVC1010TSEW"</f>
        <v>QVC1010TSEW</v>
      </c>
      <c r="B639" s="18" t="s">
        <v>604</v>
      </c>
      <c r="C639" s="37">
        <v>1.2509999999999999</v>
      </c>
      <c r="D639" s="51"/>
      <c r="E639" s="19" t="str">
        <f>"610377084789"</f>
        <v>610377084789</v>
      </c>
      <c r="F639" s="20">
        <v>100</v>
      </c>
    </row>
    <row r="640" spans="1:6">
      <c r="A640" s="15" t="str">
        <f>"QVC1015SSEG"</f>
        <v>QVC1015SSEG</v>
      </c>
      <c r="B640" s="15" t="s">
        <v>605</v>
      </c>
      <c r="C640" s="36">
        <v>2.448</v>
      </c>
      <c r="D640" s="51"/>
      <c r="E640" s="16" t="str">
        <f>"610377084413"</f>
        <v>610377084413</v>
      </c>
      <c r="F640" s="17">
        <v>40</v>
      </c>
    </row>
    <row r="641" spans="1:6">
      <c r="A641" s="18" t="str">
        <f>"QVC1015SSEW"</f>
        <v>QVC1015SSEW</v>
      </c>
      <c r="B641" s="18" t="s">
        <v>606</v>
      </c>
      <c r="C641" s="37">
        <v>2.1735000000000002</v>
      </c>
      <c r="D641" s="51"/>
      <c r="E641" s="19" t="str">
        <f>"610377084598"</f>
        <v>610377084598</v>
      </c>
      <c r="F641" s="20">
        <v>40</v>
      </c>
    </row>
    <row r="642" spans="1:6">
      <c r="A642" s="15" t="str">
        <f>"QVC1015TSEG"</f>
        <v>QVC1015TSEG</v>
      </c>
      <c r="B642" s="15" t="s">
        <v>607</v>
      </c>
      <c r="C642" s="36">
        <v>2.4615</v>
      </c>
      <c r="D642" s="51"/>
      <c r="E642" s="16" t="str">
        <f>"610377084505"</f>
        <v>610377084505</v>
      </c>
      <c r="F642" s="17">
        <v>40</v>
      </c>
    </row>
    <row r="643" spans="1:6">
      <c r="A643" s="18" t="str">
        <f>"QVC1015TSEW"</f>
        <v>QVC1015TSEW</v>
      </c>
      <c r="B643" s="18" t="s">
        <v>608</v>
      </c>
      <c r="C643" s="37">
        <v>2.2725</v>
      </c>
      <c r="D643" s="51"/>
      <c r="E643" s="19" t="str">
        <f>"610377084802"</f>
        <v>610377084802</v>
      </c>
      <c r="F643" s="20">
        <v>40</v>
      </c>
    </row>
    <row r="644" spans="1:6">
      <c r="A644" s="15" t="str">
        <f>"QVC1020SSEG"</f>
        <v>QVC1020SSEG</v>
      </c>
      <c r="B644" s="15" t="s">
        <v>609</v>
      </c>
      <c r="C644" s="36">
        <v>3.6135000000000002</v>
      </c>
      <c r="D644" s="51"/>
      <c r="E644" s="16" t="str">
        <f>"610377084420"</f>
        <v>610377084420</v>
      </c>
      <c r="F644" s="17">
        <v>30</v>
      </c>
    </row>
    <row r="645" spans="1:6">
      <c r="A645" s="18" t="str">
        <f>"QVC1020SSEW"</f>
        <v>QVC1020SSEW</v>
      </c>
      <c r="B645" s="18" t="s">
        <v>610</v>
      </c>
      <c r="C645" s="37">
        <v>3.4245000000000001</v>
      </c>
      <c r="D645" s="51"/>
      <c r="E645" s="19" t="str">
        <f>"610377084604"</f>
        <v>610377084604</v>
      </c>
      <c r="F645" s="20">
        <v>30</v>
      </c>
    </row>
    <row r="646" spans="1:6">
      <c r="A646" s="15" t="str">
        <f>"QVC1020TSEG"</f>
        <v>QVC1020TSEG</v>
      </c>
      <c r="B646" s="15" t="s">
        <v>611</v>
      </c>
      <c r="C646" s="36">
        <v>3.6135000000000002</v>
      </c>
      <c r="D646" s="51"/>
      <c r="E646" s="16" t="str">
        <f>"610377084512"</f>
        <v>610377084512</v>
      </c>
      <c r="F646" s="17">
        <v>30</v>
      </c>
    </row>
    <row r="647" spans="1:6">
      <c r="A647" s="18" t="str">
        <f>"QVC1020TSEW"</f>
        <v>QVC1020TSEW</v>
      </c>
      <c r="B647" s="18" t="s">
        <v>612</v>
      </c>
      <c r="C647" s="37">
        <v>3.4245000000000001</v>
      </c>
      <c r="D647" s="51"/>
      <c r="E647" s="19" t="str">
        <f>"610377084819"</f>
        <v>610377084819</v>
      </c>
      <c r="F647" s="20">
        <v>30</v>
      </c>
    </row>
    <row r="648" spans="1:6">
      <c r="A648" s="15" t="str">
        <f>"QVC1025SSEG"</f>
        <v>QVC1025SSEG</v>
      </c>
      <c r="B648" s="15" t="s">
        <v>613</v>
      </c>
      <c r="C648" s="36">
        <v>12.023999999999999</v>
      </c>
      <c r="D648" s="51"/>
      <c r="E648" s="16" t="str">
        <f>"610377084437"</f>
        <v>610377084437</v>
      </c>
      <c r="F648" s="17">
        <v>12</v>
      </c>
    </row>
    <row r="649" spans="1:6">
      <c r="A649" s="18" t="str">
        <f>"QVC1025SSEW"</f>
        <v>QVC1025SSEW</v>
      </c>
      <c r="B649" s="18" t="s">
        <v>614</v>
      </c>
      <c r="C649" s="37">
        <v>10.458</v>
      </c>
      <c r="D649" s="51"/>
      <c r="E649" s="19" t="str">
        <f>"610377084611"</f>
        <v>610377084611</v>
      </c>
      <c r="F649" s="20">
        <v>12</v>
      </c>
    </row>
    <row r="650" spans="1:6">
      <c r="A650" s="15" t="str">
        <f>"QVC1025TSEG"</f>
        <v>QVC1025TSEG</v>
      </c>
      <c r="B650" s="15" t="s">
        <v>615</v>
      </c>
      <c r="C650" s="36">
        <v>12.023999999999999</v>
      </c>
      <c r="D650" s="51"/>
      <c r="E650" s="16" t="str">
        <f>"610377084529"</f>
        <v>610377084529</v>
      </c>
      <c r="F650" s="17">
        <v>12</v>
      </c>
    </row>
    <row r="651" spans="1:6">
      <c r="A651" s="18" t="str">
        <f>"QVC1025TSEW"</f>
        <v>QVC1025TSEW</v>
      </c>
      <c r="B651" s="18" t="s">
        <v>616</v>
      </c>
      <c r="C651" s="37">
        <v>10.458</v>
      </c>
      <c r="D651" s="51"/>
      <c r="E651" s="19" t="str">
        <f>"610377084826"</f>
        <v>610377084826</v>
      </c>
      <c r="F651" s="20">
        <v>12</v>
      </c>
    </row>
    <row r="652" spans="1:6">
      <c r="A652" s="15" t="str">
        <f>"QVC1030SSEG"</f>
        <v>QVC1030SSEG</v>
      </c>
      <c r="B652" s="15" t="s">
        <v>617</v>
      </c>
      <c r="C652" s="36">
        <v>19.255500000000001</v>
      </c>
      <c r="D652" s="51"/>
      <c r="E652" s="16" t="str">
        <f>"610377084444"</f>
        <v>610377084444</v>
      </c>
      <c r="F652" s="17">
        <v>8</v>
      </c>
    </row>
    <row r="653" spans="1:6">
      <c r="A653" s="18" t="str">
        <f>"QVC1030SSEW"</f>
        <v>QVC1030SSEW</v>
      </c>
      <c r="B653" s="18" t="s">
        <v>618</v>
      </c>
      <c r="C653" s="37">
        <v>16.731000000000002</v>
      </c>
      <c r="D653" s="51"/>
      <c r="E653" s="19" t="str">
        <f>"610377084628"</f>
        <v>610377084628</v>
      </c>
      <c r="F653" s="20">
        <v>8</v>
      </c>
    </row>
    <row r="654" spans="1:6">
      <c r="A654" s="15" t="str">
        <f>"QVC1030TSEG"</f>
        <v>QVC1030TSEG</v>
      </c>
      <c r="B654" s="15" t="s">
        <v>619</v>
      </c>
      <c r="C654" s="36">
        <v>19.255500000000001</v>
      </c>
      <c r="D654" s="51"/>
      <c r="E654" s="16" t="str">
        <f>"610377084536"</f>
        <v>610377084536</v>
      </c>
      <c r="F654" s="17">
        <v>8</v>
      </c>
    </row>
    <row r="655" spans="1:6">
      <c r="A655" s="18" t="str">
        <f>"QVC1030TSEW"</f>
        <v>QVC1030TSEW</v>
      </c>
      <c r="B655" s="18" t="s">
        <v>620</v>
      </c>
      <c r="C655" s="37">
        <v>16.731000000000002</v>
      </c>
      <c r="D655" s="51"/>
      <c r="E655" s="19" t="str">
        <f>"610377084888"</f>
        <v>610377084888</v>
      </c>
      <c r="F655" s="20">
        <v>8</v>
      </c>
    </row>
    <row r="656" spans="1:6">
      <c r="A656" s="15" t="str">
        <f>"QVC1040SSEG"</f>
        <v>QVC1040SSEG</v>
      </c>
      <c r="B656" s="15" t="s">
        <v>621</v>
      </c>
      <c r="C656" s="36">
        <v>34.893000000000001</v>
      </c>
      <c r="D656" s="51"/>
      <c r="E656" s="16" t="str">
        <f>"610377084451"</f>
        <v>610377084451</v>
      </c>
      <c r="F656" s="17">
        <v>6</v>
      </c>
    </row>
    <row r="657" spans="1:6">
      <c r="A657" s="18" t="str">
        <f>"QVC1040SSEW"</f>
        <v>QVC1040SSEW</v>
      </c>
      <c r="B657" s="18" t="s">
        <v>622</v>
      </c>
      <c r="C657" s="37">
        <v>30.338999999999999</v>
      </c>
      <c r="D657" s="51"/>
      <c r="E657" s="19" t="str">
        <f>"610377084697"</f>
        <v>610377084697</v>
      </c>
      <c r="F657" s="20">
        <v>6</v>
      </c>
    </row>
    <row r="658" spans="1:6">
      <c r="A658" s="15" t="str">
        <f>"QVC1040TSEG"</f>
        <v>QVC1040TSEG</v>
      </c>
      <c r="B658" s="15" t="s">
        <v>623</v>
      </c>
      <c r="C658" s="36">
        <v>34.893000000000001</v>
      </c>
      <c r="D658" s="51"/>
      <c r="E658" s="16" t="str">
        <f>"610377084543"</f>
        <v>610377084543</v>
      </c>
      <c r="F658" s="17">
        <v>6</v>
      </c>
    </row>
    <row r="659" spans="1:6">
      <c r="A659" s="18" t="str">
        <f>"QVC1040TSEW"</f>
        <v>QVC1040TSEW</v>
      </c>
      <c r="B659" s="18" t="s">
        <v>624</v>
      </c>
      <c r="C659" s="37">
        <v>30.325500000000002</v>
      </c>
      <c r="D659" s="51"/>
      <c r="E659" s="19" t="str">
        <f>"610377084895"</f>
        <v>610377084895</v>
      </c>
      <c r="F659" s="20">
        <v>6</v>
      </c>
    </row>
    <row r="660" spans="1:6">
      <c r="A660" s="15" t="str">
        <f>"RA015"</f>
        <v>RA015</v>
      </c>
      <c r="B660" s="15" t="s">
        <v>625</v>
      </c>
      <c r="C660" s="54"/>
      <c r="D660" s="30">
        <v>117.72</v>
      </c>
      <c r="E660" s="28" t="str">
        <f>"761418012428"</f>
        <v>761418012428</v>
      </c>
      <c r="F660" s="17">
        <v>1</v>
      </c>
    </row>
    <row r="661" spans="1:6">
      <c r="A661" s="18" t="str">
        <f>"RA020"</f>
        <v>RA020</v>
      </c>
      <c r="B661" s="18" t="s">
        <v>626</v>
      </c>
      <c r="C661" s="54"/>
      <c r="D661" s="31">
        <v>117.72</v>
      </c>
      <c r="E661" s="29" t="str">
        <f>"610377204439"</f>
        <v>610377204439</v>
      </c>
      <c r="F661" s="20">
        <v>1</v>
      </c>
    </row>
    <row r="662" spans="1:6">
      <c r="A662" s="15" t="str">
        <f>"RA024"</f>
        <v>RA024</v>
      </c>
      <c r="B662" s="15" t="s">
        <v>627</v>
      </c>
      <c r="C662" s="54"/>
      <c r="D662" s="30">
        <v>43.47</v>
      </c>
      <c r="E662" s="28" t="str">
        <f>"761418013470"</f>
        <v>761418013470</v>
      </c>
      <c r="F662" s="17">
        <v>1</v>
      </c>
    </row>
    <row r="663" spans="1:6">
      <c r="A663" s="18" t="str">
        <f>"RA025"</f>
        <v>RA025</v>
      </c>
      <c r="B663" s="18" t="s">
        <v>628</v>
      </c>
      <c r="C663" s="54"/>
      <c r="D663" s="31">
        <v>78.17</v>
      </c>
      <c r="E663" s="29" t="str">
        <f>"761418012435"</f>
        <v>761418012435</v>
      </c>
      <c r="F663" s="20">
        <v>1</v>
      </c>
    </row>
    <row r="664" spans="1:6">
      <c r="A664" s="15" t="str">
        <f>"RA026"</f>
        <v>RA026</v>
      </c>
      <c r="B664" s="15" t="s">
        <v>629</v>
      </c>
      <c r="C664" s="54"/>
      <c r="D664" s="30">
        <v>117.72</v>
      </c>
      <c r="E664" s="28" t="str">
        <f>"761418013487"</f>
        <v>761418013487</v>
      </c>
      <c r="F664" s="17">
        <v>1</v>
      </c>
    </row>
    <row r="665" spans="1:6">
      <c r="A665" s="18" t="str">
        <f>"RA030W"</f>
        <v>RA030W</v>
      </c>
      <c r="B665" s="18" t="s">
        <v>630</v>
      </c>
      <c r="C665" s="54"/>
      <c r="D665" s="31">
        <v>102.1</v>
      </c>
      <c r="E665" s="29" t="str">
        <f>"610377238700"</f>
        <v>610377238700</v>
      </c>
      <c r="F665" s="20">
        <v>1</v>
      </c>
    </row>
    <row r="666" spans="1:6" ht="16" thickBot="1">
      <c r="A666" s="21" t="str">
        <f>"RA035C"</f>
        <v>RA035C</v>
      </c>
      <c r="B666" s="21" t="s">
        <v>631</v>
      </c>
      <c r="C666" s="54"/>
      <c r="D666" s="30">
        <v>102.1</v>
      </c>
      <c r="E666" s="32" t="str">
        <f>"610377238717"</f>
        <v>610377238717</v>
      </c>
      <c r="F666" s="23">
        <v>1</v>
      </c>
    </row>
    <row r="667" spans="1:6" ht="16" thickTop="1">
      <c r="A667" s="12" t="str">
        <f>"RC32000QC"</f>
        <v>RC32000QC</v>
      </c>
      <c r="B667" s="12" t="s">
        <v>632</v>
      </c>
      <c r="C667" s="43">
        <v>115.6365</v>
      </c>
      <c r="D667" s="55"/>
      <c r="E667" s="33" t="str">
        <f>"610377242899"</f>
        <v>610377242899</v>
      </c>
      <c r="F667" s="14">
        <v>1</v>
      </c>
    </row>
    <row r="668" spans="1:6">
      <c r="A668" s="15" t="str">
        <f>"RC33000DC"</f>
        <v>RC33000DC</v>
      </c>
      <c r="B668" s="15" t="s">
        <v>633</v>
      </c>
      <c r="C668" s="36">
        <v>94.990499999999997</v>
      </c>
      <c r="D668" s="51"/>
      <c r="E668" s="16" t="str">
        <f>"610377242905"</f>
        <v>610377242905</v>
      </c>
      <c r="F668" s="17">
        <v>1</v>
      </c>
    </row>
    <row r="669" spans="1:6">
      <c r="A669" s="18" t="str">
        <f>"RC3400CC"</f>
        <v>RC3400CC</v>
      </c>
      <c r="B669" s="18" t="s">
        <v>634</v>
      </c>
      <c r="C669" s="37">
        <v>92.875500000000002</v>
      </c>
      <c r="D669" s="51"/>
      <c r="E669" s="19" t="str">
        <f>"610377258708"</f>
        <v>610377258708</v>
      </c>
      <c r="F669" s="20">
        <v>1</v>
      </c>
    </row>
    <row r="670" spans="1:6">
      <c r="A670" s="15" t="str">
        <f>"RC3431CUY"</f>
        <v>RC3431CUY</v>
      </c>
      <c r="B670" s="15" t="s">
        <v>635</v>
      </c>
      <c r="C670" s="36">
        <v>940.72050000000002</v>
      </c>
      <c r="D670" s="51"/>
      <c r="E670" s="16" t="str">
        <f>"610377273190"</f>
        <v>610377273190</v>
      </c>
      <c r="F670" s="17">
        <v>1</v>
      </c>
    </row>
    <row r="671" spans="1:6">
      <c r="A671" s="18" t="str">
        <f>"RC3432AUY"</f>
        <v>RC3432AUY</v>
      </c>
      <c r="B671" s="18" t="s">
        <v>636</v>
      </c>
      <c r="C671" s="37">
        <v>1523.547</v>
      </c>
      <c r="D671" s="51"/>
      <c r="E671" s="19" t="str">
        <f>"610377270625"</f>
        <v>610377270625</v>
      </c>
      <c r="F671" s="20">
        <v>1</v>
      </c>
    </row>
    <row r="672" spans="1:6">
      <c r="A672" s="15" t="str">
        <f>"RC3900"</f>
        <v>RC3900</v>
      </c>
      <c r="B672" s="15" t="s">
        <v>637</v>
      </c>
      <c r="C672" s="36">
        <v>755.06849999999997</v>
      </c>
      <c r="D672" s="51"/>
      <c r="E672" s="16" t="str">
        <f>"610377275729"</f>
        <v>610377275729</v>
      </c>
      <c r="F672" s="17">
        <v>1</v>
      </c>
    </row>
    <row r="673" spans="1:6">
      <c r="A673" s="18" t="str">
        <f>"RC97385D"</f>
        <v>RC97385D</v>
      </c>
      <c r="B673" s="18" t="s">
        <v>638</v>
      </c>
      <c r="C673" s="37">
        <v>51.115499999999997</v>
      </c>
      <c r="D673" s="51"/>
      <c r="E673" s="19" t="str">
        <f>"610377215992"</f>
        <v>610377215992</v>
      </c>
      <c r="F673" s="20">
        <v>1</v>
      </c>
    </row>
    <row r="674" spans="1:6">
      <c r="A674" s="15" t="str">
        <f>"RC9740"</f>
        <v>RC9740</v>
      </c>
      <c r="B674" s="15" t="s">
        <v>639</v>
      </c>
      <c r="C674" s="36">
        <v>457.54199999999997</v>
      </c>
      <c r="D674" s="51"/>
      <c r="E674" s="16" t="str">
        <f>"610377104630"</f>
        <v>610377104630</v>
      </c>
      <c r="F674" s="17">
        <v>1</v>
      </c>
    </row>
    <row r="675" spans="1:6">
      <c r="A675" s="18" t="str">
        <f>"RC9740WC"</f>
        <v>RC9740WC</v>
      </c>
      <c r="B675" s="18" t="s">
        <v>640</v>
      </c>
      <c r="C675" s="37">
        <v>620.50049999999999</v>
      </c>
      <c r="D675" s="51"/>
      <c r="E675" s="19" t="str">
        <f>"610377197090"</f>
        <v>610377197090</v>
      </c>
      <c r="F675" s="20">
        <v>1</v>
      </c>
    </row>
    <row r="676" spans="1:6">
      <c r="A676" s="15" t="str">
        <f>"RC9742"</f>
        <v>RC9742</v>
      </c>
      <c r="B676" s="15" t="s">
        <v>641</v>
      </c>
      <c r="C676" s="36">
        <v>490.63499999999999</v>
      </c>
      <c r="D676" s="51"/>
      <c r="E676" s="16" t="str">
        <f>"610377104647"</f>
        <v>610377104647</v>
      </c>
      <c r="F676" s="17">
        <v>1</v>
      </c>
    </row>
    <row r="677" spans="1:6">
      <c r="A677" s="18" t="str">
        <f>"RC9742WC"</f>
        <v>RC9742WC</v>
      </c>
      <c r="B677" s="18" t="s">
        <v>642</v>
      </c>
      <c r="C677" s="37">
        <v>652.63049999999998</v>
      </c>
      <c r="D677" s="51"/>
      <c r="E677" s="19" t="str">
        <f>"610377197106"</f>
        <v>610377197106</v>
      </c>
      <c r="F677" s="20">
        <v>1</v>
      </c>
    </row>
    <row r="678" spans="1:6">
      <c r="A678" s="15" t="str">
        <f>"RC99385"</f>
        <v>RC99385</v>
      </c>
      <c r="B678" s="15" t="s">
        <v>643</v>
      </c>
      <c r="C678" s="36">
        <v>69.849000000000004</v>
      </c>
      <c r="D678" s="51"/>
      <c r="E678" s="16" t="str">
        <f>"610377061735"</f>
        <v>610377061735</v>
      </c>
      <c r="F678" s="17">
        <v>1</v>
      </c>
    </row>
    <row r="679" spans="1:6">
      <c r="A679" s="18" t="str">
        <f>"RC9950GR"</f>
        <v>RC9950GR</v>
      </c>
      <c r="B679" s="18" t="s">
        <v>644</v>
      </c>
      <c r="C679" s="37">
        <v>739.25549999999998</v>
      </c>
      <c r="D679" s="51"/>
      <c r="E679" s="19" t="str">
        <f>"610377138833"</f>
        <v>610377138833</v>
      </c>
      <c r="F679" s="20">
        <v>1</v>
      </c>
    </row>
    <row r="680" spans="1:6">
      <c r="A680" s="15" t="str">
        <f>"RC9955GR"</f>
        <v>RC9955GR</v>
      </c>
      <c r="B680" s="15" t="s">
        <v>645</v>
      </c>
      <c r="C680" s="36">
        <v>947.92049999999995</v>
      </c>
      <c r="D680" s="51"/>
      <c r="E680" s="16" t="str">
        <f>"610377138840"</f>
        <v>610377138840</v>
      </c>
      <c r="F680" s="17">
        <v>1</v>
      </c>
    </row>
    <row r="681" spans="1:6">
      <c r="A681" s="18" t="str">
        <f>"RC9956GRCC"</f>
        <v>RC9956GRCC</v>
      </c>
      <c r="B681" s="18" t="s">
        <v>646</v>
      </c>
      <c r="C681" s="37">
        <v>1459.2465</v>
      </c>
      <c r="D681" s="51"/>
      <c r="E681" s="19" t="str">
        <f>"610377139052"</f>
        <v>610377139052</v>
      </c>
      <c r="F681" s="20">
        <v>1</v>
      </c>
    </row>
    <row r="682" spans="1:6">
      <c r="A682" s="15" t="str">
        <f>"RC9965GRCC"</f>
        <v>RC9965GRCC</v>
      </c>
      <c r="B682" s="15" t="s">
        <v>647</v>
      </c>
      <c r="C682" s="42">
        <v>1769.7194999999999</v>
      </c>
      <c r="D682" s="53"/>
      <c r="E682" s="28" t="str">
        <f>"610377139069"</f>
        <v>610377139069</v>
      </c>
      <c r="F682" s="17">
        <v>1</v>
      </c>
    </row>
    <row r="683" spans="1:6">
      <c r="A683" s="18" t="str">
        <f>"RC9990GR"</f>
        <v>RC9990GR</v>
      </c>
      <c r="B683" s="18" t="s">
        <v>648</v>
      </c>
      <c r="C683" s="41">
        <v>775.03049999999996</v>
      </c>
      <c r="D683" s="53"/>
      <c r="E683" s="29" t="str">
        <f>"610377138857"</f>
        <v>610377138857</v>
      </c>
      <c r="F683" s="20">
        <v>1</v>
      </c>
    </row>
    <row r="684" spans="1:6">
      <c r="A684" s="15" t="str">
        <f>"RFK-C4000-CELL"</f>
        <v>RFK-C4000-CELL</v>
      </c>
      <c r="B684" s="15" t="s">
        <v>649</v>
      </c>
      <c r="C684" s="54"/>
      <c r="D684" s="30">
        <v>304.06</v>
      </c>
      <c r="E684" s="28" t="str">
        <f>"610377218122"</f>
        <v>610377218122</v>
      </c>
      <c r="F684" s="17">
        <v>1</v>
      </c>
    </row>
    <row r="685" spans="1:6">
      <c r="A685" s="18" t="str">
        <f>"RFK-C4000-WIFI"</f>
        <v>RFK-C4000-WIFI</v>
      </c>
      <c r="B685" s="18" t="s">
        <v>650</v>
      </c>
      <c r="C685" s="54"/>
      <c r="D685" s="31">
        <v>304.06</v>
      </c>
      <c r="E685" s="29" t="str">
        <f>"610377218016"</f>
        <v>610377218016</v>
      </c>
      <c r="F685" s="20">
        <v>1</v>
      </c>
    </row>
    <row r="686" spans="1:6">
      <c r="A686" s="15" t="str">
        <f>"RFK-C5000-CELL"</f>
        <v>RFK-C5000-CELL</v>
      </c>
      <c r="B686" s="15" t="s">
        <v>651</v>
      </c>
      <c r="C686" s="54"/>
      <c r="D686" s="30">
        <v>304.06</v>
      </c>
      <c r="E686" s="28" t="str">
        <f>"610377218153"</f>
        <v>610377218153</v>
      </c>
      <c r="F686" s="17">
        <v>1</v>
      </c>
    </row>
    <row r="687" spans="1:6">
      <c r="A687" s="18" t="str">
        <f>"RFK-C5000-WIFI"</f>
        <v>RFK-C5000-WIFI</v>
      </c>
      <c r="B687" s="18" t="s">
        <v>652</v>
      </c>
      <c r="C687" s="54"/>
      <c r="D687" s="31">
        <v>304.06</v>
      </c>
      <c r="E687" s="29" t="str">
        <f>"610377218177"</f>
        <v>610377218177</v>
      </c>
      <c r="F687" s="20">
        <v>1</v>
      </c>
    </row>
    <row r="688" spans="1:6">
      <c r="A688" s="15" t="str">
        <f>"RV1100T"</f>
        <v>RV1100T</v>
      </c>
      <c r="B688" s="15" t="s">
        <v>653</v>
      </c>
      <c r="C688" s="42">
        <v>387.64350000000002</v>
      </c>
      <c r="D688" s="53"/>
      <c r="E688" s="28" t="str">
        <f>"610377646635"</f>
        <v>610377646635</v>
      </c>
      <c r="F688" s="17">
        <v>1</v>
      </c>
    </row>
    <row r="689" spans="1:6">
      <c r="A689" s="18" t="str">
        <f>"RV1100TL"</f>
        <v>RV1100TL</v>
      </c>
      <c r="B689" s="18" t="s">
        <v>654</v>
      </c>
      <c r="C689" s="41">
        <v>358.21800000000002</v>
      </c>
      <c r="D689" s="53"/>
      <c r="E689" s="29" t="str">
        <f>"610377747783"</f>
        <v>610377747783</v>
      </c>
      <c r="F689" s="20">
        <v>1</v>
      </c>
    </row>
    <row r="690" spans="1:6">
      <c r="A690" s="15" t="str">
        <f>"RV1150TE"</f>
        <v>RV1150TE</v>
      </c>
      <c r="B690" s="15" t="s">
        <v>655</v>
      </c>
      <c r="C690" s="36">
        <v>491.80950000000001</v>
      </c>
      <c r="D690" s="51"/>
      <c r="E690" s="16" t="str">
        <f>"610377652841"</f>
        <v>610377652841</v>
      </c>
      <c r="F690" s="17">
        <v>1</v>
      </c>
    </row>
    <row r="691" spans="1:6">
      <c r="A691" s="18" t="str">
        <f>"RV1200T"</f>
        <v>RV1200T</v>
      </c>
      <c r="B691" s="18" t="s">
        <v>656</v>
      </c>
      <c r="C691" s="37">
        <v>461.62799999999999</v>
      </c>
      <c r="D691" s="51"/>
      <c r="E691" s="19" t="str">
        <f>"610377688963"</f>
        <v>610377688963</v>
      </c>
      <c r="F691" s="20">
        <v>1</v>
      </c>
    </row>
    <row r="692" spans="1:6">
      <c r="A692" s="15" t="str">
        <f>"RV1200TE"</f>
        <v>RV1200TE</v>
      </c>
      <c r="B692" s="15" t="s">
        <v>657</v>
      </c>
      <c r="C692" s="36">
        <v>454.52699999999999</v>
      </c>
      <c r="D692" s="51"/>
      <c r="E692" s="16" t="str">
        <f>"610377688987"</f>
        <v>610377688987</v>
      </c>
      <c r="F692" s="17">
        <v>1</v>
      </c>
    </row>
    <row r="693" spans="1:6">
      <c r="A693" s="18" t="str">
        <f>"RV2200T"</f>
        <v>RV2200T</v>
      </c>
      <c r="B693" s="18" t="s">
        <v>658</v>
      </c>
      <c r="C693" s="37">
        <v>691.00199999999995</v>
      </c>
      <c r="D693" s="51"/>
      <c r="E693" s="19" t="str">
        <f>"610377711937"</f>
        <v>610377711937</v>
      </c>
      <c r="F693" s="20">
        <v>1</v>
      </c>
    </row>
    <row r="694" spans="1:6">
      <c r="A694" s="15" t="str">
        <f>"S144T"</f>
        <v>S144T</v>
      </c>
      <c r="B694" s="15" t="s">
        <v>659</v>
      </c>
      <c r="C694" s="36">
        <v>144.88650000000001</v>
      </c>
      <c r="D694" s="51"/>
      <c r="E694" s="16" t="str">
        <f>"610377055451"</f>
        <v>610377055451</v>
      </c>
      <c r="F694" s="17">
        <v>1</v>
      </c>
    </row>
    <row r="695" spans="1:6">
      <c r="A695" s="18" t="str">
        <f>"S144T1540S"</f>
        <v>S144T1540S</v>
      </c>
      <c r="B695" s="18" t="s">
        <v>660</v>
      </c>
      <c r="C695" s="37">
        <v>271.86750000000001</v>
      </c>
      <c r="D695" s="51"/>
      <c r="E695" s="19" t="str">
        <f>"610377613873"</f>
        <v>610377613873</v>
      </c>
      <c r="F695" s="20">
        <v>1</v>
      </c>
    </row>
    <row r="696" spans="1:6">
      <c r="A696" s="15" t="str">
        <f>"S144T1540STL"</f>
        <v>S144T1540STL</v>
      </c>
      <c r="B696" s="15" t="s">
        <v>661</v>
      </c>
      <c r="C696" s="36">
        <v>280.13400000000001</v>
      </c>
      <c r="D696" s="51"/>
      <c r="E696" s="16" t="str">
        <f>"610377771542"</f>
        <v>610377771542</v>
      </c>
      <c r="F696" s="17">
        <v>1</v>
      </c>
    </row>
    <row r="697" spans="1:6">
      <c r="A697" s="18" t="str">
        <f>"S144TPAKS"</f>
        <v>S144TPAKS</v>
      </c>
      <c r="B697" s="18" t="s">
        <v>662</v>
      </c>
      <c r="C697" s="37">
        <v>168.345</v>
      </c>
      <c r="D697" s="51"/>
      <c r="E697" s="19" t="str">
        <f>"610377745840"</f>
        <v>610377745840</v>
      </c>
      <c r="F697" s="20">
        <v>1</v>
      </c>
    </row>
    <row r="698" spans="1:6">
      <c r="A698" s="15" t="str">
        <f>"S160TPAK3"</f>
        <v>S160TPAK3</v>
      </c>
      <c r="B698" s="15" t="s">
        <v>663</v>
      </c>
      <c r="C698" s="36">
        <v>61.938000000000002</v>
      </c>
      <c r="D698" s="51"/>
      <c r="E698" s="16" t="str">
        <f>"610377055581"</f>
        <v>610377055581</v>
      </c>
      <c r="F698" s="17">
        <v>1</v>
      </c>
    </row>
    <row r="699" spans="1:6">
      <c r="A699" s="18" t="str">
        <f>"S166T"</f>
        <v>S166T</v>
      </c>
      <c r="B699" s="18" t="s">
        <v>664</v>
      </c>
      <c r="C699" s="37">
        <v>176.42250000000001</v>
      </c>
      <c r="D699" s="51"/>
      <c r="E699" s="19" t="str">
        <f>"610377055826"</f>
        <v>610377055826</v>
      </c>
      <c r="F699" s="20">
        <v>1</v>
      </c>
    </row>
    <row r="700" spans="1:6">
      <c r="A700" s="15" t="str">
        <f>"S166T1580S"</f>
        <v>S166T1580S</v>
      </c>
      <c r="B700" s="15" t="s">
        <v>665</v>
      </c>
      <c r="C700" s="36">
        <v>298.27350000000001</v>
      </c>
      <c r="D700" s="51"/>
      <c r="E700" s="16" t="str">
        <f>"610377104043"</f>
        <v>610377104043</v>
      </c>
      <c r="F700" s="17">
        <v>1</v>
      </c>
    </row>
    <row r="701" spans="1:6">
      <c r="A701" s="18" t="str">
        <f>"S166T1580STL"</f>
        <v>S166T1580STL</v>
      </c>
      <c r="B701" s="18" t="s">
        <v>665</v>
      </c>
      <c r="C701" s="37">
        <v>303.84449999999998</v>
      </c>
      <c r="D701" s="51"/>
      <c r="E701" s="19" t="str">
        <f>"610377143219"</f>
        <v>610377143219</v>
      </c>
      <c r="F701" s="20">
        <v>1</v>
      </c>
    </row>
    <row r="702" spans="1:6">
      <c r="A702" s="15" t="str">
        <f>"S166T1580X15S"</f>
        <v>S166T1580X15S</v>
      </c>
      <c r="B702" s="15" t="s">
        <v>666</v>
      </c>
      <c r="C702" s="36">
        <v>305.16300000000001</v>
      </c>
      <c r="D702" s="51"/>
      <c r="E702" s="16" t="str">
        <f>"610377215879"</f>
        <v>610377215879</v>
      </c>
      <c r="F702" s="17">
        <v>1</v>
      </c>
    </row>
    <row r="703" spans="1:6">
      <c r="A703" s="18" t="str">
        <f>"S166T92S"</f>
        <v>S166T92S</v>
      </c>
      <c r="B703" s="18" t="s">
        <v>667</v>
      </c>
      <c r="C703" s="37">
        <v>314.42849999999999</v>
      </c>
      <c r="D703" s="51"/>
      <c r="E703" s="19" t="str">
        <f>"610377855495"</f>
        <v>610377855495</v>
      </c>
      <c r="F703" s="20">
        <v>1</v>
      </c>
    </row>
    <row r="704" spans="1:6">
      <c r="A704" s="15" t="str">
        <f>"S166T92SFT"</f>
        <v>S166T92SFT</v>
      </c>
      <c r="B704" s="15" t="s">
        <v>668</v>
      </c>
      <c r="C704" s="36">
        <v>339.83550000000002</v>
      </c>
      <c r="D704" s="51"/>
      <c r="E704" s="16" t="str">
        <f>"610377855501"</f>
        <v>610377855501</v>
      </c>
      <c r="F704" s="17">
        <v>1</v>
      </c>
    </row>
    <row r="705" spans="1:6">
      <c r="A705" s="18" t="str">
        <f>"S166T92SFTTL"</f>
        <v>S166T92SFTTL</v>
      </c>
      <c r="B705" s="18" t="s">
        <v>669</v>
      </c>
      <c r="C705" s="37">
        <v>348.09750000000003</v>
      </c>
      <c r="D705" s="51"/>
      <c r="E705" s="19" t="str">
        <f>"610377855525"</f>
        <v>610377855525</v>
      </c>
      <c r="F705" s="20">
        <v>1</v>
      </c>
    </row>
    <row r="706" spans="1:6">
      <c r="A706" s="15" t="str">
        <f>"S166T92STL"</f>
        <v>S166T92STL</v>
      </c>
      <c r="B706" s="15" t="s">
        <v>670</v>
      </c>
      <c r="C706" s="36">
        <v>320.08949999999999</v>
      </c>
      <c r="D706" s="51"/>
      <c r="E706" s="16" t="str">
        <f>"610377855518"</f>
        <v>610377855518</v>
      </c>
      <c r="F706" s="17">
        <v>1</v>
      </c>
    </row>
    <row r="707" spans="1:6">
      <c r="A707" s="18" t="str">
        <f>"S166TPAKS"</f>
        <v>S166TPAKS</v>
      </c>
      <c r="B707" s="18" t="s">
        <v>671</v>
      </c>
      <c r="C707" s="37">
        <v>201.2535</v>
      </c>
      <c r="D707" s="51"/>
      <c r="E707" s="19" t="str">
        <f>"610377055857"</f>
        <v>610377055857</v>
      </c>
      <c r="F707" s="20">
        <v>1</v>
      </c>
    </row>
    <row r="708" spans="1:6">
      <c r="A708" s="15" t="str">
        <f>"S180T"</f>
        <v>S180T</v>
      </c>
      <c r="B708" s="15" t="s">
        <v>672</v>
      </c>
      <c r="C708" s="36">
        <v>204.489</v>
      </c>
      <c r="D708" s="51"/>
      <c r="E708" s="16" t="str">
        <f>"610377056113"</f>
        <v>610377056113</v>
      </c>
      <c r="F708" s="17">
        <v>1</v>
      </c>
    </row>
    <row r="709" spans="1:6">
      <c r="A709" s="18" t="str">
        <f>"S180T1580S"</f>
        <v>S180T1580S</v>
      </c>
      <c r="B709" s="18" t="s">
        <v>673</v>
      </c>
      <c r="C709" s="37">
        <v>318.01499999999999</v>
      </c>
      <c r="D709" s="51"/>
      <c r="E709" s="19" t="str">
        <f>"610377056267"</f>
        <v>610377056267</v>
      </c>
      <c r="F709" s="20">
        <v>1</v>
      </c>
    </row>
    <row r="710" spans="1:6">
      <c r="A710" s="15" t="str">
        <f>"S180T1580STL"</f>
        <v>S180T1580STL</v>
      </c>
      <c r="B710" s="15" t="s">
        <v>674</v>
      </c>
      <c r="C710" s="36">
        <v>322.46100000000001</v>
      </c>
      <c r="D710" s="51"/>
      <c r="E710" s="16" t="str">
        <f>"610377219198"</f>
        <v>610377219198</v>
      </c>
      <c r="F710" s="17">
        <v>1</v>
      </c>
    </row>
    <row r="711" spans="1:6">
      <c r="A711" s="18" t="str">
        <f>"S180T1580X15S"</f>
        <v>S180T1580X15S</v>
      </c>
      <c r="B711" s="18" t="s">
        <v>675</v>
      </c>
      <c r="C711" s="37">
        <v>325.16550000000001</v>
      </c>
      <c r="D711" s="51"/>
      <c r="E711" s="19" t="str">
        <f>"610377056311"</f>
        <v>610377056311</v>
      </c>
      <c r="F711" s="20">
        <v>1</v>
      </c>
    </row>
    <row r="712" spans="1:6" ht="16" thickBot="1">
      <c r="A712" s="21" t="str">
        <f>"S180T1585STL"</f>
        <v>S180T1585STL</v>
      </c>
      <c r="B712" s="21" t="s">
        <v>676</v>
      </c>
      <c r="C712" s="38">
        <v>329.60700000000003</v>
      </c>
      <c r="D712" s="52"/>
      <c r="E712" s="22" t="str">
        <f>"610377110563"</f>
        <v>610377110563</v>
      </c>
      <c r="F712" s="23">
        <v>1</v>
      </c>
    </row>
    <row r="713" spans="1:6" ht="16" thickTop="1">
      <c r="A713" s="12" t="str">
        <f>"S180T92"</f>
        <v>S180T92</v>
      </c>
      <c r="B713" s="12" t="s">
        <v>677</v>
      </c>
      <c r="C713" s="35">
        <v>326.08350000000002</v>
      </c>
      <c r="D713" s="50"/>
      <c r="E713" s="13" t="str">
        <f>"610377856782"</f>
        <v>610377856782</v>
      </c>
      <c r="F713" s="14">
        <v>1</v>
      </c>
    </row>
    <row r="714" spans="1:6">
      <c r="A714" s="15" t="str">
        <f>"S180T92S"</f>
        <v>S180T92S</v>
      </c>
      <c r="B714" s="15" t="s">
        <v>678</v>
      </c>
      <c r="C714" s="36">
        <v>334.17</v>
      </c>
      <c r="D714" s="51"/>
      <c r="E714" s="16" t="str">
        <f>"610377856799"</f>
        <v>610377856799</v>
      </c>
      <c r="F714" s="17">
        <v>1</v>
      </c>
    </row>
    <row r="715" spans="1:6">
      <c r="A715" s="18" t="str">
        <f>"S180T92SFT"</f>
        <v>S180T92SFT</v>
      </c>
      <c r="B715" s="18" t="s">
        <v>678</v>
      </c>
      <c r="C715" s="37">
        <v>362.20499999999998</v>
      </c>
      <c r="D715" s="51"/>
      <c r="E715" s="19" t="str">
        <f>"610377856805"</f>
        <v>610377856805</v>
      </c>
      <c r="F715" s="20">
        <v>1</v>
      </c>
    </row>
    <row r="716" spans="1:6">
      <c r="A716" s="15" t="str">
        <f>"S180T92STL"</f>
        <v>S180T92STL</v>
      </c>
      <c r="B716" s="15" t="s">
        <v>678</v>
      </c>
      <c r="C716" s="36">
        <v>339.291</v>
      </c>
      <c r="D716" s="51"/>
      <c r="E716" s="16" t="str">
        <f>"610377856812"</f>
        <v>610377856812</v>
      </c>
      <c r="F716" s="17">
        <v>1</v>
      </c>
    </row>
    <row r="717" spans="1:6">
      <c r="A717" s="18" t="str">
        <f>"S180T932S"</f>
        <v>S180T932S</v>
      </c>
      <c r="B717" s="18" t="s">
        <v>679</v>
      </c>
      <c r="C717" s="37">
        <v>383.44499999999999</v>
      </c>
      <c r="D717" s="51"/>
      <c r="E717" s="19" t="str">
        <f>"610377856850"</f>
        <v>610377856850</v>
      </c>
      <c r="F717" s="20">
        <v>1</v>
      </c>
    </row>
    <row r="718" spans="1:6">
      <c r="A718" s="15" t="str">
        <f>"S180T932STL"</f>
        <v>S180T932STL</v>
      </c>
      <c r="B718" s="15" t="s">
        <v>679</v>
      </c>
      <c r="C718" s="36">
        <v>392.67450000000002</v>
      </c>
      <c r="D718" s="51"/>
      <c r="E718" s="16" t="str">
        <f>"610377143226"</f>
        <v>610377143226</v>
      </c>
      <c r="F718" s="17">
        <v>1</v>
      </c>
    </row>
    <row r="719" spans="1:6">
      <c r="A719" s="18" t="str">
        <f>"S180T93S"</f>
        <v>S180T93S</v>
      </c>
      <c r="B719" s="18" t="s">
        <v>680</v>
      </c>
      <c r="C719" s="37">
        <v>342.27</v>
      </c>
      <c r="D719" s="51"/>
      <c r="E719" s="19" t="str">
        <f>"610377855549"</f>
        <v>610377855549</v>
      </c>
      <c r="F719" s="20">
        <v>1</v>
      </c>
    </row>
    <row r="720" spans="1:6">
      <c r="A720" s="15" t="str">
        <f>"S180T93SFT"</f>
        <v>S180T93SFT</v>
      </c>
      <c r="B720" s="15" t="s">
        <v>680</v>
      </c>
      <c r="C720" s="36">
        <v>370.41750000000002</v>
      </c>
      <c r="D720" s="51"/>
      <c r="E720" s="16" t="str">
        <f>"610377856829"</f>
        <v>610377856829</v>
      </c>
      <c r="F720" s="17">
        <v>1</v>
      </c>
    </row>
    <row r="721" spans="1:6">
      <c r="A721" s="18" t="str">
        <f>"S180T93STL"</f>
        <v>S180T93STL</v>
      </c>
      <c r="B721" s="18" t="s">
        <v>680</v>
      </c>
      <c r="C721" s="37">
        <v>347.42250000000001</v>
      </c>
      <c r="D721" s="51"/>
      <c r="E721" s="19" t="str">
        <f>"610377856836"</f>
        <v>610377856836</v>
      </c>
      <c r="F721" s="20">
        <v>1</v>
      </c>
    </row>
    <row r="722" spans="1:6">
      <c r="A722" s="15" t="str">
        <f>"S180TPAKS"</f>
        <v>S180TPAKS</v>
      </c>
      <c r="B722" s="15" t="s">
        <v>681</v>
      </c>
      <c r="C722" s="36">
        <v>233.154</v>
      </c>
      <c r="D722" s="51"/>
      <c r="E722" s="16" t="str">
        <f>"610377189880"</f>
        <v>610377189880</v>
      </c>
      <c r="F722" s="17">
        <v>1</v>
      </c>
    </row>
    <row r="723" spans="1:6">
      <c r="A723" s="18" t="str">
        <f>"S200"</f>
        <v>S200</v>
      </c>
      <c r="B723" s="18" t="s">
        <v>682</v>
      </c>
      <c r="C723" s="37">
        <v>402.61500000000001</v>
      </c>
      <c r="D723" s="51"/>
      <c r="E723" s="19" t="str">
        <f>"610377056489"</f>
        <v>610377056489</v>
      </c>
      <c r="F723" s="20">
        <v>1</v>
      </c>
    </row>
    <row r="724" spans="1:6">
      <c r="A724" s="15" t="str">
        <f>"S200KT"</f>
        <v>S200KT</v>
      </c>
      <c r="B724" s="15" t="s">
        <v>683</v>
      </c>
      <c r="C724" s="36">
        <v>5.7195</v>
      </c>
      <c r="D724" s="51"/>
      <c r="E724" s="16" t="str">
        <f>"610377056496"</f>
        <v>610377056496</v>
      </c>
      <c r="F724" s="17">
        <v>10</v>
      </c>
    </row>
    <row r="725" spans="1:6">
      <c r="A725" s="18" t="str">
        <f>"S200PAK3"</f>
        <v>S200PAK3</v>
      </c>
      <c r="B725" s="18" t="s">
        <v>684</v>
      </c>
      <c r="C725" s="37">
        <v>64.62</v>
      </c>
      <c r="D725" s="51"/>
      <c r="E725" s="19" t="str">
        <f>"610377056526"</f>
        <v>610377056526</v>
      </c>
      <c r="F725" s="20">
        <v>1</v>
      </c>
    </row>
    <row r="726" spans="1:6">
      <c r="A726" s="15" t="str">
        <f>"S210S"</f>
        <v>S210S</v>
      </c>
      <c r="B726" s="15" t="s">
        <v>685</v>
      </c>
      <c r="C726" s="36">
        <v>359.28899999999999</v>
      </c>
      <c r="D726" s="51"/>
      <c r="E726" s="16" t="str">
        <f>"610377056533"</f>
        <v>610377056533</v>
      </c>
      <c r="F726" s="17">
        <v>1</v>
      </c>
    </row>
    <row r="727" spans="1:6">
      <c r="A727" s="18" t="str">
        <f>"S210T"</f>
        <v>S210T</v>
      </c>
      <c r="B727" s="18" t="s">
        <v>686</v>
      </c>
      <c r="C727" s="37">
        <v>227.48849999999999</v>
      </c>
      <c r="D727" s="51"/>
      <c r="E727" s="19" t="str">
        <f>"610377056540"</f>
        <v>610377056540</v>
      </c>
      <c r="F727" s="20">
        <v>1</v>
      </c>
    </row>
    <row r="728" spans="1:6">
      <c r="A728" s="15" t="str">
        <f>"S210T1580X15S"</f>
        <v>S210T1580X15S</v>
      </c>
      <c r="B728" s="15" t="s">
        <v>675</v>
      </c>
      <c r="C728" s="36">
        <v>346.7475</v>
      </c>
      <c r="D728" s="51"/>
      <c r="E728" s="16" t="str">
        <f>"610377056588"</f>
        <v>610377056588</v>
      </c>
      <c r="F728" s="17">
        <v>1</v>
      </c>
    </row>
    <row r="729" spans="1:6">
      <c r="A729" s="18" t="str">
        <f>"S210T1585STL"</f>
        <v>S210T1585STL</v>
      </c>
      <c r="B729" s="18" t="s">
        <v>687</v>
      </c>
      <c r="C729" s="37">
        <v>352.64249999999998</v>
      </c>
      <c r="D729" s="51"/>
      <c r="E729" s="19" t="str">
        <f>"610377147293"</f>
        <v>610377147293</v>
      </c>
      <c r="F729" s="20">
        <v>1</v>
      </c>
    </row>
    <row r="730" spans="1:6">
      <c r="A730" s="15" t="str">
        <f>"S210T932S"</f>
        <v>S210T932S</v>
      </c>
      <c r="B730" s="15" t="s">
        <v>688</v>
      </c>
      <c r="C730" s="36">
        <v>399.50099999999998</v>
      </c>
      <c r="D730" s="51"/>
      <c r="E730" s="16" t="str">
        <f>"610377079341"</f>
        <v>610377079341</v>
      </c>
      <c r="F730" s="17">
        <v>1</v>
      </c>
    </row>
    <row r="731" spans="1:6">
      <c r="A731" s="18" t="str">
        <f>"S210T932STL"</f>
        <v>S210T932STL</v>
      </c>
      <c r="B731" s="18" t="s">
        <v>689</v>
      </c>
      <c r="C731" s="37">
        <v>408.35250000000002</v>
      </c>
      <c r="D731" s="51"/>
      <c r="E731" s="19" t="str">
        <f>"610377097093"</f>
        <v>610377097093</v>
      </c>
      <c r="F731" s="20">
        <v>1</v>
      </c>
    </row>
    <row r="732" spans="1:6">
      <c r="A732" s="15" t="str">
        <f>"S210T93S"</f>
        <v>S210T93S</v>
      </c>
      <c r="B732" s="15" t="s">
        <v>690</v>
      </c>
      <c r="C732" s="36">
        <v>365.50799999999998</v>
      </c>
      <c r="D732" s="51"/>
      <c r="E732" s="16" t="str">
        <f>"610377856881"</f>
        <v>610377856881</v>
      </c>
      <c r="F732" s="17">
        <v>1</v>
      </c>
    </row>
    <row r="733" spans="1:6">
      <c r="A733" s="18" t="str">
        <f>"S210T93SFT"</f>
        <v>S210T93SFT</v>
      </c>
      <c r="B733" s="18" t="s">
        <v>690</v>
      </c>
      <c r="C733" s="37">
        <v>394.416</v>
      </c>
      <c r="D733" s="51"/>
      <c r="E733" s="19" t="str">
        <f>"610377856898"</f>
        <v>610377856898</v>
      </c>
      <c r="F733" s="20">
        <v>1</v>
      </c>
    </row>
    <row r="734" spans="1:6">
      <c r="A734" s="15" t="str">
        <f>"S210T93SFTTL"</f>
        <v>S210T93SFTTL</v>
      </c>
      <c r="B734" s="15" t="s">
        <v>690</v>
      </c>
      <c r="C734" s="36">
        <v>399.67649999999998</v>
      </c>
      <c r="D734" s="51"/>
      <c r="E734" s="16" t="str">
        <f>"610377856911"</f>
        <v>610377856911</v>
      </c>
      <c r="F734" s="17">
        <v>1</v>
      </c>
    </row>
    <row r="735" spans="1:6">
      <c r="A735" s="18" t="str">
        <f>"S210T93STL"</f>
        <v>S210T93STL</v>
      </c>
      <c r="B735" s="18" t="s">
        <v>690</v>
      </c>
      <c r="C735" s="37">
        <v>371.20049999999998</v>
      </c>
      <c r="D735" s="51"/>
      <c r="E735" s="19" t="str">
        <f>"610377856904"</f>
        <v>610377856904</v>
      </c>
      <c r="F735" s="20">
        <v>1</v>
      </c>
    </row>
    <row r="736" spans="1:6">
      <c r="A736" s="15" t="str">
        <f>"S220T"</f>
        <v>S220T</v>
      </c>
      <c r="B736" s="15" t="s">
        <v>691</v>
      </c>
      <c r="C736" s="36">
        <v>255.98699999999999</v>
      </c>
      <c r="D736" s="51"/>
      <c r="E736" s="16" t="str">
        <f>"610377056618"</f>
        <v>610377056618</v>
      </c>
      <c r="F736" s="17">
        <v>1</v>
      </c>
    </row>
    <row r="737" spans="1:6">
      <c r="A737" s="18" t="str">
        <f>"S220T2"</f>
        <v>S220T2</v>
      </c>
      <c r="B737" s="18" t="s">
        <v>692</v>
      </c>
      <c r="C737" s="37">
        <v>304.92899999999997</v>
      </c>
      <c r="D737" s="51"/>
      <c r="E737" s="19" t="str">
        <f>"610377185899"</f>
        <v>610377185899</v>
      </c>
      <c r="F737" s="20">
        <v>1</v>
      </c>
    </row>
    <row r="738" spans="1:6">
      <c r="A738" s="15" t="str">
        <f>"S230T1580X15S"</f>
        <v>S230T1580X15S</v>
      </c>
      <c r="B738" s="15" t="s">
        <v>693</v>
      </c>
      <c r="C738" s="36">
        <v>361.66050000000001</v>
      </c>
      <c r="D738" s="51"/>
      <c r="E738" s="16" t="str">
        <f>"610377791373"</f>
        <v>610377791373</v>
      </c>
      <c r="F738" s="17">
        <v>1</v>
      </c>
    </row>
    <row r="739" spans="1:6">
      <c r="A739" s="18" t="str">
        <f>"S230T932S"</f>
        <v>S230T932S</v>
      </c>
      <c r="B739" s="18" t="s">
        <v>694</v>
      </c>
      <c r="C739" s="37">
        <v>414.16199999999998</v>
      </c>
      <c r="D739" s="51"/>
      <c r="E739" s="19" t="str">
        <f>"610377059923"</f>
        <v>610377059923</v>
      </c>
      <c r="F739" s="20">
        <v>1</v>
      </c>
    </row>
    <row r="740" spans="1:6">
      <c r="A740" s="15" t="str">
        <f>"S230T93S"</f>
        <v>S230T93S</v>
      </c>
      <c r="B740" s="15" t="s">
        <v>695</v>
      </c>
      <c r="C740" s="36">
        <v>381.08699999999999</v>
      </c>
      <c r="D740" s="51"/>
      <c r="E740" s="16" t="str">
        <f>"610377857253"</f>
        <v>610377857253</v>
      </c>
      <c r="F740" s="17">
        <v>1</v>
      </c>
    </row>
    <row r="741" spans="1:6">
      <c r="A741" s="18" t="str">
        <f>"S230T93SFT"</f>
        <v>S230T93SFT</v>
      </c>
      <c r="B741" s="18" t="s">
        <v>696</v>
      </c>
      <c r="C741" s="37">
        <v>399.67649999999998</v>
      </c>
      <c r="D741" s="51"/>
      <c r="E741" s="19" t="str">
        <f>"610377857260"</f>
        <v>610377857260</v>
      </c>
      <c r="F741" s="20">
        <v>1</v>
      </c>
    </row>
    <row r="742" spans="1:6">
      <c r="A742" s="15" t="str">
        <f>"S240PAK3 *"</f>
        <v>S240PAK3 *</v>
      </c>
      <c r="B742" s="15" t="s">
        <v>697</v>
      </c>
      <c r="C742" s="36">
        <v>64.331999999999994</v>
      </c>
      <c r="D742" s="51"/>
      <c r="E742" s="16" t="str">
        <f>"610377056687"</f>
        <v>610377056687</v>
      </c>
      <c r="F742" s="17">
        <v>1</v>
      </c>
    </row>
    <row r="743" spans="1:6">
      <c r="A743" s="18" t="str">
        <f>"S244S"</f>
        <v>S244S</v>
      </c>
      <c r="B743" s="18" t="s">
        <v>698</v>
      </c>
      <c r="C743" s="37">
        <v>425.79450000000003</v>
      </c>
      <c r="D743" s="51"/>
      <c r="E743" s="19" t="str">
        <f>"610377056700"</f>
        <v>610377056700</v>
      </c>
      <c r="F743" s="20">
        <v>1</v>
      </c>
    </row>
    <row r="744" spans="1:6">
      <c r="A744" s="15" t="str">
        <f>"S244SLV"</f>
        <v>S244SLV</v>
      </c>
      <c r="B744" s="15" t="s">
        <v>699</v>
      </c>
      <c r="C744" s="36">
        <v>348.255</v>
      </c>
      <c r="D744" s="51"/>
      <c r="E744" s="16" t="str">
        <f>"610377873840"</f>
        <v>610377873840</v>
      </c>
      <c r="F744" s="17">
        <v>1</v>
      </c>
    </row>
    <row r="745" spans="1:6">
      <c r="A745" s="18" t="str">
        <f>"S244SV"</f>
        <v>S244SV</v>
      </c>
      <c r="B745" s="18" t="s">
        <v>700</v>
      </c>
      <c r="C745" s="37">
        <v>404.99549999999999</v>
      </c>
      <c r="D745" s="51"/>
      <c r="E745" s="19" t="str">
        <f>"610377056724"</f>
        <v>610377056724</v>
      </c>
      <c r="F745" s="20">
        <v>1</v>
      </c>
    </row>
    <row r="746" spans="1:6">
      <c r="A746" s="15" t="str">
        <f>"S244T"</f>
        <v>S244T</v>
      </c>
      <c r="B746" s="15" t="s">
        <v>701</v>
      </c>
      <c r="C746" s="36">
        <v>265.06349999999998</v>
      </c>
      <c r="D746" s="51"/>
      <c r="E746" s="16" t="str">
        <f>"610377056762"</f>
        <v>610377056762</v>
      </c>
      <c r="F746" s="17">
        <v>1</v>
      </c>
    </row>
    <row r="747" spans="1:6">
      <c r="A747" s="18" t="str">
        <f>"S244T2"</f>
        <v>S244T2</v>
      </c>
      <c r="B747" s="18" t="s">
        <v>702</v>
      </c>
      <c r="C747" s="37">
        <v>293.00850000000003</v>
      </c>
      <c r="D747" s="51"/>
      <c r="E747" s="19" t="str">
        <f>"610377185981"</f>
        <v>610377185981</v>
      </c>
      <c r="F747" s="20">
        <v>1</v>
      </c>
    </row>
    <row r="748" spans="1:6">
      <c r="A748" s="15" t="str">
        <f>"S244TLV"</f>
        <v>S244TLV</v>
      </c>
      <c r="B748" s="15" t="s">
        <v>703</v>
      </c>
      <c r="C748" s="36">
        <v>244.07550000000001</v>
      </c>
      <c r="D748" s="51"/>
      <c r="E748" s="16" t="str">
        <f>"610377056793"</f>
        <v>610377056793</v>
      </c>
      <c r="F748" s="17">
        <v>1</v>
      </c>
    </row>
    <row r="749" spans="1:6">
      <c r="A749" s="18" t="str">
        <f>"S270T"</f>
        <v>S270T</v>
      </c>
      <c r="B749" s="18" t="s">
        <v>704</v>
      </c>
      <c r="C749" s="37">
        <v>279.35550000000001</v>
      </c>
      <c r="D749" s="51"/>
      <c r="E749" s="19" t="str">
        <f>"610377914413"</f>
        <v>610377914413</v>
      </c>
      <c r="F749" s="20">
        <v>1</v>
      </c>
    </row>
    <row r="750" spans="1:6">
      <c r="A750" s="15" t="str">
        <f>"S270T2"</f>
        <v>S270T2</v>
      </c>
      <c r="B750" s="15" t="s">
        <v>705</v>
      </c>
      <c r="C750" s="36">
        <v>306.82350000000002</v>
      </c>
      <c r="D750" s="51"/>
      <c r="E750" s="16" t="str">
        <f>"610377017220"</f>
        <v>610377017220</v>
      </c>
      <c r="F750" s="17">
        <v>1</v>
      </c>
    </row>
    <row r="751" spans="1:6">
      <c r="A751" s="18" t="str">
        <f>"S310S"</f>
        <v>S310S</v>
      </c>
      <c r="B751" s="18" t="s">
        <v>706</v>
      </c>
      <c r="C751" s="37">
        <v>529.62750000000005</v>
      </c>
      <c r="D751" s="51"/>
      <c r="E751" s="19" t="str">
        <f>"610377056816"</f>
        <v>610377056816</v>
      </c>
      <c r="F751" s="20">
        <v>1</v>
      </c>
    </row>
    <row r="752" spans="1:6">
      <c r="A752" s="15" t="str">
        <f>"S310T2"</f>
        <v>S310T2</v>
      </c>
      <c r="B752" s="15" t="s">
        <v>707</v>
      </c>
      <c r="C752" s="36">
        <v>465.30900000000003</v>
      </c>
      <c r="D752" s="51"/>
      <c r="E752" s="16" t="str">
        <f>"610377547765"</f>
        <v>610377547765</v>
      </c>
      <c r="F752" s="17">
        <v>1</v>
      </c>
    </row>
    <row r="753" spans="1:6">
      <c r="A753" s="18" t="str">
        <f>"S311SX"</f>
        <v>S311SX</v>
      </c>
      <c r="B753" s="18" t="s">
        <v>706</v>
      </c>
      <c r="C753" s="37">
        <v>514.23749999999995</v>
      </c>
      <c r="D753" s="51"/>
      <c r="E753" s="19" t="str">
        <f>"610377056885"</f>
        <v>610377056885</v>
      </c>
      <c r="F753" s="20">
        <v>1</v>
      </c>
    </row>
    <row r="754" spans="1:6">
      <c r="A754" s="15" t="str">
        <f>"S311SXV"</f>
        <v>S311SXV</v>
      </c>
      <c r="B754" s="15" t="s">
        <v>708</v>
      </c>
      <c r="C754" s="36">
        <v>565.90650000000005</v>
      </c>
      <c r="D754" s="51"/>
      <c r="E754" s="16" t="str">
        <f>"610377056892"</f>
        <v>610377056892</v>
      </c>
      <c r="F754" s="17">
        <v>1</v>
      </c>
    </row>
    <row r="755" spans="1:6">
      <c r="A755" s="18" t="str">
        <f>"S360SX"</f>
        <v>S360SX</v>
      </c>
      <c r="B755" s="18" t="s">
        <v>709</v>
      </c>
      <c r="C755" s="37">
        <v>743.17949999999996</v>
      </c>
      <c r="D755" s="51"/>
      <c r="E755" s="19" t="str">
        <f>"610377056908"</f>
        <v>610377056908</v>
      </c>
      <c r="F755" s="20">
        <v>1</v>
      </c>
    </row>
    <row r="756" spans="1:6" ht="16" thickBot="1">
      <c r="A756" s="21" t="str">
        <f>"S360T2"</f>
        <v>S360T2</v>
      </c>
      <c r="B756" s="21" t="s">
        <v>710</v>
      </c>
      <c r="C756" s="38">
        <v>675.18</v>
      </c>
      <c r="D756" s="52"/>
      <c r="E756" s="22" t="str">
        <f>"610377745529"</f>
        <v>610377745529</v>
      </c>
      <c r="F756" s="23">
        <v>1</v>
      </c>
    </row>
    <row r="757" spans="1:6" ht="16" thickTop="1">
      <c r="C757" s="39"/>
      <c r="D757" s="39"/>
    </row>
    <row r="758" spans="1:6" ht="16" thickBot="1">
      <c r="A758" s="24" t="s">
        <v>42</v>
      </c>
      <c r="C758" s="39"/>
      <c r="D758" s="39"/>
    </row>
    <row r="759" spans="1:6" ht="16" thickTop="1">
      <c r="A759" s="12" t="str">
        <f>"SAS"</f>
        <v>SAS</v>
      </c>
      <c r="B759" s="12" t="s">
        <v>711</v>
      </c>
      <c r="C759" s="35">
        <v>316.45350000000002</v>
      </c>
      <c r="D759" s="50"/>
      <c r="E759" s="13" t="str">
        <f>"610377217507"</f>
        <v>610377217507</v>
      </c>
      <c r="F759" s="14">
        <v>1</v>
      </c>
    </row>
    <row r="760" spans="1:6">
      <c r="A760" s="15" t="str">
        <f>"SAS-ABG"</f>
        <v>SAS-ABG</v>
      </c>
      <c r="B760" s="15" t="s">
        <v>712</v>
      </c>
      <c r="C760" s="36">
        <v>371.83499999999998</v>
      </c>
      <c r="D760" s="51"/>
      <c r="E760" s="16" t="str">
        <f>"610377246835"</f>
        <v>610377246835</v>
      </c>
      <c r="F760" s="17">
        <v>1</v>
      </c>
    </row>
    <row r="761" spans="1:6">
      <c r="A761" s="18" t="str">
        <f>"SAS-ABG-TL"</f>
        <v>SAS-ABG-TL</v>
      </c>
      <c r="B761" s="18" t="s">
        <v>713</v>
      </c>
      <c r="C761" s="37">
        <v>371.83499999999998</v>
      </c>
      <c r="D761" s="51"/>
      <c r="E761" s="19" t="str">
        <f>"610377246842"</f>
        <v>610377246842</v>
      </c>
      <c r="F761" s="20">
        <v>1</v>
      </c>
    </row>
    <row r="762" spans="1:6">
      <c r="A762" s="15" t="str">
        <f>"SAS-CELL"</f>
        <v>SAS-CELL</v>
      </c>
      <c r="B762" s="15" t="s">
        <v>714</v>
      </c>
      <c r="C762" s="36">
        <v>168.399</v>
      </c>
      <c r="D762" s="51"/>
      <c r="E762" s="16" t="str">
        <f>"610377217514"</f>
        <v>610377217514</v>
      </c>
      <c r="F762" s="17">
        <v>4</v>
      </c>
    </row>
    <row r="763" spans="1:6">
      <c r="A763" s="18" t="str">
        <f>"SAS-PRO"</f>
        <v>SAS-PRO</v>
      </c>
      <c r="B763" s="18" t="s">
        <v>715</v>
      </c>
      <c r="C763" s="37">
        <v>316.45350000000002</v>
      </c>
      <c r="D763" s="51"/>
      <c r="E763" s="19" t="str">
        <f>"610377217521"</f>
        <v>610377217521</v>
      </c>
      <c r="F763" s="20">
        <v>1</v>
      </c>
    </row>
    <row r="764" spans="1:6">
      <c r="A764" s="15" t="str">
        <f>"SB-5PK"</f>
        <v>SB-5PK</v>
      </c>
      <c r="B764" s="15" t="s">
        <v>716</v>
      </c>
      <c r="C764" s="36">
        <v>48.366</v>
      </c>
      <c r="D764" s="51"/>
      <c r="E764" s="16" t="str">
        <f>"761418001613"</f>
        <v>761418001613</v>
      </c>
      <c r="F764" s="17">
        <v>1</v>
      </c>
    </row>
    <row r="765" spans="1:6">
      <c r="A765" s="18" t="str">
        <f>"SB1050ST1/32"</f>
        <v>SB1050ST1/32</v>
      </c>
      <c r="B765" s="18" t="s">
        <v>717</v>
      </c>
      <c r="C765" s="37">
        <v>262.80450000000002</v>
      </c>
      <c r="D765" s="51"/>
      <c r="E765" s="19" t="str">
        <f>"610377109925"</f>
        <v>610377109925</v>
      </c>
      <c r="F765" s="20">
        <v>1</v>
      </c>
    </row>
    <row r="766" spans="1:6">
      <c r="A766" s="15" t="str">
        <f>"SB1075ST1/8"</f>
        <v>SB1075ST1/8</v>
      </c>
      <c r="B766" s="15" t="s">
        <v>718</v>
      </c>
      <c r="C766" s="36">
        <v>248.643</v>
      </c>
      <c r="D766" s="51"/>
      <c r="E766" s="16" t="str">
        <f>"610377106405"</f>
        <v>610377106405</v>
      </c>
      <c r="F766" s="17">
        <v>1</v>
      </c>
    </row>
    <row r="767" spans="1:6">
      <c r="A767" s="18" t="str">
        <f>"SB1100ST1/32"</f>
        <v>SB1100ST1/32</v>
      </c>
      <c r="B767" s="18" t="s">
        <v>719</v>
      </c>
      <c r="C767" s="37">
        <v>247.43700000000001</v>
      </c>
      <c r="D767" s="51"/>
      <c r="E767" s="19" t="str">
        <f>"610377109949"</f>
        <v>610377109949</v>
      </c>
      <c r="F767" s="20">
        <v>1</v>
      </c>
    </row>
    <row r="768" spans="1:6">
      <c r="A768" s="15" t="str">
        <f>"SB1100STE"</f>
        <v>SB1100STE</v>
      </c>
      <c r="B768" s="15" t="s">
        <v>720</v>
      </c>
      <c r="C768" s="36">
        <v>235.0575</v>
      </c>
      <c r="D768" s="51"/>
      <c r="E768" s="16" t="str">
        <f>"610377819428"</f>
        <v>610377819428</v>
      </c>
      <c r="F768" s="17">
        <v>1</v>
      </c>
    </row>
    <row r="769" spans="1:6">
      <c r="A769" s="18" t="str">
        <f>"SB1100STE1-32"</f>
        <v>SB1100STE1-32</v>
      </c>
      <c r="B769" s="18" t="s">
        <v>721</v>
      </c>
      <c r="C769" s="37">
        <v>233.27549999999999</v>
      </c>
      <c r="D769" s="51"/>
      <c r="E769" s="19" t="str">
        <f>"610377134187"</f>
        <v>610377134187</v>
      </c>
      <c r="F769" s="20">
        <v>1</v>
      </c>
    </row>
    <row r="770" spans="1:6">
      <c r="A770" s="15" t="str">
        <f>"SB1150STE"</f>
        <v>SB1150STE</v>
      </c>
      <c r="B770" s="15" t="s">
        <v>722</v>
      </c>
      <c r="C770" s="36">
        <v>405.9495</v>
      </c>
      <c r="D770" s="51"/>
      <c r="E770" s="16" t="str">
        <f>"610377819985"</f>
        <v>610377819985</v>
      </c>
      <c r="F770" s="17">
        <v>1</v>
      </c>
    </row>
    <row r="771" spans="1:6">
      <c r="A771" s="18" t="str">
        <f>"SB1150STE1-8"</f>
        <v>SB1150STE1-8</v>
      </c>
      <c r="B771" s="18" t="s">
        <v>723</v>
      </c>
      <c r="C771" s="37">
        <v>402.88049999999998</v>
      </c>
      <c r="D771" s="51"/>
      <c r="E771" s="19" t="str">
        <f>"610377134194"</f>
        <v>610377134194</v>
      </c>
      <c r="F771" s="20">
        <v>1</v>
      </c>
    </row>
    <row r="772" spans="1:6">
      <c r="A772" s="15" t="str">
        <f>"SB1200ST"</f>
        <v>SB1200ST</v>
      </c>
      <c r="B772" s="15" t="s">
        <v>724</v>
      </c>
      <c r="C772" s="36">
        <v>426.74849999999998</v>
      </c>
      <c r="D772" s="51"/>
      <c r="E772" s="16" t="str">
        <f>"610377819763"</f>
        <v>610377819763</v>
      </c>
      <c r="F772" s="17">
        <v>1</v>
      </c>
    </row>
    <row r="773" spans="1:6">
      <c r="A773" s="18" t="str">
        <f>"SB1200ST1/32"</f>
        <v>SB1200ST1/32</v>
      </c>
      <c r="B773" s="18" t="s">
        <v>725</v>
      </c>
      <c r="C773" s="37">
        <v>426.74849999999998</v>
      </c>
      <c r="D773" s="51"/>
      <c r="E773" s="19" t="str">
        <f>"610377061254"</f>
        <v>610377061254</v>
      </c>
      <c r="F773" s="20">
        <v>1</v>
      </c>
    </row>
    <row r="774" spans="1:6">
      <c r="A774" s="15" t="str">
        <f>"SB1200ST1/8"</f>
        <v>SB1200ST1/8</v>
      </c>
      <c r="B774" s="15" t="s">
        <v>726</v>
      </c>
      <c r="C774" s="36">
        <v>304.45650000000001</v>
      </c>
      <c r="D774" s="51"/>
      <c r="E774" s="16" t="str">
        <f>"610377110013"</f>
        <v>610377110013</v>
      </c>
      <c r="F774" s="17">
        <v>1</v>
      </c>
    </row>
    <row r="775" spans="1:6">
      <c r="A775" s="18" t="str">
        <f>"SB1200STE"</f>
        <v>SB1200STE</v>
      </c>
      <c r="B775" s="18" t="s">
        <v>727</v>
      </c>
      <c r="C775" s="37">
        <v>383.68799999999999</v>
      </c>
      <c r="D775" s="51"/>
      <c r="E775" s="19" t="str">
        <f>"610377819756"</f>
        <v>610377819756</v>
      </c>
      <c r="F775" s="20">
        <v>1</v>
      </c>
    </row>
    <row r="776" spans="1:6">
      <c r="A776" s="15" t="str">
        <f>"SB1200STE1-8"</f>
        <v>SB1200STE1-8</v>
      </c>
      <c r="B776" s="15" t="s">
        <v>728</v>
      </c>
      <c r="C776" s="36">
        <v>402.88049999999998</v>
      </c>
      <c r="D776" s="51"/>
      <c r="E776" s="16" t="str">
        <f>"610377134200"</f>
        <v>610377134200</v>
      </c>
      <c r="F776" s="17">
        <v>1</v>
      </c>
    </row>
    <row r="777" spans="1:6">
      <c r="A777" s="18" t="str">
        <f>"SB1250SE"</f>
        <v>SB1250SE</v>
      </c>
      <c r="B777" s="18" t="s">
        <v>729</v>
      </c>
      <c r="C777" s="37">
        <v>1036.8405</v>
      </c>
      <c r="D777" s="51"/>
      <c r="E777" s="19" t="str">
        <f>"610377820714"</f>
        <v>610377820714</v>
      </c>
      <c r="F777" s="20">
        <v>1</v>
      </c>
    </row>
    <row r="778" spans="1:6">
      <c r="A778" s="15" t="str">
        <f>"SB1250SE1-8"</f>
        <v>SB1250SE1-8</v>
      </c>
      <c r="B778" s="15" t="s">
        <v>730</v>
      </c>
      <c r="C778" s="36">
        <v>1028.9880000000001</v>
      </c>
      <c r="D778" s="51"/>
      <c r="E778" s="16" t="str">
        <f>"610377134217"</f>
        <v>610377134217</v>
      </c>
      <c r="F778" s="17">
        <v>1</v>
      </c>
    </row>
    <row r="779" spans="1:6">
      <c r="A779" s="18" t="str">
        <f>"SB1250TE"</f>
        <v>SB1250TE</v>
      </c>
      <c r="B779" s="18" t="s">
        <v>731</v>
      </c>
      <c r="C779" s="37">
        <v>979.98749999999995</v>
      </c>
      <c r="D779" s="51"/>
      <c r="E779" s="19" t="str">
        <f>"610377820721"</f>
        <v>610377820721</v>
      </c>
      <c r="F779" s="20">
        <v>1</v>
      </c>
    </row>
    <row r="780" spans="1:6">
      <c r="A780" s="15" t="str">
        <f>"SB1250TE1-8"</f>
        <v>SB1250TE1-8</v>
      </c>
      <c r="B780" s="15" t="s">
        <v>732</v>
      </c>
      <c r="C780" s="36">
        <v>1028.9880000000001</v>
      </c>
      <c r="D780" s="51"/>
      <c r="E780" s="16" t="str">
        <f>"610377134224"</f>
        <v>610377134224</v>
      </c>
      <c r="F780" s="17">
        <v>1</v>
      </c>
    </row>
    <row r="781" spans="1:6">
      <c r="A781" s="18" t="str">
        <f>"SB1300FE"</f>
        <v>SB1300FE</v>
      </c>
      <c r="B781" s="18" t="s">
        <v>733</v>
      </c>
      <c r="C781" s="37">
        <v>1113.8625</v>
      </c>
      <c r="D781" s="51"/>
      <c r="E781" s="19" t="str">
        <f>"610377820622"</f>
        <v>610377820622</v>
      </c>
      <c r="F781" s="20">
        <v>1</v>
      </c>
    </row>
    <row r="782" spans="1:6">
      <c r="A782" s="15" t="str">
        <f>"SB1300FE1-8"</f>
        <v>SB1300FE1-8</v>
      </c>
      <c r="B782" s="15" t="s">
        <v>734</v>
      </c>
      <c r="C782" s="36">
        <v>1184.1569999999999</v>
      </c>
      <c r="D782" s="51"/>
      <c r="E782" s="16" t="str">
        <f>"610377134491"</f>
        <v>610377134491</v>
      </c>
      <c r="F782" s="17">
        <v>1</v>
      </c>
    </row>
    <row r="783" spans="1:6">
      <c r="A783" s="18" t="str">
        <f>"SB1300S1/8"</f>
        <v>SB1300S1/8</v>
      </c>
      <c r="B783" s="18" t="s">
        <v>735</v>
      </c>
      <c r="C783" s="37">
        <v>1091.3040000000001</v>
      </c>
      <c r="D783" s="51"/>
      <c r="E783" s="19" t="str">
        <f>"610377110105"</f>
        <v>610377110105</v>
      </c>
      <c r="F783" s="20">
        <v>1</v>
      </c>
    </row>
    <row r="784" spans="1:6">
      <c r="A784" s="15" t="str">
        <f>"SB1300SE"</f>
        <v>SB1300SE</v>
      </c>
      <c r="B784" s="15" t="s">
        <v>736</v>
      </c>
      <c r="C784" s="36">
        <v>1028.9880000000001</v>
      </c>
      <c r="D784" s="51"/>
      <c r="E784" s="16" t="str">
        <f>"610377820608"</f>
        <v>610377820608</v>
      </c>
      <c r="F784" s="17">
        <v>1</v>
      </c>
    </row>
    <row r="785" spans="1:6">
      <c r="A785" s="18" t="str">
        <f>"SB1300SE1-8"</f>
        <v>SB1300SE1-8</v>
      </c>
      <c r="B785" s="18" t="s">
        <v>737</v>
      </c>
      <c r="C785" s="37">
        <v>1041.885</v>
      </c>
      <c r="D785" s="51"/>
      <c r="E785" s="19" t="str">
        <f>"610377134231"</f>
        <v>610377134231</v>
      </c>
      <c r="F785" s="20">
        <v>1</v>
      </c>
    </row>
    <row r="786" spans="1:6">
      <c r="A786" s="15" t="str">
        <f>"SB1300TE"</f>
        <v>SB1300TE</v>
      </c>
      <c r="B786" s="15" t="s">
        <v>738</v>
      </c>
      <c r="C786" s="36">
        <v>979.98749999999995</v>
      </c>
      <c r="D786" s="51"/>
      <c r="E786" s="16" t="str">
        <f>"610377820615"</f>
        <v>610377820615</v>
      </c>
      <c r="F786" s="17">
        <v>1</v>
      </c>
    </row>
    <row r="787" spans="1:6">
      <c r="A787" s="18" t="str">
        <f>"SB1300TE1-8"</f>
        <v>SB1300TE1-8</v>
      </c>
      <c r="B787" s="18" t="s">
        <v>739</v>
      </c>
      <c r="C787" s="37">
        <v>1041.885</v>
      </c>
      <c r="D787" s="51"/>
      <c r="E787" s="19" t="str">
        <f>"610377134248"</f>
        <v>610377134248</v>
      </c>
      <c r="F787" s="20">
        <v>1</v>
      </c>
    </row>
    <row r="788" spans="1:6">
      <c r="A788" s="15" t="str">
        <f>"SB1400FE"</f>
        <v>SB1400FE</v>
      </c>
      <c r="B788" s="15" t="s">
        <v>740</v>
      </c>
      <c r="C788" s="36">
        <v>1315.3230000000001</v>
      </c>
      <c r="D788" s="51"/>
      <c r="E788" s="16" t="str">
        <f>"610377820509"</f>
        <v>610377820509</v>
      </c>
      <c r="F788" s="17">
        <v>1</v>
      </c>
    </row>
    <row r="789" spans="1:6">
      <c r="A789" s="18" t="str">
        <f>"SB1400FE71-8"</f>
        <v>SB1400FE71-8</v>
      </c>
      <c r="B789" s="18" t="s">
        <v>741</v>
      </c>
      <c r="C789" s="37">
        <v>1557.873</v>
      </c>
      <c r="D789" s="51"/>
      <c r="E789" s="19" t="str">
        <f>"610377135856"</f>
        <v>610377135856</v>
      </c>
      <c r="F789" s="20">
        <v>1</v>
      </c>
    </row>
    <row r="790" spans="1:6">
      <c r="A790" s="15" t="str">
        <f>"SB1400SE"</f>
        <v>SB1400SE</v>
      </c>
      <c r="B790" s="15" t="s">
        <v>742</v>
      </c>
      <c r="C790" s="36">
        <v>979.98749999999995</v>
      </c>
      <c r="D790" s="51"/>
      <c r="E790" s="16" t="str">
        <f>"610377820523"</f>
        <v>610377820523</v>
      </c>
      <c r="F790" s="17">
        <v>1</v>
      </c>
    </row>
    <row r="791" spans="1:6">
      <c r="A791" s="18" t="str">
        <f>"SB1400SE1-8"</f>
        <v>SB1400SE1-8</v>
      </c>
      <c r="B791" s="18" t="s">
        <v>743</v>
      </c>
      <c r="C791" s="37">
        <v>1041.885</v>
      </c>
      <c r="D791" s="51"/>
      <c r="E791" s="19" t="str">
        <f>"610377134255"</f>
        <v>610377134255</v>
      </c>
      <c r="F791" s="20">
        <v>1</v>
      </c>
    </row>
    <row r="792" spans="1:6">
      <c r="A792" s="15" t="str">
        <f>"SB1400T1/8"</f>
        <v>SB1400T1/8</v>
      </c>
      <c r="B792" s="15" t="s">
        <v>744</v>
      </c>
      <c r="C792" s="36">
        <v>1041.885</v>
      </c>
      <c r="D792" s="51"/>
      <c r="E792" s="16" t="str">
        <f>"610377110198"</f>
        <v>610377110198</v>
      </c>
      <c r="F792" s="17">
        <v>1</v>
      </c>
    </row>
    <row r="793" spans="1:6">
      <c r="A793" s="18" t="str">
        <f>"SB1400TE"</f>
        <v>SB1400TE</v>
      </c>
      <c r="B793" s="18" t="s">
        <v>745</v>
      </c>
      <c r="C793" s="37">
        <v>979.98749999999995</v>
      </c>
      <c r="D793" s="51"/>
      <c r="E793" s="19" t="str">
        <f>"610377820516"</f>
        <v>610377820516</v>
      </c>
      <c r="F793" s="20">
        <v>1</v>
      </c>
    </row>
    <row r="794" spans="1:6">
      <c r="A794" s="15" t="str">
        <f>"SB1400TE1-8"</f>
        <v>SB1400TE1-8</v>
      </c>
      <c r="B794" s="15" t="s">
        <v>746</v>
      </c>
      <c r="C794" s="36">
        <v>1041.885</v>
      </c>
      <c r="D794" s="51"/>
      <c r="E794" s="16" t="str">
        <f>"610377134262"</f>
        <v>610377134262</v>
      </c>
      <c r="F794" s="17">
        <v>1</v>
      </c>
    </row>
    <row r="795" spans="1:6">
      <c r="A795" s="18" t="str">
        <f>"SB1600FTE"</f>
        <v>SB1600FTE</v>
      </c>
      <c r="B795" s="18" t="s">
        <v>747</v>
      </c>
      <c r="C795" s="37">
        <v>2812.2885000000001</v>
      </c>
      <c r="D795" s="51"/>
      <c r="E795" s="19" t="str">
        <f>"610377884808"</f>
        <v>610377884808</v>
      </c>
      <c r="F795" s="20">
        <v>1</v>
      </c>
    </row>
    <row r="796" spans="1:6">
      <c r="A796" s="15" t="str">
        <f>"SB1600FTE1-8"</f>
        <v>SB1600FTE1-8</v>
      </c>
      <c r="B796" s="15" t="s">
        <v>748</v>
      </c>
      <c r="C796" s="36">
        <v>2952.8955000000001</v>
      </c>
      <c r="D796" s="51"/>
      <c r="E796" s="16" t="str">
        <f>"610377134279"</f>
        <v>610377134279</v>
      </c>
      <c r="F796" s="17">
        <v>1</v>
      </c>
    </row>
    <row r="797" spans="1:6">
      <c r="A797" s="18" t="str">
        <f>"SB1800FTE"</f>
        <v>SB1800FTE</v>
      </c>
      <c r="B797" s="18" t="s">
        <v>749</v>
      </c>
      <c r="C797" s="37">
        <v>3705.0974999999999</v>
      </c>
      <c r="D797" s="51"/>
      <c r="E797" s="19" t="str">
        <f>"610377886406"</f>
        <v>610377886406</v>
      </c>
      <c r="F797" s="20">
        <v>1</v>
      </c>
    </row>
    <row r="798" spans="1:6">
      <c r="A798" s="15" t="str">
        <f>"SB1800FTE1-8"</f>
        <v>SB1800FTE1-8</v>
      </c>
      <c r="B798" s="15" t="s">
        <v>750</v>
      </c>
      <c r="C798" s="36">
        <v>3890.3490000000002</v>
      </c>
      <c r="D798" s="51"/>
      <c r="E798" s="16" t="str">
        <f>"610377134286"</f>
        <v>610377134286</v>
      </c>
      <c r="F798" s="17">
        <v>1</v>
      </c>
    </row>
    <row r="799" spans="1:6">
      <c r="A799" s="18" t="str">
        <f>"SC-1/2-5PK"</f>
        <v>SC-1/2-5PK</v>
      </c>
      <c r="B799" s="18" t="s">
        <v>751</v>
      </c>
      <c r="C799" s="37">
        <v>72.153000000000006</v>
      </c>
      <c r="D799" s="51"/>
      <c r="E799" s="19" t="str">
        <f>"761418001668"</f>
        <v>761418001668</v>
      </c>
      <c r="F799" s="20">
        <v>1</v>
      </c>
    </row>
    <row r="800" spans="1:6">
      <c r="A800" s="15" t="str">
        <f>"SC-1/4-5PK"</f>
        <v>SC-1/4-5PK</v>
      </c>
      <c r="B800" s="15" t="s">
        <v>752</v>
      </c>
      <c r="C800" s="36">
        <v>64.908000000000001</v>
      </c>
      <c r="D800" s="51"/>
      <c r="E800" s="16" t="str">
        <f>"761418001651"</f>
        <v>761418001651</v>
      </c>
      <c r="F800" s="17">
        <v>1</v>
      </c>
    </row>
    <row r="801" spans="1:6">
      <c r="A801" s="18" t="str">
        <f>"SF10100T"</f>
        <v>SF10100T</v>
      </c>
      <c r="B801" s="18" t="s">
        <v>753</v>
      </c>
      <c r="C801" s="37">
        <v>85.427999999999997</v>
      </c>
      <c r="D801" s="51"/>
      <c r="E801" s="19" t="str">
        <f>"610377162920"</f>
        <v>610377162920</v>
      </c>
      <c r="F801" s="20">
        <v>6</v>
      </c>
    </row>
    <row r="802" spans="1:6">
      <c r="A802" s="15" t="str">
        <f>"SF10200T"</f>
        <v>SF10200T</v>
      </c>
      <c r="B802" s="15" t="s">
        <v>754</v>
      </c>
      <c r="C802" s="36">
        <v>129.69450000000001</v>
      </c>
      <c r="D802" s="51"/>
      <c r="E802" s="16" t="str">
        <f>"610377162937"</f>
        <v>610377162937</v>
      </c>
      <c r="F802" s="17">
        <v>6</v>
      </c>
    </row>
    <row r="803" spans="1:6">
      <c r="A803" s="18" t="str">
        <f>"SF10300T"</f>
        <v>SF10300T</v>
      </c>
      <c r="B803" s="18" t="s">
        <v>755</v>
      </c>
      <c r="C803" s="37">
        <v>200.73150000000001</v>
      </c>
      <c r="D803" s="51"/>
      <c r="E803" s="19" t="str">
        <f>"610377162944"</f>
        <v>610377162944</v>
      </c>
      <c r="F803" s="20">
        <v>1</v>
      </c>
    </row>
    <row r="804" spans="1:6" ht="16" thickBot="1">
      <c r="A804" s="21" t="str">
        <f>"SP022310"</f>
        <v>SP022310</v>
      </c>
      <c r="B804" s="21" t="s">
        <v>756</v>
      </c>
      <c r="C804" s="38">
        <v>18.4815</v>
      </c>
      <c r="D804" s="52"/>
      <c r="E804" s="22" t="str">
        <f>"610377366281"</f>
        <v>610377366281</v>
      </c>
      <c r="F804" s="23">
        <v>20</v>
      </c>
    </row>
    <row r="805" spans="1:6" ht="16" thickTop="1">
      <c r="A805" s="12" t="str">
        <f>"SP022320"</f>
        <v>SP022320</v>
      </c>
      <c r="B805" s="12" t="s">
        <v>757</v>
      </c>
      <c r="C805" s="35">
        <v>23.823</v>
      </c>
      <c r="D805" s="50"/>
      <c r="E805" s="13" t="str">
        <f>"610377366298"</f>
        <v>610377366298</v>
      </c>
      <c r="F805" s="14">
        <v>20</v>
      </c>
    </row>
    <row r="806" spans="1:6">
      <c r="A806" s="15" t="str">
        <f>"SP0404"</f>
        <v>SP0404</v>
      </c>
      <c r="B806" s="15" t="s">
        <v>758</v>
      </c>
      <c r="C806" s="36">
        <v>6.3045</v>
      </c>
      <c r="D806" s="51"/>
      <c r="E806" s="16" t="str">
        <f>"610377041669"</f>
        <v>610377041669</v>
      </c>
      <c r="F806" s="17">
        <v>50</v>
      </c>
    </row>
    <row r="807" spans="1:6">
      <c r="A807" s="18" t="str">
        <f>"SP0410X502S"</f>
        <v>SP0410X502S</v>
      </c>
      <c r="B807" s="18" t="s">
        <v>759</v>
      </c>
      <c r="C807" s="37">
        <v>52.564500000000002</v>
      </c>
      <c r="D807" s="51"/>
      <c r="E807" s="19" t="str">
        <f>"610377041683"</f>
        <v>610377041683</v>
      </c>
      <c r="F807" s="20">
        <v>1</v>
      </c>
    </row>
    <row r="808" spans="1:6">
      <c r="A808" s="15" t="str">
        <f>"SP0410X602S"</f>
        <v>SP0410X602S</v>
      </c>
      <c r="B808" s="15" t="s">
        <v>760</v>
      </c>
      <c r="C808" s="36">
        <v>52.555500000000002</v>
      </c>
      <c r="D808" s="51"/>
      <c r="E808" s="16" t="str">
        <f>"610377041706"</f>
        <v>610377041706</v>
      </c>
      <c r="F808" s="17">
        <v>1</v>
      </c>
    </row>
    <row r="809" spans="1:6">
      <c r="A809" s="18" t="str">
        <f>"SP050250"</f>
        <v>SP050250</v>
      </c>
      <c r="B809" s="18" t="s">
        <v>761</v>
      </c>
      <c r="C809" s="37">
        <v>239.66550000000001</v>
      </c>
      <c r="D809" s="51"/>
      <c r="E809" s="19" t="str">
        <f>"610377041874"</f>
        <v>610377041874</v>
      </c>
      <c r="F809" s="20">
        <v>1</v>
      </c>
    </row>
    <row r="810" spans="1:6">
      <c r="A810" s="15" t="str">
        <f>"SP0503100"</f>
        <v>SP0503100</v>
      </c>
      <c r="B810" s="15" t="s">
        <v>762</v>
      </c>
      <c r="C810" s="36">
        <v>277.18650000000002</v>
      </c>
      <c r="D810" s="51"/>
      <c r="E810" s="16" t="str">
        <f>"610377041942"</f>
        <v>610377041942</v>
      </c>
      <c r="F810" s="17">
        <v>1</v>
      </c>
    </row>
    <row r="811" spans="1:6">
      <c r="A811" s="18" t="str">
        <f>"SP0527LED100"</f>
        <v>SP0527LED100</v>
      </c>
      <c r="B811" s="18" t="s">
        <v>763</v>
      </c>
      <c r="C811" s="37">
        <v>526.90499999999997</v>
      </c>
      <c r="D811" s="51"/>
      <c r="E811" s="19" t="str">
        <f>"761418008490"</f>
        <v>761418008490</v>
      </c>
      <c r="F811" s="20">
        <v>1</v>
      </c>
    </row>
    <row r="812" spans="1:6">
      <c r="A812" s="15" t="str">
        <f>"SP0527LED30"</f>
        <v>SP0527LED30</v>
      </c>
      <c r="B812" s="15" t="s">
        <v>764</v>
      </c>
      <c r="C812" s="36">
        <v>488.04300000000001</v>
      </c>
      <c r="D812" s="51"/>
      <c r="E812" s="16" t="str">
        <f>"761418008483"</f>
        <v>761418008483</v>
      </c>
      <c r="F812" s="17">
        <v>1</v>
      </c>
    </row>
    <row r="813" spans="1:6">
      <c r="A813" s="18" t="str">
        <f>"SP0527LED50"</f>
        <v>SP0527LED50</v>
      </c>
      <c r="B813" s="18" t="s">
        <v>765</v>
      </c>
      <c r="C813" s="37">
        <v>499.9545</v>
      </c>
      <c r="D813" s="51"/>
      <c r="E813" s="19" t="str">
        <f>"761418008476"</f>
        <v>761418008476</v>
      </c>
      <c r="F813" s="20">
        <v>1</v>
      </c>
    </row>
    <row r="814" spans="1:6">
      <c r="A814" s="15" t="str">
        <f>"SP0527SLED100"</f>
        <v>SP0527SLED100</v>
      </c>
      <c r="B814" s="15" t="s">
        <v>766</v>
      </c>
      <c r="C814" s="36">
        <v>530.08199999999999</v>
      </c>
      <c r="D814" s="51"/>
      <c r="E814" s="16" t="str">
        <f>"761418008544"</f>
        <v>761418008544</v>
      </c>
      <c r="F814" s="17">
        <v>1</v>
      </c>
    </row>
    <row r="815" spans="1:6">
      <c r="A815" s="18" t="str">
        <f>"SP0527SLED150"</f>
        <v>SP0527SLED150</v>
      </c>
      <c r="B815" s="18" t="s">
        <v>767</v>
      </c>
      <c r="C815" s="37">
        <v>566.09550000000002</v>
      </c>
      <c r="D815" s="51"/>
      <c r="E815" s="19" t="str">
        <f>"761418008551"</f>
        <v>761418008551</v>
      </c>
      <c r="F815" s="20">
        <v>1</v>
      </c>
    </row>
    <row r="816" spans="1:6">
      <c r="A816" s="15" t="str">
        <f>"SP0527SLED30"</f>
        <v>SP0527SLED30</v>
      </c>
      <c r="B816" s="15" t="s">
        <v>768</v>
      </c>
      <c r="C816" s="36">
        <v>489.50549999999998</v>
      </c>
      <c r="D816" s="51"/>
      <c r="E816" s="16" t="str">
        <f>"761418008513"</f>
        <v>761418008513</v>
      </c>
      <c r="F816" s="17">
        <v>1</v>
      </c>
    </row>
    <row r="817" spans="1:6">
      <c r="A817" s="18" t="str">
        <f>"SP0527SLED50"</f>
        <v>SP0527SLED50</v>
      </c>
      <c r="B817" s="18" t="s">
        <v>769</v>
      </c>
      <c r="C817" s="37">
        <v>501.45299999999997</v>
      </c>
      <c r="D817" s="51"/>
      <c r="E817" s="19" t="str">
        <f>"761418008520"</f>
        <v>761418008520</v>
      </c>
      <c r="F817" s="20">
        <v>1</v>
      </c>
    </row>
    <row r="818" spans="1:6">
      <c r="A818" s="15" t="str">
        <f>"SP0535LED100"</f>
        <v>SP0535LED100</v>
      </c>
      <c r="B818" s="15" t="s">
        <v>770</v>
      </c>
      <c r="C818" s="36">
        <v>421.08749999999998</v>
      </c>
      <c r="D818" s="51"/>
      <c r="E818" s="16" t="str">
        <f>"761418008858"</f>
        <v>761418008858</v>
      </c>
      <c r="F818" s="17">
        <v>1</v>
      </c>
    </row>
    <row r="819" spans="1:6">
      <c r="A819" s="18" t="str">
        <f>"SP0535LED30"</f>
        <v>SP0535LED30</v>
      </c>
      <c r="B819" s="18" t="s">
        <v>771</v>
      </c>
      <c r="C819" s="37">
        <v>375.73200000000003</v>
      </c>
      <c r="D819" s="51"/>
      <c r="E819" s="19" t="str">
        <f>"761418008834"</f>
        <v>761418008834</v>
      </c>
      <c r="F819" s="20">
        <v>1</v>
      </c>
    </row>
    <row r="820" spans="1:6">
      <c r="A820" s="15" t="str">
        <f>"SP0535LED50"</f>
        <v>SP0535LED50</v>
      </c>
      <c r="B820" s="15" t="s">
        <v>772</v>
      </c>
      <c r="C820" s="36">
        <v>388.64249999999998</v>
      </c>
      <c r="D820" s="51"/>
      <c r="E820" s="16" t="str">
        <f>"761418008841"</f>
        <v>761418008841</v>
      </c>
      <c r="F820" s="17">
        <v>1</v>
      </c>
    </row>
    <row r="821" spans="1:6">
      <c r="A821" s="18" t="str">
        <f>"SP0535SLED100"</f>
        <v>SP0535SLED100</v>
      </c>
      <c r="B821" s="18" t="s">
        <v>773</v>
      </c>
      <c r="C821" s="37">
        <v>426.726</v>
      </c>
      <c r="D821" s="51"/>
      <c r="E821" s="19" t="str">
        <f>"761418008926"</f>
        <v>761418008926</v>
      </c>
      <c r="F821" s="20">
        <v>1</v>
      </c>
    </row>
    <row r="822" spans="1:6">
      <c r="A822" s="15" t="str">
        <f>"SP0535SLED150"</f>
        <v>SP0535SLED150</v>
      </c>
      <c r="B822" s="15" t="s">
        <v>774</v>
      </c>
      <c r="C822" s="36">
        <v>485.10899999999998</v>
      </c>
      <c r="D822" s="51"/>
      <c r="E822" s="16" t="str">
        <f>"761418008896"</f>
        <v>761418008896</v>
      </c>
      <c r="F822" s="17">
        <v>1</v>
      </c>
    </row>
    <row r="823" spans="1:6">
      <c r="A823" s="18" t="str">
        <f>"SP0535SLED30"</f>
        <v>SP0535SLED30</v>
      </c>
      <c r="B823" s="18" t="s">
        <v>775</v>
      </c>
      <c r="C823" s="37">
        <v>382.79250000000002</v>
      </c>
      <c r="D823" s="51"/>
      <c r="E823" s="19" t="str">
        <f>"761418008872"</f>
        <v>761418008872</v>
      </c>
      <c r="F823" s="20">
        <v>1</v>
      </c>
    </row>
    <row r="824" spans="1:6">
      <c r="A824" s="15" t="str">
        <f>"SP0535SLED50"</f>
        <v>SP0535SLED50</v>
      </c>
      <c r="B824" s="15" t="s">
        <v>776</v>
      </c>
      <c r="C824" s="36">
        <v>395.51400000000001</v>
      </c>
      <c r="D824" s="51"/>
      <c r="E824" s="16" t="str">
        <f>"761418008889"</f>
        <v>761418008889</v>
      </c>
      <c r="F824" s="17">
        <v>1</v>
      </c>
    </row>
    <row r="825" spans="1:6">
      <c r="A825" s="18" t="str">
        <f>"SP0536AF"</f>
        <v>SP0536AF</v>
      </c>
      <c r="B825" s="18" t="s">
        <v>777</v>
      </c>
      <c r="C825" s="37">
        <v>1.3634999999999999</v>
      </c>
      <c r="D825" s="51"/>
      <c r="E825" s="19" t="str">
        <f>"610377256254"</f>
        <v>610377256254</v>
      </c>
      <c r="F825" s="20">
        <v>20</v>
      </c>
    </row>
    <row r="826" spans="1:6">
      <c r="A826" s="15" t="str">
        <f>"SP0536AFBLK"</f>
        <v>SP0536AFBLK</v>
      </c>
      <c r="B826" s="15" t="s">
        <v>778</v>
      </c>
      <c r="C826" s="36">
        <v>1.3634999999999999</v>
      </c>
      <c r="D826" s="51"/>
      <c r="E826" s="16" t="str">
        <f>"610377256285"</f>
        <v>610377256285</v>
      </c>
      <c r="F826" s="17">
        <v>20</v>
      </c>
    </row>
    <row r="827" spans="1:6">
      <c r="A827" s="18" t="str">
        <f>"SP0536AFDGR"</f>
        <v>SP0536AFDGR</v>
      </c>
      <c r="B827" s="18" t="s">
        <v>779</v>
      </c>
      <c r="C827" s="37">
        <v>1.3634999999999999</v>
      </c>
      <c r="D827" s="51"/>
      <c r="E827" s="19" t="str">
        <f>"610377256278"</f>
        <v>610377256278</v>
      </c>
      <c r="F827" s="20">
        <v>20</v>
      </c>
    </row>
    <row r="828" spans="1:6">
      <c r="A828" s="15" t="str">
        <f>"SP0536AFGR"</f>
        <v>SP0536AFGR</v>
      </c>
      <c r="B828" s="15" t="s">
        <v>780</v>
      </c>
      <c r="C828" s="36">
        <v>1.3634999999999999</v>
      </c>
      <c r="D828" s="51"/>
      <c r="E828" s="16" t="str">
        <f>"610377256261"</f>
        <v>610377256261</v>
      </c>
      <c r="F828" s="17">
        <v>20</v>
      </c>
    </row>
    <row r="829" spans="1:6">
      <c r="A829" s="18" t="str">
        <f>"SP0536CTOOL"</f>
        <v>SP0536CTOOL</v>
      </c>
      <c r="B829" s="18" t="s">
        <v>781</v>
      </c>
      <c r="C829" s="37">
        <v>1.629</v>
      </c>
      <c r="D829" s="51"/>
      <c r="E829" s="19" t="str">
        <f>"610377265539"</f>
        <v>610377265539</v>
      </c>
      <c r="F829" s="20">
        <v>20</v>
      </c>
    </row>
    <row r="830" spans="1:6">
      <c r="A830" s="15" t="str">
        <f>"SP0536PR15"</f>
        <v>SP0536PR15</v>
      </c>
      <c r="B830" s="15" t="s">
        <v>782</v>
      </c>
      <c r="C830" s="36">
        <v>0.81</v>
      </c>
      <c r="D830" s="51"/>
      <c r="E830" s="16" t="str">
        <f>"610377265515"</f>
        <v>610377265515</v>
      </c>
      <c r="F830" s="17">
        <v>20</v>
      </c>
    </row>
    <row r="831" spans="1:6">
      <c r="A831" s="18" t="str">
        <f>"SP0537AF"</f>
        <v>SP0537AF</v>
      </c>
      <c r="B831" s="18" t="s">
        <v>783</v>
      </c>
      <c r="C831" s="37">
        <v>3.7890000000000001</v>
      </c>
      <c r="D831" s="51"/>
      <c r="E831" s="19" t="str">
        <f>"610377256292"</f>
        <v>610377256292</v>
      </c>
      <c r="F831" s="20">
        <v>20</v>
      </c>
    </row>
    <row r="832" spans="1:6">
      <c r="A832" s="15" t="str">
        <f>"SP0537AFBLK"</f>
        <v>SP0537AFBLK</v>
      </c>
      <c r="B832" s="15" t="s">
        <v>784</v>
      </c>
      <c r="C832" s="36">
        <v>3.7890000000000001</v>
      </c>
      <c r="D832" s="51"/>
      <c r="E832" s="16" t="str">
        <f>"610377256322"</f>
        <v>610377256322</v>
      </c>
      <c r="F832" s="17">
        <v>20</v>
      </c>
    </row>
    <row r="833" spans="1:6">
      <c r="A833" s="18" t="str">
        <f>"SP0537AFDGR"</f>
        <v>SP0537AFDGR</v>
      </c>
      <c r="B833" s="18" t="s">
        <v>785</v>
      </c>
      <c r="C833" s="37">
        <v>3.7890000000000001</v>
      </c>
      <c r="D833" s="51"/>
      <c r="E833" s="19" t="str">
        <f>"610377256315"</f>
        <v>610377256315</v>
      </c>
      <c r="F833" s="20">
        <v>20</v>
      </c>
    </row>
    <row r="834" spans="1:6">
      <c r="A834" s="15" t="str">
        <f>"SP0537AFGR"</f>
        <v>SP0537AFGR</v>
      </c>
      <c r="B834" s="15" t="s">
        <v>786</v>
      </c>
      <c r="C834" s="36">
        <v>3.7890000000000001</v>
      </c>
      <c r="D834" s="51"/>
      <c r="E834" s="16" t="str">
        <f>"610377256308"</f>
        <v>610377256308</v>
      </c>
      <c r="F834" s="17">
        <v>20</v>
      </c>
    </row>
    <row r="835" spans="1:6">
      <c r="A835" s="18" t="str">
        <f>"SP0538AF"</f>
        <v>SP0538AF</v>
      </c>
      <c r="B835" s="18" t="s">
        <v>787</v>
      </c>
      <c r="C835" s="37">
        <v>4.5225</v>
      </c>
      <c r="D835" s="51"/>
      <c r="E835" s="19" t="str">
        <f>"610377256339"</f>
        <v>610377256339</v>
      </c>
      <c r="F835" s="20">
        <v>20</v>
      </c>
    </row>
    <row r="836" spans="1:6">
      <c r="A836" s="15" t="str">
        <f>"SP0538AFBLK"</f>
        <v>SP0538AFBLK</v>
      </c>
      <c r="B836" s="15" t="s">
        <v>788</v>
      </c>
      <c r="C836" s="36">
        <v>4.5225</v>
      </c>
      <c r="D836" s="51"/>
      <c r="E836" s="16" t="str">
        <f>"610377256360"</f>
        <v>610377256360</v>
      </c>
      <c r="F836" s="17">
        <v>20</v>
      </c>
    </row>
    <row r="837" spans="1:6">
      <c r="A837" s="18" t="str">
        <f>"SP0538AFDGR"</f>
        <v>SP0538AFDGR</v>
      </c>
      <c r="B837" s="18" t="s">
        <v>789</v>
      </c>
      <c r="C837" s="37">
        <v>4.5225</v>
      </c>
      <c r="D837" s="51"/>
      <c r="E837" s="19" t="str">
        <f>"610377256353"</f>
        <v>610377256353</v>
      </c>
      <c r="F837" s="20">
        <v>20</v>
      </c>
    </row>
    <row r="838" spans="1:6">
      <c r="A838" s="15" t="str">
        <f>"SP0538AFGR"</f>
        <v>SP0538AFGR</v>
      </c>
      <c r="B838" s="15" t="s">
        <v>790</v>
      </c>
      <c r="C838" s="36">
        <v>4.5225</v>
      </c>
      <c r="D838" s="51"/>
      <c r="E838" s="16" t="str">
        <f>"610377256346"</f>
        <v>610377256346</v>
      </c>
      <c r="F838" s="17">
        <v>20</v>
      </c>
    </row>
    <row r="839" spans="1:6">
      <c r="A839" s="18" t="str">
        <f>"SP056525"</f>
        <v>SP056525</v>
      </c>
      <c r="B839" s="18" t="s">
        <v>791</v>
      </c>
      <c r="C839" s="37">
        <v>91.543499999999995</v>
      </c>
      <c r="D839" s="51"/>
      <c r="E839" s="19" t="str">
        <f>"610377659116"</f>
        <v>610377659116</v>
      </c>
      <c r="F839" s="20">
        <v>6</v>
      </c>
    </row>
    <row r="840" spans="1:6">
      <c r="A840" s="15" t="str">
        <f>"SP0570N100"</f>
        <v>SP0570N100</v>
      </c>
      <c r="B840" s="15" t="s">
        <v>792</v>
      </c>
      <c r="C840" s="36">
        <v>200.47499999999999</v>
      </c>
      <c r="D840" s="51"/>
      <c r="E840" s="16" t="str">
        <f>"610377670104"</f>
        <v>610377670104</v>
      </c>
      <c r="F840" s="17">
        <v>1</v>
      </c>
    </row>
    <row r="841" spans="1:6">
      <c r="A841" s="18" t="str">
        <f>"SP0570N50"</f>
        <v>SP0570N50</v>
      </c>
      <c r="B841" s="18" t="s">
        <v>793</v>
      </c>
      <c r="C841" s="37">
        <v>132.63300000000001</v>
      </c>
      <c r="D841" s="51"/>
      <c r="E841" s="19" t="str">
        <f>"610377670111"</f>
        <v>610377670111</v>
      </c>
      <c r="F841" s="20">
        <v>1</v>
      </c>
    </row>
    <row r="842" spans="1:6">
      <c r="A842" s="15" t="str">
        <f>"SP057130"</f>
        <v>SP057130</v>
      </c>
      <c r="B842" s="15" t="s">
        <v>794</v>
      </c>
      <c r="C842" s="36">
        <v>141.46199999999999</v>
      </c>
      <c r="D842" s="51"/>
      <c r="E842" s="16" t="str">
        <f>"610377043557"</f>
        <v>610377043557</v>
      </c>
      <c r="F842" s="17">
        <v>1</v>
      </c>
    </row>
    <row r="843" spans="1:6">
      <c r="A843" s="18" t="str">
        <f>"SP0571N100"</f>
        <v>SP0571N100</v>
      </c>
      <c r="B843" s="18" t="s">
        <v>795</v>
      </c>
      <c r="C843" s="37">
        <v>236.07900000000001</v>
      </c>
      <c r="D843" s="51"/>
      <c r="E843" s="19" t="str">
        <f>"610377670210"</f>
        <v>610377670210</v>
      </c>
      <c r="F843" s="20">
        <v>1</v>
      </c>
    </row>
    <row r="844" spans="1:6">
      <c r="A844" s="15" t="str">
        <f>"SP0571N30"</f>
        <v>SP0571N30</v>
      </c>
      <c r="B844" s="15" t="s">
        <v>796</v>
      </c>
      <c r="C844" s="36">
        <v>141.46199999999999</v>
      </c>
      <c r="D844" s="51"/>
      <c r="E844" s="16" t="str">
        <f>"610377670227"</f>
        <v>610377670227</v>
      </c>
      <c r="F844" s="17">
        <v>1</v>
      </c>
    </row>
    <row r="845" spans="1:6">
      <c r="A845" s="18" t="str">
        <f>"SP0571N50"</f>
        <v>SP0571N50</v>
      </c>
      <c r="B845" s="18" t="s">
        <v>797</v>
      </c>
      <c r="C845" s="37">
        <v>168.2235</v>
      </c>
      <c r="D845" s="51"/>
      <c r="E845" s="19" t="str">
        <f>"610377670234"</f>
        <v>610377670234</v>
      </c>
      <c r="F845" s="20">
        <v>1</v>
      </c>
    </row>
    <row r="846" spans="1:6">
      <c r="A846" s="15" t="str">
        <f>"SP0572LN100"</f>
        <v>SP0572LN100</v>
      </c>
      <c r="B846" s="15" t="s">
        <v>798</v>
      </c>
      <c r="C846" s="36">
        <v>192.98699999999999</v>
      </c>
      <c r="D846" s="51"/>
      <c r="E846" s="16" t="str">
        <f>"610377670241"</f>
        <v>610377670241</v>
      </c>
      <c r="F846" s="17">
        <v>1</v>
      </c>
    </row>
    <row r="847" spans="1:6">
      <c r="A847" s="18" t="str">
        <f>"SP0572LN50"</f>
        <v>SP0572LN50</v>
      </c>
      <c r="B847" s="18" t="s">
        <v>799</v>
      </c>
      <c r="C847" s="37">
        <v>145.43100000000001</v>
      </c>
      <c r="D847" s="51"/>
      <c r="E847" s="19" t="str">
        <f>"610377670258"</f>
        <v>610377670258</v>
      </c>
      <c r="F847" s="20">
        <v>1</v>
      </c>
    </row>
    <row r="848" spans="1:6">
      <c r="A848" s="15" t="str">
        <f>"SP0573LN100"</f>
        <v>SP0573LN100</v>
      </c>
      <c r="B848" s="15" t="s">
        <v>800</v>
      </c>
      <c r="C848" s="36">
        <v>198.2835</v>
      </c>
      <c r="D848" s="51"/>
      <c r="E848" s="16" t="str">
        <f>"610377670265"</f>
        <v>610377670265</v>
      </c>
      <c r="F848" s="17">
        <v>1</v>
      </c>
    </row>
    <row r="849" spans="1:6">
      <c r="A849" s="18" t="str">
        <f>"SP0573LN50"</f>
        <v>SP0573LN50</v>
      </c>
      <c r="B849" s="18" t="s">
        <v>801</v>
      </c>
      <c r="C849" s="37">
        <v>150.73650000000001</v>
      </c>
      <c r="D849" s="51"/>
      <c r="E849" s="19" t="str">
        <f>"610377670272"</f>
        <v>610377670272</v>
      </c>
      <c r="F849" s="20">
        <v>1</v>
      </c>
    </row>
    <row r="850" spans="1:6" ht="16" thickBot="1">
      <c r="A850" s="21" t="str">
        <f>"SP0580100"</f>
        <v>SP0580100</v>
      </c>
      <c r="B850" s="21" t="s">
        <v>802</v>
      </c>
      <c r="C850" s="38">
        <v>173.8845</v>
      </c>
      <c r="D850" s="52"/>
      <c r="E850" s="22" t="str">
        <f>"610377043885"</f>
        <v>610377043885</v>
      </c>
      <c r="F850" s="23">
        <v>1</v>
      </c>
    </row>
    <row r="851" spans="1:6" ht="16" thickTop="1">
      <c r="A851" s="12" t="str">
        <f>"SP058015"</f>
        <v>SP058015</v>
      </c>
      <c r="B851" s="12" t="s">
        <v>803</v>
      </c>
      <c r="C851" s="35">
        <v>111.88800000000001</v>
      </c>
      <c r="D851" s="50"/>
      <c r="E851" s="13" t="str">
        <f>"610377043908"</f>
        <v>610377043908</v>
      </c>
      <c r="F851" s="14">
        <v>1</v>
      </c>
    </row>
    <row r="852" spans="1:6">
      <c r="A852" s="15" t="str">
        <f>"SP058030"</f>
        <v>SP058030</v>
      </c>
      <c r="B852" s="15" t="s">
        <v>804</v>
      </c>
      <c r="C852" s="36">
        <v>122.6835</v>
      </c>
      <c r="D852" s="51"/>
      <c r="E852" s="16" t="str">
        <f>"610377043922"</f>
        <v>610377043922</v>
      </c>
      <c r="F852" s="17">
        <v>1</v>
      </c>
    </row>
    <row r="853" spans="1:6">
      <c r="A853" s="18" t="str">
        <f>"SP058050"</f>
        <v>SP058050</v>
      </c>
      <c r="B853" s="18" t="s">
        <v>805</v>
      </c>
      <c r="C853" s="37">
        <v>136.67400000000001</v>
      </c>
      <c r="D853" s="51"/>
      <c r="E853" s="19" t="str">
        <f>"610377043939"</f>
        <v>610377043939</v>
      </c>
      <c r="F853" s="20">
        <v>1</v>
      </c>
    </row>
    <row r="854" spans="1:6">
      <c r="A854" s="15" t="str">
        <f>"SP058075"</f>
        <v>SP058075</v>
      </c>
      <c r="B854" s="15" t="s">
        <v>806</v>
      </c>
      <c r="C854" s="36">
        <v>157.239</v>
      </c>
      <c r="D854" s="51"/>
      <c r="E854" s="16" t="str">
        <f>"610377206280"</f>
        <v>610377206280</v>
      </c>
      <c r="F854" s="17">
        <v>1</v>
      </c>
    </row>
    <row r="855" spans="1:6">
      <c r="A855" s="18" t="str">
        <f>"SP0580L"</f>
        <v>SP0580L</v>
      </c>
      <c r="B855" s="18" t="s">
        <v>807</v>
      </c>
      <c r="C855" s="37">
        <v>14.602499999999999</v>
      </c>
      <c r="D855" s="51"/>
      <c r="E855" s="19" t="str">
        <f>"610377043779"</f>
        <v>610377043779</v>
      </c>
      <c r="F855" s="20">
        <v>12</v>
      </c>
    </row>
    <row r="856" spans="1:6">
      <c r="A856" s="15" t="str">
        <f>"SP0580LDB"</f>
        <v>SP0580LDB</v>
      </c>
      <c r="B856" s="15" t="s">
        <v>808</v>
      </c>
      <c r="C856" s="36">
        <v>6.5834999999999999</v>
      </c>
      <c r="D856" s="51"/>
      <c r="E856" s="16" t="str">
        <f>"610377043786"</f>
        <v>610377043786</v>
      </c>
      <c r="F856" s="17">
        <v>50</v>
      </c>
    </row>
    <row r="857" spans="1:6">
      <c r="A857" s="18" t="str">
        <f>"SP0580LLB"</f>
        <v>SP0580LLB</v>
      </c>
      <c r="B857" s="18" t="s">
        <v>809</v>
      </c>
      <c r="C857" s="37">
        <v>4.8644999999999996</v>
      </c>
      <c r="D857" s="51"/>
      <c r="E857" s="19" t="str">
        <f>"610377043793"</f>
        <v>610377043793</v>
      </c>
      <c r="F857" s="20">
        <v>50</v>
      </c>
    </row>
    <row r="858" spans="1:6">
      <c r="A858" s="15" t="str">
        <f>"SP0580S100"</f>
        <v>SP0580S100</v>
      </c>
      <c r="B858" s="15" t="s">
        <v>802</v>
      </c>
      <c r="C858" s="36">
        <v>173.8845</v>
      </c>
      <c r="D858" s="51"/>
      <c r="E858" s="16" t="str">
        <f>"610377043816"</f>
        <v>610377043816</v>
      </c>
      <c r="F858" s="17">
        <v>1</v>
      </c>
    </row>
    <row r="859" spans="1:6">
      <c r="A859" s="18" t="str">
        <f>"SP0580S15"</f>
        <v>SP0580S15</v>
      </c>
      <c r="B859" s="18" t="s">
        <v>810</v>
      </c>
      <c r="C859" s="37">
        <v>111.88800000000001</v>
      </c>
      <c r="D859" s="51"/>
      <c r="E859" s="19" t="str">
        <f>"610377043830"</f>
        <v>610377043830</v>
      </c>
      <c r="F859" s="20">
        <v>1</v>
      </c>
    </row>
    <row r="860" spans="1:6">
      <c r="A860" s="15" t="str">
        <f>"SP0580S30"</f>
        <v>SP0580S30</v>
      </c>
      <c r="B860" s="15" t="s">
        <v>811</v>
      </c>
      <c r="C860" s="36">
        <v>122.6835</v>
      </c>
      <c r="D860" s="51"/>
      <c r="E860" s="16" t="str">
        <f>"610377043854"</f>
        <v>610377043854</v>
      </c>
      <c r="F860" s="17">
        <v>1</v>
      </c>
    </row>
    <row r="861" spans="1:6">
      <c r="A861" s="18" t="str">
        <f>"SP0580S50"</f>
        <v>SP0580S50</v>
      </c>
      <c r="B861" s="18" t="s">
        <v>805</v>
      </c>
      <c r="C861" s="37">
        <v>136.67400000000001</v>
      </c>
      <c r="D861" s="51"/>
      <c r="E861" s="19" t="str">
        <f>"610377043861"</f>
        <v>610377043861</v>
      </c>
      <c r="F861" s="20">
        <v>1</v>
      </c>
    </row>
    <row r="862" spans="1:6">
      <c r="A862" s="15" t="str">
        <f>"SP0580S75"</f>
        <v>SP0580S75</v>
      </c>
      <c r="B862" s="15" t="s">
        <v>806</v>
      </c>
      <c r="C862" s="36">
        <v>157.239</v>
      </c>
      <c r="D862" s="51"/>
      <c r="E862" s="16" t="str">
        <f>"610377043878"</f>
        <v>610377043878</v>
      </c>
      <c r="F862" s="17">
        <v>1</v>
      </c>
    </row>
    <row r="863" spans="1:6">
      <c r="A863" s="18" t="str">
        <f>"SP0581100"</f>
        <v>SP0581100</v>
      </c>
      <c r="B863" s="18" t="s">
        <v>812</v>
      </c>
      <c r="C863" s="37">
        <v>243.279</v>
      </c>
      <c r="D863" s="51"/>
      <c r="E863" s="19" t="str">
        <f>"610377044011"</f>
        <v>610377044011</v>
      </c>
      <c r="F863" s="20">
        <v>1</v>
      </c>
    </row>
    <row r="864" spans="1:6">
      <c r="A864" s="15" t="str">
        <f>"SP058115"</f>
        <v>SP058115</v>
      </c>
      <c r="B864" s="15" t="s">
        <v>813</v>
      </c>
      <c r="C864" s="36">
        <v>124.146</v>
      </c>
      <c r="D864" s="51"/>
      <c r="E864" s="16" t="str">
        <f>"610377044035"</f>
        <v>610377044035</v>
      </c>
      <c r="F864" s="17">
        <v>1</v>
      </c>
    </row>
    <row r="865" spans="1:6">
      <c r="A865" s="18" t="str">
        <f>"SP058130"</f>
        <v>SP058130</v>
      </c>
      <c r="B865" s="18" t="s">
        <v>814</v>
      </c>
      <c r="C865" s="37">
        <v>139.84649999999999</v>
      </c>
      <c r="D865" s="51"/>
      <c r="E865" s="19" t="str">
        <f>"610377044059"</f>
        <v>610377044059</v>
      </c>
      <c r="F865" s="20">
        <v>1</v>
      </c>
    </row>
    <row r="866" spans="1:6">
      <c r="A866" s="15" t="str">
        <f>"SP058150"</f>
        <v>SP058150</v>
      </c>
      <c r="B866" s="15" t="s">
        <v>815</v>
      </c>
      <c r="C866" s="36">
        <v>167.70150000000001</v>
      </c>
      <c r="D866" s="51"/>
      <c r="E866" s="16" t="str">
        <f>"610377044066"</f>
        <v>610377044066</v>
      </c>
      <c r="F866" s="17">
        <v>1</v>
      </c>
    </row>
    <row r="867" spans="1:6">
      <c r="A867" s="18" t="str">
        <f>"SP058175"</f>
        <v>SP058175</v>
      </c>
      <c r="B867" s="18" t="s">
        <v>816</v>
      </c>
      <c r="C867" s="37">
        <v>208.2645</v>
      </c>
      <c r="D867" s="51"/>
      <c r="E867" s="19" t="str">
        <f>"610377044073"</f>
        <v>610377044073</v>
      </c>
      <c r="F867" s="20">
        <v>1</v>
      </c>
    </row>
    <row r="868" spans="1:6">
      <c r="A868" s="15" t="str">
        <f>"SP0581S100"</f>
        <v>SP0581S100</v>
      </c>
      <c r="B868" s="15" t="s">
        <v>812</v>
      </c>
      <c r="C868" s="36">
        <v>243.279</v>
      </c>
      <c r="D868" s="51"/>
      <c r="E868" s="16" t="str">
        <f>"610377043946"</f>
        <v>610377043946</v>
      </c>
      <c r="F868" s="17">
        <v>1</v>
      </c>
    </row>
    <row r="869" spans="1:6">
      <c r="A869" s="18" t="str">
        <f>"SP0581S15"</f>
        <v>SP0581S15</v>
      </c>
      <c r="B869" s="18" t="s">
        <v>813</v>
      </c>
      <c r="C869" s="37">
        <v>124.146</v>
      </c>
      <c r="D869" s="51"/>
      <c r="E869" s="19" t="str">
        <f>"610377043960"</f>
        <v>610377043960</v>
      </c>
      <c r="F869" s="20">
        <v>1</v>
      </c>
    </row>
    <row r="870" spans="1:6">
      <c r="A870" s="15" t="str">
        <f>"SP0581S30"</f>
        <v>SP0581S30</v>
      </c>
      <c r="B870" s="15" t="s">
        <v>814</v>
      </c>
      <c r="C870" s="36">
        <v>139.84649999999999</v>
      </c>
      <c r="D870" s="51"/>
      <c r="E870" s="16" t="str">
        <f>"610377043984"</f>
        <v>610377043984</v>
      </c>
      <c r="F870" s="17">
        <v>1</v>
      </c>
    </row>
    <row r="871" spans="1:6">
      <c r="A871" s="18" t="str">
        <f>"SP0581S50"</f>
        <v>SP0581S50</v>
      </c>
      <c r="B871" s="18" t="s">
        <v>815</v>
      </c>
      <c r="C871" s="37">
        <v>167.70150000000001</v>
      </c>
      <c r="D871" s="51"/>
      <c r="E871" s="19" t="str">
        <f>"610377043991"</f>
        <v>610377043991</v>
      </c>
      <c r="F871" s="20">
        <v>1</v>
      </c>
    </row>
    <row r="872" spans="1:6">
      <c r="A872" s="15" t="str">
        <f>"SP0581S75"</f>
        <v>SP0581S75</v>
      </c>
      <c r="B872" s="15" t="s">
        <v>816</v>
      </c>
      <c r="C872" s="36">
        <v>208.2645</v>
      </c>
      <c r="D872" s="51"/>
      <c r="E872" s="16" t="str">
        <f>"610377044004"</f>
        <v>610377044004</v>
      </c>
      <c r="F872" s="17">
        <v>1</v>
      </c>
    </row>
    <row r="873" spans="1:6">
      <c r="A873" s="18" t="str">
        <f>"SP0582L100"</f>
        <v>SP0582L100</v>
      </c>
      <c r="B873" s="18" t="s">
        <v>817</v>
      </c>
      <c r="C873" s="37">
        <v>180.864</v>
      </c>
      <c r="D873" s="51"/>
      <c r="E873" s="19" t="str">
        <f>"610377044080"</f>
        <v>610377044080</v>
      </c>
      <c r="F873" s="20">
        <v>1</v>
      </c>
    </row>
    <row r="874" spans="1:6">
      <c r="A874" s="15" t="str">
        <f>"SP0582L15"</f>
        <v>SP0582L15</v>
      </c>
      <c r="B874" s="15" t="s">
        <v>818</v>
      </c>
      <c r="C874" s="36">
        <v>123.4665</v>
      </c>
      <c r="D874" s="51"/>
      <c r="E874" s="16" t="str">
        <f>"610377044103"</f>
        <v>610377044103</v>
      </c>
      <c r="F874" s="17">
        <v>1</v>
      </c>
    </row>
    <row r="875" spans="1:6">
      <c r="A875" s="18" t="str">
        <f>"SP0582L30"</f>
        <v>SP0582L30</v>
      </c>
      <c r="B875" s="18" t="s">
        <v>819</v>
      </c>
      <c r="C875" s="37">
        <v>132.63300000000001</v>
      </c>
      <c r="D875" s="51"/>
      <c r="E875" s="19" t="str">
        <f>"610377044134"</f>
        <v>610377044134</v>
      </c>
      <c r="F875" s="20">
        <v>1</v>
      </c>
    </row>
    <row r="876" spans="1:6">
      <c r="A876" s="15" t="str">
        <f>"SP0582L50"</f>
        <v>SP0582L50</v>
      </c>
      <c r="B876" s="15" t="s">
        <v>820</v>
      </c>
      <c r="C876" s="36">
        <v>147.06899999999999</v>
      </c>
      <c r="D876" s="51"/>
      <c r="E876" s="16" t="str">
        <f>"610377044141"</f>
        <v>610377044141</v>
      </c>
      <c r="F876" s="17">
        <v>1</v>
      </c>
    </row>
    <row r="877" spans="1:6">
      <c r="A877" s="18" t="str">
        <f>"SP0582L75"</f>
        <v>SP0582L75</v>
      </c>
      <c r="B877" s="18" t="s">
        <v>821</v>
      </c>
      <c r="C877" s="37">
        <v>155.73599999999999</v>
      </c>
      <c r="D877" s="51"/>
      <c r="E877" s="19" t="str">
        <f>"610377044158"</f>
        <v>610377044158</v>
      </c>
      <c r="F877" s="20">
        <v>1</v>
      </c>
    </row>
    <row r="878" spans="1:6">
      <c r="A878" s="15" t="str">
        <f>"SP0582SL100"</f>
        <v>SP0582SL100</v>
      </c>
      <c r="B878" s="15" t="s">
        <v>817</v>
      </c>
      <c r="C878" s="36">
        <v>180.864</v>
      </c>
      <c r="D878" s="51"/>
      <c r="E878" s="16" t="str">
        <f>"610377044165"</f>
        <v>610377044165</v>
      </c>
      <c r="F878" s="17">
        <v>1</v>
      </c>
    </row>
    <row r="879" spans="1:6">
      <c r="A879" s="18" t="str">
        <f>"SP0582SL15"</f>
        <v>SP0582SL15</v>
      </c>
      <c r="B879" s="18" t="s">
        <v>818</v>
      </c>
      <c r="C879" s="37">
        <v>123.4665</v>
      </c>
      <c r="D879" s="51"/>
      <c r="E879" s="19" t="str">
        <f>"610377044189"</f>
        <v>610377044189</v>
      </c>
      <c r="F879" s="20">
        <v>1</v>
      </c>
    </row>
    <row r="880" spans="1:6">
      <c r="A880" s="15" t="str">
        <f>"SP0582SL30"</f>
        <v>SP0582SL30</v>
      </c>
      <c r="B880" s="15" t="s">
        <v>819</v>
      </c>
      <c r="C880" s="36">
        <v>132.63300000000001</v>
      </c>
      <c r="D880" s="51"/>
      <c r="E880" s="16" t="str">
        <f>"610377044219"</f>
        <v>610377044219</v>
      </c>
      <c r="F880" s="17">
        <v>1</v>
      </c>
    </row>
    <row r="881" spans="1:6">
      <c r="A881" s="18" t="str">
        <f>"SP0582SL50"</f>
        <v>SP0582SL50</v>
      </c>
      <c r="B881" s="18" t="s">
        <v>820</v>
      </c>
      <c r="C881" s="37">
        <v>147.06899999999999</v>
      </c>
      <c r="D881" s="51"/>
      <c r="E881" s="19" t="str">
        <f>"610377044226"</f>
        <v>610377044226</v>
      </c>
      <c r="F881" s="20">
        <v>1</v>
      </c>
    </row>
    <row r="882" spans="1:6">
      <c r="A882" s="15" t="str">
        <f>"SP0582SL75"</f>
        <v>SP0582SL75</v>
      </c>
      <c r="B882" s="15" t="s">
        <v>821</v>
      </c>
      <c r="C882" s="36">
        <v>155.73599999999999</v>
      </c>
      <c r="D882" s="51"/>
      <c r="E882" s="16" t="str">
        <f>"610377044233"</f>
        <v>610377044233</v>
      </c>
      <c r="F882" s="17">
        <v>1</v>
      </c>
    </row>
    <row r="883" spans="1:6">
      <c r="A883" s="18" t="str">
        <f>"SP0583L100"</f>
        <v>SP0583L100</v>
      </c>
      <c r="B883" s="18" t="s">
        <v>822</v>
      </c>
      <c r="C883" s="37">
        <v>189.9855</v>
      </c>
      <c r="D883" s="51"/>
      <c r="E883" s="19" t="str">
        <f>"610377044240"</f>
        <v>610377044240</v>
      </c>
      <c r="F883" s="20">
        <v>1</v>
      </c>
    </row>
    <row r="884" spans="1:6">
      <c r="A884" s="15" t="str">
        <f>"SP0583L15"</f>
        <v>SP0583L15</v>
      </c>
      <c r="B884" s="15" t="s">
        <v>823</v>
      </c>
      <c r="C884" s="36">
        <v>132.20099999999999</v>
      </c>
      <c r="D884" s="51"/>
      <c r="E884" s="16" t="str">
        <f>"610377044264"</f>
        <v>610377044264</v>
      </c>
      <c r="F884" s="17">
        <v>1</v>
      </c>
    </row>
    <row r="885" spans="1:6">
      <c r="A885" s="18" t="str">
        <f>"SP0583L30"</f>
        <v>SP0583L30</v>
      </c>
      <c r="B885" s="18" t="s">
        <v>824</v>
      </c>
      <c r="C885" s="37">
        <v>143.53649999999999</v>
      </c>
      <c r="D885" s="51"/>
      <c r="E885" s="19" t="str">
        <f>"610377044295"</f>
        <v>610377044295</v>
      </c>
      <c r="F885" s="20">
        <v>1</v>
      </c>
    </row>
    <row r="886" spans="1:6">
      <c r="A886" s="15" t="str">
        <f>"SP0583L50"</f>
        <v>SP0583L50</v>
      </c>
      <c r="B886" s="15" t="s">
        <v>825</v>
      </c>
      <c r="C886" s="36">
        <v>155.84399999999999</v>
      </c>
      <c r="D886" s="51"/>
      <c r="E886" s="16" t="str">
        <f>"610377044301"</f>
        <v>610377044301</v>
      </c>
      <c r="F886" s="17">
        <v>1</v>
      </c>
    </row>
    <row r="887" spans="1:6">
      <c r="A887" s="18" t="str">
        <f>"SP0583L75"</f>
        <v>SP0583L75</v>
      </c>
      <c r="B887" s="18" t="s">
        <v>826</v>
      </c>
      <c r="C887" s="37">
        <v>173.583</v>
      </c>
      <c r="D887" s="51"/>
      <c r="E887" s="19" t="str">
        <f>"610377044318"</f>
        <v>610377044318</v>
      </c>
      <c r="F887" s="20">
        <v>1</v>
      </c>
    </row>
    <row r="888" spans="1:6">
      <c r="A888" s="15" t="str">
        <f>"SP0583SL100"</f>
        <v>SP0583SL100</v>
      </c>
      <c r="B888" s="15" t="s">
        <v>822</v>
      </c>
      <c r="C888" s="36">
        <v>189.9855</v>
      </c>
      <c r="D888" s="51"/>
      <c r="E888" s="16" t="str">
        <f>"610377044325"</f>
        <v>610377044325</v>
      </c>
      <c r="F888" s="17">
        <v>1</v>
      </c>
    </row>
    <row r="889" spans="1:6">
      <c r="A889" s="18" t="str">
        <f>"SP0583SL15"</f>
        <v>SP0583SL15</v>
      </c>
      <c r="B889" s="18" t="s">
        <v>823</v>
      </c>
      <c r="C889" s="37">
        <v>132.20099999999999</v>
      </c>
      <c r="D889" s="51"/>
      <c r="E889" s="19" t="str">
        <f>"610377044356"</f>
        <v>610377044356</v>
      </c>
      <c r="F889" s="20">
        <v>1</v>
      </c>
    </row>
    <row r="890" spans="1:6">
      <c r="A890" s="15" t="str">
        <f>"SP0583SL150"</f>
        <v>SP0583SL150</v>
      </c>
      <c r="B890" s="15" t="s">
        <v>827</v>
      </c>
      <c r="C890" s="36">
        <v>245.48400000000001</v>
      </c>
      <c r="D890" s="51"/>
      <c r="E890" s="16" t="str">
        <f>"610377202343"</f>
        <v>610377202343</v>
      </c>
      <c r="F890" s="17">
        <v>1</v>
      </c>
    </row>
    <row r="891" spans="1:6">
      <c r="A891" s="18" t="str">
        <f>"SP0583SL30"</f>
        <v>SP0583SL30</v>
      </c>
      <c r="B891" s="18" t="s">
        <v>824</v>
      </c>
      <c r="C891" s="37">
        <v>143.53649999999999</v>
      </c>
      <c r="D891" s="51"/>
      <c r="E891" s="19" t="str">
        <f>"610377044370"</f>
        <v>610377044370</v>
      </c>
      <c r="F891" s="20">
        <v>1</v>
      </c>
    </row>
    <row r="892" spans="1:6">
      <c r="A892" s="15" t="str">
        <f>"SP0583SL50"</f>
        <v>SP0583SL50</v>
      </c>
      <c r="B892" s="15" t="s">
        <v>825</v>
      </c>
      <c r="C892" s="36">
        <v>155.84399999999999</v>
      </c>
      <c r="D892" s="51"/>
      <c r="E892" s="16" t="str">
        <f>"610377044387"</f>
        <v>610377044387</v>
      </c>
      <c r="F892" s="17">
        <v>1</v>
      </c>
    </row>
    <row r="893" spans="1:6">
      <c r="A893" s="18" t="str">
        <f>"SP0583SL75"</f>
        <v>SP0583SL75</v>
      </c>
      <c r="B893" s="18" t="s">
        <v>826</v>
      </c>
      <c r="C893" s="37">
        <v>173.583</v>
      </c>
      <c r="D893" s="51"/>
      <c r="E893" s="19" t="str">
        <f>"610377044394"</f>
        <v>610377044394</v>
      </c>
      <c r="F893" s="20">
        <v>1</v>
      </c>
    </row>
    <row r="894" spans="1:6">
      <c r="A894" s="15" t="str">
        <f>"SP0583SLB100"</f>
        <v>SP0583SLB100</v>
      </c>
      <c r="B894" s="15" t="s">
        <v>828</v>
      </c>
      <c r="C894" s="36">
        <v>205.04249999999999</v>
      </c>
      <c r="D894" s="51"/>
      <c r="E894" s="16" t="str">
        <f>"610377791212"</f>
        <v>610377791212</v>
      </c>
      <c r="F894" s="17">
        <v>1</v>
      </c>
    </row>
    <row r="895" spans="1:6">
      <c r="A895" s="18" t="str">
        <f>"SP0583SLB30"</f>
        <v>SP0583SLB30</v>
      </c>
      <c r="B895" s="18" t="s">
        <v>829</v>
      </c>
      <c r="C895" s="37">
        <v>157.47300000000001</v>
      </c>
      <c r="D895" s="51"/>
      <c r="E895" s="19" t="str">
        <f>"610377791199"</f>
        <v>610377791199</v>
      </c>
      <c r="F895" s="20">
        <v>1</v>
      </c>
    </row>
    <row r="896" spans="1:6" ht="16" thickBot="1">
      <c r="A896" s="21" t="str">
        <f>"SP0583SLB50"</f>
        <v>SP0583SLB50</v>
      </c>
      <c r="B896" s="21" t="s">
        <v>830</v>
      </c>
      <c r="C896" s="38">
        <v>170.982</v>
      </c>
      <c r="D896" s="52"/>
      <c r="E896" s="22" t="str">
        <f>"610377791205"</f>
        <v>610377791205</v>
      </c>
      <c r="F896" s="23">
        <v>1</v>
      </c>
    </row>
    <row r="897" spans="1:6" ht="16" thickTop="1">
      <c r="A897" s="12" t="str">
        <f>"SP0584SL100"</f>
        <v>SP0584SL100</v>
      </c>
      <c r="B897" s="12" t="s">
        <v>831</v>
      </c>
      <c r="C897" s="35">
        <v>185.85</v>
      </c>
      <c r="D897" s="50"/>
      <c r="E897" s="13" t="str">
        <f>"610377791151"</f>
        <v>610377791151</v>
      </c>
      <c r="F897" s="14">
        <v>1</v>
      </c>
    </row>
    <row r="898" spans="1:6">
      <c r="A898" s="15" t="str">
        <f>"SP0584SL30"</f>
        <v>SP0584SL30</v>
      </c>
      <c r="B898" s="15" t="s">
        <v>832</v>
      </c>
      <c r="C898" s="36">
        <v>137.59649999999999</v>
      </c>
      <c r="D898" s="51"/>
      <c r="E898" s="16" t="str">
        <f>"610377791137"</f>
        <v>610377791137</v>
      </c>
      <c r="F898" s="17">
        <v>1</v>
      </c>
    </row>
    <row r="899" spans="1:6">
      <c r="A899" s="18" t="str">
        <f>"SP0584SL50"</f>
        <v>SP0584SL50</v>
      </c>
      <c r="B899" s="18" t="s">
        <v>833</v>
      </c>
      <c r="C899" s="37">
        <v>144.07650000000001</v>
      </c>
      <c r="D899" s="51"/>
      <c r="E899" s="19" t="str">
        <f>"610377791144"</f>
        <v>610377791144</v>
      </c>
      <c r="F899" s="20">
        <v>1</v>
      </c>
    </row>
    <row r="900" spans="1:6">
      <c r="A900" s="15" t="str">
        <f>"SP0584SL75"</f>
        <v>SP0584SL75</v>
      </c>
      <c r="B900" s="15" t="s">
        <v>834</v>
      </c>
      <c r="C900" s="36">
        <v>157.94999999999999</v>
      </c>
      <c r="D900" s="51"/>
      <c r="E900" s="16" t="str">
        <f>"610377047524"</f>
        <v>610377047524</v>
      </c>
      <c r="F900" s="17">
        <v>1</v>
      </c>
    </row>
    <row r="901" spans="1:6">
      <c r="A901" s="18" t="str">
        <f>"SP0584SLB100"</f>
        <v>SP0584SLB100</v>
      </c>
      <c r="B901" s="18" t="s">
        <v>835</v>
      </c>
      <c r="C901" s="37">
        <v>198.78299999999999</v>
      </c>
      <c r="D901" s="51"/>
      <c r="E901" s="19" t="str">
        <f>"610377791168"</f>
        <v>610377791168</v>
      </c>
      <c r="F901" s="20">
        <v>1</v>
      </c>
    </row>
    <row r="902" spans="1:6">
      <c r="A902" s="15" t="str">
        <f>"SP0584SLB30"</f>
        <v>SP0584SLB30</v>
      </c>
      <c r="B902" s="15" t="s">
        <v>836</v>
      </c>
      <c r="C902" s="36">
        <v>150.40350000000001</v>
      </c>
      <c r="D902" s="51"/>
      <c r="E902" s="16" t="str">
        <f>"610377791182"</f>
        <v>610377791182</v>
      </c>
      <c r="F902" s="17">
        <v>1</v>
      </c>
    </row>
    <row r="903" spans="1:6">
      <c r="A903" s="18" t="str">
        <f>"SP0584SLB50"</f>
        <v>SP0584SLB50</v>
      </c>
      <c r="B903" s="18" t="s">
        <v>837</v>
      </c>
      <c r="C903" s="37">
        <v>162.71549999999999</v>
      </c>
      <c r="D903" s="51"/>
      <c r="E903" s="19" t="str">
        <f>"610377791175"</f>
        <v>610377791175</v>
      </c>
      <c r="F903" s="20">
        <v>1</v>
      </c>
    </row>
    <row r="904" spans="1:6">
      <c r="A904" s="15" t="str">
        <f>"SP0584SLB75"</f>
        <v>SP0584SLB75</v>
      </c>
      <c r="B904" s="15" t="s">
        <v>838</v>
      </c>
      <c r="C904" s="36">
        <v>170.7705</v>
      </c>
      <c r="D904" s="51"/>
      <c r="E904" s="16" t="str">
        <f>"610377877510"</f>
        <v>610377877510</v>
      </c>
      <c r="F904" s="17">
        <v>1</v>
      </c>
    </row>
    <row r="905" spans="1:6">
      <c r="A905" s="18" t="str">
        <f>"SP0590HSL100"</f>
        <v>SP0590HSL100</v>
      </c>
      <c r="B905" s="18" t="s">
        <v>839</v>
      </c>
      <c r="C905" s="37">
        <v>168.822</v>
      </c>
      <c r="D905" s="51"/>
      <c r="E905" s="19" t="str">
        <f>"610377206327"</f>
        <v>610377206327</v>
      </c>
      <c r="F905" s="20">
        <v>1</v>
      </c>
    </row>
    <row r="906" spans="1:6">
      <c r="A906" s="15" t="str">
        <f>"SP0590HSL15"</f>
        <v>SP0590HSL15</v>
      </c>
      <c r="B906" s="15" t="s">
        <v>840</v>
      </c>
      <c r="C906" s="36">
        <v>118.5615</v>
      </c>
      <c r="D906" s="51"/>
      <c r="E906" s="16" t="str">
        <f>"610377197267"</f>
        <v>610377197267</v>
      </c>
      <c r="F906" s="17">
        <v>1</v>
      </c>
    </row>
    <row r="907" spans="1:6">
      <c r="A907" s="18" t="str">
        <f>"SP0590HSL30"</f>
        <v>SP0590HSL30</v>
      </c>
      <c r="B907" s="18" t="s">
        <v>841</v>
      </c>
      <c r="C907" s="37">
        <v>130.11750000000001</v>
      </c>
      <c r="D907" s="51"/>
      <c r="E907" s="19" t="str">
        <f>"610377197274"</f>
        <v>610377197274</v>
      </c>
      <c r="F907" s="20">
        <v>1</v>
      </c>
    </row>
    <row r="908" spans="1:6">
      <c r="A908" s="15" t="str">
        <f>"SP0590HSL50"</f>
        <v>SP0590HSL50</v>
      </c>
      <c r="B908" s="15" t="s">
        <v>842</v>
      </c>
      <c r="C908" s="36">
        <v>140.35499999999999</v>
      </c>
      <c r="D908" s="51"/>
      <c r="E908" s="16" t="str">
        <f>"610377197281"</f>
        <v>610377197281</v>
      </c>
      <c r="F908" s="17">
        <v>1</v>
      </c>
    </row>
    <row r="909" spans="1:6">
      <c r="A909" s="18" t="str">
        <f>"SP0590HSL75"</f>
        <v>SP0590HSL75</v>
      </c>
      <c r="B909" s="18" t="s">
        <v>843</v>
      </c>
      <c r="C909" s="37">
        <v>155.745</v>
      </c>
      <c r="D909" s="51"/>
      <c r="E909" s="19" t="str">
        <f>"610377206310"</f>
        <v>610377206310</v>
      </c>
      <c r="F909" s="20">
        <v>1</v>
      </c>
    </row>
    <row r="910" spans="1:6">
      <c r="A910" s="15" t="str">
        <f>"SP0590SL100"</f>
        <v>SP0590SL100</v>
      </c>
      <c r="B910" s="15" t="s">
        <v>844</v>
      </c>
      <c r="C910" s="36">
        <v>165.89250000000001</v>
      </c>
      <c r="D910" s="51"/>
      <c r="E910" s="16" t="str">
        <f>"610377206303"</f>
        <v>610377206303</v>
      </c>
      <c r="F910" s="17">
        <v>1</v>
      </c>
    </row>
    <row r="911" spans="1:6">
      <c r="A911" s="18" t="str">
        <f>"SP0590SL15"</f>
        <v>SP0590SL15</v>
      </c>
      <c r="B911" s="18" t="s">
        <v>845</v>
      </c>
      <c r="C911" s="37">
        <v>116.676</v>
      </c>
      <c r="D911" s="51"/>
      <c r="E911" s="19" t="str">
        <f>"610377197199"</f>
        <v>610377197199</v>
      </c>
      <c r="F911" s="20">
        <v>1</v>
      </c>
    </row>
    <row r="912" spans="1:6">
      <c r="A912" s="15" t="str">
        <f>"SP0590SL30"</f>
        <v>SP0590SL30</v>
      </c>
      <c r="B912" s="15" t="s">
        <v>846</v>
      </c>
      <c r="C912" s="36">
        <v>124.5645</v>
      </c>
      <c r="D912" s="51"/>
      <c r="E912" s="16" t="str">
        <f>"610377197205"</f>
        <v>610377197205</v>
      </c>
      <c r="F912" s="17">
        <v>1</v>
      </c>
    </row>
    <row r="913" spans="1:6">
      <c r="A913" s="18" t="str">
        <f>"SP0590SL50"</f>
        <v>SP0590SL50</v>
      </c>
      <c r="B913" s="18" t="s">
        <v>847</v>
      </c>
      <c r="C913" s="37">
        <v>137.0205</v>
      </c>
      <c r="D913" s="51"/>
      <c r="E913" s="19" t="str">
        <f>"610377197212"</f>
        <v>610377197212</v>
      </c>
      <c r="F913" s="20">
        <v>1</v>
      </c>
    </row>
    <row r="914" spans="1:6">
      <c r="A914" s="15" t="str">
        <f>"SP0590SL75"</f>
        <v>SP0590SL75</v>
      </c>
      <c r="B914" s="15" t="s">
        <v>848</v>
      </c>
      <c r="C914" s="36">
        <v>152.631</v>
      </c>
      <c r="D914" s="51"/>
      <c r="E914" s="16" t="str">
        <f>"610377206297"</f>
        <v>610377206297</v>
      </c>
      <c r="F914" s="17">
        <v>1</v>
      </c>
    </row>
    <row r="915" spans="1:6">
      <c r="A915" s="18" t="str">
        <f>"SP0591HSL100"</f>
        <v>SP0591HSL100</v>
      </c>
      <c r="B915" s="18" t="s">
        <v>849</v>
      </c>
      <c r="C915" s="37">
        <v>171.89099999999999</v>
      </c>
      <c r="D915" s="51"/>
      <c r="E915" s="19" t="str">
        <f>"610377197328"</f>
        <v>610377197328</v>
      </c>
      <c r="F915" s="20">
        <v>1</v>
      </c>
    </row>
    <row r="916" spans="1:6">
      <c r="A916" s="15" t="str">
        <f>"SP0591HSL30"</f>
        <v>SP0591HSL30</v>
      </c>
      <c r="B916" s="15" t="s">
        <v>850</v>
      </c>
      <c r="C916" s="36">
        <v>123.345</v>
      </c>
      <c r="D916" s="51"/>
      <c r="E916" s="16" t="str">
        <f>"610377197304"</f>
        <v>610377197304</v>
      </c>
      <c r="F916" s="17">
        <v>1</v>
      </c>
    </row>
    <row r="917" spans="1:6">
      <c r="A917" s="18" t="str">
        <f>"SP0591HSL50"</f>
        <v>SP0591HSL50</v>
      </c>
      <c r="B917" s="18" t="s">
        <v>851</v>
      </c>
      <c r="C917" s="37">
        <v>139.35599999999999</v>
      </c>
      <c r="D917" s="51"/>
      <c r="E917" s="19" t="str">
        <f>"610377197311"</f>
        <v>610377197311</v>
      </c>
      <c r="F917" s="20">
        <v>1</v>
      </c>
    </row>
    <row r="918" spans="1:6">
      <c r="A918" s="15" t="str">
        <f>"SP0591HSL75"</f>
        <v>SP0591HSL75</v>
      </c>
      <c r="B918" s="15" t="s">
        <v>852</v>
      </c>
      <c r="C918" s="36">
        <v>155.64599999999999</v>
      </c>
      <c r="D918" s="51"/>
      <c r="E918" s="16" t="str">
        <f>"610377205078"</f>
        <v>610377205078</v>
      </c>
      <c r="F918" s="17">
        <v>1</v>
      </c>
    </row>
    <row r="919" spans="1:6">
      <c r="A919" s="18" t="str">
        <f>"SP0591SL100"</f>
        <v>SP0591SL100</v>
      </c>
      <c r="B919" s="18" t="s">
        <v>853</v>
      </c>
      <c r="C919" s="37">
        <v>166.55850000000001</v>
      </c>
      <c r="D919" s="51"/>
      <c r="E919" s="19" t="str">
        <f>"610377197250"</f>
        <v>610377197250</v>
      </c>
      <c r="F919" s="20">
        <v>1</v>
      </c>
    </row>
    <row r="920" spans="1:6">
      <c r="A920" s="15" t="str">
        <f>"SP0591SL150"</f>
        <v>SP0591SL150</v>
      </c>
      <c r="B920" s="15" t="s">
        <v>854</v>
      </c>
      <c r="C920" s="36">
        <v>218.99250000000001</v>
      </c>
      <c r="D920" s="51"/>
      <c r="E920" s="16" t="str">
        <f>"610377215145"</f>
        <v>610377215145</v>
      </c>
      <c r="F920" s="17">
        <v>1</v>
      </c>
    </row>
    <row r="921" spans="1:6">
      <c r="A921" s="18" t="str">
        <f>"SP0591SL30"</f>
        <v>SP0591SL30</v>
      </c>
      <c r="B921" s="18" t="s">
        <v>855</v>
      </c>
      <c r="C921" s="37">
        <v>122.7015</v>
      </c>
      <c r="D921" s="51"/>
      <c r="E921" s="19" t="str">
        <f>"610377197236"</f>
        <v>610377197236</v>
      </c>
      <c r="F921" s="20">
        <v>1</v>
      </c>
    </row>
    <row r="922" spans="1:6">
      <c r="A922" s="15" t="str">
        <f>"SP0591SL50"</f>
        <v>SP0591SL50</v>
      </c>
      <c r="B922" s="15" t="s">
        <v>856</v>
      </c>
      <c r="C922" s="36">
        <v>135.49950000000001</v>
      </c>
      <c r="D922" s="51"/>
      <c r="E922" s="16" t="str">
        <f>"610377197243"</f>
        <v>610377197243</v>
      </c>
      <c r="F922" s="17">
        <v>1</v>
      </c>
    </row>
    <row r="923" spans="1:6">
      <c r="A923" s="18" t="str">
        <f>"SP0591SL75"</f>
        <v>SP0591SL75</v>
      </c>
      <c r="B923" s="18" t="s">
        <v>857</v>
      </c>
      <c r="C923" s="37">
        <v>157.87350000000001</v>
      </c>
      <c r="D923" s="51"/>
      <c r="E923" s="19" t="str">
        <f>"610377205061"</f>
        <v>610377205061</v>
      </c>
      <c r="F923" s="20">
        <v>1</v>
      </c>
    </row>
    <row r="924" spans="1:6">
      <c r="A924" s="15" t="str">
        <f>"SP0592HSL100"</f>
        <v>SP0592HSL100</v>
      </c>
      <c r="B924" s="15" t="s">
        <v>858</v>
      </c>
      <c r="C924" s="36">
        <v>173.30850000000001</v>
      </c>
      <c r="D924" s="51"/>
      <c r="E924" s="16" t="str">
        <f>"610377197366"</f>
        <v>610377197366</v>
      </c>
      <c r="F924" s="17">
        <v>1</v>
      </c>
    </row>
    <row r="925" spans="1:6">
      <c r="A925" s="18" t="str">
        <f>"SP0592HSL30"</f>
        <v>SP0592HSL30</v>
      </c>
      <c r="B925" s="18" t="s">
        <v>859</v>
      </c>
      <c r="C925" s="37">
        <v>124.164</v>
      </c>
      <c r="D925" s="51"/>
      <c r="E925" s="19" t="str">
        <f>"610377197342"</f>
        <v>610377197342</v>
      </c>
      <c r="F925" s="20">
        <v>1</v>
      </c>
    </row>
    <row r="926" spans="1:6">
      <c r="A926" s="15" t="str">
        <f>"SP0592HSL50"</f>
        <v>SP0592HSL50</v>
      </c>
      <c r="B926" s="15" t="s">
        <v>860</v>
      </c>
      <c r="C926" s="36">
        <v>141.67349999999999</v>
      </c>
      <c r="D926" s="51"/>
      <c r="E926" s="16" t="str">
        <f>"610377197359"</f>
        <v>610377197359</v>
      </c>
      <c r="F926" s="17">
        <v>1</v>
      </c>
    </row>
    <row r="927" spans="1:6">
      <c r="A927" s="18" t="str">
        <f>"SP0592HSL75"</f>
        <v>SP0592HSL75</v>
      </c>
      <c r="B927" s="18" t="s">
        <v>861</v>
      </c>
      <c r="C927" s="37">
        <v>157.87350000000001</v>
      </c>
      <c r="D927" s="51"/>
      <c r="E927" s="19" t="str">
        <f>"610377205085"</f>
        <v>610377205085</v>
      </c>
      <c r="F927" s="20">
        <v>1</v>
      </c>
    </row>
    <row r="928" spans="1:6">
      <c r="A928" s="15" t="str">
        <f>"SP0600U"</f>
        <v>SP0600U</v>
      </c>
      <c r="B928" s="15" t="s">
        <v>862</v>
      </c>
      <c r="C928" s="36">
        <v>38.97</v>
      </c>
      <c r="D928" s="51"/>
      <c r="E928" s="16" t="str">
        <f>"610377620352"</f>
        <v>610377620352</v>
      </c>
      <c r="F928" s="17">
        <v>1</v>
      </c>
    </row>
    <row r="929" spans="1:6">
      <c r="A929" s="18" t="str">
        <f>"SP0601U"</f>
        <v>SP0601U</v>
      </c>
      <c r="B929" s="18" t="s">
        <v>863</v>
      </c>
      <c r="C929" s="37">
        <v>34.991999999999997</v>
      </c>
      <c r="D929" s="51"/>
      <c r="E929" s="19" t="str">
        <f>"610377620376"</f>
        <v>610377620376</v>
      </c>
      <c r="F929" s="20">
        <v>1</v>
      </c>
    </row>
    <row r="930" spans="1:6">
      <c r="A930" s="15" t="str">
        <f>"SP0604C"</f>
        <v>SP0604C</v>
      </c>
      <c r="B930" s="15" t="s">
        <v>864</v>
      </c>
      <c r="C930" s="36">
        <v>57.087000000000003</v>
      </c>
      <c r="D930" s="51"/>
      <c r="E930" s="16" t="str">
        <f>"610377771078"</f>
        <v>610377771078</v>
      </c>
      <c r="F930" s="17">
        <v>1</v>
      </c>
    </row>
    <row r="931" spans="1:6">
      <c r="A931" s="18" t="str">
        <f>"SP0604C1"</f>
        <v>SP0604C1</v>
      </c>
      <c r="B931" s="18" t="s">
        <v>865</v>
      </c>
      <c r="C931" s="37">
        <v>59.345999999999997</v>
      </c>
      <c r="D931" s="51"/>
      <c r="E931" s="19" t="str">
        <f>"610377869386"</f>
        <v>610377869386</v>
      </c>
      <c r="F931" s="20">
        <v>1</v>
      </c>
    </row>
    <row r="932" spans="1:6">
      <c r="A932" s="15" t="str">
        <f>"SP0604C4"</f>
        <v>SP0604C4</v>
      </c>
      <c r="B932" s="15" t="s">
        <v>866</v>
      </c>
      <c r="C932" s="36">
        <v>57.838500000000003</v>
      </c>
      <c r="D932" s="51"/>
      <c r="E932" s="16" t="str">
        <f>"610377869348"</f>
        <v>610377869348</v>
      </c>
      <c r="F932" s="17">
        <v>1</v>
      </c>
    </row>
    <row r="933" spans="1:6">
      <c r="A933" s="18" t="str">
        <f>"SP0606C"</f>
        <v>SP0606C</v>
      </c>
      <c r="B933" s="18" t="s">
        <v>867</v>
      </c>
      <c r="C933" s="37">
        <v>49.261499999999998</v>
      </c>
      <c r="D933" s="51"/>
      <c r="E933" s="19" t="str">
        <f>"610377771085"</f>
        <v>610377771085</v>
      </c>
      <c r="F933" s="20">
        <v>1</v>
      </c>
    </row>
    <row r="934" spans="1:6">
      <c r="A934" s="15" t="str">
        <f>"SP0606C1"</f>
        <v>SP0606C1</v>
      </c>
      <c r="B934" s="15" t="s">
        <v>868</v>
      </c>
      <c r="C934" s="36">
        <v>49.594499999999996</v>
      </c>
      <c r="D934" s="51"/>
      <c r="E934" s="16" t="str">
        <f>"610377869393"</f>
        <v>610377869393</v>
      </c>
      <c r="F934" s="17">
        <v>1</v>
      </c>
    </row>
    <row r="935" spans="1:6">
      <c r="A935" s="18" t="str">
        <f>"SP0606C4"</f>
        <v>SP0606C4</v>
      </c>
      <c r="B935" s="18" t="s">
        <v>869</v>
      </c>
      <c r="C935" s="37">
        <v>49.261499999999998</v>
      </c>
      <c r="D935" s="51"/>
      <c r="E935" s="19" t="str">
        <f>"610377869355"</f>
        <v>610377869355</v>
      </c>
      <c r="F935" s="20">
        <v>1</v>
      </c>
    </row>
    <row r="936" spans="1:6">
      <c r="A936" s="15" t="str">
        <f>"SP0607U"</f>
        <v>SP0607U</v>
      </c>
      <c r="B936" s="15" t="s">
        <v>870</v>
      </c>
      <c r="C936" s="36">
        <v>71.689499999999995</v>
      </c>
      <c r="D936" s="51"/>
      <c r="E936" s="16" t="str">
        <f>"610377620369"</f>
        <v>610377620369</v>
      </c>
      <c r="F936" s="17">
        <v>1</v>
      </c>
    </row>
    <row r="937" spans="1:6">
      <c r="A937" s="18" t="str">
        <f>"SP0607UDGR"</f>
        <v>SP0607UDGR</v>
      </c>
      <c r="B937" s="18" t="s">
        <v>871</v>
      </c>
      <c r="C937" s="37">
        <v>67.522499999999994</v>
      </c>
      <c r="D937" s="51"/>
      <c r="E937" s="19" t="str">
        <f>"610377142649"</f>
        <v>610377142649</v>
      </c>
      <c r="F937" s="20">
        <v>1</v>
      </c>
    </row>
    <row r="938" spans="1:6">
      <c r="A938" s="15" t="str">
        <f>"SP0608U"</f>
        <v>SP0608U</v>
      </c>
      <c r="B938" s="15" t="s">
        <v>872</v>
      </c>
      <c r="C938" s="36">
        <v>51.079500000000003</v>
      </c>
      <c r="D938" s="51"/>
      <c r="E938" s="16" t="str">
        <f>"610377081818"</f>
        <v>610377081818</v>
      </c>
      <c r="F938" s="17">
        <v>1</v>
      </c>
    </row>
    <row r="939" spans="1:6">
      <c r="A939" s="18" t="str">
        <f>"SP0608UDGR"</f>
        <v>SP0608UDGR</v>
      </c>
      <c r="B939" s="18" t="s">
        <v>873</v>
      </c>
      <c r="C939" s="37">
        <v>48.177</v>
      </c>
      <c r="D939" s="51"/>
      <c r="E939" s="19" t="str">
        <f>"610377142557"</f>
        <v>610377142557</v>
      </c>
      <c r="F939" s="20">
        <v>1</v>
      </c>
    </row>
    <row r="940" spans="1:6">
      <c r="A940" s="15" t="str">
        <f>"SP0609C"</f>
        <v>SP0609C</v>
      </c>
      <c r="B940" s="15" t="s">
        <v>874</v>
      </c>
      <c r="C940" s="36">
        <v>42.0075</v>
      </c>
      <c r="D940" s="51"/>
      <c r="E940" s="16" t="str">
        <f>"610377788656"</f>
        <v>610377788656</v>
      </c>
      <c r="F940" s="17">
        <v>1</v>
      </c>
    </row>
    <row r="941" spans="1:6">
      <c r="A941" s="18" t="str">
        <f>"SP0610C"</f>
        <v>SP0610C</v>
      </c>
      <c r="B941" s="18" t="s">
        <v>875</v>
      </c>
      <c r="C941" s="37">
        <v>46.457999999999998</v>
      </c>
      <c r="D941" s="51"/>
      <c r="E941" s="19" t="str">
        <f>"610377788694"</f>
        <v>610377788694</v>
      </c>
      <c r="F941" s="20">
        <v>1</v>
      </c>
    </row>
    <row r="942" spans="1:6" ht="16" thickBot="1">
      <c r="A942" s="21" t="str">
        <f>"SP0680"</f>
        <v>SP0680</v>
      </c>
      <c r="B942" s="21" t="s">
        <v>876</v>
      </c>
      <c r="C942" s="38">
        <v>38.915999999999997</v>
      </c>
      <c r="D942" s="52"/>
      <c r="E942" s="22" t="str">
        <f>"610377044424"</f>
        <v>610377044424</v>
      </c>
      <c r="F942" s="23">
        <v>24</v>
      </c>
    </row>
    <row r="943" spans="1:6" ht="16" thickTop="1">
      <c r="A943" s="12" t="str">
        <f>"SP0681"</f>
        <v>SP0681</v>
      </c>
      <c r="B943" s="12" t="s">
        <v>877</v>
      </c>
      <c r="C943" s="35">
        <v>38.915999999999997</v>
      </c>
      <c r="D943" s="50"/>
      <c r="E943" s="13" t="str">
        <f>"610377044431"</f>
        <v>610377044431</v>
      </c>
      <c r="F943" s="14">
        <v>24</v>
      </c>
    </row>
    <row r="944" spans="1:6">
      <c r="A944" s="15" t="str">
        <f>"SP0710X62"</f>
        <v>SP0710X62</v>
      </c>
      <c r="B944" s="15" t="s">
        <v>435</v>
      </c>
      <c r="C944" s="36">
        <v>75.447000000000003</v>
      </c>
      <c r="D944" s="51"/>
      <c r="E944" s="16" t="str">
        <f>"610377044578"</f>
        <v>610377044578</v>
      </c>
      <c r="F944" s="17">
        <v>1</v>
      </c>
    </row>
    <row r="945" spans="1:6">
      <c r="A945" s="18" t="str">
        <f>"SP0710XALL"</f>
        <v>SP0710XALL</v>
      </c>
      <c r="B945" s="18" t="s">
        <v>878</v>
      </c>
      <c r="C945" s="37">
        <v>63.499499999999998</v>
      </c>
      <c r="D945" s="51"/>
      <c r="E945" s="19" t="str">
        <f>"610377044462"</f>
        <v>610377044462</v>
      </c>
      <c r="F945" s="20">
        <v>10</v>
      </c>
    </row>
    <row r="946" spans="1:6">
      <c r="A946" s="15" t="str">
        <f>"SP0710XR50"</f>
        <v>SP0710XR50</v>
      </c>
      <c r="B946" s="15" t="s">
        <v>879</v>
      </c>
      <c r="C946" s="36">
        <v>71.19</v>
      </c>
      <c r="D946" s="51"/>
      <c r="E946" s="16" t="str">
        <f>"610377044479"</f>
        <v>610377044479</v>
      </c>
      <c r="F946" s="17">
        <v>1</v>
      </c>
    </row>
    <row r="947" spans="1:6">
      <c r="A947" s="18" t="str">
        <f>"SP07121"</f>
        <v>SP07121</v>
      </c>
      <c r="B947" s="18" t="s">
        <v>880</v>
      </c>
      <c r="C947" s="37">
        <v>64.718999999999994</v>
      </c>
      <c r="D947" s="51"/>
      <c r="E947" s="19" t="str">
        <f>"610377044646"</f>
        <v>610377044646</v>
      </c>
      <c r="F947" s="20">
        <v>1</v>
      </c>
    </row>
    <row r="948" spans="1:6">
      <c r="A948" s="15" t="str">
        <f>"SP07122"</f>
        <v>SP07122</v>
      </c>
      <c r="B948" s="15" t="s">
        <v>881</v>
      </c>
      <c r="C948" s="36">
        <v>64.718999999999994</v>
      </c>
      <c r="D948" s="51"/>
      <c r="E948" s="16" t="str">
        <f>"610377044653"</f>
        <v>610377044653</v>
      </c>
      <c r="F948" s="17">
        <v>1</v>
      </c>
    </row>
    <row r="949" spans="1:6">
      <c r="A949" s="18" t="str">
        <f>"SP0714T"</f>
        <v>SP0714T</v>
      </c>
      <c r="B949" s="18" t="s">
        <v>882</v>
      </c>
      <c r="C949" s="37">
        <v>64.718999999999994</v>
      </c>
      <c r="D949" s="51"/>
      <c r="E949" s="19" t="str">
        <f>"610377472401"</f>
        <v>610377472401</v>
      </c>
      <c r="F949" s="20">
        <v>1</v>
      </c>
    </row>
    <row r="950" spans="1:6">
      <c r="A950" s="15" t="str">
        <f>"SP0715ALL"</f>
        <v>SP0715ALL</v>
      </c>
      <c r="B950" s="15" t="s">
        <v>883</v>
      </c>
      <c r="C950" s="36">
        <v>91.224000000000004</v>
      </c>
      <c r="D950" s="51"/>
      <c r="E950" s="16" t="str">
        <f>"610377044714"</f>
        <v>610377044714</v>
      </c>
      <c r="F950" s="17">
        <v>8</v>
      </c>
    </row>
    <row r="951" spans="1:6">
      <c r="A951" s="18" t="str">
        <f>"SP0715X62"</f>
        <v>SP0715X62</v>
      </c>
      <c r="B951" s="18" t="s">
        <v>435</v>
      </c>
      <c r="C951" s="37">
        <v>113.13</v>
      </c>
      <c r="D951" s="51"/>
      <c r="E951" s="19" t="str">
        <f>"610377044783"</f>
        <v>610377044783</v>
      </c>
      <c r="F951" s="20">
        <v>1</v>
      </c>
    </row>
    <row r="952" spans="1:6">
      <c r="A952" s="15" t="str">
        <f>"SP0715XR50"</f>
        <v>SP0715XR50</v>
      </c>
      <c r="B952" s="15" t="s">
        <v>884</v>
      </c>
      <c r="C952" s="36">
        <v>113.1615</v>
      </c>
      <c r="D952" s="51"/>
      <c r="E952" s="16" t="str">
        <f>"610377044769"</f>
        <v>610377044769</v>
      </c>
      <c r="F952" s="17">
        <v>1</v>
      </c>
    </row>
    <row r="953" spans="1:6">
      <c r="A953" s="18" t="str">
        <f>"SP071620T"</f>
        <v>SP071620T</v>
      </c>
      <c r="B953" s="18" t="s">
        <v>885</v>
      </c>
      <c r="C953" s="37">
        <v>104.166</v>
      </c>
      <c r="D953" s="51"/>
      <c r="E953" s="19" t="str">
        <f>"610377207430"</f>
        <v>610377207430</v>
      </c>
      <c r="F953" s="20">
        <v>1</v>
      </c>
    </row>
    <row r="954" spans="1:6">
      <c r="A954" s="15" t="str">
        <f>"SP071621"</f>
        <v>SP071621</v>
      </c>
      <c r="B954" s="15" t="s">
        <v>886</v>
      </c>
      <c r="C954" s="36">
        <v>88.600499999999997</v>
      </c>
      <c r="D954" s="51"/>
      <c r="E954" s="16" t="str">
        <f>"610377228701"</f>
        <v>610377228701</v>
      </c>
      <c r="F954" s="17">
        <v>1</v>
      </c>
    </row>
    <row r="955" spans="1:6">
      <c r="A955" s="18" t="str">
        <f>"SP0722"</f>
        <v>SP0722</v>
      </c>
      <c r="B955" s="18" t="s">
        <v>887</v>
      </c>
      <c r="C955" s="37">
        <v>13.2075</v>
      </c>
      <c r="D955" s="51"/>
      <c r="E955" s="19" t="str">
        <f>"610377044929"</f>
        <v>610377044929</v>
      </c>
      <c r="F955" s="20">
        <v>24</v>
      </c>
    </row>
    <row r="956" spans="1:6">
      <c r="A956" s="15" t="str">
        <f>"SP0722PAK"</f>
        <v>SP0722PAK</v>
      </c>
      <c r="B956" s="15" t="s">
        <v>888</v>
      </c>
      <c r="C956" s="36">
        <v>142.67250000000001</v>
      </c>
      <c r="D956" s="51"/>
      <c r="E956" s="16" t="str">
        <f>"610377044936"</f>
        <v>610377044936</v>
      </c>
      <c r="F956" s="17">
        <v>1</v>
      </c>
    </row>
    <row r="957" spans="1:6">
      <c r="A957" s="18" t="str">
        <f>"SP0722S"</f>
        <v>SP0722S</v>
      </c>
      <c r="B957" s="18" t="s">
        <v>889</v>
      </c>
      <c r="C957" s="37">
        <v>13.2075</v>
      </c>
      <c r="D957" s="51"/>
      <c r="E957" s="19" t="str">
        <f>"610377044943"</f>
        <v>610377044943</v>
      </c>
      <c r="F957" s="20">
        <v>24</v>
      </c>
    </row>
    <row r="958" spans="1:6">
      <c r="A958" s="15" t="str">
        <f>"SP0722SPAK"</f>
        <v>SP0722SPAK</v>
      </c>
      <c r="B958" s="15" t="s">
        <v>890</v>
      </c>
      <c r="C958" s="36">
        <v>142.67250000000001</v>
      </c>
      <c r="D958" s="51"/>
      <c r="E958" s="16" t="str">
        <f>"610377044950"</f>
        <v>610377044950</v>
      </c>
      <c r="F958" s="17">
        <v>1</v>
      </c>
    </row>
    <row r="959" spans="1:6">
      <c r="A959" s="18" t="str">
        <f>"SP0723"</f>
        <v>SP0723</v>
      </c>
      <c r="B959" s="18" t="s">
        <v>891</v>
      </c>
      <c r="C959" s="37">
        <v>13.9815</v>
      </c>
      <c r="D959" s="51"/>
      <c r="E959" s="19" t="str">
        <f>"610377044998"</f>
        <v>610377044998</v>
      </c>
      <c r="F959" s="20">
        <v>24</v>
      </c>
    </row>
    <row r="960" spans="1:6">
      <c r="A960" s="15" t="str">
        <f>"SP0723S"</f>
        <v>SP0723S</v>
      </c>
      <c r="B960" s="15" t="s">
        <v>892</v>
      </c>
      <c r="C960" s="36">
        <v>13.9815</v>
      </c>
      <c r="D960" s="51"/>
      <c r="E960" s="16" t="str">
        <f>"610377045001"</f>
        <v>610377045001</v>
      </c>
      <c r="F960" s="17">
        <v>24</v>
      </c>
    </row>
    <row r="961" spans="1:6">
      <c r="A961" s="18" t="str">
        <f>"SP0723UN"</f>
        <v>SP0723UN</v>
      </c>
      <c r="B961" s="18" t="s">
        <v>893</v>
      </c>
      <c r="C961" s="37">
        <v>16.065000000000001</v>
      </c>
      <c r="D961" s="51"/>
      <c r="E961" s="19" t="str">
        <f>"610377045018"</f>
        <v>610377045018</v>
      </c>
      <c r="F961" s="20">
        <v>24</v>
      </c>
    </row>
    <row r="962" spans="1:6">
      <c r="A962" s="15" t="str">
        <f>"SP0724S"</f>
        <v>SP0724S</v>
      </c>
      <c r="B962" s="15" t="s">
        <v>894</v>
      </c>
      <c r="C962" s="36">
        <v>20.321999999999999</v>
      </c>
      <c r="D962" s="51"/>
      <c r="E962" s="16" t="str">
        <f>"610377045056"</f>
        <v>610377045056</v>
      </c>
      <c r="F962" s="17">
        <v>20</v>
      </c>
    </row>
    <row r="963" spans="1:6">
      <c r="A963" s="18" t="str">
        <f>"SP0727"</f>
        <v>SP0727</v>
      </c>
      <c r="B963" s="18" t="s">
        <v>895</v>
      </c>
      <c r="C963" s="37">
        <v>25.0425</v>
      </c>
      <c r="D963" s="51"/>
      <c r="E963" s="19" t="str">
        <f>"610377045100"</f>
        <v>610377045100</v>
      </c>
      <c r="F963" s="20">
        <v>20</v>
      </c>
    </row>
    <row r="964" spans="1:6">
      <c r="A964" s="15" t="str">
        <f>"SP0727CN"</f>
        <v>SP0727CN</v>
      </c>
      <c r="B964" s="15" t="s">
        <v>896</v>
      </c>
      <c r="C964" s="36">
        <v>22.081499999999998</v>
      </c>
      <c r="D964" s="51"/>
      <c r="E964" s="16" t="str">
        <f>"610377045117"</f>
        <v>610377045117</v>
      </c>
      <c r="F964" s="17">
        <v>20</v>
      </c>
    </row>
    <row r="965" spans="1:6">
      <c r="A965" s="18" t="str">
        <f>"SP0729"</f>
        <v>SP0729</v>
      </c>
      <c r="B965" s="18" t="s">
        <v>897</v>
      </c>
      <c r="C965" s="37">
        <v>11.933999999999999</v>
      </c>
      <c r="D965" s="51"/>
      <c r="E965" s="19" t="str">
        <f>"610377045131"</f>
        <v>610377045131</v>
      </c>
      <c r="F965" s="20">
        <v>24</v>
      </c>
    </row>
    <row r="966" spans="1:6">
      <c r="A966" s="15" t="str">
        <f>"SP0730"</f>
        <v>SP0730</v>
      </c>
      <c r="B966" s="15" t="s">
        <v>898</v>
      </c>
      <c r="C966" s="36">
        <v>29.619</v>
      </c>
      <c r="D966" s="51"/>
      <c r="E966" s="16" t="str">
        <f>"610377045148"</f>
        <v>610377045148</v>
      </c>
      <c r="F966" s="17">
        <v>20</v>
      </c>
    </row>
    <row r="967" spans="1:6">
      <c r="A967" s="18" t="str">
        <f>"SP0735"</f>
        <v>SP0735</v>
      </c>
      <c r="B967" s="18" t="s">
        <v>899</v>
      </c>
      <c r="C967" s="37">
        <v>29.830500000000001</v>
      </c>
      <c r="D967" s="51"/>
      <c r="E967" s="19" t="str">
        <f>"610377045292"</f>
        <v>610377045292</v>
      </c>
      <c r="F967" s="20">
        <v>20</v>
      </c>
    </row>
    <row r="968" spans="1:6">
      <c r="A968" s="15" t="str">
        <f>"SP0735S"</f>
        <v>SP0735S</v>
      </c>
      <c r="B968" s="15" t="s">
        <v>900</v>
      </c>
      <c r="C968" s="36">
        <v>30.406500000000001</v>
      </c>
      <c r="D968" s="51"/>
      <c r="E968" s="16" t="str">
        <f>"610377045308"</f>
        <v>610377045308</v>
      </c>
      <c r="F968" s="17">
        <v>20</v>
      </c>
    </row>
    <row r="969" spans="1:6">
      <c r="A969" s="18" t="str">
        <f>"SP0740DE"</f>
        <v>SP0740DE</v>
      </c>
      <c r="B969" s="18" t="s">
        <v>901</v>
      </c>
      <c r="C969" s="37">
        <v>113.175</v>
      </c>
      <c r="D969" s="51"/>
      <c r="E969" s="19" t="str">
        <f>"610377045315"</f>
        <v>610377045315</v>
      </c>
      <c r="F969" s="20">
        <v>1</v>
      </c>
    </row>
    <row r="970" spans="1:6">
      <c r="A970" s="15" t="str">
        <f>"SP1019"</f>
        <v>SP1019</v>
      </c>
      <c r="B970" s="15" t="s">
        <v>902</v>
      </c>
      <c r="C970" s="36">
        <v>3.7890000000000001</v>
      </c>
      <c r="D970" s="51"/>
      <c r="E970" s="16" t="str">
        <f>"610377045377"</f>
        <v>610377045377</v>
      </c>
      <c r="F970" s="17">
        <v>50</v>
      </c>
    </row>
    <row r="971" spans="1:6">
      <c r="A971" s="18" t="str">
        <f>"SP1019BA"</f>
        <v>SP1019BA</v>
      </c>
      <c r="B971" s="18" t="s">
        <v>903</v>
      </c>
      <c r="C971" s="37">
        <v>2.214</v>
      </c>
      <c r="D971" s="51"/>
      <c r="E971" s="19" t="str">
        <f>"610377045384"</f>
        <v>610377045384</v>
      </c>
      <c r="F971" s="20">
        <v>100</v>
      </c>
    </row>
    <row r="972" spans="1:6">
      <c r="A972" s="15" t="str">
        <f>"SP1019BLK"</f>
        <v>SP1019BLK</v>
      </c>
      <c r="B972" s="15" t="s">
        <v>904</v>
      </c>
      <c r="C972" s="36">
        <v>3.7890000000000001</v>
      </c>
      <c r="D972" s="51"/>
      <c r="E972" s="16" t="str">
        <f>"610377762083"</f>
        <v>610377762083</v>
      </c>
      <c r="F972" s="17">
        <v>50</v>
      </c>
    </row>
    <row r="973" spans="1:6">
      <c r="A973" s="18" t="str">
        <f>"SP1019GR"</f>
        <v>SP1019GR</v>
      </c>
      <c r="B973" s="18" t="s">
        <v>905</v>
      </c>
      <c r="C973" s="37">
        <v>3.7890000000000001</v>
      </c>
      <c r="D973" s="51"/>
      <c r="E973" s="19" t="str">
        <f>"610377761826"</f>
        <v>610377761826</v>
      </c>
      <c r="F973" s="20">
        <v>50</v>
      </c>
    </row>
    <row r="974" spans="1:6">
      <c r="A974" s="15" t="str">
        <f>"SP1022"</f>
        <v>SP1022</v>
      </c>
      <c r="B974" s="15" t="s">
        <v>906</v>
      </c>
      <c r="C974" s="36">
        <v>2.2725</v>
      </c>
      <c r="D974" s="51"/>
      <c r="E974" s="16" t="str">
        <f>"610377045391"</f>
        <v>610377045391</v>
      </c>
      <c r="F974" s="17">
        <v>50</v>
      </c>
    </row>
    <row r="975" spans="1:6">
      <c r="A975" s="18" t="str">
        <f>"SP102250"</f>
        <v>SP102250</v>
      </c>
      <c r="B975" s="18" t="s">
        <v>907</v>
      </c>
      <c r="C975" s="37">
        <v>93.671999999999997</v>
      </c>
      <c r="D975" s="51"/>
      <c r="E975" s="19" t="str">
        <f>"610377045476"</f>
        <v>610377045476</v>
      </c>
      <c r="F975" s="20">
        <v>1</v>
      </c>
    </row>
    <row r="976" spans="1:6">
      <c r="A976" s="15" t="str">
        <f>"SP1022B"</f>
        <v>SP1022B</v>
      </c>
      <c r="B976" s="15" t="s">
        <v>908</v>
      </c>
      <c r="C976" s="36">
        <v>0.66600000000000004</v>
      </c>
      <c r="D976" s="51"/>
      <c r="E976" s="16" t="str">
        <f>"610377045407"</f>
        <v>610377045407</v>
      </c>
      <c r="F976" s="17">
        <v>100</v>
      </c>
    </row>
    <row r="977" spans="1:6">
      <c r="A977" s="18" t="str">
        <f>"SP1022BBLK"</f>
        <v>SP1022BBLK</v>
      </c>
      <c r="B977" s="18" t="s">
        <v>909</v>
      </c>
      <c r="C977" s="37">
        <v>0.66600000000000004</v>
      </c>
      <c r="D977" s="51"/>
      <c r="E977" s="19" t="str">
        <f>"610377762090"</f>
        <v>610377762090</v>
      </c>
      <c r="F977" s="20">
        <v>100</v>
      </c>
    </row>
    <row r="978" spans="1:6">
      <c r="A978" s="15" t="str">
        <f>"SP1022BGR"</f>
        <v>SP1022BGR</v>
      </c>
      <c r="B978" s="15" t="s">
        <v>910</v>
      </c>
      <c r="C978" s="36">
        <v>0.66600000000000004</v>
      </c>
      <c r="D978" s="51"/>
      <c r="E978" s="16" t="str">
        <f>"610377761833"</f>
        <v>610377761833</v>
      </c>
      <c r="F978" s="17">
        <v>100</v>
      </c>
    </row>
    <row r="979" spans="1:6">
      <c r="A979" s="18" t="str">
        <f>"SP1022BLK"</f>
        <v>SP1022BLK</v>
      </c>
      <c r="B979" s="18" t="s">
        <v>911</v>
      </c>
      <c r="C979" s="37">
        <v>2.2725</v>
      </c>
      <c r="D979" s="51"/>
      <c r="E979" s="19" t="str">
        <f>"610377045414"</f>
        <v>610377045414</v>
      </c>
      <c r="F979" s="20">
        <v>50</v>
      </c>
    </row>
    <row r="980" spans="1:6">
      <c r="A980" s="15" t="str">
        <f>"SP1022C"</f>
        <v>SP1022C</v>
      </c>
      <c r="B980" s="15" t="s">
        <v>912</v>
      </c>
      <c r="C980" s="36">
        <v>0.65249999999999997</v>
      </c>
      <c r="D980" s="51"/>
      <c r="E980" s="16" t="str">
        <f>"610377045421"</f>
        <v>610377045421</v>
      </c>
      <c r="F980" s="17">
        <v>100</v>
      </c>
    </row>
    <row r="981" spans="1:6">
      <c r="A981" s="18" t="str">
        <f>"SP1022C250"</f>
        <v>SP1022C250</v>
      </c>
      <c r="B981" s="18" t="s">
        <v>913</v>
      </c>
      <c r="C981" s="37">
        <v>133.49700000000001</v>
      </c>
      <c r="D981" s="51"/>
      <c r="E981" s="19" t="str">
        <f>"610377229005"</f>
        <v>610377229005</v>
      </c>
      <c r="F981" s="20">
        <v>1</v>
      </c>
    </row>
    <row r="982" spans="1:6">
      <c r="A982" s="15" t="str">
        <f>"SP1022CBLK"</f>
        <v>SP1022CBLK</v>
      </c>
      <c r="B982" s="15" t="s">
        <v>914</v>
      </c>
      <c r="C982" s="36">
        <v>0.65249999999999997</v>
      </c>
      <c r="D982" s="51"/>
      <c r="E982" s="16" t="str">
        <f>"610377762106"</f>
        <v>610377762106</v>
      </c>
      <c r="F982" s="17">
        <v>100</v>
      </c>
    </row>
    <row r="983" spans="1:6">
      <c r="A983" s="18" t="str">
        <f>"SP1022CGR"</f>
        <v>SP1022CGR</v>
      </c>
      <c r="B983" s="18" t="s">
        <v>915</v>
      </c>
      <c r="C983" s="37">
        <v>0.65249999999999997</v>
      </c>
      <c r="D983" s="51"/>
      <c r="E983" s="19" t="str">
        <f>"610377761840"</f>
        <v>610377761840</v>
      </c>
      <c r="F983" s="20">
        <v>100</v>
      </c>
    </row>
    <row r="984" spans="1:6">
      <c r="A984" s="15" t="str">
        <f>"SP1022DGR"</f>
        <v>SP1022DGR</v>
      </c>
      <c r="B984" s="15" t="s">
        <v>916</v>
      </c>
      <c r="C984" s="36">
        <v>2.2725</v>
      </c>
      <c r="D984" s="51"/>
      <c r="E984" s="16" t="str">
        <f>"610377194839"</f>
        <v>610377194839</v>
      </c>
      <c r="F984" s="17">
        <v>50</v>
      </c>
    </row>
    <row r="985" spans="1:6">
      <c r="A985" s="18" t="str">
        <f>"SP1022GR"</f>
        <v>SP1022GR</v>
      </c>
      <c r="B985" s="18" t="s">
        <v>917</v>
      </c>
      <c r="C985" s="37">
        <v>2.2725</v>
      </c>
      <c r="D985" s="51"/>
      <c r="E985" s="19" t="str">
        <f>"610377761857"</f>
        <v>610377761857</v>
      </c>
      <c r="F985" s="20">
        <v>50</v>
      </c>
    </row>
    <row r="986" spans="1:6">
      <c r="A986" s="15" t="str">
        <f>"SP1022INS"</f>
        <v>SP1022INS</v>
      </c>
      <c r="B986" s="15" t="s">
        <v>918</v>
      </c>
      <c r="C986" s="36">
        <v>2.2589999999999999</v>
      </c>
      <c r="D986" s="51"/>
      <c r="E986" s="16" t="str">
        <f>"610377045438"</f>
        <v>610377045438</v>
      </c>
      <c r="F986" s="17">
        <v>50</v>
      </c>
    </row>
    <row r="987" spans="1:6">
      <c r="A987" s="18" t="str">
        <f>"SP1022S"</f>
        <v>SP1022S</v>
      </c>
      <c r="B987" s="18" t="s">
        <v>919</v>
      </c>
      <c r="C987" s="37">
        <v>1.3725000000000001</v>
      </c>
      <c r="D987" s="51"/>
      <c r="E987" s="19" t="str">
        <f>"610377045445"</f>
        <v>610377045445</v>
      </c>
      <c r="F987" s="20">
        <v>50</v>
      </c>
    </row>
    <row r="988" spans="1:6" ht="16" thickBot="1">
      <c r="A988" s="21" t="str">
        <f>"SP1022S2"</f>
        <v>SP1022S2</v>
      </c>
      <c r="B988" s="21" t="s">
        <v>920</v>
      </c>
      <c r="C988" s="38">
        <v>1.728</v>
      </c>
      <c r="D988" s="52"/>
      <c r="E988" s="22" t="str">
        <f>"610377227605"</f>
        <v>610377227605</v>
      </c>
      <c r="F988" s="23">
        <v>50</v>
      </c>
    </row>
    <row r="989" spans="1:6" ht="16" thickTop="1">
      <c r="A989" s="12" t="str">
        <f>"SP1022S2BLK"</f>
        <v>SP1022S2BLK</v>
      </c>
      <c r="B989" s="12" t="s">
        <v>921</v>
      </c>
      <c r="C989" s="35">
        <v>1.728</v>
      </c>
      <c r="D989" s="50"/>
      <c r="E989" s="13" t="str">
        <f>"610377249263"</f>
        <v>610377249263</v>
      </c>
      <c r="F989" s="14">
        <v>1</v>
      </c>
    </row>
    <row r="990" spans="1:6">
      <c r="A990" s="15" t="str">
        <f>"SP1022S2DGR"</f>
        <v>SP1022S2DGR</v>
      </c>
      <c r="B990" s="15" t="s">
        <v>922</v>
      </c>
      <c r="C990" s="36">
        <v>1.728</v>
      </c>
      <c r="D990" s="51"/>
      <c r="E990" s="16" t="str">
        <f>"610377249256"</f>
        <v>610377249256</v>
      </c>
      <c r="F990" s="17">
        <v>1</v>
      </c>
    </row>
    <row r="991" spans="1:6">
      <c r="A991" s="18" t="str">
        <f>"SP1022S2GR"</f>
        <v>SP1022S2GR</v>
      </c>
      <c r="B991" s="18" t="s">
        <v>923</v>
      </c>
      <c r="C991" s="37">
        <v>1.728</v>
      </c>
      <c r="D991" s="51"/>
      <c r="E991" s="19" t="str">
        <f>"610377249249"</f>
        <v>610377249249</v>
      </c>
      <c r="F991" s="20">
        <v>1</v>
      </c>
    </row>
    <row r="992" spans="1:6">
      <c r="A992" s="15" t="str">
        <f>"SP1022S50"</f>
        <v>SP1022S50</v>
      </c>
      <c r="B992" s="15" t="s">
        <v>924</v>
      </c>
      <c r="C992" s="36">
        <v>69.849000000000004</v>
      </c>
      <c r="D992" s="51"/>
      <c r="E992" s="16" t="str">
        <f>"610377045469"</f>
        <v>610377045469</v>
      </c>
      <c r="F992" s="17">
        <v>1</v>
      </c>
    </row>
    <row r="993" spans="1:6">
      <c r="A993" s="18" t="str">
        <f>"SP1022S50BLK"</f>
        <v>SP1022S50BLK</v>
      </c>
      <c r="B993" s="18" t="s">
        <v>925</v>
      </c>
      <c r="C993" s="37">
        <v>69.849000000000004</v>
      </c>
      <c r="D993" s="51"/>
      <c r="E993" s="19" t="str">
        <f>"610377236423"</f>
        <v>610377236423</v>
      </c>
      <c r="F993" s="20">
        <v>1</v>
      </c>
    </row>
    <row r="994" spans="1:6">
      <c r="A994" s="15" t="str">
        <f>"SP1022SBLK"</f>
        <v>SP1022SBLK</v>
      </c>
      <c r="B994" s="15" t="s">
        <v>926</v>
      </c>
      <c r="C994" s="36">
        <v>1.3725000000000001</v>
      </c>
      <c r="D994" s="51"/>
      <c r="E994" s="16" t="str">
        <f>"610377045452"</f>
        <v>610377045452</v>
      </c>
      <c r="F994" s="17">
        <v>50</v>
      </c>
    </row>
    <row r="995" spans="1:6">
      <c r="A995" s="18" t="str">
        <f>"SP1022SDGR"</f>
        <v>SP1022SDGR</v>
      </c>
      <c r="B995" s="18" t="s">
        <v>927</v>
      </c>
      <c r="C995" s="37">
        <v>1.3725000000000001</v>
      </c>
      <c r="D995" s="51"/>
      <c r="E995" s="19" t="str">
        <f>"610377267007"</f>
        <v>610377267007</v>
      </c>
      <c r="F995" s="20">
        <v>50</v>
      </c>
    </row>
    <row r="996" spans="1:6">
      <c r="A996" s="15" t="str">
        <f>"SP1022SGR"</f>
        <v>SP1022SGR</v>
      </c>
      <c r="B996" s="15" t="s">
        <v>928</v>
      </c>
      <c r="C996" s="36">
        <v>1.3725000000000001</v>
      </c>
      <c r="D996" s="51"/>
      <c r="E996" s="16" t="str">
        <f>"610377761864"</f>
        <v>610377761864</v>
      </c>
      <c r="F996" s="17">
        <v>50</v>
      </c>
    </row>
    <row r="997" spans="1:6">
      <c r="A997" s="18" t="str">
        <f>"SP1023"</f>
        <v>SP1023</v>
      </c>
      <c r="B997" s="18" t="s">
        <v>929</v>
      </c>
      <c r="C997" s="37">
        <v>3.8205</v>
      </c>
      <c r="D997" s="51"/>
      <c r="E997" s="19" t="str">
        <f>"610377045483"</f>
        <v>610377045483</v>
      </c>
      <c r="F997" s="20">
        <v>50</v>
      </c>
    </row>
    <row r="998" spans="1:6">
      <c r="A998" s="15" t="str">
        <f>"SP1023BLK"</f>
        <v>SP1023BLK</v>
      </c>
      <c r="B998" s="15" t="s">
        <v>930</v>
      </c>
      <c r="C998" s="36">
        <v>3.8205</v>
      </c>
      <c r="D998" s="51"/>
      <c r="E998" s="16" t="str">
        <f>"610377762113"</f>
        <v>610377762113</v>
      </c>
      <c r="F998" s="17">
        <v>50</v>
      </c>
    </row>
    <row r="999" spans="1:6">
      <c r="A999" s="18" t="str">
        <f>"SP1023DGR"</f>
        <v>SP1023DGR</v>
      </c>
      <c r="B999" s="18" t="s">
        <v>931</v>
      </c>
      <c r="C999" s="37">
        <v>3.8205</v>
      </c>
      <c r="D999" s="51"/>
      <c r="E999" s="19" t="str">
        <f>"610377194822"</f>
        <v>610377194822</v>
      </c>
      <c r="F999" s="20">
        <v>50</v>
      </c>
    </row>
    <row r="1000" spans="1:6">
      <c r="A1000" s="15" t="str">
        <f>"SP1023G"</f>
        <v>SP1023G</v>
      </c>
      <c r="B1000" s="15" t="s">
        <v>932</v>
      </c>
      <c r="C1000" s="36">
        <v>5.508</v>
      </c>
      <c r="D1000" s="51"/>
      <c r="E1000" s="16" t="str">
        <f>"610377045490"</f>
        <v>610377045490</v>
      </c>
      <c r="F1000" s="17">
        <v>50</v>
      </c>
    </row>
    <row r="1001" spans="1:6">
      <c r="A1001" s="18" t="str">
        <f>"SP1023GR"</f>
        <v>SP1023GR</v>
      </c>
      <c r="B1001" s="18" t="s">
        <v>933</v>
      </c>
      <c r="C1001" s="37">
        <v>3.8205</v>
      </c>
      <c r="D1001" s="51"/>
      <c r="E1001" s="19" t="str">
        <f>"610377761871"</f>
        <v>610377761871</v>
      </c>
      <c r="F1001" s="20">
        <v>50</v>
      </c>
    </row>
    <row r="1002" spans="1:6">
      <c r="A1002" s="15" t="str">
        <f>"SP1023S"</f>
        <v>SP1023S</v>
      </c>
      <c r="B1002" s="15" t="s">
        <v>934</v>
      </c>
      <c r="C1002" s="36">
        <v>4.032</v>
      </c>
      <c r="D1002" s="51"/>
      <c r="E1002" s="16" t="str">
        <f>"610377045520"</f>
        <v>610377045520</v>
      </c>
      <c r="F1002" s="17">
        <v>50</v>
      </c>
    </row>
    <row r="1003" spans="1:6">
      <c r="A1003" s="18" t="str">
        <f>"SP1023S2"</f>
        <v>SP1023S2</v>
      </c>
      <c r="B1003" s="18" t="s">
        <v>935</v>
      </c>
      <c r="C1003" s="37">
        <v>4.7430000000000003</v>
      </c>
      <c r="D1003" s="51"/>
      <c r="E1003" s="19" t="str">
        <f>"610377227612"</f>
        <v>610377227612</v>
      </c>
      <c r="F1003" s="20">
        <v>50</v>
      </c>
    </row>
    <row r="1004" spans="1:6">
      <c r="A1004" s="15" t="str">
        <f>"SP1023S2BLK"</f>
        <v>SP1023S2BLK</v>
      </c>
      <c r="B1004" s="15" t="s">
        <v>936</v>
      </c>
      <c r="C1004" s="36">
        <v>4.7430000000000003</v>
      </c>
      <c r="D1004" s="51"/>
      <c r="E1004" s="16" t="str">
        <f>"610377249294"</f>
        <v>610377249294</v>
      </c>
      <c r="F1004" s="17">
        <v>1</v>
      </c>
    </row>
    <row r="1005" spans="1:6">
      <c r="A1005" s="18" t="str">
        <f>"SP1023S2DGR"</f>
        <v>SP1023S2DGR</v>
      </c>
      <c r="B1005" s="18" t="s">
        <v>937</v>
      </c>
      <c r="C1005" s="37">
        <v>4.7430000000000003</v>
      </c>
      <c r="D1005" s="51"/>
      <c r="E1005" s="19" t="str">
        <f>"610377249287"</f>
        <v>610377249287</v>
      </c>
      <c r="F1005" s="20">
        <v>1</v>
      </c>
    </row>
    <row r="1006" spans="1:6">
      <c r="A1006" s="15" t="str">
        <f>"SP1023S2GR"</f>
        <v>SP1023S2GR</v>
      </c>
      <c r="B1006" s="15" t="s">
        <v>938</v>
      </c>
      <c r="C1006" s="36">
        <v>4.7430000000000003</v>
      </c>
      <c r="D1006" s="51"/>
      <c r="E1006" s="16" t="str">
        <f>"610377249270"</f>
        <v>610377249270</v>
      </c>
      <c r="F1006" s="17">
        <v>1</v>
      </c>
    </row>
    <row r="1007" spans="1:6">
      <c r="A1007" s="18" t="str">
        <f>"SP1023SBLK"</f>
        <v>SP1023SBLK</v>
      </c>
      <c r="B1007" s="18" t="s">
        <v>939</v>
      </c>
      <c r="C1007" s="37">
        <v>4.032</v>
      </c>
      <c r="D1007" s="51"/>
      <c r="E1007" s="19" t="str">
        <f>"610377762120"</f>
        <v>610377762120</v>
      </c>
      <c r="F1007" s="20">
        <v>50</v>
      </c>
    </row>
    <row r="1008" spans="1:6">
      <c r="A1008" s="15" t="str">
        <f>"SP1023SGR"</f>
        <v>SP1023SGR</v>
      </c>
      <c r="B1008" s="15" t="s">
        <v>940</v>
      </c>
      <c r="C1008" s="36">
        <v>4.032</v>
      </c>
      <c r="D1008" s="51"/>
      <c r="E1008" s="16" t="str">
        <f>"610377761888"</f>
        <v>610377761888</v>
      </c>
      <c r="F1008" s="17">
        <v>50</v>
      </c>
    </row>
    <row r="1009" spans="1:6">
      <c r="A1009" s="18" t="str">
        <f>"SP1026"</f>
        <v>SP1026</v>
      </c>
      <c r="B1009" s="18" t="s">
        <v>941</v>
      </c>
      <c r="C1009" s="37">
        <v>0.81899999999999995</v>
      </c>
      <c r="D1009" s="51"/>
      <c r="E1009" s="19" t="str">
        <f>"610377045544"</f>
        <v>610377045544</v>
      </c>
      <c r="F1009" s="20">
        <v>50</v>
      </c>
    </row>
    <row r="1010" spans="1:6">
      <c r="A1010" s="15" t="str">
        <f>"SP1026BLK"</f>
        <v>SP1026BLK</v>
      </c>
      <c r="B1010" s="15" t="s">
        <v>942</v>
      </c>
      <c r="C1010" s="36">
        <v>0.81899999999999995</v>
      </c>
      <c r="D1010" s="51"/>
      <c r="E1010" s="16" t="str">
        <f>"610377762137"</f>
        <v>610377762137</v>
      </c>
      <c r="F1010" s="17">
        <v>50</v>
      </c>
    </row>
    <row r="1011" spans="1:6">
      <c r="A1011" s="18" t="str">
        <f>"SP1026GR"</f>
        <v>SP1026GR</v>
      </c>
      <c r="B1011" s="18" t="s">
        <v>943</v>
      </c>
      <c r="C1011" s="37">
        <v>0.81899999999999995</v>
      </c>
      <c r="D1011" s="51"/>
      <c r="E1011" s="19" t="str">
        <f>"610377761895"</f>
        <v>610377761895</v>
      </c>
      <c r="F1011" s="20">
        <v>50</v>
      </c>
    </row>
    <row r="1012" spans="1:6">
      <c r="A1012" s="15" t="str">
        <f>"SP1040"</f>
        <v>SP1040</v>
      </c>
      <c r="B1012" s="15" t="s">
        <v>944</v>
      </c>
      <c r="C1012" s="36">
        <v>5.3639999999999999</v>
      </c>
      <c r="D1012" s="51"/>
      <c r="E1012" s="16" t="str">
        <f>"610377045650"</f>
        <v>610377045650</v>
      </c>
      <c r="F1012" s="17">
        <v>50</v>
      </c>
    </row>
    <row r="1013" spans="1:6">
      <c r="A1013" s="18" t="str">
        <f>"SP1041"</f>
        <v>SP1041</v>
      </c>
      <c r="B1013" s="18" t="s">
        <v>945</v>
      </c>
      <c r="C1013" s="37">
        <v>1.8405</v>
      </c>
      <c r="D1013" s="51"/>
      <c r="E1013" s="19" t="str">
        <f>"610377045667"</f>
        <v>610377045667</v>
      </c>
      <c r="F1013" s="20">
        <v>50</v>
      </c>
    </row>
    <row r="1014" spans="1:6">
      <c r="A1014" s="15" t="str">
        <f>"SP1041100"</f>
        <v>SP1041100</v>
      </c>
      <c r="B1014" s="15" t="s">
        <v>946</v>
      </c>
      <c r="C1014" s="36">
        <v>164.13300000000001</v>
      </c>
      <c r="D1014" s="51"/>
      <c r="E1014" s="16" t="str">
        <f>"610377045674"</f>
        <v>610377045674</v>
      </c>
      <c r="F1014" s="17">
        <v>1</v>
      </c>
    </row>
    <row r="1015" spans="1:6">
      <c r="A1015" s="18" t="str">
        <f>"SP1042"</f>
        <v>SP1042</v>
      </c>
      <c r="B1015" s="18" t="s">
        <v>947</v>
      </c>
      <c r="C1015" s="37">
        <v>3.8205</v>
      </c>
      <c r="D1015" s="51"/>
      <c r="E1015" s="19" t="str">
        <f>"610377045681"</f>
        <v>610377045681</v>
      </c>
      <c r="F1015" s="20">
        <v>50</v>
      </c>
    </row>
    <row r="1016" spans="1:6">
      <c r="A1016" s="15" t="str">
        <f>"SP1044"</f>
        <v>SP1044</v>
      </c>
      <c r="B1016" s="15" t="s">
        <v>948</v>
      </c>
      <c r="C1016" s="36">
        <v>3.5910000000000002</v>
      </c>
      <c r="D1016" s="51"/>
      <c r="E1016" s="16" t="str">
        <f>"610377237000"</f>
        <v>610377237000</v>
      </c>
      <c r="F1016" s="17">
        <v>50</v>
      </c>
    </row>
    <row r="1017" spans="1:6">
      <c r="A1017" s="18" t="str">
        <f>"SP1044BLK"</f>
        <v>SP1044BLK</v>
      </c>
      <c r="B1017" s="18" t="s">
        <v>949</v>
      </c>
      <c r="C1017" s="37">
        <v>3.5910000000000002</v>
      </c>
      <c r="D1017" s="51"/>
      <c r="E1017" s="19" t="str">
        <f>"610377249935"</f>
        <v>610377249935</v>
      </c>
      <c r="F1017" s="20">
        <v>1</v>
      </c>
    </row>
    <row r="1018" spans="1:6">
      <c r="A1018" s="15" t="str">
        <f>"SP1044DGR"</f>
        <v>SP1044DGR</v>
      </c>
      <c r="B1018" s="15" t="s">
        <v>950</v>
      </c>
      <c r="C1018" s="36">
        <v>3.5910000000000002</v>
      </c>
      <c r="D1018" s="51"/>
      <c r="E1018" s="16" t="str">
        <f>"610377249928"</f>
        <v>610377249928</v>
      </c>
      <c r="F1018" s="17">
        <v>1</v>
      </c>
    </row>
    <row r="1019" spans="1:6">
      <c r="A1019" s="18" t="str">
        <f>"SP1044GR"</f>
        <v>SP1044GR</v>
      </c>
      <c r="B1019" s="18" t="s">
        <v>951</v>
      </c>
      <c r="C1019" s="37">
        <v>3.5910000000000002</v>
      </c>
      <c r="D1019" s="51"/>
      <c r="E1019" s="19" t="str">
        <f>"610377249911"</f>
        <v>610377249911</v>
      </c>
      <c r="F1019" s="20">
        <v>1</v>
      </c>
    </row>
    <row r="1020" spans="1:6">
      <c r="A1020" s="15" t="str">
        <f>"SP1044INS"</f>
        <v>SP1044INS</v>
      </c>
      <c r="B1020" s="15" t="s">
        <v>952</v>
      </c>
      <c r="C1020" s="36">
        <v>3.5910000000000002</v>
      </c>
      <c r="D1020" s="51"/>
      <c r="E1020" s="16" t="str">
        <f>"610377237130"</f>
        <v>610377237130</v>
      </c>
      <c r="F1020" s="17">
        <v>50</v>
      </c>
    </row>
    <row r="1021" spans="1:6">
      <c r="A1021" s="18" t="str">
        <f>"SP1044INSBLK"</f>
        <v>SP1044INSBLK</v>
      </c>
      <c r="B1021" s="18" t="s">
        <v>953</v>
      </c>
      <c r="C1021" s="37">
        <v>3.5910000000000002</v>
      </c>
      <c r="D1021" s="51"/>
      <c r="E1021" s="19" t="str">
        <f>"610377249966"</f>
        <v>610377249966</v>
      </c>
      <c r="F1021" s="20">
        <v>1</v>
      </c>
    </row>
    <row r="1022" spans="1:6">
      <c r="A1022" s="15" t="str">
        <f>"SP1044INSDGR"</f>
        <v>SP1044INSDGR</v>
      </c>
      <c r="B1022" s="15" t="s">
        <v>954</v>
      </c>
      <c r="C1022" s="36">
        <v>3.5910000000000002</v>
      </c>
      <c r="D1022" s="51"/>
      <c r="E1022" s="16" t="str">
        <f>"610377249959"</f>
        <v>610377249959</v>
      </c>
      <c r="F1022" s="17">
        <v>1</v>
      </c>
    </row>
    <row r="1023" spans="1:6">
      <c r="A1023" s="18" t="str">
        <f>"SP1044INSGR"</f>
        <v>SP1044INSGR</v>
      </c>
      <c r="B1023" s="18" t="s">
        <v>955</v>
      </c>
      <c r="C1023" s="37">
        <v>3.5910000000000002</v>
      </c>
      <c r="D1023" s="51"/>
      <c r="E1023" s="19" t="str">
        <f>"610377249942"</f>
        <v>610377249942</v>
      </c>
      <c r="F1023" s="20">
        <v>1</v>
      </c>
    </row>
    <row r="1024" spans="1:6">
      <c r="A1024" s="15" t="str">
        <f>"SP1048AVH"</f>
        <v>SP1048AVH</v>
      </c>
      <c r="B1024" s="15" t="s">
        <v>956</v>
      </c>
      <c r="C1024" s="36">
        <v>6.9480000000000004</v>
      </c>
      <c r="D1024" s="51"/>
      <c r="E1024" s="16" t="str">
        <f>"610377045711"</f>
        <v>610377045711</v>
      </c>
      <c r="F1024" s="17">
        <v>10</v>
      </c>
    </row>
    <row r="1025" spans="1:6">
      <c r="A1025" s="18" t="str">
        <f>"SP1055PAK2"</f>
        <v>SP1055PAK2</v>
      </c>
      <c r="B1025" s="18" t="s">
        <v>957</v>
      </c>
      <c r="C1025" s="37">
        <v>10.458</v>
      </c>
      <c r="D1025" s="51"/>
      <c r="E1025" s="19" t="str">
        <f>"610377243186"</f>
        <v>610377243186</v>
      </c>
      <c r="F1025" s="20">
        <v>10</v>
      </c>
    </row>
    <row r="1026" spans="1:6">
      <c r="A1026" s="15" t="str">
        <f>"SP1056"</f>
        <v>SP1056</v>
      </c>
      <c r="B1026" s="15" t="s">
        <v>958</v>
      </c>
      <c r="C1026" s="36">
        <v>8.3204999999999991</v>
      </c>
      <c r="D1026" s="51"/>
      <c r="E1026" s="16" t="str">
        <f>"610377045865"</f>
        <v>610377045865</v>
      </c>
      <c r="F1026" s="17">
        <v>25</v>
      </c>
    </row>
    <row r="1027" spans="1:6">
      <c r="A1027" s="18" t="str">
        <f>"SP1056T"</f>
        <v>SP1056T</v>
      </c>
      <c r="B1027" s="18" t="s">
        <v>959</v>
      </c>
      <c r="C1027" s="37">
        <v>16.5105</v>
      </c>
      <c r="D1027" s="51"/>
      <c r="E1027" s="19" t="str">
        <f>"610377045872"</f>
        <v>610377045872</v>
      </c>
      <c r="F1027" s="20">
        <v>20</v>
      </c>
    </row>
    <row r="1028" spans="1:6">
      <c r="A1028" s="15" t="str">
        <f>"SP1067"</f>
        <v>SP1067</v>
      </c>
      <c r="B1028" s="15" t="s">
        <v>960</v>
      </c>
      <c r="C1028" s="36">
        <v>25.460999999999999</v>
      </c>
      <c r="D1028" s="51"/>
      <c r="E1028" s="16" t="str">
        <f>"610377045919"</f>
        <v>610377045919</v>
      </c>
      <c r="F1028" s="17">
        <v>5</v>
      </c>
    </row>
    <row r="1029" spans="1:6">
      <c r="A1029" s="18" t="str">
        <f>"SP1068"</f>
        <v>SP1068</v>
      </c>
      <c r="B1029" s="18" t="s">
        <v>961</v>
      </c>
      <c r="C1029" s="37">
        <v>29.848500000000001</v>
      </c>
      <c r="D1029" s="51"/>
      <c r="E1029" s="19" t="str">
        <f>"610377045926"</f>
        <v>610377045926</v>
      </c>
      <c r="F1029" s="20">
        <v>10</v>
      </c>
    </row>
    <row r="1030" spans="1:6">
      <c r="A1030" s="15" t="str">
        <f>"SP1068DL"</f>
        <v>SP1068DL</v>
      </c>
      <c r="B1030" s="15" t="s">
        <v>962</v>
      </c>
      <c r="C1030" s="36">
        <v>33.682499999999997</v>
      </c>
      <c r="D1030" s="51"/>
      <c r="E1030" s="16" t="str">
        <f>"610377045940"</f>
        <v>610377045940</v>
      </c>
      <c r="F1030" s="17">
        <v>10</v>
      </c>
    </row>
    <row r="1031" spans="1:6">
      <c r="A1031" s="18" t="str">
        <f>"SP1068FA"</f>
        <v>SP1068FA</v>
      </c>
      <c r="B1031" s="18" t="s">
        <v>963</v>
      </c>
      <c r="C1031" s="37">
        <v>7.5330000000000004</v>
      </c>
      <c r="D1031" s="51"/>
      <c r="E1031" s="19" t="str">
        <f>"610377045957"</f>
        <v>610377045957</v>
      </c>
      <c r="F1031" s="20">
        <v>25</v>
      </c>
    </row>
    <row r="1032" spans="1:6">
      <c r="A1032" s="15" t="str">
        <f>"SP1070"</f>
        <v>SP1070</v>
      </c>
      <c r="B1032" s="15" t="s">
        <v>964</v>
      </c>
      <c r="C1032" s="36">
        <v>43.767000000000003</v>
      </c>
      <c r="D1032" s="51"/>
      <c r="E1032" s="16" t="str">
        <f>"610377045995"</f>
        <v>610377045995</v>
      </c>
      <c r="F1032" s="17">
        <v>1</v>
      </c>
    </row>
    <row r="1033" spans="1:6">
      <c r="A1033" s="18" t="str">
        <f>"SP10702FLA"</f>
        <v>SP10702FLA</v>
      </c>
      <c r="B1033" s="18" t="s">
        <v>965</v>
      </c>
      <c r="C1033" s="37">
        <v>43.767000000000003</v>
      </c>
      <c r="D1033" s="51"/>
      <c r="E1033" s="19" t="str">
        <f>"610377394345"</f>
        <v>610377394345</v>
      </c>
      <c r="F1033" s="20">
        <v>1</v>
      </c>
    </row>
    <row r="1034" spans="1:6" ht="16" thickBot="1">
      <c r="A1034" s="21" t="str">
        <f>"SP1070FV"</f>
        <v>SP1070FV</v>
      </c>
      <c r="B1034" s="21" t="s">
        <v>966</v>
      </c>
      <c r="C1034" s="38">
        <v>15.6105</v>
      </c>
      <c r="D1034" s="52"/>
      <c r="E1034" s="22" t="str">
        <f>"610377046022"</f>
        <v>610377046022</v>
      </c>
      <c r="F1034" s="23">
        <v>24</v>
      </c>
    </row>
    <row r="1035" spans="1:6" ht="16" thickTop="1">
      <c r="A1035" s="12" t="str">
        <f>"SP1070FVEKIT"</f>
        <v>SP1070FVEKIT</v>
      </c>
      <c r="B1035" s="12" t="s">
        <v>967</v>
      </c>
      <c r="C1035" s="35">
        <v>39.226500000000001</v>
      </c>
      <c r="D1035" s="50"/>
      <c r="E1035" s="13" t="str">
        <f>"610377645201"</f>
        <v>610377645201</v>
      </c>
      <c r="F1035" s="14">
        <v>10</v>
      </c>
    </row>
    <row r="1036" spans="1:6">
      <c r="A1036" s="15" t="str">
        <f>"SP1070P"</f>
        <v>SP1070P</v>
      </c>
      <c r="B1036" s="15" t="s">
        <v>968</v>
      </c>
      <c r="C1036" s="36">
        <v>4.0904999999999996</v>
      </c>
      <c r="D1036" s="51"/>
      <c r="E1036" s="16" t="str">
        <f>"610377046046"</f>
        <v>610377046046</v>
      </c>
      <c r="F1036" s="17">
        <v>10</v>
      </c>
    </row>
    <row r="1037" spans="1:6">
      <c r="A1037" s="18" t="str">
        <f>"SP1070S"</f>
        <v>SP1070S</v>
      </c>
      <c r="B1037" s="18" t="s">
        <v>969</v>
      </c>
      <c r="C1037" s="37">
        <v>43.767000000000003</v>
      </c>
      <c r="D1037" s="51"/>
      <c r="E1037" s="19" t="str">
        <f>"610377046053"</f>
        <v>610377046053</v>
      </c>
      <c r="F1037" s="20">
        <v>1</v>
      </c>
    </row>
    <row r="1038" spans="1:6">
      <c r="A1038" s="15" t="str">
        <f>"SP1070SFVA"</f>
        <v>SP1070SFVA</v>
      </c>
      <c r="B1038" s="15" t="s">
        <v>970</v>
      </c>
      <c r="C1038" s="36">
        <v>50.904000000000003</v>
      </c>
      <c r="D1038" s="51"/>
      <c r="E1038" s="16" t="str">
        <f>"610377046060"</f>
        <v>610377046060</v>
      </c>
      <c r="F1038" s="17">
        <v>1</v>
      </c>
    </row>
    <row r="1039" spans="1:6">
      <c r="A1039" s="18" t="str">
        <f>"SP1070SQ"</f>
        <v>SP1070SQ</v>
      </c>
      <c r="B1039" s="18" t="s">
        <v>971</v>
      </c>
      <c r="C1039" s="37">
        <v>43.767000000000003</v>
      </c>
      <c r="D1039" s="51"/>
      <c r="E1039" s="19" t="str">
        <f>"610377793575"</f>
        <v>610377793575</v>
      </c>
      <c r="F1039" s="20">
        <v>1</v>
      </c>
    </row>
    <row r="1040" spans="1:6">
      <c r="A1040" s="15" t="str">
        <f>"SP1070SSQ"</f>
        <v>SP1070SSQ</v>
      </c>
      <c r="B1040" s="15" t="s">
        <v>972</v>
      </c>
      <c r="C1040" s="36">
        <v>41.697000000000003</v>
      </c>
      <c r="D1040" s="51"/>
      <c r="E1040" s="16" t="str">
        <f>"610377793605"</f>
        <v>610377793605</v>
      </c>
      <c r="F1040" s="17">
        <v>1</v>
      </c>
    </row>
    <row r="1041" spans="1:6">
      <c r="A1041" s="18" t="str">
        <f>"SP1070TPK *"</f>
        <v>SP1070TPK *</v>
      </c>
      <c r="B1041" s="18" t="s">
        <v>973</v>
      </c>
      <c r="C1041" s="37">
        <v>12.753</v>
      </c>
      <c r="D1041" s="51"/>
      <c r="E1041" s="19" t="str">
        <f>"610377046107"</f>
        <v>610377046107</v>
      </c>
      <c r="F1041" s="20">
        <v>15</v>
      </c>
    </row>
    <row r="1042" spans="1:6">
      <c r="A1042" s="15" t="str">
        <f>"SP10712"</f>
        <v>SP10712</v>
      </c>
      <c r="B1042" s="15" t="s">
        <v>974</v>
      </c>
      <c r="C1042" s="36">
        <v>43.767000000000003</v>
      </c>
      <c r="D1042" s="51"/>
      <c r="E1042" s="16" t="str">
        <f>"610377646246"</f>
        <v>610377646246</v>
      </c>
      <c r="F1042" s="17">
        <v>1</v>
      </c>
    </row>
    <row r="1043" spans="1:6">
      <c r="A1043" s="18" t="str">
        <f>"SP1071210"</f>
        <v>SP1071210</v>
      </c>
      <c r="B1043" s="18" t="s">
        <v>975</v>
      </c>
      <c r="C1043" s="37">
        <v>43.335000000000001</v>
      </c>
      <c r="D1043" s="51"/>
      <c r="E1043" s="19" t="str">
        <f>"610377658751"</f>
        <v>610377658751</v>
      </c>
      <c r="F1043" s="20">
        <v>1</v>
      </c>
    </row>
    <row r="1044" spans="1:6">
      <c r="A1044" s="15" t="str">
        <f>"SP1071210FVA"</f>
        <v>SP1071210FVA</v>
      </c>
      <c r="B1044" s="15" t="s">
        <v>976</v>
      </c>
      <c r="C1044" s="36">
        <v>51.920999999999999</v>
      </c>
      <c r="D1044" s="51"/>
      <c r="E1044" s="16" t="str">
        <f>"610377658768"</f>
        <v>610377658768</v>
      </c>
      <c r="F1044" s="17">
        <v>1</v>
      </c>
    </row>
    <row r="1045" spans="1:6">
      <c r="A1045" s="18" t="str">
        <f>"SP10712BLK"</f>
        <v>SP10712BLK</v>
      </c>
      <c r="B1045" s="18" t="s">
        <v>977</v>
      </c>
      <c r="C1045" s="37">
        <v>43.758000000000003</v>
      </c>
      <c r="D1045" s="51"/>
      <c r="E1045" s="19" t="str">
        <f>"610377811354"</f>
        <v>610377811354</v>
      </c>
      <c r="F1045" s="20">
        <v>1</v>
      </c>
    </row>
    <row r="1046" spans="1:6">
      <c r="A1046" s="15" t="str">
        <f>"SP10712FVA"</f>
        <v>SP10712FVA</v>
      </c>
      <c r="B1046" s="15" t="s">
        <v>978</v>
      </c>
      <c r="C1046" s="36">
        <v>51.920999999999999</v>
      </c>
      <c r="D1046" s="51"/>
      <c r="E1046" s="16" t="str">
        <f>"610377658737"</f>
        <v>610377658737</v>
      </c>
      <c r="F1046" s="17">
        <v>1</v>
      </c>
    </row>
    <row r="1047" spans="1:6">
      <c r="A1047" s="18" t="str">
        <f>"SP10712GR"</f>
        <v>SP10712GR</v>
      </c>
      <c r="B1047" s="18" t="s">
        <v>979</v>
      </c>
      <c r="C1047" s="37">
        <v>44.19</v>
      </c>
      <c r="D1047" s="51"/>
      <c r="E1047" s="19" t="str">
        <f>"610377831444"</f>
        <v>610377831444</v>
      </c>
      <c r="F1047" s="20">
        <v>1</v>
      </c>
    </row>
    <row r="1048" spans="1:6">
      <c r="A1048" s="15" t="str">
        <f>"SP10712S"</f>
        <v>SP10712S</v>
      </c>
      <c r="B1048" s="15" t="s">
        <v>980</v>
      </c>
      <c r="C1048" s="36">
        <v>43.767000000000003</v>
      </c>
      <c r="D1048" s="51"/>
      <c r="E1048" s="16" t="str">
        <f>"610377646253"</f>
        <v>610377646253</v>
      </c>
      <c r="F1048" s="17">
        <v>1</v>
      </c>
    </row>
    <row r="1049" spans="1:6">
      <c r="A1049" s="18" t="str">
        <f>"SP10712S10"</f>
        <v>SP10712S10</v>
      </c>
      <c r="B1049" s="18" t="s">
        <v>981</v>
      </c>
      <c r="C1049" s="37">
        <v>43.767000000000003</v>
      </c>
      <c r="D1049" s="51"/>
      <c r="E1049" s="19" t="str">
        <f>"610377661140"</f>
        <v>610377661140</v>
      </c>
      <c r="F1049" s="20">
        <v>1</v>
      </c>
    </row>
    <row r="1050" spans="1:6">
      <c r="A1050" s="15" t="str">
        <f>"SP10712S10FVA"</f>
        <v>SP10712S10FVA</v>
      </c>
      <c r="B1050" s="15" t="s">
        <v>982</v>
      </c>
      <c r="C1050" s="36">
        <v>51.920999999999999</v>
      </c>
      <c r="D1050" s="51"/>
      <c r="E1050" s="16" t="str">
        <f>"610377661157"</f>
        <v>610377661157</v>
      </c>
      <c r="F1050" s="17">
        <v>1</v>
      </c>
    </row>
    <row r="1051" spans="1:6">
      <c r="A1051" s="18" t="str">
        <f>"SP10712SBLK"</f>
        <v>SP10712SBLK</v>
      </c>
      <c r="B1051" s="18" t="s">
        <v>983</v>
      </c>
      <c r="C1051" s="37">
        <v>43.767000000000003</v>
      </c>
      <c r="D1051" s="51"/>
      <c r="E1051" s="19" t="str">
        <f>"610377893084"</f>
        <v>610377893084</v>
      </c>
      <c r="F1051" s="20">
        <v>1</v>
      </c>
    </row>
    <row r="1052" spans="1:6">
      <c r="A1052" s="15" t="str">
        <f>"SP10712SDGR"</f>
        <v>SP10712SDGR</v>
      </c>
      <c r="B1052" s="15" t="s">
        <v>984</v>
      </c>
      <c r="C1052" s="36">
        <v>43.767000000000003</v>
      </c>
      <c r="D1052" s="51"/>
      <c r="E1052" s="16" t="str">
        <f>"610377205207"</f>
        <v>610377205207</v>
      </c>
      <c r="F1052" s="17">
        <v>1</v>
      </c>
    </row>
    <row r="1053" spans="1:6">
      <c r="A1053" s="18" t="str">
        <f>"SP10712SFVA"</f>
        <v>SP10712SFVA</v>
      </c>
      <c r="B1053" s="18" t="s">
        <v>985</v>
      </c>
      <c r="C1053" s="37">
        <v>51.920999999999999</v>
      </c>
      <c r="D1053" s="51"/>
      <c r="E1053" s="19" t="str">
        <f>"610377661119"</f>
        <v>610377661119</v>
      </c>
      <c r="F1053" s="20">
        <v>1</v>
      </c>
    </row>
    <row r="1054" spans="1:6">
      <c r="A1054" s="15" t="str">
        <f>"SP10712SGR"</f>
        <v>SP10712SGR</v>
      </c>
      <c r="B1054" s="15" t="s">
        <v>986</v>
      </c>
      <c r="C1054" s="36">
        <v>43.767000000000003</v>
      </c>
      <c r="D1054" s="51"/>
      <c r="E1054" s="16" t="str">
        <f>"610377893077"</f>
        <v>610377893077</v>
      </c>
      <c r="F1054" s="17">
        <v>1</v>
      </c>
    </row>
    <row r="1055" spans="1:6">
      <c r="A1055" s="18" t="str">
        <f>"SP10712SQ"</f>
        <v>SP10712SQ</v>
      </c>
      <c r="B1055" s="18" t="s">
        <v>987</v>
      </c>
      <c r="C1055" s="37">
        <v>43.767000000000003</v>
      </c>
      <c r="D1055" s="51"/>
      <c r="E1055" s="19" t="str">
        <f>"610377793643"</f>
        <v>610377793643</v>
      </c>
      <c r="F1055" s="20">
        <v>1</v>
      </c>
    </row>
    <row r="1056" spans="1:6">
      <c r="A1056" s="15" t="str">
        <f>"SP10712SSQ"</f>
        <v>SP10712SSQ</v>
      </c>
      <c r="B1056" s="15" t="s">
        <v>988</v>
      </c>
      <c r="C1056" s="36">
        <v>43.767000000000003</v>
      </c>
      <c r="D1056" s="51"/>
      <c r="E1056" s="16" t="str">
        <f>"610377793650"</f>
        <v>610377793650</v>
      </c>
      <c r="F1056" s="17">
        <v>1</v>
      </c>
    </row>
    <row r="1057" spans="1:6">
      <c r="A1057" s="18" t="str">
        <f>"SP1072S"</f>
        <v>SP1072S</v>
      </c>
      <c r="B1057" s="18" t="s">
        <v>989</v>
      </c>
      <c r="C1057" s="37">
        <v>14.737500000000001</v>
      </c>
      <c r="D1057" s="51"/>
      <c r="E1057" s="19" t="str">
        <f>"610377046275"</f>
        <v>610377046275</v>
      </c>
      <c r="F1057" s="20">
        <v>50</v>
      </c>
    </row>
    <row r="1058" spans="1:6">
      <c r="A1058" s="15" t="str">
        <f>"SP1074S"</f>
        <v>SP1074S</v>
      </c>
      <c r="B1058" s="15" t="s">
        <v>990</v>
      </c>
      <c r="C1058" s="36">
        <v>15.0345</v>
      </c>
      <c r="D1058" s="51"/>
      <c r="E1058" s="16" t="str">
        <f>"610377046299"</f>
        <v>610377046299</v>
      </c>
      <c r="F1058" s="17">
        <v>50</v>
      </c>
    </row>
    <row r="1059" spans="1:6">
      <c r="A1059" s="18" t="str">
        <f>"SP1078"</f>
        <v>SP1078</v>
      </c>
      <c r="B1059" s="18" t="s">
        <v>991</v>
      </c>
      <c r="C1059" s="37">
        <v>8.2125000000000004</v>
      </c>
      <c r="D1059" s="51"/>
      <c r="E1059" s="19" t="str">
        <f>"610377046435"</f>
        <v>610377046435</v>
      </c>
      <c r="F1059" s="20">
        <v>25</v>
      </c>
    </row>
    <row r="1060" spans="1:6">
      <c r="A1060" s="15" t="str">
        <f>"SP1080FVEKIT"</f>
        <v>SP1080FVEKIT</v>
      </c>
      <c r="B1060" s="15" t="s">
        <v>992</v>
      </c>
      <c r="C1060" s="36">
        <v>39.226500000000001</v>
      </c>
      <c r="D1060" s="51"/>
      <c r="E1060" s="16" t="str">
        <f>"610377645195"</f>
        <v>610377645195</v>
      </c>
      <c r="F1060" s="17">
        <v>10</v>
      </c>
    </row>
    <row r="1061" spans="1:6">
      <c r="A1061" s="18" t="str">
        <f>"SP1082"</f>
        <v>SP1082</v>
      </c>
      <c r="B1061" s="18" t="s">
        <v>993</v>
      </c>
      <c r="C1061" s="37">
        <v>59.512500000000003</v>
      </c>
      <c r="D1061" s="51"/>
      <c r="E1061" s="19" t="str">
        <f>"610377046442"</f>
        <v>610377046442</v>
      </c>
      <c r="F1061" s="20">
        <v>1</v>
      </c>
    </row>
    <row r="1062" spans="1:6">
      <c r="A1062" s="15" t="str">
        <f>"SP10821"</f>
        <v>SP10821</v>
      </c>
      <c r="B1062" s="15" t="s">
        <v>994</v>
      </c>
      <c r="C1062" s="36">
        <v>58.905000000000001</v>
      </c>
      <c r="D1062" s="51"/>
      <c r="E1062" s="16" t="str">
        <f>"610377046503"</f>
        <v>610377046503</v>
      </c>
      <c r="F1062" s="17">
        <v>1</v>
      </c>
    </row>
    <row r="1063" spans="1:6">
      <c r="A1063" s="18" t="str">
        <f>"SP10821R"</f>
        <v>SP10821R</v>
      </c>
      <c r="B1063" s="18" t="s">
        <v>995</v>
      </c>
      <c r="C1063" s="37">
        <v>63.634500000000003</v>
      </c>
      <c r="D1063" s="51"/>
      <c r="E1063" s="19" t="str">
        <f>"610377046510"</f>
        <v>610377046510</v>
      </c>
      <c r="F1063" s="20">
        <v>1</v>
      </c>
    </row>
    <row r="1064" spans="1:6">
      <c r="A1064" s="15" t="str">
        <f>"SP1082DGR"</f>
        <v>SP1082DGR</v>
      </c>
      <c r="B1064" s="15" t="s">
        <v>993</v>
      </c>
      <c r="C1064" s="36">
        <v>59.512500000000003</v>
      </c>
      <c r="D1064" s="51"/>
      <c r="E1064" s="16" t="str">
        <f>"610377229401"</f>
        <v>610377229401</v>
      </c>
      <c r="F1064" s="17">
        <v>1</v>
      </c>
    </row>
    <row r="1065" spans="1:6">
      <c r="A1065" s="18" t="str">
        <f>"SP1082FV"</f>
        <v>SP1082FV</v>
      </c>
      <c r="B1065" s="18" t="s">
        <v>966</v>
      </c>
      <c r="C1065" s="37">
        <v>21.231000000000002</v>
      </c>
      <c r="D1065" s="51"/>
      <c r="E1065" s="19" t="str">
        <f>"610377046466"</f>
        <v>610377046466</v>
      </c>
      <c r="F1065" s="20">
        <v>24</v>
      </c>
    </row>
    <row r="1066" spans="1:6">
      <c r="A1066" s="15" t="str">
        <f>"SP1082GV"</f>
        <v>SP1082GV</v>
      </c>
      <c r="B1066" s="15" t="s">
        <v>996</v>
      </c>
      <c r="C1066" s="36">
        <v>17.8965</v>
      </c>
      <c r="D1066" s="51"/>
      <c r="E1066" s="16" t="str">
        <f>"610377046480"</f>
        <v>610377046480</v>
      </c>
      <c r="F1066" s="17">
        <v>24</v>
      </c>
    </row>
    <row r="1067" spans="1:6">
      <c r="A1067" s="18" t="str">
        <f>"SP1082RC"</f>
        <v>SP1082RC</v>
      </c>
      <c r="B1067" s="18" t="s">
        <v>997</v>
      </c>
      <c r="C1067" s="37">
        <v>64.057500000000005</v>
      </c>
      <c r="D1067" s="51"/>
      <c r="E1067" s="19" t="str">
        <f>"610377046497"</f>
        <v>610377046497</v>
      </c>
      <c r="F1067" s="20">
        <v>1</v>
      </c>
    </row>
    <row r="1068" spans="1:6">
      <c r="A1068" s="15" t="str">
        <f>"SP1082RCDGR"</f>
        <v>SP1082RCDGR</v>
      </c>
      <c r="B1068" s="15" t="s">
        <v>998</v>
      </c>
      <c r="C1068" s="36">
        <v>64.057500000000005</v>
      </c>
      <c r="D1068" s="51"/>
      <c r="E1068" s="16" t="str">
        <f>"610377229296"</f>
        <v>610377229296</v>
      </c>
      <c r="F1068" s="17">
        <v>1</v>
      </c>
    </row>
    <row r="1069" spans="1:6">
      <c r="A1069" s="18" t="str">
        <f>"SP1084"</f>
        <v>SP1084</v>
      </c>
      <c r="B1069" s="18" t="s">
        <v>993</v>
      </c>
      <c r="C1069" s="37">
        <v>81.197999999999993</v>
      </c>
      <c r="D1069" s="51"/>
      <c r="E1069" s="19" t="str">
        <f>"610377046534"</f>
        <v>610377046534</v>
      </c>
      <c r="F1069" s="20">
        <v>1</v>
      </c>
    </row>
    <row r="1070" spans="1:6">
      <c r="A1070" s="15" t="str">
        <f>"SP10841"</f>
        <v>SP10841</v>
      </c>
      <c r="B1070" s="15" t="s">
        <v>999</v>
      </c>
      <c r="C1070" s="36">
        <v>76.796999999999997</v>
      </c>
      <c r="D1070" s="51"/>
      <c r="E1070" s="16" t="str">
        <f>"610377046602"</f>
        <v>610377046602</v>
      </c>
      <c r="F1070" s="17">
        <v>1</v>
      </c>
    </row>
    <row r="1071" spans="1:6">
      <c r="A1071" s="18" t="str">
        <f>"SP10841OM"</f>
        <v>SP10841OM</v>
      </c>
      <c r="B1071" s="18" t="s">
        <v>1000</v>
      </c>
      <c r="C1071" s="37">
        <v>74.560500000000005</v>
      </c>
      <c r="D1071" s="51"/>
      <c r="E1071" s="19" t="str">
        <f>"610377046626"</f>
        <v>610377046626</v>
      </c>
      <c r="F1071" s="20">
        <v>1</v>
      </c>
    </row>
    <row r="1072" spans="1:6">
      <c r="A1072" s="15" t="str">
        <f>"SP10841OMDGR"</f>
        <v>SP10841OMDGR</v>
      </c>
      <c r="B1072" s="15" t="s">
        <v>1001</v>
      </c>
      <c r="C1072" s="36">
        <v>74.560500000000005</v>
      </c>
      <c r="D1072" s="51"/>
      <c r="E1072" s="16" t="str">
        <f>"610377142540"</f>
        <v>610377142540</v>
      </c>
      <c r="F1072" s="17">
        <v>1</v>
      </c>
    </row>
    <row r="1073" spans="1:6">
      <c r="A1073" s="18" t="str">
        <f>"SP10841OMR"</f>
        <v>SP10841OMR</v>
      </c>
      <c r="B1073" s="18" t="s">
        <v>1002</v>
      </c>
      <c r="C1073" s="37">
        <v>76.266000000000005</v>
      </c>
      <c r="D1073" s="51"/>
      <c r="E1073" s="19" t="str">
        <f>"610377235471"</f>
        <v>610377235471</v>
      </c>
      <c r="F1073" s="20">
        <v>1</v>
      </c>
    </row>
    <row r="1074" spans="1:6">
      <c r="A1074" s="15" t="str">
        <f>"SP10841OMRDGR"</f>
        <v>SP10841OMRDGR</v>
      </c>
      <c r="B1074" s="15" t="s">
        <v>1003</v>
      </c>
      <c r="C1074" s="36">
        <v>76.266000000000005</v>
      </c>
      <c r="D1074" s="51"/>
      <c r="E1074" s="16" t="str">
        <f>"610377231114"</f>
        <v>610377231114</v>
      </c>
      <c r="F1074" s="17">
        <v>1</v>
      </c>
    </row>
    <row r="1075" spans="1:6">
      <c r="A1075" s="18" t="str">
        <f>"SP10841OMTE"</f>
        <v>SP10841OMTE</v>
      </c>
      <c r="B1075" s="18" t="s">
        <v>1004</v>
      </c>
      <c r="C1075" s="37">
        <v>114.18300000000001</v>
      </c>
      <c r="D1075" s="51"/>
      <c r="E1075" s="19" t="str">
        <f>"610377691598"</f>
        <v>610377691598</v>
      </c>
      <c r="F1075" s="20">
        <v>1</v>
      </c>
    </row>
    <row r="1076" spans="1:6">
      <c r="A1076" s="15" t="str">
        <f>"SP10841R"</f>
        <v>SP10841R</v>
      </c>
      <c r="B1076" s="15" t="s">
        <v>1005</v>
      </c>
      <c r="C1076" s="36">
        <v>81.472499999999997</v>
      </c>
      <c r="D1076" s="51"/>
      <c r="E1076" s="16" t="str">
        <f>"610377046664"</f>
        <v>610377046664</v>
      </c>
      <c r="F1076" s="17">
        <v>1</v>
      </c>
    </row>
    <row r="1077" spans="1:6">
      <c r="A1077" s="18" t="str">
        <f>"SP1084DGR"</f>
        <v>SP1084DGR</v>
      </c>
      <c r="B1077" s="18" t="s">
        <v>998</v>
      </c>
      <c r="C1077" s="37">
        <v>81.197999999999993</v>
      </c>
      <c r="D1077" s="51"/>
      <c r="E1077" s="19" t="str">
        <f>"610377229289"</f>
        <v>610377229289</v>
      </c>
      <c r="F1077" s="20">
        <v>1</v>
      </c>
    </row>
    <row r="1078" spans="1:6" ht="16" thickBot="1">
      <c r="A1078" s="21" t="str">
        <f>"SP1084F"</f>
        <v>SP1084F</v>
      </c>
      <c r="B1078" s="21" t="s">
        <v>1006</v>
      </c>
      <c r="C1078" s="38">
        <v>4.4775</v>
      </c>
      <c r="D1078" s="52"/>
      <c r="E1078" s="22" t="str">
        <f>"610377046541"</f>
        <v>610377046541</v>
      </c>
      <c r="F1078" s="23">
        <v>30</v>
      </c>
    </row>
    <row r="1079" spans="1:6" ht="16" thickTop="1">
      <c r="C1079" s="39"/>
      <c r="D1079" s="39"/>
    </row>
    <row r="1080" spans="1:6" ht="16" thickBot="1">
      <c r="A1080" s="24" t="s">
        <v>42</v>
      </c>
      <c r="C1080" s="39"/>
      <c r="D1080" s="39"/>
    </row>
    <row r="1081" spans="1:6" ht="16" thickTop="1">
      <c r="A1081" s="12" t="str">
        <f>"SP1084FBLK"</f>
        <v>SP1084FBLK</v>
      </c>
      <c r="B1081" s="12" t="s">
        <v>1007</v>
      </c>
      <c r="C1081" s="35">
        <v>4.4775</v>
      </c>
      <c r="D1081" s="50"/>
      <c r="E1081" s="13" t="str">
        <f>"610377046558"</f>
        <v>610377046558</v>
      </c>
      <c r="F1081" s="14">
        <v>30</v>
      </c>
    </row>
    <row r="1082" spans="1:6">
      <c r="A1082" s="15" t="str">
        <f>"SP1084FDGR"</f>
        <v>SP1084FDGR</v>
      </c>
      <c r="B1082" s="15" t="s">
        <v>1008</v>
      </c>
      <c r="C1082" s="36">
        <v>4.4775</v>
      </c>
      <c r="D1082" s="51"/>
      <c r="E1082" s="16" t="str">
        <f>"610377143622"</f>
        <v>610377143622</v>
      </c>
      <c r="F1082" s="17">
        <v>30</v>
      </c>
    </row>
    <row r="1083" spans="1:6">
      <c r="A1083" s="18" t="str">
        <f>"SP1084FGR"</f>
        <v>SP1084FGR</v>
      </c>
      <c r="B1083" s="18" t="s">
        <v>1009</v>
      </c>
      <c r="C1083" s="37">
        <v>4.4775</v>
      </c>
      <c r="D1083" s="51"/>
      <c r="E1083" s="19" t="str">
        <f>"610377761772"</f>
        <v>610377761772</v>
      </c>
      <c r="F1083" s="20">
        <v>30</v>
      </c>
    </row>
    <row r="1084" spans="1:6">
      <c r="A1084" s="15" t="str">
        <f>"SP1084P1"</f>
        <v>SP1084P1</v>
      </c>
      <c r="B1084" s="15" t="s">
        <v>1010</v>
      </c>
      <c r="C1084" s="36">
        <v>4.7294999999999998</v>
      </c>
      <c r="D1084" s="51"/>
      <c r="E1084" s="16" t="str">
        <f>"610377046589"</f>
        <v>610377046589</v>
      </c>
      <c r="F1084" s="17">
        <v>20</v>
      </c>
    </row>
    <row r="1085" spans="1:6">
      <c r="A1085" s="18" t="str">
        <f>"SP1084R"</f>
        <v>SP1084R</v>
      </c>
      <c r="B1085" s="18" t="s">
        <v>1011</v>
      </c>
      <c r="C1085" s="37">
        <v>81.197999999999993</v>
      </c>
      <c r="D1085" s="51"/>
      <c r="E1085" s="19" t="str">
        <f>"610377231107"</f>
        <v>610377231107</v>
      </c>
      <c r="F1085" s="20">
        <v>1</v>
      </c>
    </row>
    <row r="1086" spans="1:6">
      <c r="A1086" s="15" t="str">
        <f>"SP1084RDGR"</f>
        <v>SP1084RDGR</v>
      </c>
      <c r="B1086" s="15" t="s">
        <v>998</v>
      </c>
      <c r="C1086" s="36">
        <v>81.197999999999993</v>
      </c>
      <c r="D1086" s="51"/>
      <c r="E1086" s="16" t="str">
        <f>"610377231077"</f>
        <v>610377231077</v>
      </c>
      <c r="F1086" s="17">
        <v>1</v>
      </c>
    </row>
    <row r="1087" spans="1:6">
      <c r="A1087" s="18" t="str">
        <f>"SP10851OM"</f>
        <v>SP10851OM</v>
      </c>
      <c r="B1087" s="18" t="s">
        <v>1012</v>
      </c>
      <c r="C1087" s="37">
        <v>93.230999999999995</v>
      </c>
      <c r="D1087" s="51"/>
      <c r="E1087" s="19" t="str">
        <f>"610377046701"</f>
        <v>610377046701</v>
      </c>
      <c r="F1087" s="20">
        <v>1</v>
      </c>
    </row>
    <row r="1088" spans="1:6">
      <c r="A1088" s="15" t="str">
        <f>"SP10852"</f>
        <v>SP10852</v>
      </c>
      <c r="B1088" s="15" t="s">
        <v>1013</v>
      </c>
      <c r="C1088" s="36">
        <v>89.298000000000002</v>
      </c>
      <c r="D1088" s="51"/>
      <c r="E1088" s="16" t="str">
        <f>"610377046725"</f>
        <v>610377046725</v>
      </c>
      <c r="F1088" s="17">
        <v>1</v>
      </c>
    </row>
    <row r="1089" spans="1:6">
      <c r="A1089" s="18" t="str">
        <f>"SP10852OM"</f>
        <v>SP10852OM</v>
      </c>
      <c r="B1089" s="18" t="s">
        <v>1014</v>
      </c>
      <c r="C1089" s="37">
        <v>85.662000000000006</v>
      </c>
      <c r="D1089" s="51"/>
      <c r="E1089" s="19" t="str">
        <f>"610377046756"</f>
        <v>610377046756</v>
      </c>
      <c r="F1089" s="20">
        <v>1</v>
      </c>
    </row>
    <row r="1090" spans="1:6">
      <c r="A1090" s="15" t="str">
        <f>"SP10852OMDGR"</f>
        <v>SP10852OMDGR</v>
      </c>
      <c r="B1090" s="15" t="s">
        <v>1015</v>
      </c>
      <c r="C1090" s="36">
        <v>85.662000000000006</v>
      </c>
      <c r="D1090" s="51"/>
      <c r="E1090" s="16" t="str">
        <f>"610377142373"</f>
        <v>610377142373</v>
      </c>
      <c r="F1090" s="17">
        <v>1</v>
      </c>
    </row>
    <row r="1091" spans="1:6">
      <c r="A1091" s="18" t="str">
        <f>"SP10852OMND"</f>
        <v>SP10852OMND</v>
      </c>
      <c r="B1091" s="18" t="s">
        <v>1016</v>
      </c>
      <c r="C1091" s="37">
        <v>98.837999999999994</v>
      </c>
      <c r="D1091" s="51"/>
      <c r="E1091" s="19" t="str">
        <f>"610377187541"</f>
        <v>610377187541</v>
      </c>
      <c r="F1091" s="20">
        <v>1</v>
      </c>
    </row>
    <row r="1092" spans="1:6">
      <c r="A1092" s="15" t="str">
        <f>"SP10852OMNDDGR"</f>
        <v>SP10852OMNDDGR</v>
      </c>
      <c r="B1092" s="15" t="s">
        <v>1017</v>
      </c>
      <c r="C1092" s="36">
        <v>96.907499999999999</v>
      </c>
      <c r="D1092" s="51"/>
      <c r="E1092" s="16" t="str">
        <f>"610377187534"</f>
        <v>610377187534</v>
      </c>
      <c r="F1092" s="17">
        <v>1</v>
      </c>
    </row>
    <row r="1093" spans="1:6">
      <c r="A1093" s="18" t="str">
        <f>"SP10852OMTE"</f>
        <v>SP10852OMTE</v>
      </c>
      <c r="B1093" s="18" t="s">
        <v>1018</v>
      </c>
      <c r="C1093" s="37">
        <v>125.19450000000001</v>
      </c>
      <c r="D1093" s="51"/>
      <c r="E1093" s="19" t="str">
        <f>"610377205993"</f>
        <v>610377205993</v>
      </c>
      <c r="F1093" s="20">
        <v>1</v>
      </c>
    </row>
    <row r="1094" spans="1:6">
      <c r="A1094" s="15" t="str">
        <f>"SP10852OMTEDGR"</f>
        <v>SP10852OMTEDGR</v>
      </c>
      <c r="B1094" s="15" t="s">
        <v>1019</v>
      </c>
      <c r="C1094" s="36">
        <v>125.19450000000001</v>
      </c>
      <c r="D1094" s="51"/>
      <c r="E1094" s="16" t="str">
        <f>"610377142700"</f>
        <v>610377142700</v>
      </c>
      <c r="F1094" s="17">
        <v>1</v>
      </c>
    </row>
    <row r="1095" spans="1:6">
      <c r="A1095" s="18" t="str">
        <f>"SP1085CALA"</f>
        <v>SP1085CALA</v>
      </c>
      <c r="B1095" s="18" t="s">
        <v>1020</v>
      </c>
      <c r="C1095" s="37">
        <v>5.1840000000000002</v>
      </c>
      <c r="D1095" s="51"/>
      <c r="E1095" s="19" t="str">
        <f>"610377046688"</f>
        <v>610377046688</v>
      </c>
      <c r="F1095" s="20">
        <v>50</v>
      </c>
    </row>
    <row r="1096" spans="1:6">
      <c r="A1096" s="15" t="str">
        <f>"SP1085F"</f>
        <v>SP1085F</v>
      </c>
      <c r="B1096" s="15" t="s">
        <v>1006</v>
      </c>
      <c r="C1096" s="36">
        <v>5.5305</v>
      </c>
      <c r="D1096" s="51"/>
      <c r="E1096" s="16" t="str">
        <f>"610377046695"</f>
        <v>610377046695</v>
      </c>
      <c r="F1096" s="17">
        <v>18</v>
      </c>
    </row>
    <row r="1097" spans="1:6">
      <c r="A1097" s="18" t="str">
        <f>"SP1085FBLK"</f>
        <v>SP1085FBLK</v>
      </c>
      <c r="B1097" s="18" t="s">
        <v>1021</v>
      </c>
      <c r="C1097" s="37">
        <v>5.5305</v>
      </c>
      <c r="D1097" s="51"/>
      <c r="E1097" s="19" t="str">
        <f>"610377762021"</f>
        <v>610377762021</v>
      </c>
      <c r="F1097" s="20">
        <v>18</v>
      </c>
    </row>
    <row r="1098" spans="1:6">
      <c r="A1098" s="15" t="str">
        <f>"SP1085FDGR"</f>
        <v>SP1085FDGR</v>
      </c>
      <c r="B1098" s="15" t="s">
        <v>1022</v>
      </c>
      <c r="C1098" s="36">
        <v>5.5305</v>
      </c>
      <c r="D1098" s="51"/>
      <c r="E1098" s="16" t="str">
        <f>"610377143615"</f>
        <v>610377143615</v>
      </c>
      <c r="F1098" s="17">
        <v>18</v>
      </c>
    </row>
    <row r="1099" spans="1:6">
      <c r="A1099" s="18" t="str">
        <f>"SP1085FGR"</f>
        <v>SP1085FGR</v>
      </c>
      <c r="B1099" s="18" t="s">
        <v>1009</v>
      </c>
      <c r="C1099" s="37">
        <v>5.5305</v>
      </c>
      <c r="D1099" s="51"/>
      <c r="E1099" s="19" t="str">
        <f>"610377761789"</f>
        <v>610377761789</v>
      </c>
      <c r="F1099" s="20">
        <v>18</v>
      </c>
    </row>
    <row r="1100" spans="1:6">
      <c r="A1100" s="15" t="str">
        <f>"SP1089"</f>
        <v>SP1089</v>
      </c>
      <c r="B1100" s="15" t="s">
        <v>1023</v>
      </c>
      <c r="C1100" s="36">
        <v>64.633499999999998</v>
      </c>
      <c r="D1100" s="51"/>
      <c r="E1100" s="16" t="str">
        <f>"610377046817"</f>
        <v>610377046817</v>
      </c>
      <c r="F1100" s="17">
        <v>1</v>
      </c>
    </row>
    <row r="1101" spans="1:6">
      <c r="A1101" s="18" t="str">
        <f>"SP1091CV"</f>
        <v>SP1091CV</v>
      </c>
      <c r="B1101" s="18" t="s">
        <v>1024</v>
      </c>
      <c r="C1101" s="37">
        <v>7.5015000000000001</v>
      </c>
      <c r="D1101" s="51"/>
      <c r="E1101" s="19" t="str">
        <f>"610377046923"</f>
        <v>610377046923</v>
      </c>
      <c r="F1101" s="20">
        <v>40</v>
      </c>
    </row>
    <row r="1102" spans="1:6">
      <c r="A1102" s="15" t="str">
        <f>"SP1091LX"</f>
        <v>SP1091LX</v>
      </c>
      <c r="B1102" s="15" t="s">
        <v>1025</v>
      </c>
      <c r="C1102" s="36">
        <v>24.3765</v>
      </c>
      <c r="D1102" s="51"/>
      <c r="E1102" s="16" t="str">
        <f>"610377791397"</f>
        <v>610377791397</v>
      </c>
      <c r="F1102" s="17">
        <v>6</v>
      </c>
    </row>
    <row r="1103" spans="1:6">
      <c r="A1103" s="18" t="str">
        <f>"SP1091WM"</f>
        <v>SP1091WM</v>
      </c>
      <c r="B1103" s="18" t="s">
        <v>1026</v>
      </c>
      <c r="C1103" s="37">
        <v>28.9755</v>
      </c>
      <c r="D1103" s="51"/>
      <c r="E1103" s="19" t="str">
        <f>"610377791403"</f>
        <v>610377791403</v>
      </c>
      <c r="F1103" s="20">
        <v>6</v>
      </c>
    </row>
    <row r="1104" spans="1:6">
      <c r="A1104" s="15" t="str">
        <f>"SP1092"</f>
        <v>SP1092</v>
      </c>
      <c r="B1104" s="15" t="s">
        <v>1027</v>
      </c>
      <c r="C1104" s="36">
        <v>35.567999999999998</v>
      </c>
      <c r="D1104" s="51"/>
      <c r="E1104" s="16" t="str">
        <f>"610377046985"</f>
        <v>610377046985</v>
      </c>
      <c r="F1104" s="17">
        <v>1</v>
      </c>
    </row>
    <row r="1105" spans="1:6">
      <c r="A1105" s="18" t="str">
        <f>"SP1092OOK *"</f>
        <v>SP1092OOK *</v>
      </c>
      <c r="B1105" s="18" t="s">
        <v>1028</v>
      </c>
      <c r="C1105" s="37">
        <v>49.941000000000003</v>
      </c>
      <c r="D1105" s="51"/>
      <c r="E1105" s="19" t="str">
        <f>"610377047005"</f>
        <v>610377047005</v>
      </c>
      <c r="F1105" s="20">
        <v>1</v>
      </c>
    </row>
    <row r="1106" spans="1:6">
      <c r="A1106" s="15" t="str">
        <f>"SP1094D"</f>
        <v>SP1094D</v>
      </c>
      <c r="B1106" s="15" t="s">
        <v>1029</v>
      </c>
      <c r="C1106" s="36">
        <v>4.0545</v>
      </c>
      <c r="D1106" s="51"/>
      <c r="E1106" s="16" t="str">
        <f>"610377047081"</f>
        <v>610377047081</v>
      </c>
      <c r="F1106" s="17">
        <v>20</v>
      </c>
    </row>
    <row r="1107" spans="1:6">
      <c r="A1107" s="18" t="str">
        <f>"SP1094WF"</f>
        <v>SP1094WF</v>
      </c>
      <c r="B1107" s="18" t="s">
        <v>1030</v>
      </c>
      <c r="C1107" s="37">
        <v>26.757000000000001</v>
      </c>
      <c r="D1107" s="51"/>
      <c r="E1107" s="19" t="str">
        <f>"610377047197"</f>
        <v>610377047197</v>
      </c>
      <c r="F1107" s="20">
        <v>1</v>
      </c>
    </row>
    <row r="1108" spans="1:6">
      <c r="A1108" s="15" t="str">
        <f>"SP1096"</f>
        <v>SP1096</v>
      </c>
      <c r="B1108" s="15" t="s">
        <v>1031</v>
      </c>
      <c r="C1108" s="36">
        <v>35.878500000000003</v>
      </c>
      <c r="D1108" s="51"/>
      <c r="E1108" s="16" t="str">
        <f>"610377047241"</f>
        <v>610377047241</v>
      </c>
      <c r="F1108" s="17">
        <v>1</v>
      </c>
    </row>
    <row r="1109" spans="1:6">
      <c r="A1109" s="18" t="str">
        <f>"SP1097"</f>
        <v>SP1097</v>
      </c>
      <c r="B1109" s="18" t="s">
        <v>1032</v>
      </c>
      <c r="C1109" s="37">
        <v>62.325000000000003</v>
      </c>
      <c r="D1109" s="51"/>
      <c r="E1109" s="19" t="str">
        <f>"610377047258"</f>
        <v>610377047258</v>
      </c>
      <c r="F1109" s="20">
        <v>1</v>
      </c>
    </row>
    <row r="1110" spans="1:6">
      <c r="A1110" s="15" t="str">
        <f>"SP1099S"</f>
        <v>SP1099S</v>
      </c>
      <c r="B1110" s="15" t="s">
        <v>1033</v>
      </c>
      <c r="C1110" s="36">
        <v>36.432000000000002</v>
      </c>
      <c r="D1110" s="51"/>
      <c r="E1110" s="16" t="str">
        <f>"610377047296"</f>
        <v>610377047296</v>
      </c>
      <c r="F1110" s="17">
        <v>1</v>
      </c>
    </row>
    <row r="1111" spans="1:6">
      <c r="A1111" s="18" t="str">
        <f>"SP1099SC *"</f>
        <v>SP1099SC *</v>
      </c>
      <c r="B1111" s="18" t="s">
        <v>1034</v>
      </c>
      <c r="C1111" s="37">
        <v>9.1754999999999995</v>
      </c>
      <c r="D1111" s="51"/>
      <c r="E1111" s="19" t="str">
        <f>"610377047302"</f>
        <v>610377047302</v>
      </c>
      <c r="F1111" s="20">
        <v>36</v>
      </c>
    </row>
    <row r="1112" spans="1:6">
      <c r="A1112" s="15" t="str">
        <f>"SP11041"</f>
        <v>SP11041</v>
      </c>
      <c r="B1112" s="15" t="s">
        <v>1035</v>
      </c>
      <c r="C1112" s="36">
        <v>5.2965</v>
      </c>
      <c r="D1112" s="51"/>
      <c r="E1112" s="16" t="str">
        <f>"610377047357"</f>
        <v>610377047357</v>
      </c>
      <c r="F1112" s="17">
        <v>50</v>
      </c>
    </row>
    <row r="1113" spans="1:6">
      <c r="A1113" s="18" t="str">
        <f>"SP11051"</f>
        <v>SP11051</v>
      </c>
      <c r="B1113" s="18" t="s">
        <v>1036</v>
      </c>
      <c r="C1113" s="37">
        <v>6.9029999999999996</v>
      </c>
      <c r="D1113" s="51"/>
      <c r="E1113" s="19" t="str">
        <f>"610377047364"</f>
        <v>610377047364</v>
      </c>
      <c r="F1113" s="20">
        <v>50</v>
      </c>
    </row>
    <row r="1114" spans="1:6">
      <c r="A1114" s="15" t="str">
        <f>"SP11052"</f>
        <v>SP11052</v>
      </c>
      <c r="B1114" s="15" t="s">
        <v>1037</v>
      </c>
      <c r="C1114" s="36">
        <v>6.9029999999999996</v>
      </c>
      <c r="D1114" s="51"/>
      <c r="E1114" s="16" t="str">
        <f>"610377047371"</f>
        <v>610377047371</v>
      </c>
      <c r="F1114" s="17">
        <v>50</v>
      </c>
    </row>
    <row r="1115" spans="1:6">
      <c r="A1115" s="18" t="str">
        <f>"SP11054"</f>
        <v>SP11054</v>
      </c>
      <c r="B1115" s="18" t="s">
        <v>1038</v>
      </c>
      <c r="C1115" s="37">
        <v>6.9029999999999996</v>
      </c>
      <c r="D1115" s="51"/>
      <c r="E1115" s="19" t="str">
        <f>"610377047388"</f>
        <v>610377047388</v>
      </c>
      <c r="F1115" s="20">
        <v>50</v>
      </c>
    </row>
    <row r="1116" spans="1:6">
      <c r="A1116" s="15" t="str">
        <f>"SP1106"</f>
        <v>SP1106</v>
      </c>
      <c r="B1116" s="15" t="s">
        <v>1039</v>
      </c>
      <c r="C1116" s="36">
        <v>7.0380000000000003</v>
      </c>
      <c r="D1116" s="51"/>
      <c r="E1116" s="16" t="str">
        <f>"610377047395"</f>
        <v>610377047395</v>
      </c>
      <c r="F1116" s="17">
        <v>20</v>
      </c>
    </row>
    <row r="1117" spans="1:6">
      <c r="A1117" s="18" t="str">
        <f>"SP11063"</f>
        <v>SP11063</v>
      </c>
      <c r="B1117" s="18" t="s">
        <v>1040</v>
      </c>
      <c r="C1117" s="37">
        <v>7.0380000000000003</v>
      </c>
      <c r="D1117" s="51"/>
      <c r="E1117" s="19" t="str">
        <f>"610377047401"</f>
        <v>610377047401</v>
      </c>
      <c r="F1117" s="20">
        <v>20</v>
      </c>
    </row>
    <row r="1118" spans="1:6">
      <c r="A1118" s="15" t="str">
        <f>"SP1107"</f>
        <v>SP1107</v>
      </c>
      <c r="B1118" s="15" t="s">
        <v>1041</v>
      </c>
      <c r="C1118" s="36">
        <v>5.3864999999999998</v>
      </c>
      <c r="D1118" s="51"/>
      <c r="E1118" s="16" t="str">
        <f>"610377047418"</f>
        <v>610377047418</v>
      </c>
      <c r="F1118" s="17">
        <v>20</v>
      </c>
    </row>
    <row r="1119" spans="1:6">
      <c r="A1119" s="18" t="str">
        <f>"SP11071"</f>
        <v>SP11071</v>
      </c>
      <c r="B1119" s="18" t="s">
        <v>1042</v>
      </c>
      <c r="C1119" s="37">
        <v>6.1920000000000002</v>
      </c>
      <c r="D1119" s="51"/>
      <c r="E1119" s="19" t="str">
        <f>"610377047425"</f>
        <v>610377047425</v>
      </c>
      <c r="F1119" s="20">
        <v>20</v>
      </c>
    </row>
    <row r="1120" spans="1:6">
      <c r="A1120" s="15" t="str">
        <f>"SP1392"</f>
        <v>SP1392</v>
      </c>
      <c r="B1120" s="15" t="s">
        <v>1043</v>
      </c>
      <c r="C1120" s="36">
        <v>7.9560000000000004</v>
      </c>
      <c r="D1120" s="51"/>
      <c r="E1120" s="16" t="str">
        <f>"610377047500"</f>
        <v>610377047500</v>
      </c>
      <c r="F1120" s="17">
        <v>50</v>
      </c>
    </row>
    <row r="1121" spans="1:6">
      <c r="A1121" s="18" t="str">
        <f>"SP1408"</f>
        <v>SP1408</v>
      </c>
      <c r="B1121" s="18" t="s">
        <v>1044</v>
      </c>
      <c r="C1121" s="37">
        <v>4.5629999999999997</v>
      </c>
      <c r="D1121" s="51"/>
      <c r="E1121" s="19" t="str">
        <f>"610377047517"</f>
        <v>610377047517</v>
      </c>
      <c r="F1121" s="20">
        <v>50</v>
      </c>
    </row>
    <row r="1122" spans="1:6">
      <c r="A1122" s="15" t="str">
        <f>"SP1408BLK *"</f>
        <v>SP1408BLK *</v>
      </c>
      <c r="B1122" s="15" t="s">
        <v>1045</v>
      </c>
      <c r="C1122" s="36">
        <v>4.5629999999999997</v>
      </c>
      <c r="D1122" s="51"/>
      <c r="E1122" s="16" t="str">
        <f>"610377762144"</f>
        <v>610377762144</v>
      </c>
      <c r="F1122" s="17">
        <v>50</v>
      </c>
    </row>
    <row r="1123" spans="1:6">
      <c r="A1123" s="18" t="str">
        <f>"SP1408DGR"</f>
        <v>SP1408DGR</v>
      </c>
      <c r="B1123" s="18" t="s">
        <v>1046</v>
      </c>
      <c r="C1123" s="37">
        <v>4.5629999999999997</v>
      </c>
      <c r="D1123" s="51"/>
      <c r="E1123" s="19" t="str">
        <f>"610377142953"</f>
        <v>610377142953</v>
      </c>
      <c r="F1123" s="20">
        <v>50</v>
      </c>
    </row>
    <row r="1124" spans="1:6" ht="16" thickBot="1">
      <c r="A1124" s="21" t="str">
        <f>"SP1408GR"</f>
        <v>SP1408GR</v>
      </c>
      <c r="B1124" s="21" t="s">
        <v>1047</v>
      </c>
      <c r="C1124" s="38">
        <v>4.5629999999999997</v>
      </c>
      <c r="D1124" s="52"/>
      <c r="E1124" s="22" t="str">
        <f>"610377761901"</f>
        <v>610377761901</v>
      </c>
      <c r="F1124" s="23">
        <v>50</v>
      </c>
    </row>
    <row r="1125" spans="1:6" ht="16" thickTop="1">
      <c r="C1125" s="39"/>
      <c r="D1125" s="39"/>
    </row>
    <row r="1126" spans="1:6" ht="16" thickBot="1">
      <c r="A1126" s="24" t="s">
        <v>42</v>
      </c>
      <c r="C1126" s="39"/>
      <c r="D1126" s="39"/>
    </row>
    <row r="1127" spans="1:6" ht="16" thickTop="1">
      <c r="A1127" s="12" t="str">
        <f>"SP1408S2"</f>
        <v>SP1408S2</v>
      </c>
      <c r="B1127" s="12" t="s">
        <v>1048</v>
      </c>
      <c r="C1127" s="35">
        <v>5.3730000000000002</v>
      </c>
      <c r="D1127" s="50"/>
      <c r="E1127" s="13" t="str">
        <f>"610377227629"</f>
        <v>610377227629</v>
      </c>
      <c r="F1127" s="14">
        <v>50</v>
      </c>
    </row>
    <row r="1128" spans="1:6">
      <c r="A1128" s="15" t="str">
        <f>"SP1408S2DGR"</f>
        <v>SP1408S2DGR</v>
      </c>
      <c r="B1128" s="15" t="s">
        <v>1049</v>
      </c>
      <c r="C1128" s="36">
        <v>5.3730000000000002</v>
      </c>
      <c r="D1128" s="51"/>
      <c r="E1128" s="16" t="str">
        <f>"610377249904"</f>
        <v>610377249904</v>
      </c>
      <c r="F1128" s="17">
        <v>1</v>
      </c>
    </row>
    <row r="1129" spans="1:6">
      <c r="A1129" s="18" t="str">
        <f>"SP1408S2GR"</f>
        <v>SP1408S2GR</v>
      </c>
      <c r="B1129" s="18" t="s">
        <v>1050</v>
      </c>
      <c r="C1129" s="37">
        <v>5.3730000000000002</v>
      </c>
      <c r="D1129" s="51"/>
      <c r="E1129" s="19" t="str">
        <f>"610377249300"</f>
        <v>610377249300</v>
      </c>
      <c r="F1129" s="20">
        <v>1</v>
      </c>
    </row>
    <row r="1130" spans="1:6">
      <c r="A1130" s="15" t="str">
        <f>"SP1411"</f>
        <v>SP1411</v>
      </c>
      <c r="B1130" s="15" t="s">
        <v>1044</v>
      </c>
      <c r="C1130" s="36">
        <v>7.2134999999999998</v>
      </c>
      <c r="D1130" s="51"/>
      <c r="E1130" s="16" t="str">
        <f>"610377047555"</f>
        <v>610377047555</v>
      </c>
      <c r="F1130" s="17">
        <v>50</v>
      </c>
    </row>
    <row r="1131" spans="1:6">
      <c r="A1131" s="18" t="str">
        <f>"SP1418D"</f>
        <v>SP1418D</v>
      </c>
      <c r="B1131" s="18" t="s">
        <v>1051</v>
      </c>
      <c r="C1131" s="37">
        <v>3.2355</v>
      </c>
      <c r="D1131" s="51"/>
      <c r="E1131" s="19" t="str">
        <f>"610377047562"</f>
        <v>610377047562</v>
      </c>
      <c r="F1131" s="20">
        <v>50</v>
      </c>
    </row>
    <row r="1132" spans="1:6">
      <c r="A1132" s="15" t="str">
        <f>"SP1418DBLK"</f>
        <v>SP1418DBLK</v>
      </c>
      <c r="B1132" s="15" t="s">
        <v>1052</v>
      </c>
      <c r="C1132" s="36">
        <v>3.2355</v>
      </c>
      <c r="D1132" s="51"/>
      <c r="E1132" s="16" t="str">
        <f>"610377762151"</f>
        <v>610377762151</v>
      </c>
      <c r="F1132" s="17">
        <v>50</v>
      </c>
    </row>
    <row r="1133" spans="1:6">
      <c r="A1133" s="18" t="str">
        <f>"SP1418DDGR"</f>
        <v>SP1418DDGR</v>
      </c>
      <c r="B1133" s="18" t="s">
        <v>1053</v>
      </c>
      <c r="C1133" s="37">
        <v>3.2355</v>
      </c>
      <c r="D1133" s="51"/>
      <c r="E1133" s="19" t="str">
        <f>"610377142380"</f>
        <v>610377142380</v>
      </c>
      <c r="F1133" s="20">
        <v>50</v>
      </c>
    </row>
    <row r="1134" spans="1:6">
      <c r="A1134" s="15" t="str">
        <f>"SP1418DGR"</f>
        <v>SP1418DGR</v>
      </c>
      <c r="B1134" s="15" t="s">
        <v>1054</v>
      </c>
      <c r="C1134" s="36">
        <v>3.2355</v>
      </c>
      <c r="D1134" s="51"/>
      <c r="E1134" s="16" t="str">
        <f>"610377761925"</f>
        <v>610377761925</v>
      </c>
      <c r="F1134" s="17">
        <v>50</v>
      </c>
    </row>
    <row r="1135" spans="1:6">
      <c r="A1135" s="18" t="str">
        <f>"SP1419A"</f>
        <v>SP1419A</v>
      </c>
      <c r="B1135" s="18" t="s">
        <v>1055</v>
      </c>
      <c r="C1135" s="37">
        <v>1.3725000000000001</v>
      </c>
      <c r="D1135" s="51"/>
      <c r="E1135" s="19" t="str">
        <f>"610377047593"</f>
        <v>610377047593</v>
      </c>
      <c r="F1135" s="20">
        <v>50</v>
      </c>
    </row>
    <row r="1136" spans="1:6">
      <c r="A1136" s="15" t="str">
        <f>"SP1419ABLK"</f>
        <v>SP1419ABLK</v>
      </c>
      <c r="B1136" s="15" t="s">
        <v>1056</v>
      </c>
      <c r="C1136" s="36">
        <v>1.3725000000000001</v>
      </c>
      <c r="D1136" s="51"/>
      <c r="E1136" s="16" t="str">
        <f>"610377762168"</f>
        <v>610377762168</v>
      </c>
      <c r="F1136" s="17">
        <v>50</v>
      </c>
    </row>
    <row r="1137" spans="1:6">
      <c r="A1137" s="18" t="str">
        <f>"SP1419AGR"</f>
        <v>SP1419AGR</v>
      </c>
      <c r="B1137" s="18" t="s">
        <v>1057</v>
      </c>
      <c r="C1137" s="37">
        <v>1.3725000000000001</v>
      </c>
      <c r="D1137" s="51"/>
      <c r="E1137" s="19" t="str">
        <f>"610377761932"</f>
        <v>610377761932</v>
      </c>
      <c r="F1137" s="20">
        <v>50</v>
      </c>
    </row>
    <row r="1138" spans="1:6">
      <c r="A1138" s="15" t="str">
        <f>"SP1419B"</f>
        <v>SP1419B</v>
      </c>
      <c r="B1138" s="15" t="s">
        <v>1058</v>
      </c>
      <c r="C1138" s="36">
        <v>1.3725000000000001</v>
      </c>
      <c r="D1138" s="51"/>
      <c r="E1138" s="16" t="str">
        <f>"610377047609"</f>
        <v>610377047609</v>
      </c>
      <c r="F1138" s="17">
        <v>50</v>
      </c>
    </row>
    <row r="1139" spans="1:6">
      <c r="A1139" s="18" t="str">
        <f>"SP1419BBLK"</f>
        <v>SP1419BBLK</v>
      </c>
      <c r="B1139" s="18" t="s">
        <v>1059</v>
      </c>
      <c r="C1139" s="37">
        <v>1.3725000000000001</v>
      </c>
      <c r="D1139" s="51"/>
      <c r="E1139" s="19" t="str">
        <f>"610377762175"</f>
        <v>610377762175</v>
      </c>
      <c r="F1139" s="20">
        <v>50</v>
      </c>
    </row>
    <row r="1140" spans="1:6">
      <c r="A1140" s="15" t="str">
        <f>"SP1419BGR"</f>
        <v>SP1419BGR</v>
      </c>
      <c r="B1140" s="15" t="s">
        <v>1060</v>
      </c>
      <c r="C1140" s="36">
        <v>1.3725000000000001</v>
      </c>
      <c r="D1140" s="51"/>
      <c r="E1140" s="16" t="str">
        <f>"610377761956"</f>
        <v>610377761956</v>
      </c>
      <c r="F1140" s="17">
        <v>50</v>
      </c>
    </row>
    <row r="1141" spans="1:6">
      <c r="A1141" s="18" t="str">
        <f>"SP1419C"</f>
        <v>SP1419C</v>
      </c>
      <c r="B1141" s="18" t="s">
        <v>1061</v>
      </c>
      <c r="C1141" s="37">
        <v>1.3725000000000001</v>
      </c>
      <c r="D1141" s="51"/>
      <c r="E1141" s="19" t="str">
        <f>"610377047616"</f>
        <v>610377047616</v>
      </c>
      <c r="F1141" s="20">
        <v>50</v>
      </c>
    </row>
    <row r="1142" spans="1:6">
      <c r="A1142" s="15" t="str">
        <f>"SP1419C50"</f>
        <v>SP1419C50</v>
      </c>
      <c r="B1142" s="15" t="s">
        <v>1062</v>
      </c>
      <c r="C1142" s="36">
        <v>63.036000000000001</v>
      </c>
      <c r="D1142" s="51"/>
      <c r="E1142" s="16" t="str">
        <f>"610377047623"</f>
        <v>610377047623</v>
      </c>
      <c r="F1142" s="17">
        <v>1</v>
      </c>
    </row>
    <row r="1143" spans="1:6">
      <c r="A1143" s="18" t="str">
        <f>"SP1419CBLK"</f>
        <v>SP1419CBLK</v>
      </c>
      <c r="B1143" s="18" t="s">
        <v>1063</v>
      </c>
      <c r="C1143" s="37">
        <v>1.3725000000000001</v>
      </c>
      <c r="D1143" s="51"/>
      <c r="E1143" s="19" t="str">
        <f>"610377762182"</f>
        <v>610377762182</v>
      </c>
      <c r="F1143" s="20">
        <v>50</v>
      </c>
    </row>
    <row r="1144" spans="1:6">
      <c r="A1144" s="15" t="str">
        <f>"SP1419CDGR"</f>
        <v>SP1419CDGR</v>
      </c>
      <c r="B1144" s="15" t="s">
        <v>1064</v>
      </c>
      <c r="C1144" s="36">
        <v>1.3725000000000001</v>
      </c>
      <c r="D1144" s="51"/>
      <c r="E1144" s="16" t="str">
        <f>"610377272926"</f>
        <v>610377272926</v>
      </c>
      <c r="F1144" s="17">
        <v>50</v>
      </c>
    </row>
    <row r="1145" spans="1:6">
      <c r="A1145" s="18" t="str">
        <f>"SP1419CGR"</f>
        <v>SP1419CGR</v>
      </c>
      <c r="B1145" s="18" t="s">
        <v>1065</v>
      </c>
      <c r="C1145" s="37">
        <v>1.3725000000000001</v>
      </c>
      <c r="D1145" s="51"/>
      <c r="E1145" s="19" t="str">
        <f>"610377761963"</f>
        <v>610377761963</v>
      </c>
      <c r="F1145" s="20">
        <v>50</v>
      </c>
    </row>
    <row r="1146" spans="1:6">
      <c r="A1146" s="15" t="str">
        <f>"SP1419D"</f>
        <v>SP1419D</v>
      </c>
      <c r="B1146" s="15" t="s">
        <v>1066</v>
      </c>
      <c r="C1146" s="36">
        <v>1.3725000000000001</v>
      </c>
      <c r="D1146" s="51"/>
      <c r="E1146" s="16" t="str">
        <f>"610377047630"</f>
        <v>610377047630</v>
      </c>
      <c r="F1146" s="17">
        <v>50</v>
      </c>
    </row>
    <row r="1147" spans="1:6">
      <c r="A1147" s="18" t="str">
        <f>"SP1419D50"</f>
        <v>SP1419D50</v>
      </c>
      <c r="B1147" s="18" t="s">
        <v>1067</v>
      </c>
      <c r="C1147" s="37">
        <v>63.036000000000001</v>
      </c>
      <c r="D1147" s="51"/>
      <c r="E1147" s="19" t="str">
        <f>"610377047661"</f>
        <v>610377047661</v>
      </c>
      <c r="F1147" s="20">
        <v>1</v>
      </c>
    </row>
    <row r="1148" spans="1:6">
      <c r="A1148" s="15" t="str">
        <f>"SP1419D50BLK"</f>
        <v>SP1419D50BLK</v>
      </c>
      <c r="B1148" s="15" t="s">
        <v>1068</v>
      </c>
      <c r="C1148" s="36">
        <v>63.036000000000001</v>
      </c>
      <c r="D1148" s="51"/>
      <c r="E1148" s="16" t="str">
        <f>"610377236461"</f>
        <v>610377236461</v>
      </c>
      <c r="F1148" s="17">
        <v>1</v>
      </c>
    </row>
    <row r="1149" spans="1:6">
      <c r="A1149" s="18" t="str">
        <f>"SP1419DBLK"</f>
        <v>SP1419DBLK</v>
      </c>
      <c r="B1149" s="18" t="s">
        <v>1069</v>
      </c>
      <c r="C1149" s="37">
        <v>1.3725000000000001</v>
      </c>
      <c r="D1149" s="51"/>
      <c r="E1149" s="19" t="str">
        <f>"610377047647"</f>
        <v>610377047647</v>
      </c>
      <c r="F1149" s="20">
        <v>50</v>
      </c>
    </row>
    <row r="1150" spans="1:6">
      <c r="A1150" s="15" t="str">
        <f>"SP1419DDGR"</f>
        <v>SP1419DDGR</v>
      </c>
      <c r="B1150" s="15" t="s">
        <v>1070</v>
      </c>
      <c r="C1150" s="36">
        <v>1.3725000000000001</v>
      </c>
      <c r="D1150" s="51"/>
      <c r="E1150" s="16" t="str">
        <f>"610377143608"</f>
        <v>610377143608</v>
      </c>
      <c r="F1150" s="17">
        <v>50</v>
      </c>
    </row>
    <row r="1151" spans="1:6">
      <c r="A1151" s="18" t="str">
        <f>"SP1419DGR"</f>
        <v>SP1419DGR</v>
      </c>
      <c r="B1151" s="18" t="s">
        <v>1071</v>
      </c>
      <c r="C1151" s="37">
        <v>1.3725000000000001</v>
      </c>
      <c r="D1151" s="51"/>
      <c r="E1151" s="19" t="str">
        <f>"610377761970"</f>
        <v>610377761970</v>
      </c>
      <c r="F1151" s="20">
        <v>50</v>
      </c>
    </row>
    <row r="1152" spans="1:6">
      <c r="A1152" s="15" t="str">
        <f>"SP1419E"</f>
        <v>SP1419E</v>
      </c>
      <c r="B1152" s="15" t="s">
        <v>1072</v>
      </c>
      <c r="C1152" s="36">
        <v>1.3725000000000001</v>
      </c>
      <c r="D1152" s="51"/>
      <c r="E1152" s="16" t="str">
        <f>"610377047678"</f>
        <v>610377047678</v>
      </c>
      <c r="F1152" s="17">
        <v>50</v>
      </c>
    </row>
    <row r="1153" spans="1:6">
      <c r="A1153" s="18" t="str">
        <f>"SP1419E50"</f>
        <v>SP1419E50</v>
      </c>
      <c r="B1153" s="18" t="s">
        <v>1073</v>
      </c>
      <c r="C1153" s="37">
        <v>63.036000000000001</v>
      </c>
      <c r="D1153" s="51"/>
      <c r="E1153" s="19" t="str">
        <f>"610377047708"</f>
        <v>610377047708</v>
      </c>
      <c r="F1153" s="20">
        <v>1</v>
      </c>
    </row>
    <row r="1154" spans="1:6">
      <c r="A1154" s="15" t="str">
        <f>"SP1419E50BLK"</f>
        <v>SP1419E50BLK</v>
      </c>
      <c r="B1154" s="15" t="s">
        <v>1074</v>
      </c>
      <c r="C1154" s="36">
        <v>63.036000000000001</v>
      </c>
      <c r="D1154" s="51"/>
      <c r="E1154" s="16" t="str">
        <f>"610377236478"</f>
        <v>610377236478</v>
      </c>
      <c r="F1154" s="17">
        <v>1</v>
      </c>
    </row>
    <row r="1155" spans="1:6">
      <c r="A1155" s="18" t="str">
        <f>"SP1419EBLK"</f>
        <v>SP1419EBLK</v>
      </c>
      <c r="B1155" s="18" t="s">
        <v>1075</v>
      </c>
      <c r="C1155" s="37">
        <v>1.3725000000000001</v>
      </c>
      <c r="D1155" s="51"/>
      <c r="E1155" s="19" t="str">
        <f>"610377047685"</f>
        <v>610377047685</v>
      </c>
      <c r="F1155" s="20">
        <v>50</v>
      </c>
    </row>
    <row r="1156" spans="1:6">
      <c r="A1156" s="15" t="str">
        <f>"SP1419EDGR"</f>
        <v>SP1419EDGR</v>
      </c>
      <c r="B1156" s="15" t="s">
        <v>1076</v>
      </c>
      <c r="C1156" s="36">
        <v>1.3725000000000001</v>
      </c>
      <c r="D1156" s="51"/>
      <c r="E1156" s="16" t="str">
        <f>"610377272933"</f>
        <v>610377272933</v>
      </c>
      <c r="F1156" s="17">
        <v>50</v>
      </c>
    </row>
    <row r="1157" spans="1:6">
      <c r="A1157" s="18" t="str">
        <f>"SP1419EGR"</f>
        <v>SP1419EGR</v>
      </c>
      <c r="B1157" s="18" t="s">
        <v>1077</v>
      </c>
      <c r="C1157" s="37">
        <v>1.3725000000000001</v>
      </c>
      <c r="D1157" s="51"/>
      <c r="E1157" s="19" t="str">
        <f>"610377761987"</f>
        <v>610377761987</v>
      </c>
      <c r="F1157" s="20">
        <v>50</v>
      </c>
    </row>
    <row r="1158" spans="1:6">
      <c r="A1158" s="15" t="str">
        <f>"SP1419T"</f>
        <v>SP1419T</v>
      </c>
      <c r="B1158" s="15" t="s">
        <v>1078</v>
      </c>
      <c r="C1158" s="36">
        <v>1.6605000000000001</v>
      </c>
      <c r="D1158" s="51"/>
      <c r="E1158" s="16" t="str">
        <f>"610377047715"</f>
        <v>610377047715</v>
      </c>
      <c r="F1158" s="17">
        <v>100</v>
      </c>
    </row>
    <row r="1159" spans="1:6">
      <c r="A1159" s="18" t="str">
        <f>"SP1420"</f>
        <v>SP1420</v>
      </c>
      <c r="B1159" s="18" t="s">
        <v>1079</v>
      </c>
      <c r="C1159" s="37">
        <v>3.4784999999999999</v>
      </c>
      <c r="D1159" s="51"/>
      <c r="E1159" s="19" t="str">
        <f>"610377047722"</f>
        <v>610377047722</v>
      </c>
      <c r="F1159" s="20">
        <v>25</v>
      </c>
    </row>
    <row r="1160" spans="1:6">
      <c r="A1160" s="15" t="str">
        <f>"SP1421D"</f>
        <v>SP1421D</v>
      </c>
      <c r="B1160" s="15" t="s">
        <v>1080</v>
      </c>
      <c r="C1160" s="36">
        <v>1.3725000000000001</v>
      </c>
      <c r="D1160" s="51"/>
      <c r="E1160" s="16" t="str">
        <f>"610377047739"</f>
        <v>610377047739</v>
      </c>
      <c r="F1160" s="17">
        <v>25</v>
      </c>
    </row>
    <row r="1161" spans="1:6">
      <c r="A1161" s="18" t="str">
        <f>"SP1421D50"</f>
        <v>SP1421D50</v>
      </c>
      <c r="B1161" s="18" t="s">
        <v>1081</v>
      </c>
      <c r="C1161" s="37">
        <v>63.036000000000001</v>
      </c>
      <c r="D1161" s="51"/>
      <c r="E1161" s="19" t="str">
        <f>"610377047760"</f>
        <v>610377047760</v>
      </c>
      <c r="F1161" s="20">
        <v>1</v>
      </c>
    </row>
    <row r="1162" spans="1:6">
      <c r="A1162" s="15" t="str">
        <f>"SP1421DBLK"</f>
        <v>SP1421DBLK</v>
      </c>
      <c r="B1162" s="15" t="s">
        <v>1082</v>
      </c>
      <c r="C1162" s="36">
        <v>1.3725000000000001</v>
      </c>
      <c r="D1162" s="51"/>
      <c r="E1162" s="16" t="str">
        <f>"610377047746"</f>
        <v>610377047746</v>
      </c>
      <c r="F1162" s="17">
        <v>25</v>
      </c>
    </row>
    <row r="1163" spans="1:6">
      <c r="A1163" s="18" t="str">
        <f>"SP1421DGR"</f>
        <v>SP1421DGR</v>
      </c>
      <c r="B1163" s="18" t="s">
        <v>1083</v>
      </c>
      <c r="C1163" s="37">
        <v>1.3725000000000001</v>
      </c>
      <c r="D1163" s="51"/>
      <c r="E1163" s="19" t="str">
        <f>"610377761994"</f>
        <v>610377761994</v>
      </c>
      <c r="F1163" s="20">
        <v>25</v>
      </c>
    </row>
    <row r="1164" spans="1:6">
      <c r="A1164" s="15" t="str">
        <f>"SP1421E"</f>
        <v>SP1421E</v>
      </c>
      <c r="B1164" s="15" t="s">
        <v>1084</v>
      </c>
      <c r="C1164" s="36">
        <v>1.3725000000000001</v>
      </c>
      <c r="D1164" s="51"/>
      <c r="E1164" s="16" t="str">
        <f>"610377047777"</f>
        <v>610377047777</v>
      </c>
      <c r="F1164" s="17">
        <v>25</v>
      </c>
    </row>
    <row r="1165" spans="1:6">
      <c r="A1165" s="18" t="str">
        <f>"SP1421E50"</f>
        <v>SP1421E50</v>
      </c>
      <c r="B1165" s="18" t="s">
        <v>1085</v>
      </c>
      <c r="C1165" s="37">
        <v>63.036000000000001</v>
      </c>
      <c r="D1165" s="51"/>
      <c r="E1165" s="19" t="str">
        <f>"610377047807"</f>
        <v>610377047807</v>
      </c>
      <c r="F1165" s="20">
        <v>1</v>
      </c>
    </row>
    <row r="1166" spans="1:6">
      <c r="A1166" s="15" t="str">
        <f>"SP1422D"</f>
        <v>SP1422D</v>
      </c>
      <c r="B1166" s="15" t="s">
        <v>1086</v>
      </c>
      <c r="C1166" s="36">
        <v>4.077</v>
      </c>
      <c r="D1166" s="51"/>
      <c r="E1166" s="16" t="str">
        <f>"610377047814"</f>
        <v>610377047814</v>
      </c>
      <c r="F1166" s="17">
        <v>50</v>
      </c>
    </row>
    <row r="1167" spans="1:6">
      <c r="A1167" s="18" t="str">
        <f>"SP1422E"</f>
        <v>SP1422E</v>
      </c>
      <c r="B1167" s="18" t="s">
        <v>1087</v>
      </c>
      <c r="C1167" s="37">
        <v>4.077</v>
      </c>
      <c r="D1167" s="51"/>
      <c r="E1167" s="19" t="str">
        <f>"610377047821"</f>
        <v>610377047821</v>
      </c>
      <c r="F1167" s="20">
        <v>50</v>
      </c>
    </row>
    <row r="1168" spans="1:6">
      <c r="A1168" s="15" t="str">
        <f>"SP1424"</f>
        <v>SP1424</v>
      </c>
      <c r="B1168" s="15" t="s">
        <v>1088</v>
      </c>
      <c r="C1168" s="36">
        <v>10.9125</v>
      </c>
      <c r="D1168" s="51"/>
      <c r="E1168" s="16" t="str">
        <f>"610377047852"</f>
        <v>610377047852</v>
      </c>
      <c r="F1168" s="17">
        <v>50</v>
      </c>
    </row>
    <row r="1169" spans="1:6">
      <c r="A1169" s="18" t="str">
        <f>"SP1424S"</f>
        <v>SP1424S</v>
      </c>
      <c r="B1169" s="18" t="s">
        <v>1089</v>
      </c>
      <c r="C1169" s="37">
        <v>10.9125</v>
      </c>
      <c r="D1169" s="51"/>
      <c r="E1169" s="19" t="str">
        <f>"610377047869"</f>
        <v>610377047869</v>
      </c>
      <c r="F1169" s="20">
        <v>50</v>
      </c>
    </row>
    <row r="1170" spans="1:6">
      <c r="A1170" s="15" t="str">
        <f>"SP1425"</f>
        <v>SP1425</v>
      </c>
      <c r="B1170" s="15" t="s">
        <v>1090</v>
      </c>
      <c r="C1170" s="36">
        <v>11.304</v>
      </c>
      <c r="D1170" s="51"/>
      <c r="E1170" s="16" t="str">
        <f>"610377047876"</f>
        <v>610377047876</v>
      </c>
      <c r="F1170" s="17">
        <v>50</v>
      </c>
    </row>
    <row r="1171" spans="1:6">
      <c r="A1171" s="18" t="str">
        <f>"SP1425S"</f>
        <v>SP1425S</v>
      </c>
      <c r="B1171" s="18" t="s">
        <v>1091</v>
      </c>
      <c r="C1171" s="37">
        <v>11.304</v>
      </c>
      <c r="D1171" s="51"/>
      <c r="E1171" s="19" t="str">
        <f>"610377047883"</f>
        <v>610377047883</v>
      </c>
      <c r="F1171" s="20">
        <v>50</v>
      </c>
    </row>
    <row r="1172" spans="1:6" ht="16" thickBot="1">
      <c r="A1172" s="21" t="str">
        <f>"SP1430"</f>
        <v>SP1430</v>
      </c>
      <c r="B1172" s="21" t="s">
        <v>1092</v>
      </c>
      <c r="C1172" s="38">
        <v>7.3034999999999997</v>
      </c>
      <c r="D1172" s="52"/>
      <c r="E1172" s="22" t="str">
        <f>"610377047890"</f>
        <v>610377047890</v>
      </c>
      <c r="F1172" s="23">
        <v>50</v>
      </c>
    </row>
    <row r="1173" spans="1:6" ht="16" thickTop="1">
      <c r="A1173" s="12" t="str">
        <f>"SP1430S"</f>
        <v>SP1430S</v>
      </c>
      <c r="B1173" s="12" t="s">
        <v>1093</v>
      </c>
      <c r="C1173" s="35">
        <v>7.3034999999999997</v>
      </c>
      <c r="D1173" s="50"/>
      <c r="E1173" s="13" t="str">
        <f>"610377047906"</f>
        <v>610377047906</v>
      </c>
      <c r="F1173" s="14">
        <v>50</v>
      </c>
    </row>
    <row r="1174" spans="1:6">
      <c r="A1174" s="15" t="str">
        <f>"SP1430SSE"</f>
        <v>SP1430SSE</v>
      </c>
      <c r="B1174" s="15" t="s">
        <v>1094</v>
      </c>
      <c r="C1174" s="36">
        <v>7.3034999999999997</v>
      </c>
      <c r="D1174" s="51"/>
      <c r="E1174" s="16" t="str">
        <f>"610377047913"</f>
        <v>610377047913</v>
      </c>
      <c r="F1174" s="17">
        <v>50</v>
      </c>
    </row>
    <row r="1175" spans="1:6">
      <c r="A1175" s="18" t="str">
        <f>"SP1430T"</f>
        <v>SP1430T</v>
      </c>
      <c r="B1175" s="18" t="s">
        <v>1095</v>
      </c>
      <c r="C1175" s="37">
        <v>19.723500000000001</v>
      </c>
      <c r="D1175" s="51"/>
      <c r="E1175" s="19" t="str">
        <f>"610377047944"</f>
        <v>610377047944</v>
      </c>
      <c r="F1175" s="20">
        <v>25</v>
      </c>
    </row>
    <row r="1176" spans="1:6">
      <c r="A1176" s="15" t="str">
        <f>"SP14311"</f>
        <v>SP14311</v>
      </c>
      <c r="B1176" s="15" t="s">
        <v>1096</v>
      </c>
      <c r="C1176" s="36">
        <v>16.02</v>
      </c>
      <c r="D1176" s="51"/>
      <c r="E1176" s="16" t="str">
        <f>"610377047968"</f>
        <v>610377047968</v>
      </c>
      <c r="F1176" s="17">
        <v>25</v>
      </c>
    </row>
    <row r="1177" spans="1:6">
      <c r="A1177" s="18" t="str">
        <f>"SP1433"</f>
        <v>SP1433</v>
      </c>
      <c r="B1177" s="18" t="s">
        <v>1097</v>
      </c>
      <c r="C1177" s="37">
        <v>11.978999999999999</v>
      </c>
      <c r="D1177" s="51"/>
      <c r="E1177" s="19" t="str">
        <f>"610377048002"</f>
        <v>610377048002</v>
      </c>
      <c r="F1177" s="20">
        <v>50</v>
      </c>
    </row>
    <row r="1178" spans="1:6">
      <c r="A1178" s="15" t="str">
        <f>"SP1433S"</f>
        <v>SP1433S</v>
      </c>
      <c r="B1178" s="15" t="s">
        <v>1098</v>
      </c>
      <c r="C1178" s="36">
        <v>11.978999999999999</v>
      </c>
      <c r="D1178" s="51"/>
      <c r="E1178" s="16" t="str">
        <f>"610377048019"</f>
        <v>610377048019</v>
      </c>
      <c r="F1178" s="17">
        <v>50</v>
      </c>
    </row>
    <row r="1179" spans="1:6">
      <c r="A1179" s="18" t="str">
        <f>"SP14341PAKA"</f>
        <v>SP14341PAKA</v>
      </c>
      <c r="B1179" s="18" t="s">
        <v>1099</v>
      </c>
      <c r="C1179" s="37">
        <v>13.526999999999999</v>
      </c>
      <c r="D1179" s="51"/>
      <c r="E1179" s="19" t="str">
        <f>"610377048262"</f>
        <v>610377048262</v>
      </c>
      <c r="F1179" s="20">
        <v>15</v>
      </c>
    </row>
    <row r="1180" spans="1:6">
      <c r="A1180" s="15" t="str">
        <f>"SP14342PAKA50"</f>
        <v>SP14342PAKA50</v>
      </c>
      <c r="B1180" s="15" t="s">
        <v>1100</v>
      </c>
      <c r="C1180" s="36">
        <v>375.08850000000001</v>
      </c>
      <c r="D1180" s="51"/>
      <c r="E1180" s="16" t="str">
        <f>"610377048330"</f>
        <v>610377048330</v>
      </c>
      <c r="F1180" s="17">
        <v>1</v>
      </c>
    </row>
    <row r="1181" spans="1:6">
      <c r="A1181" s="18" t="str">
        <f>"SP14343PAKA"</f>
        <v>SP14343PAKA</v>
      </c>
      <c r="B1181" s="18" t="s">
        <v>1101</v>
      </c>
      <c r="C1181" s="37">
        <v>8.8290000000000006</v>
      </c>
      <c r="D1181" s="51"/>
      <c r="E1181" s="19" t="str">
        <f>"610377048392"</f>
        <v>610377048392</v>
      </c>
      <c r="F1181" s="20">
        <v>15</v>
      </c>
    </row>
    <row r="1182" spans="1:6">
      <c r="A1182" s="15" t="str">
        <f>"SP1434PAKA"</f>
        <v>SP1434PAKA</v>
      </c>
      <c r="B1182" s="15" t="s">
        <v>1102</v>
      </c>
      <c r="C1182" s="36">
        <v>8.4194999999999993</v>
      </c>
      <c r="D1182" s="51"/>
      <c r="E1182" s="16" t="str">
        <f>"610377048095"</f>
        <v>610377048095</v>
      </c>
      <c r="F1182" s="17">
        <v>25</v>
      </c>
    </row>
    <row r="1183" spans="1:6">
      <c r="A1183" s="18" t="str">
        <f>"SP1434PAKADGR"</f>
        <v>SP1434PAKADGR</v>
      </c>
      <c r="B1183" s="18" t="s">
        <v>1103</v>
      </c>
      <c r="C1183" s="37">
        <v>8.4194999999999993</v>
      </c>
      <c r="D1183" s="51"/>
      <c r="E1183" s="19" t="str">
        <f>"610377236546"</f>
        <v>610377236546</v>
      </c>
      <c r="F1183" s="20">
        <v>15</v>
      </c>
    </row>
    <row r="1184" spans="1:6">
      <c r="A1184" s="15" t="str">
        <f>"SP1434PAKAGR"</f>
        <v>SP1434PAKAGR</v>
      </c>
      <c r="B1184" s="15" t="s">
        <v>1104</v>
      </c>
      <c r="C1184" s="36">
        <v>8.4194999999999993</v>
      </c>
      <c r="D1184" s="51"/>
      <c r="E1184" s="16" t="str">
        <f>"610377825573"</f>
        <v>610377825573</v>
      </c>
      <c r="F1184" s="17">
        <v>15</v>
      </c>
    </row>
    <row r="1185" spans="1:6">
      <c r="A1185" s="18" t="str">
        <f>"SP1434PAKB"</f>
        <v>SP1434PAKB</v>
      </c>
      <c r="B1185" s="18" t="s">
        <v>1105</v>
      </c>
      <c r="C1185" s="37">
        <v>4.9184999999999999</v>
      </c>
      <c r="D1185" s="51"/>
      <c r="E1185" s="19" t="str">
        <f>"610377048118"</f>
        <v>610377048118</v>
      </c>
      <c r="F1185" s="20">
        <v>25</v>
      </c>
    </row>
    <row r="1186" spans="1:6">
      <c r="A1186" s="15" t="str">
        <f>"SP1434PAKBDGR"</f>
        <v>SP1434PAKBDGR</v>
      </c>
      <c r="B1186" s="15" t="s">
        <v>1106</v>
      </c>
      <c r="C1186" s="36">
        <v>4.9184999999999999</v>
      </c>
      <c r="D1186" s="51"/>
      <c r="E1186" s="16" t="str">
        <f>"610377236553"</f>
        <v>610377236553</v>
      </c>
      <c r="F1186" s="17">
        <v>25</v>
      </c>
    </row>
    <row r="1187" spans="1:6">
      <c r="A1187" s="18" t="str">
        <f>"SP1434PAKBGR"</f>
        <v>SP1434PAKBGR</v>
      </c>
      <c r="B1187" s="18" t="s">
        <v>1107</v>
      </c>
      <c r="C1187" s="37">
        <v>4.9184999999999999</v>
      </c>
      <c r="D1187" s="51"/>
      <c r="E1187" s="19" t="str">
        <f>"610377825580"</f>
        <v>610377825580</v>
      </c>
      <c r="F1187" s="20">
        <v>25</v>
      </c>
    </row>
    <row r="1188" spans="1:6">
      <c r="A1188" s="15" t="str">
        <f>"SP1434T"</f>
        <v>SP1434T</v>
      </c>
      <c r="B1188" s="15" t="s">
        <v>1108</v>
      </c>
      <c r="C1188" s="36">
        <v>7.1820000000000004</v>
      </c>
      <c r="D1188" s="51"/>
      <c r="E1188" s="16" t="str">
        <f>"610377048187"</f>
        <v>610377048187</v>
      </c>
      <c r="F1188" s="17">
        <v>50</v>
      </c>
    </row>
    <row r="1189" spans="1:6">
      <c r="A1189" s="18" t="str">
        <f>"SP1434TP"</f>
        <v>SP1434TP</v>
      </c>
      <c r="B1189" s="18" t="s">
        <v>1109</v>
      </c>
      <c r="C1189" s="37">
        <v>12.865500000000001</v>
      </c>
      <c r="D1189" s="51"/>
      <c r="E1189" s="19" t="str">
        <f>"610377048200"</f>
        <v>610377048200</v>
      </c>
      <c r="F1189" s="20">
        <v>20</v>
      </c>
    </row>
    <row r="1190" spans="1:6">
      <c r="A1190" s="15" t="str">
        <f>"SP1436PAKB"</f>
        <v>SP1436PAKB</v>
      </c>
      <c r="B1190" s="15" t="s">
        <v>1110</v>
      </c>
      <c r="C1190" s="36">
        <v>13.14</v>
      </c>
      <c r="D1190" s="51"/>
      <c r="E1190" s="16" t="str">
        <f>"610377048545"</f>
        <v>610377048545</v>
      </c>
      <c r="F1190" s="17">
        <v>25</v>
      </c>
    </row>
    <row r="1191" spans="1:6">
      <c r="A1191" s="18" t="str">
        <f>"SP1437PAKB"</f>
        <v>SP1437PAKB</v>
      </c>
      <c r="B1191" s="18" t="s">
        <v>1111</v>
      </c>
      <c r="C1191" s="37">
        <v>4.9184999999999999</v>
      </c>
      <c r="D1191" s="51"/>
      <c r="E1191" s="19" t="str">
        <f>"610377048590"</f>
        <v>610377048590</v>
      </c>
      <c r="F1191" s="20">
        <v>25</v>
      </c>
    </row>
    <row r="1192" spans="1:6">
      <c r="A1192" s="15" t="str">
        <f>"SP1444SCB50 *"</f>
        <v>SP1444SCB50 *</v>
      </c>
      <c r="B1192" s="15" t="s">
        <v>1112</v>
      </c>
      <c r="C1192" s="36">
        <v>355.73399999999998</v>
      </c>
      <c r="D1192" s="51"/>
      <c r="E1192" s="16" t="str">
        <f>"610377049726"</f>
        <v>610377049726</v>
      </c>
      <c r="F1192" s="17">
        <v>1</v>
      </c>
    </row>
    <row r="1193" spans="1:6">
      <c r="A1193" s="18" t="str">
        <f>"SP1445S"</f>
        <v>SP1445S</v>
      </c>
      <c r="B1193" s="18" t="s">
        <v>1113</v>
      </c>
      <c r="C1193" s="37">
        <v>12.023999999999999</v>
      </c>
      <c r="D1193" s="51"/>
      <c r="E1193" s="19" t="str">
        <f>"610377049757"</f>
        <v>610377049757</v>
      </c>
      <c r="F1193" s="20">
        <v>50</v>
      </c>
    </row>
    <row r="1194" spans="1:6">
      <c r="A1194" s="15" t="str">
        <f>"SP14461S"</f>
        <v>SP14461S</v>
      </c>
      <c r="B1194" s="15" t="s">
        <v>1114</v>
      </c>
      <c r="C1194" s="36">
        <v>11.7675</v>
      </c>
      <c r="D1194" s="51"/>
      <c r="E1194" s="16" t="str">
        <f>"610377049788"</f>
        <v>610377049788</v>
      </c>
      <c r="F1194" s="17">
        <v>50</v>
      </c>
    </row>
    <row r="1195" spans="1:6">
      <c r="A1195" s="18" t="str">
        <f>"SP1450T"</f>
        <v>SP1450T</v>
      </c>
      <c r="B1195" s="18" t="s">
        <v>1115</v>
      </c>
      <c r="C1195" s="37">
        <v>23.300999999999998</v>
      </c>
      <c r="D1195" s="51"/>
      <c r="E1195" s="19" t="str">
        <f>"610377049856"</f>
        <v>610377049856</v>
      </c>
      <c r="F1195" s="20">
        <v>20</v>
      </c>
    </row>
    <row r="1196" spans="1:6">
      <c r="A1196" s="15" t="str">
        <f>"SP1450TGR"</f>
        <v>SP1450TGR</v>
      </c>
      <c r="B1196" s="15" t="s">
        <v>1116</v>
      </c>
      <c r="C1196" s="36">
        <v>23.300999999999998</v>
      </c>
      <c r="D1196" s="51"/>
      <c r="E1196" s="16" t="str">
        <f>"610377852623"</f>
        <v>610377852623</v>
      </c>
      <c r="F1196" s="17">
        <v>20</v>
      </c>
    </row>
    <row r="1197" spans="1:6">
      <c r="A1197" s="18" t="str">
        <f>"SP1450WP"</f>
        <v>SP1450WP</v>
      </c>
      <c r="B1197" s="18" t="s">
        <v>1117</v>
      </c>
      <c r="C1197" s="37">
        <v>6.6464999999999996</v>
      </c>
      <c r="D1197" s="51"/>
      <c r="E1197" s="19" t="str">
        <f>"610377049979"</f>
        <v>610377049979</v>
      </c>
      <c r="F1197" s="20">
        <v>10</v>
      </c>
    </row>
    <row r="1198" spans="1:6">
      <c r="A1198" s="15" t="str">
        <f>"SP1450WP2"</f>
        <v>SP1450WP2</v>
      </c>
      <c r="B1198" s="15" t="s">
        <v>1118</v>
      </c>
      <c r="C1198" s="36">
        <v>5.7195</v>
      </c>
      <c r="D1198" s="51"/>
      <c r="E1198" s="16" t="str">
        <f>"610377049986"</f>
        <v>610377049986</v>
      </c>
      <c r="F1198" s="17">
        <v>10</v>
      </c>
    </row>
    <row r="1199" spans="1:6">
      <c r="A1199" s="18" t="str">
        <f>"SP1480BLK"</f>
        <v>SP1480BLK</v>
      </c>
      <c r="B1199" s="18" t="s">
        <v>1119</v>
      </c>
      <c r="C1199" s="37">
        <v>8.1449999999999996</v>
      </c>
      <c r="D1199" s="51"/>
      <c r="E1199" s="19" t="str">
        <f>"610377307840"</f>
        <v>610377307840</v>
      </c>
      <c r="F1199" s="20">
        <v>50</v>
      </c>
    </row>
    <row r="1200" spans="1:6">
      <c r="A1200" s="15" t="str">
        <f>"SP1481"</f>
        <v>SP1481</v>
      </c>
      <c r="B1200" s="15" t="s">
        <v>1120</v>
      </c>
      <c r="C1200" s="36">
        <v>8.1449999999999996</v>
      </c>
      <c r="D1200" s="51"/>
      <c r="E1200" s="16" t="str">
        <f>"610377050005"</f>
        <v>610377050005</v>
      </c>
      <c r="F1200" s="17">
        <v>24</v>
      </c>
    </row>
    <row r="1201" spans="1:6">
      <c r="A1201" s="18" t="str">
        <f>"SP1482"</f>
        <v>SP1482</v>
      </c>
      <c r="B1201" s="18" t="s">
        <v>1121</v>
      </c>
      <c r="C1201" s="37">
        <v>8.0549999999999997</v>
      </c>
      <c r="D1201" s="51"/>
      <c r="E1201" s="19" t="str">
        <f>"610377050012"</f>
        <v>610377050012</v>
      </c>
      <c r="F1201" s="20">
        <v>50</v>
      </c>
    </row>
    <row r="1202" spans="1:6">
      <c r="A1202" s="15" t="str">
        <f>"SP1484"</f>
        <v>SP1484</v>
      </c>
      <c r="B1202" s="15" t="s">
        <v>1122</v>
      </c>
      <c r="C1202" s="36">
        <v>8.1449999999999996</v>
      </c>
      <c r="D1202" s="51"/>
      <c r="E1202" s="16" t="str">
        <f>"610377050043"</f>
        <v>610377050043</v>
      </c>
      <c r="F1202" s="17">
        <v>50</v>
      </c>
    </row>
    <row r="1203" spans="1:6">
      <c r="A1203" s="18" t="str">
        <f>"SP1485"</f>
        <v>SP1485</v>
      </c>
      <c r="B1203" s="18" t="s">
        <v>1123</v>
      </c>
      <c r="C1203" s="37">
        <v>14.282999999999999</v>
      </c>
      <c r="D1203" s="51"/>
      <c r="E1203" s="19" t="str">
        <f>"610377050067"</f>
        <v>610377050067</v>
      </c>
      <c r="F1203" s="20">
        <v>20</v>
      </c>
    </row>
    <row r="1204" spans="1:6">
      <c r="A1204" s="15" t="str">
        <f>"SP1486"</f>
        <v>SP1486</v>
      </c>
      <c r="B1204" s="15" t="s">
        <v>1124</v>
      </c>
      <c r="C1204" s="36">
        <v>24.907499999999999</v>
      </c>
      <c r="D1204" s="51"/>
      <c r="E1204" s="16" t="str">
        <f>"610377050128"</f>
        <v>610377050128</v>
      </c>
      <c r="F1204" s="17">
        <v>20</v>
      </c>
    </row>
    <row r="1205" spans="1:6">
      <c r="A1205" s="18" t="str">
        <f>"SP1493"</f>
        <v>SP1493</v>
      </c>
      <c r="B1205" s="18" t="s">
        <v>1125</v>
      </c>
      <c r="C1205" s="37">
        <v>4.7655000000000003</v>
      </c>
      <c r="D1205" s="51"/>
      <c r="E1205" s="19" t="str">
        <f>"610377050166"</f>
        <v>610377050166</v>
      </c>
      <c r="F1205" s="20">
        <v>50</v>
      </c>
    </row>
    <row r="1206" spans="1:6">
      <c r="A1206" s="15" t="str">
        <f>"SP14952"</f>
        <v>SP14952</v>
      </c>
      <c r="B1206" s="15" t="s">
        <v>1126</v>
      </c>
      <c r="C1206" s="36">
        <v>6.2595000000000001</v>
      </c>
      <c r="D1206" s="51"/>
      <c r="E1206" s="16" t="str">
        <f>"610377050180"</f>
        <v>610377050180</v>
      </c>
      <c r="F1206" s="17">
        <v>50</v>
      </c>
    </row>
    <row r="1207" spans="1:6">
      <c r="A1207" s="18" t="str">
        <f>"SP14952S"</f>
        <v>SP14952S</v>
      </c>
      <c r="B1207" s="18" t="s">
        <v>1127</v>
      </c>
      <c r="C1207" s="37">
        <v>6.0839999999999996</v>
      </c>
      <c r="D1207" s="51"/>
      <c r="E1207" s="19" t="str">
        <f>"610377050203"</f>
        <v>610377050203</v>
      </c>
      <c r="F1207" s="20">
        <v>50</v>
      </c>
    </row>
    <row r="1208" spans="1:6">
      <c r="A1208" s="15" t="str">
        <f>"SP14952S50"</f>
        <v>SP14952S50</v>
      </c>
      <c r="B1208" s="15" t="s">
        <v>1128</v>
      </c>
      <c r="C1208" s="36">
        <v>271.46699999999998</v>
      </c>
      <c r="D1208" s="51"/>
      <c r="E1208" s="16" t="str">
        <f>"610377050210"</f>
        <v>610377050210</v>
      </c>
      <c r="F1208" s="17">
        <v>1</v>
      </c>
    </row>
    <row r="1209" spans="1:6">
      <c r="A1209" s="18" t="str">
        <f>"SP14953S"</f>
        <v>SP14953S</v>
      </c>
      <c r="B1209" s="18" t="s">
        <v>1129</v>
      </c>
      <c r="C1209" s="37">
        <v>6.327</v>
      </c>
      <c r="D1209" s="51"/>
      <c r="E1209" s="19" t="str">
        <f>"610377050241"</f>
        <v>610377050241</v>
      </c>
      <c r="F1209" s="20">
        <v>50</v>
      </c>
    </row>
    <row r="1210" spans="1:6">
      <c r="A1210" s="15" t="str">
        <f>"SP14982S"</f>
        <v>SP14982S</v>
      </c>
      <c r="B1210" s="15" t="s">
        <v>1130</v>
      </c>
      <c r="C1210" s="36">
        <v>9.1980000000000004</v>
      </c>
      <c r="D1210" s="51"/>
      <c r="E1210" s="16" t="str">
        <f>"610377050296"</f>
        <v>610377050296</v>
      </c>
      <c r="F1210" s="17">
        <v>50</v>
      </c>
    </row>
    <row r="1211" spans="1:6">
      <c r="A1211" s="18" t="str">
        <f>"SP14983S"</f>
        <v>SP14983S</v>
      </c>
      <c r="B1211" s="18" t="s">
        <v>1131</v>
      </c>
      <c r="C1211" s="37">
        <v>9.3734999999999999</v>
      </c>
      <c r="D1211" s="51"/>
      <c r="E1211" s="19" t="str">
        <f>"610377050302"</f>
        <v>610377050302</v>
      </c>
      <c r="F1211" s="20">
        <v>50</v>
      </c>
    </row>
    <row r="1212" spans="1:6">
      <c r="A1212" s="15" t="str">
        <f>"SP1500FT"</f>
        <v>SP1500FT</v>
      </c>
      <c r="B1212" s="15" t="s">
        <v>1132</v>
      </c>
      <c r="C1212" s="36">
        <v>33.704999999999998</v>
      </c>
      <c r="D1212" s="51"/>
      <c r="E1212" s="16" t="str">
        <f>"610377784344"</f>
        <v>610377784344</v>
      </c>
      <c r="F1212" s="17">
        <v>10</v>
      </c>
    </row>
    <row r="1213" spans="1:6">
      <c r="A1213" s="18" t="str">
        <f>"SP1500UNMPAK1"</f>
        <v>SP1500UNMPAK1</v>
      </c>
      <c r="B1213" s="18" t="s">
        <v>1133</v>
      </c>
      <c r="C1213" s="37">
        <v>6.0164999999999997</v>
      </c>
      <c r="D1213" s="51"/>
      <c r="E1213" s="19" t="str">
        <f>"610377050340"</f>
        <v>610377050340</v>
      </c>
      <c r="F1213" s="20">
        <v>50</v>
      </c>
    </row>
    <row r="1214" spans="1:6">
      <c r="A1214" s="15" t="str">
        <f>"SP1500UNPAK2"</f>
        <v>SP1500UNPAK2</v>
      </c>
      <c r="B1214" s="15" t="s">
        <v>1134</v>
      </c>
      <c r="C1214" s="36">
        <v>6.6914999999999996</v>
      </c>
      <c r="D1214" s="51"/>
      <c r="E1214" s="16" t="str">
        <f>"610377050364"</f>
        <v>610377050364</v>
      </c>
      <c r="F1214" s="17">
        <v>50</v>
      </c>
    </row>
    <row r="1215" spans="1:6">
      <c r="A1215" s="18" t="str">
        <f>"SP1500UNPAK2C"</f>
        <v>SP1500UNPAK2C</v>
      </c>
      <c r="B1215" s="18" t="s">
        <v>1135</v>
      </c>
      <c r="C1215" s="37">
        <v>6.8129999999999997</v>
      </c>
      <c r="D1215" s="51"/>
      <c r="E1215" s="19" t="str">
        <f>"610377050371"</f>
        <v>610377050371</v>
      </c>
      <c r="F1215" s="20">
        <v>50</v>
      </c>
    </row>
    <row r="1216" spans="1:6" ht="16" thickBot="1">
      <c r="A1216" s="21" t="str">
        <f>"SP1500UNPAK2S"</f>
        <v>SP1500UNPAK2S</v>
      </c>
      <c r="B1216" s="21" t="s">
        <v>1136</v>
      </c>
      <c r="C1216" s="38">
        <v>5.7824999999999998</v>
      </c>
      <c r="D1216" s="52"/>
      <c r="E1216" s="22" t="str">
        <f>"610377050388"</f>
        <v>610377050388</v>
      </c>
      <c r="F1216" s="23">
        <v>50</v>
      </c>
    </row>
    <row r="1217" spans="1:6" ht="16" thickTop="1">
      <c r="C1217" s="39"/>
      <c r="D1217" s="39"/>
    </row>
    <row r="1218" spans="1:6" ht="16" thickBot="1">
      <c r="A1218" s="24" t="s">
        <v>42</v>
      </c>
      <c r="C1218" s="39"/>
      <c r="D1218" s="39"/>
    </row>
    <row r="1219" spans="1:6" ht="16" thickTop="1">
      <c r="A1219" s="12" t="str">
        <f>"SP1516"</f>
        <v>SP1516</v>
      </c>
      <c r="B1219" s="12" t="s">
        <v>1137</v>
      </c>
      <c r="C1219" s="35">
        <v>24.079499999999999</v>
      </c>
      <c r="D1219" s="50"/>
      <c r="E1219" s="13" t="str">
        <f>"610377050951"</f>
        <v>610377050951</v>
      </c>
      <c r="F1219" s="14">
        <v>1</v>
      </c>
    </row>
    <row r="1220" spans="1:6">
      <c r="A1220" s="15" t="str">
        <f>"SP1540C"</f>
        <v>SP1540C</v>
      </c>
      <c r="B1220" s="15" t="s">
        <v>1138</v>
      </c>
      <c r="C1220" s="36">
        <v>160.14599999999999</v>
      </c>
      <c r="D1220" s="51"/>
      <c r="E1220" s="16" t="str">
        <f>"610377051415"</f>
        <v>610377051415</v>
      </c>
      <c r="F1220" s="17">
        <v>1</v>
      </c>
    </row>
    <row r="1221" spans="1:6">
      <c r="A1221" s="18" t="str">
        <f>"SP1580"</f>
        <v>SP1580</v>
      </c>
      <c r="B1221" s="18" t="s">
        <v>1139</v>
      </c>
      <c r="C1221" s="37">
        <v>168.3</v>
      </c>
      <c r="D1221" s="51"/>
      <c r="E1221" s="19" t="str">
        <f>"610377051804"</f>
        <v>610377051804</v>
      </c>
      <c r="F1221" s="20">
        <v>1</v>
      </c>
    </row>
    <row r="1222" spans="1:6">
      <c r="A1222" s="15" t="str">
        <f>"SP15801X15H"</f>
        <v>SP15801X15H</v>
      </c>
      <c r="B1222" s="15" t="s">
        <v>1140</v>
      </c>
      <c r="C1222" s="36">
        <v>177.59700000000001</v>
      </c>
      <c r="D1222" s="51"/>
      <c r="E1222" s="16" t="str">
        <f>"610377869287"</f>
        <v>610377869287</v>
      </c>
      <c r="F1222" s="17">
        <v>1</v>
      </c>
    </row>
    <row r="1223" spans="1:6">
      <c r="A1223" s="18" t="str">
        <f>"SP1580H"</f>
        <v>SP1580H</v>
      </c>
      <c r="B1223" s="18" t="s">
        <v>1141</v>
      </c>
      <c r="C1223" s="37">
        <v>168.3</v>
      </c>
      <c r="D1223" s="51"/>
      <c r="E1223" s="19" t="str">
        <f>"610377869263"</f>
        <v>610377869263</v>
      </c>
      <c r="F1223" s="20">
        <v>1</v>
      </c>
    </row>
    <row r="1224" spans="1:6">
      <c r="A1224" s="15" t="str">
        <f>"SP1580HTL"</f>
        <v>SP1580HTL</v>
      </c>
      <c r="B1224" s="15" t="s">
        <v>1142</v>
      </c>
      <c r="C1224" s="36">
        <v>174.15899999999999</v>
      </c>
      <c r="D1224" s="51"/>
      <c r="E1224" s="16" t="str">
        <f>"610377869270"</f>
        <v>610377869270</v>
      </c>
      <c r="F1224" s="17">
        <v>1</v>
      </c>
    </row>
    <row r="1225" spans="1:6">
      <c r="A1225" s="18" t="str">
        <f>"SP1580TL"</f>
        <v>SP1580TL</v>
      </c>
      <c r="B1225" s="18" t="s">
        <v>1143</v>
      </c>
      <c r="C1225" s="37">
        <v>174.15899999999999</v>
      </c>
      <c r="D1225" s="51"/>
      <c r="E1225" s="19" t="str">
        <f>"610377219792"</f>
        <v>610377219792</v>
      </c>
      <c r="F1225" s="20">
        <v>1</v>
      </c>
    </row>
    <row r="1226" spans="1:6">
      <c r="A1226" s="15" t="str">
        <f>"SP1580X15"</f>
        <v>SP1580X15</v>
      </c>
      <c r="B1226" s="15" t="s">
        <v>1144</v>
      </c>
      <c r="C1226" s="36">
        <v>177.642</v>
      </c>
      <c r="D1226" s="51"/>
      <c r="E1226" s="16" t="str">
        <f>"610377051828"</f>
        <v>610377051828</v>
      </c>
      <c r="F1226" s="17">
        <v>1</v>
      </c>
    </row>
    <row r="1227" spans="1:6">
      <c r="A1227" s="18" t="str">
        <f>"SP1580X15HTL"</f>
        <v>SP1580X15HTL</v>
      </c>
      <c r="B1227" s="18" t="s">
        <v>1145</v>
      </c>
      <c r="C1227" s="37">
        <v>183.5145</v>
      </c>
      <c r="D1227" s="51"/>
      <c r="E1227" s="19" t="str">
        <f>"610377013093"</f>
        <v>610377013093</v>
      </c>
      <c r="F1227" s="20">
        <v>1</v>
      </c>
    </row>
    <row r="1228" spans="1:6">
      <c r="A1228" s="15" t="str">
        <f>"SP1580X15TL"</f>
        <v>SP1580X15TL</v>
      </c>
      <c r="B1228" s="15" t="s">
        <v>1146</v>
      </c>
      <c r="C1228" s="36">
        <v>183.5145</v>
      </c>
      <c r="D1228" s="51"/>
      <c r="E1228" s="16" t="str">
        <f>"610377214438"</f>
        <v>610377214438</v>
      </c>
      <c r="F1228" s="17">
        <v>1</v>
      </c>
    </row>
    <row r="1229" spans="1:6">
      <c r="A1229" s="18" t="str">
        <f>"SP1591"</f>
        <v>SP1591</v>
      </c>
      <c r="B1229" s="18" t="s">
        <v>1147</v>
      </c>
      <c r="C1229" s="37">
        <v>192.1455</v>
      </c>
      <c r="D1229" s="51"/>
      <c r="E1229" s="19" t="str">
        <f>"610377851084"</f>
        <v>610377851084</v>
      </c>
      <c r="F1229" s="20">
        <v>1</v>
      </c>
    </row>
    <row r="1230" spans="1:6">
      <c r="A1230" s="15" t="str">
        <f>"SP1591FT *"</f>
        <v>SP1591FT *</v>
      </c>
      <c r="B1230" s="15" t="s">
        <v>1148</v>
      </c>
      <c r="C1230" s="36">
        <v>218.97</v>
      </c>
      <c r="D1230" s="51"/>
      <c r="E1230" s="16" t="str">
        <f>"610377855433"</f>
        <v>610377855433</v>
      </c>
      <c r="F1230" s="17">
        <v>1</v>
      </c>
    </row>
    <row r="1231" spans="1:6">
      <c r="A1231" s="18" t="str">
        <f>"SP1591FTTL *"</f>
        <v>SP1591FTTL *</v>
      </c>
      <c r="B1231" s="18" t="s">
        <v>1149</v>
      </c>
      <c r="C1231" s="37">
        <v>226.85849999999999</v>
      </c>
      <c r="D1231" s="51"/>
      <c r="E1231" s="19" t="str">
        <f>"610377855440"</f>
        <v>610377855440</v>
      </c>
      <c r="F1231" s="20">
        <v>1</v>
      </c>
    </row>
    <row r="1232" spans="1:6">
      <c r="A1232" s="15" t="str">
        <f>"SP1591TL"</f>
        <v>SP1591TL</v>
      </c>
      <c r="B1232" s="15" t="s">
        <v>1150</v>
      </c>
      <c r="C1232" s="36">
        <v>198.072</v>
      </c>
      <c r="D1232" s="51"/>
      <c r="E1232" s="16" t="str">
        <f>"610377855457"</f>
        <v>610377855457</v>
      </c>
      <c r="F1232" s="17">
        <v>1</v>
      </c>
    </row>
    <row r="1233" spans="1:6">
      <c r="A1233" s="18" t="str">
        <f>"SP1592"</f>
        <v>SP1592</v>
      </c>
      <c r="B1233" s="18" t="s">
        <v>1151</v>
      </c>
      <c r="C1233" s="37">
        <v>198.1395</v>
      </c>
      <c r="D1233" s="51"/>
      <c r="E1233" s="19" t="str">
        <f>"610377851091"</f>
        <v>610377851091</v>
      </c>
      <c r="F1233" s="20">
        <v>1</v>
      </c>
    </row>
    <row r="1234" spans="1:6">
      <c r="A1234" s="15" t="str">
        <f>"SP15922S"</f>
        <v>SP15922S</v>
      </c>
      <c r="B1234" s="15" t="s">
        <v>1152</v>
      </c>
      <c r="C1234" s="36">
        <v>234.23849999999999</v>
      </c>
      <c r="D1234" s="51"/>
      <c r="E1234" s="16" t="str">
        <f>"610377855464"</f>
        <v>610377855464</v>
      </c>
      <c r="F1234" s="17">
        <v>1</v>
      </c>
    </row>
    <row r="1235" spans="1:6">
      <c r="A1235" s="18" t="str">
        <f>"SP1592FT"</f>
        <v>SP1592FT</v>
      </c>
      <c r="B1235" s="18" t="s">
        <v>1153</v>
      </c>
      <c r="C1235" s="37">
        <v>226.85849999999999</v>
      </c>
      <c r="D1235" s="51"/>
      <c r="E1235" s="19" t="str">
        <f>"610377851152"</f>
        <v>610377851152</v>
      </c>
      <c r="F1235" s="20">
        <v>1</v>
      </c>
    </row>
    <row r="1236" spans="1:6">
      <c r="A1236" s="15" t="str">
        <f>"SP1592FTTL"</f>
        <v>SP1592FTTL</v>
      </c>
      <c r="B1236" s="15" t="s">
        <v>1154</v>
      </c>
      <c r="C1236" s="36">
        <v>232.84350000000001</v>
      </c>
      <c r="D1236" s="51"/>
      <c r="E1236" s="16" t="str">
        <f>"610377851176"</f>
        <v>610377851176</v>
      </c>
      <c r="F1236" s="17">
        <v>1</v>
      </c>
    </row>
    <row r="1237" spans="1:6">
      <c r="A1237" s="18" t="str">
        <f>"SP1592TL"</f>
        <v>SP1592TL</v>
      </c>
      <c r="B1237" s="18" t="s">
        <v>1155</v>
      </c>
      <c r="C1237" s="37">
        <v>203.99850000000001</v>
      </c>
      <c r="D1237" s="51"/>
      <c r="E1237" s="19" t="str">
        <f>"610377851145"</f>
        <v>610377851145</v>
      </c>
      <c r="F1237" s="20">
        <v>1</v>
      </c>
    </row>
    <row r="1238" spans="1:6">
      <c r="A1238" s="15" t="str">
        <f>"SP1593"</f>
        <v>SP1593</v>
      </c>
      <c r="B1238" s="15" t="s">
        <v>1156</v>
      </c>
      <c r="C1238" s="36">
        <v>207.51300000000001</v>
      </c>
      <c r="D1238" s="51"/>
      <c r="E1238" s="16" t="str">
        <f>"610377851114"</f>
        <v>610377851114</v>
      </c>
      <c r="F1238" s="17">
        <v>1</v>
      </c>
    </row>
    <row r="1239" spans="1:6">
      <c r="A1239" s="18" t="str">
        <f>"SP15932S"</f>
        <v>SP15932S</v>
      </c>
      <c r="B1239" s="18" t="s">
        <v>1157</v>
      </c>
      <c r="C1239" s="37">
        <v>243.60300000000001</v>
      </c>
      <c r="D1239" s="51"/>
      <c r="E1239" s="19" t="str">
        <f>"610377855471"</f>
        <v>610377855471</v>
      </c>
      <c r="F1239" s="20">
        <v>1</v>
      </c>
    </row>
    <row r="1240" spans="1:6">
      <c r="A1240" s="15" t="str">
        <f>"SP1593FT"</f>
        <v>SP1593FT</v>
      </c>
      <c r="B1240" s="15" t="s">
        <v>1158</v>
      </c>
      <c r="C1240" s="36">
        <v>236.29949999999999</v>
      </c>
      <c r="D1240" s="51"/>
      <c r="E1240" s="16" t="str">
        <f>"610377851206"</f>
        <v>610377851206</v>
      </c>
      <c r="F1240" s="17">
        <v>1</v>
      </c>
    </row>
    <row r="1241" spans="1:6">
      <c r="A1241" s="18" t="str">
        <f>"SP1593FTTL"</f>
        <v>SP1593FTTL</v>
      </c>
      <c r="B1241" s="18" t="s">
        <v>1159</v>
      </c>
      <c r="C1241" s="37">
        <v>242.60400000000001</v>
      </c>
      <c r="D1241" s="51"/>
      <c r="E1241" s="19" t="str">
        <f>"610377851220"</f>
        <v>610377851220</v>
      </c>
      <c r="F1241" s="20">
        <v>1</v>
      </c>
    </row>
    <row r="1242" spans="1:6">
      <c r="A1242" s="15" t="str">
        <f>"SP1593TL"</f>
        <v>SP1593TL</v>
      </c>
      <c r="B1242" s="15" t="s">
        <v>1160</v>
      </c>
      <c r="C1242" s="36">
        <v>213.34049999999999</v>
      </c>
      <c r="D1242" s="51"/>
      <c r="E1242" s="16" t="str">
        <f>"610377851190"</f>
        <v>610377851190</v>
      </c>
      <c r="F1242" s="17">
        <v>1</v>
      </c>
    </row>
    <row r="1243" spans="1:6">
      <c r="A1243" s="18" t="str">
        <f>"SP1600TAP"</f>
        <v>SP1600TAP</v>
      </c>
      <c r="B1243" s="18" t="s">
        <v>1161</v>
      </c>
      <c r="C1243" s="37">
        <v>9.6389999999999993</v>
      </c>
      <c r="D1243" s="51"/>
      <c r="E1243" s="19" t="str">
        <f>"610377051880"</f>
        <v>610377051880</v>
      </c>
      <c r="F1243" s="20">
        <v>50</v>
      </c>
    </row>
    <row r="1244" spans="1:6">
      <c r="A1244" s="15" t="str">
        <f>"SP1750"</f>
        <v>SP1750</v>
      </c>
      <c r="B1244" s="15" t="s">
        <v>1162</v>
      </c>
      <c r="C1244" s="36">
        <v>189.32849999999999</v>
      </c>
      <c r="D1244" s="51"/>
      <c r="E1244" s="16" t="str">
        <f>"610377052191"</f>
        <v>610377052191</v>
      </c>
      <c r="F1244" s="17">
        <v>1</v>
      </c>
    </row>
    <row r="1245" spans="1:6">
      <c r="A1245" s="18" t="str">
        <f>"SP1775"</f>
        <v>SP1775</v>
      </c>
      <c r="B1245" s="18" t="s">
        <v>1163</v>
      </c>
      <c r="C1245" s="37">
        <v>194.47200000000001</v>
      </c>
      <c r="D1245" s="51"/>
      <c r="E1245" s="19" t="str">
        <f>"610377052207"</f>
        <v>610377052207</v>
      </c>
      <c r="F1245" s="20">
        <v>1</v>
      </c>
    </row>
    <row r="1246" spans="1:6">
      <c r="A1246" s="15" t="str">
        <f>"SP1780"</f>
        <v>SP1780</v>
      </c>
      <c r="B1246" s="15" t="s">
        <v>1164</v>
      </c>
      <c r="C1246" s="36">
        <v>198.95849999999999</v>
      </c>
      <c r="D1246" s="51"/>
      <c r="E1246" s="16" t="str">
        <f>"610377052245"</f>
        <v>610377052245</v>
      </c>
      <c r="F1246" s="17">
        <v>1</v>
      </c>
    </row>
    <row r="1247" spans="1:6">
      <c r="A1247" s="18" t="str">
        <f>"SP2302VSP"</f>
        <v>SP2302VSP</v>
      </c>
      <c r="B1247" s="18" t="s">
        <v>1165</v>
      </c>
      <c r="C1247" s="37">
        <v>633.28499999999997</v>
      </c>
      <c r="D1247" s="51"/>
      <c r="E1247" s="19" t="str">
        <f>"610377246187"</f>
        <v>610377246187</v>
      </c>
      <c r="F1247" s="20">
        <v>1</v>
      </c>
    </row>
    <row r="1248" spans="1:6">
      <c r="A1248" s="15" t="str">
        <f>"SP2302VSPND"</f>
        <v>SP2302VSPND</v>
      </c>
      <c r="B1248" s="15" t="s">
        <v>1166</v>
      </c>
      <c r="C1248" s="36">
        <v>628.20899999999995</v>
      </c>
      <c r="D1248" s="51"/>
      <c r="E1248" s="16" t="str">
        <f>"610377246231"</f>
        <v>610377246231</v>
      </c>
      <c r="F1248" s="17">
        <v>1</v>
      </c>
    </row>
    <row r="1249" spans="1:6">
      <c r="A1249" s="18" t="str">
        <f>"SP2305X7"</f>
        <v>SP2305X7</v>
      </c>
      <c r="B1249" s="18" t="s">
        <v>1167</v>
      </c>
      <c r="C1249" s="37">
        <v>258.858</v>
      </c>
      <c r="D1249" s="51"/>
      <c r="E1249" s="19" t="str">
        <f>"610377143387"</f>
        <v>610377143387</v>
      </c>
      <c r="F1249" s="20">
        <v>1</v>
      </c>
    </row>
    <row r="1250" spans="1:6">
      <c r="A1250" s="15" t="str">
        <f>"SP2305X7EE"</f>
        <v>SP2305X7EE</v>
      </c>
      <c r="B1250" s="15" t="s">
        <v>1168</v>
      </c>
      <c r="C1250" s="36">
        <v>285.16500000000002</v>
      </c>
      <c r="D1250" s="51"/>
      <c r="E1250" s="16" t="str">
        <f>"610377143394"</f>
        <v>610377143394</v>
      </c>
      <c r="F1250" s="17">
        <v>1</v>
      </c>
    </row>
    <row r="1251" spans="1:6">
      <c r="A1251" s="18" t="str">
        <f>"SP2305X7EESP"</f>
        <v>SP2305X7EESP</v>
      </c>
      <c r="B1251" s="18" t="s">
        <v>1169</v>
      </c>
      <c r="C1251" s="37">
        <v>292.14449999999999</v>
      </c>
      <c r="D1251" s="51"/>
      <c r="E1251" s="19" t="str">
        <f>"610377196680"</f>
        <v>610377196680</v>
      </c>
      <c r="F1251" s="20">
        <v>1</v>
      </c>
    </row>
    <row r="1252" spans="1:6">
      <c r="A1252" s="15" t="str">
        <f>"SP2307X10"</f>
        <v>SP2307X10</v>
      </c>
      <c r="B1252" s="15" t="s">
        <v>1170</v>
      </c>
      <c r="C1252" s="36">
        <v>282.6585</v>
      </c>
      <c r="D1252" s="51"/>
      <c r="E1252" s="16" t="str">
        <f>"610377143400"</f>
        <v>610377143400</v>
      </c>
      <c r="F1252" s="17">
        <v>1</v>
      </c>
    </row>
    <row r="1253" spans="1:6">
      <c r="A1253" s="18" t="str">
        <f>"SP2307X102"</f>
        <v>SP2307X102</v>
      </c>
      <c r="B1253" s="18" t="s">
        <v>1171</v>
      </c>
      <c r="C1253" s="37">
        <v>376.209</v>
      </c>
      <c r="D1253" s="51"/>
      <c r="E1253" s="19" t="str">
        <f>"610377143431"</f>
        <v>610377143431</v>
      </c>
      <c r="F1253" s="20">
        <v>1</v>
      </c>
    </row>
    <row r="1254" spans="1:6">
      <c r="A1254" s="15" t="str">
        <f>"SP2310X15"</f>
        <v>SP2310X15</v>
      </c>
      <c r="B1254" s="15" t="s">
        <v>1172</v>
      </c>
      <c r="C1254" s="36">
        <v>304.75349999999997</v>
      </c>
      <c r="D1254" s="51"/>
      <c r="E1254" s="16" t="str">
        <f>"610377143417"</f>
        <v>610377143417</v>
      </c>
      <c r="F1254" s="17">
        <v>1</v>
      </c>
    </row>
    <row r="1255" spans="1:6">
      <c r="A1255" s="18" t="str">
        <f>"SP2310X152"</f>
        <v>SP2310X152</v>
      </c>
      <c r="B1255" s="18" t="s">
        <v>1173</v>
      </c>
      <c r="C1255" s="37">
        <v>402.81299999999999</v>
      </c>
      <c r="D1255" s="51"/>
      <c r="E1255" s="19" t="str">
        <f>"610377143448"</f>
        <v>610377143448</v>
      </c>
      <c r="F1255" s="20">
        <v>1</v>
      </c>
    </row>
    <row r="1256" spans="1:6">
      <c r="A1256" s="15" t="str">
        <f>"SP2315X20"</f>
        <v>SP2315X20</v>
      </c>
      <c r="B1256" s="15" t="s">
        <v>1174</v>
      </c>
      <c r="C1256" s="36">
        <v>349.25400000000002</v>
      </c>
      <c r="D1256" s="51"/>
      <c r="E1256" s="16" t="str">
        <f>"610377143424"</f>
        <v>610377143424</v>
      </c>
      <c r="F1256" s="17">
        <v>1</v>
      </c>
    </row>
    <row r="1257" spans="1:6">
      <c r="A1257" s="18" t="str">
        <f>"SP2315X202"</f>
        <v>SP2315X202</v>
      </c>
      <c r="B1257" s="18" t="s">
        <v>1175</v>
      </c>
      <c r="C1257" s="37">
        <v>458.53649999999999</v>
      </c>
      <c r="D1257" s="51"/>
      <c r="E1257" s="19" t="str">
        <f>"610377143455"</f>
        <v>610377143455</v>
      </c>
      <c r="F1257" s="20">
        <v>1</v>
      </c>
    </row>
    <row r="1258" spans="1:6">
      <c r="A1258" s="15" t="str">
        <f>"SP2600VSP"</f>
        <v>SP2600VSP</v>
      </c>
      <c r="B1258" s="15" t="s">
        <v>1176</v>
      </c>
      <c r="C1258" s="36">
        <v>634.005</v>
      </c>
      <c r="D1258" s="51"/>
      <c r="E1258" s="16" t="str">
        <f>"610377209960"</f>
        <v>610377209960</v>
      </c>
      <c r="F1258" s="17">
        <v>1</v>
      </c>
    </row>
    <row r="1259" spans="1:6">
      <c r="A1259" s="18" t="str">
        <f>"SP2600X5"</f>
        <v>SP2600X5</v>
      </c>
      <c r="B1259" s="18" t="s">
        <v>1177</v>
      </c>
      <c r="C1259" s="37">
        <v>283.21199999999999</v>
      </c>
      <c r="D1259" s="51"/>
      <c r="E1259" s="19" t="str">
        <f>"610377052597"</f>
        <v>610377052597</v>
      </c>
      <c r="F1259" s="20">
        <v>1</v>
      </c>
    </row>
    <row r="1260" spans="1:6">
      <c r="A1260" s="15" t="str">
        <f>"SP2602VSP"</f>
        <v>SP2602VSP</v>
      </c>
      <c r="B1260" s="15" t="s">
        <v>1176</v>
      </c>
      <c r="C1260" s="36">
        <v>661.51800000000003</v>
      </c>
      <c r="D1260" s="51"/>
      <c r="E1260" s="16" t="str">
        <f>"610377246194"</f>
        <v>610377246194</v>
      </c>
      <c r="F1260" s="17">
        <v>1</v>
      </c>
    </row>
    <row r="1261" spans="1:6">
      <c r="A1261" s="18" t="str">
        <f>"SP2605X7"</f>
        <v>SP2605X7</v>
      </c>
      <c r="B1261" s="18" t="s">
        <v>1178</v>
      </c>
      <c r="C1261" s="37">
        <v>302.93549999999999</v>
      </c>
      <c r="D1261" s="51"/>
      <c r="E1261" s="19" t="str">
        <f>"610377052641"</f>
        <v>610377052641</v>
      </c>
      <c r="F1261" s="20">
        <v>1</v>
      </c>
    </row>
    <row r="1262" spans="1:6" ht="16" thickBot="1">
      <c r="A1262" s="21" t="str">
        <f>"SP2607EE"</f>
        <v>SP2607EE</v>
      </c>
      <c r="B1262" s="21" t="s">
        <v>1179</v>
      </c>
      <c r="C1262" s="38">
        <v>363.97800000000001</v>
      </c>
      <c r="D1262" s="52"/>
      <c r="E1262" s="22" t="str">
        <f>"610377132077"</f>
        <v>610377132077</v>
      </c>
      <c r="F1262" s="23">
        <v>1</v>
      </c>
    </row>
    <row r="1263" spans="1:6" ht="16" thickTop="1">
      <c r="C1263" s="39"/>
      <c r="D1263" s="39"/>
    </row>
    <row r="1264" spans="1:6" ht="16" thickBot="1">
      <c r="A1264" s="24" t="s">
        <v>42</v>
      </c>
      <c r="C1264" s="39"/>
      <c r="D1264" s="39"/>
    </row>
    <row r="1265" spans="1:6" ht="16" thickTop="1">
      <c r="A1265" s="12" t="str">
        <f>"SP2607X10"</f>
        <v>SP2607X10</v>
      </c>
      <c r="B1265" s="12" t="s">
        <v>1180</v>
      </c>
      <c r="C1265" s="35">
        <v>330.95699999999999</v>
      </c>
      <c r="D1265" s="50"/>
      <c r="E1265" s="13" t="str">
        <f>"610377052696"</f>
        <v>610377052696</v>
      </c>
      <c r="F1265" s="14">
        <v>1</v>
      </c>
    </row>
    <row r="1266" spans="1:6">
      <c r="A1266" s="15" t="str">
        <f>"SP2607X102S"</f>
        <v>SP2607X102S</v>
      </c>
      <c r="B1266" s="15" t="s">
        <v>1181</v>
      </c>
      <c r="C1266" s="36">
        <v>437.8725</v>
      </c>
      <c r="D1266" s="51"/>
      <c r="E1266" s="16" t="str">
        <f>"610377052733"</f>
        <v>610377052733</v>
      </c>
      <c r="F1266" s="17">
        <v>1</v>
      </c>
    </row>
    <row r="1267" spans="1:6">
      <c r="A1267" s="18" t="str">
        <f>"SP2610X15"</f>
        <v>SP2610X15</v>
      </c>
      <c r="B1267" s="18" t="s">
        <v>1182</v>
      </c>
      <c r="C1267" s="37">
        <v>357.06150000000002</v>
      </c>
      <c r="D1267" s="51"/>
      <c r="E1267" s="19" t="str">
        <f>"610377052771"</f>
        <v>610377052771</v>
      </c>
      <c r="F1267" s="20">
        <v>1</v>
      </c>
    </row>
    <row r="1268" spans="1:6">
      <c r="A1268" s="15" t="str">
        <f>"SP2610X152S"</f>
        <v>SP2610X152S</v>
      </c>
      <c r="B1268" s="15" t="s">
        <v>1183</v>
      </c>
      <c r="C1268" s="36">
        <v>469.03949999999998</v>
      </c>
      <c r="D1268" s="51"/>
      <c r="E1268" s="16" t="str">
        <f>"610377052818"</f>
        <v>610377052818</v>
      </c>
      <c r="F1268" s="17">
        <v>1</v>
      </c>
    </row>
    <row r="1269" spans="1:6">
      <c r="A1269" s="18" t="str">
        <f>"SP2615X20"</f>
        <v>SP2615X20</v>
      </c>
      <c r="B1269" s="18" t="s">
        <v>1184</v>
      </c>
      <c r="C1269" s="37">
        <v>413.0505</v>
      </c>
      <c r="D1269" s="51"/>
      <c r="E1269" s="19" t="str">
        <f>"610377052856"</f>
        <v>610377052856</v>
      </c>
      <c r="F1269" s="20">
        <v>1</v>
      </c>
    </row>
    <row r="1270" spans="1:6">
      <c r="A1270" s="15" t="str">
        <f>"SP2615X202S"</f>
        <v>SP2615X202S</v>
      </c>
      <c r="B1270" s="15" t="s">
        <v>1185</v>
      </c>
      <c r="C1270" s="36">
        <v>533.96100000000001</v>
      </c>
      <c r="D1270" s="51"/>
      <c r="E1270" s="16" t="str">
        <f>"610377052894"</f>
        <v>610377052894</v>
      </c>
      <c r="F1270" s="17">
        <v>1</v>
      </c>
    </row>
    <row r="1271" spans="1:6">
      <c r="A1271" s="18" t="str">
        <f>"SP2621X25"</f>
        <v>SP2621X25</v>
      </c>
      <c r="B1271" s="18" t="s">
        <v>1186</v>
      </c>
      <c r="C1271" s="37">
        <v>484.30799999999999</v>
      </c>
      <c r="D1271" s="51"/>
      <c r="E1271" s="19" t="str">
        <f>"610377052931"</f>
        <v>610377052931</v>
      </c>
      <c r="F1271" s="20">
        <v>1</v>
      </c>
    </row>
    <row r="1272" spans="1:6">
      <c r="A1272" s="15" t="str">
        <f>"SP2805X7"</f>
        <v>SP2805X7</v>
      </c>
      <c r="B1272" s="15" t="s">
        <v>1187</v>
      </c>
      <c r="C1272" s="36">
        <v>276.5745</v>
      </c>
      <c r="D1272" s="51"/>
      <c r="E1272" s="16" t="str">
        <f>"610377053006"</f>
        <v>610377053006</v>
      </c>
      <c r="F1272" s="17">
        <v>1</v>
      </c>
    </row>
    <row r="1273" spans="1:6">
      <c r="A1273" s="18" t="str">
        <f>"SP2807X10"</f>
        <v>SP2807X10</v>
      </c>
      <c r="B1273" s="18" t="s">
        <v>1188</v>
      </c>
      <c r="C1273" s="37">
        <v>301.995</v>
      </c>
      <c r="D1273" s="51"/>
      <c r="E1273" s="19" t="str">
        <f>"610377053044"</f>
        <v>610377053044</v>
      </c>
      <c r="F1273" s="20">
        <v>1</v>
      </c>
    </row>
    <row r="1274" spans="1:6">
      <c r="A1274" s="15" t="str">
        <f>"SP2810X15"</f>
        <v>SP2810X15</v>
      </c>
      <c r="B1274" s="15" t="s">
        <v>1189</v>
      </c>
      <c r="C1274" s="36">
        <v>325.6155</v>
      </c>
      <c r="D1274" s="51"/>
      <c r="E1274" s="16" t="str">
        <f>"610377053112"</f>
        <v>610377053112</v>
      </c>
      <c r="F1274" s="17">
        <v>1</v>
      </c>
    </row>
    <row r="1275" spans="1:6">
      <c r="A1275" s="18" t="str">
        <f>"SP2810X152"</f>
        <v>SP2810X152</v>
      </c>
      <c r="B1275" s="18" t="s">
        <v>1190</v>
      </c>
      <c r="C1275" s="37">
        <v>430.37099999999998</v>
      </c>
      <c r="D1275" s="51"/>
      <c r="E1275" s="19" t="str">
        <f>"610377053143"</f>
        <v>610377053143</v>
      </c>
      <c r="F1275" s="20">
        <v>1</v>
      </c>
    </row>
    <row r="1276" spans="1:6">
      <c r="A1276" s="15" t="str">
        <f>"SP2815X20"</f>
        <v>SP2815X20</v>
      </c>
      <c r="B1276" s="15" t="s">
        <v>1191</v>
      </c>
      <c r="C1276" s="36">
        <v>373.13099999999997</v>
      </c>
      <c r="D1276" s="51"/>
      <c r="E1276" s="16" t="str">
        <f>"610377053174"</f>
        <v>610377053174</v>
      </c>
      <c r="F1276" s="17">
        <v>1</v>
      </c>
    </row>
    <row r="1277" spans="1:6">
      <c r="A1277" s="18" t="str">
        <f>"SP3005X7AZ"</f>
        <v>SP3005X7AZ</v>
      </c>
      <c r="B1277" s="18" t="s">
        <v>1192</v>
      </c>
      <c r="C1277" s="37">
        <v>366.048</v>
      </c>
      <c r="D1277" s="51"/>
      <c r="E1277" s="19" t="str">
        <f>"610377378253"</f>
        <v>610377378253</v>
      </c>
      <c r="F1277" s="20">
        <v>1</v>
      </c>
    </row>
    <row r="1278" spans="1:6">
      <c r="A1278" s="15" t="str">
        <f>"SP3007EECA"</f>
        <v>SP3007EECA</v>
      </c>
      <c r="B1278" s="15" t="s">
        <v>1193</v>
      </c>
      <c r="C1278" s="36">
        <v>418.923</v>
      </c>
      <c r="D1278" s="51"/>
      <c r="E1278" s="16" t="str">
        <f>"610377134354"</f>
        <v>610377134354</v>
      </c>
      <c r="F1278" s="17">
        <v>1</v>
      </c>
    </row>
    <row r="1279" spans="1:6">
      <c r="A1279" s="18" t="str">
        <f>"SP3007X10AZ"</f>
        <v>SP3007X10AZ</v>
      </c>
      <c r="B1279" s="18" t="s">
        <v>1194</v>
      </c>
      <c r="C1279" s="37">
        <v>400.48649999999998</v>
      </c>
      <c r="D1279" s="51"/>
      <c r="E1279" s="19" t="str">
        <f>"610377378277"</f>
        <v>610377378277</v>
      </c>
      <c r="F1279" s="20">
        <v>1</v>
      </c>
    </row>
    <row r="1280" spans="1:6">
      <c r="A1280" s="15" t="str">
        <f>"SP3007X10AZ2"</f>
        <v>SP3007X10AZ2</v>
      </c>
      <c r="B1280" s="15" t="s">
        <v>1195</v>
      </c>
      <c r="C1280" s="36">
        <v>400.29750000000001</v>
      </c>
      <c r="D1280" s="51"/>
      <c r="E1280" s="16" t="str">
        <f>"610377013109"</f>
        <v>610377013109</v>
      </c>
      <c r="F1280" s="17">
        <v>1</v>
      </c>
    </row>
    <row r="1281" spans="1:6">
      <c r="A1281" s="18" t="str">
        <f>"SP3010AZ"</f>
        <v>SP3010AZ</v>
      </c>
      <c r="B1281" s="18" t="s">
        <v>1196</v>
      </c>
      <c r="C1281" s="37">
        <v>456.71850000000001</v>
      </c>
      <c r="D1281" s="51"/>
      <c r="E1281" s="19" t="str">
        <f>"610377294263"</f>
        <v>610377294263</v>
      </c>
      <c r="F1281" s="20">
        <v>1</v>
      </c>
    </row>
    <row r="1282" spans="1:6">
      <c r="A1282" s="15" t="str">
        <f>"SP3010EEAZ"</f>
        <v>SP3010EEAZ</v>
      </c>
      <c r="B1282" s="15" t="s">
        <v>1197</v>
      </c>
      <c r="C1282" s="36">
        <v>452.84399999999999</v>
      </c>
      <c r="D1282" s="51"/>
      <c r="E1282" s="16" t="str">
        <f>"610377294287"</f>
        <v>610377294287</v>
      </c>
      <c r="F1282" s="17">
        <v>1</v>
      </c>
    </row>
    <row r="1283" spans="1:6">
      <c r="A1283" s="18" t="str">
        <f>"SP3010X152AZ"</f>
        <v>SP3010X152AZ</v>
      </c>
      <c r="B1283" s="18" t="s">
        <v>1198</v>
      </c>
      <c r="C1283" s="37">
        <v>502.82549999999998</v>
      </c>
      <c r="D1283" s="51"/>
      <c r="E1283" s="19" t="str">
        <f>"610377464376"</f>
        <v>610377464376</v>
      </c>
      <c r="F1283" s="20">
        <v>1</v>
      </c>
    </row>
    <row r="1284" spans="1:6">
      <c r="A1284" s="15" t="str">
        <f>"SP3010X15AZ"</f>
        <v>SP3010X15AZ</v>
      </c>
      <c r="B1284" s="15" t="s">
        <v>1199</v>
      </c>
      <c r="C1284" s="36">
        <v>421.60500000000002</v>
      </c>
      <c r="D1284" s="51"/>
      <c r="E1284" s="16" t="str">
        <f>"610377378291"</f>
        <v>610377378291</v>
      </c>
      <c r="F1284" s="17">
        <v>1</v>
      </c>
    </row>
    <row r="1285" spans="1:6">
      <c r="A1285" s="18" t="str">
        <f>"SP3015EEAZ"</f>
        <v>SP3015EEAZ</v>
      </c>
      <c r="B1285" s="18" t="s">
        <v>1200</v>
      </c>
      <c r="C1285" s="37">
        <v>497.40750000000003</v>
      </c>
      <c r="D1285" s="51"/>
      <c r="E1285" s="19" t="str">
        <f>"610377294294"</f>
        <v>610377294294</v>
      </c>
      <c r="F1285" s="20">
        <v>1</v>
      </c>
    </row>
    <row r="1286" spans="1:6">
      <c r="A1286" s="15" t="str">
        <f>"SP3015X202AZ"</f>
        <v>SP3015X202AZ</v>
      </c>
      <c r="B1286" s="15" t="s">
        <v>1201</v>
      </c>
      <c r="C1286" s="36">
        <v>571.20299999999997</v>
      </c>
      <c r="D1286" s="51"/>
      <c r="E1286" s="16" t="str">
        <f>"610377464390"</f>
        <v>610377464390</v>
      </c>
      <c r="F1286" s="17">
        <v>1</v>
      </c>
    </row>
    <row r="1287" spans="1:6">
      <c r="A1287" s="18" t="str">
        <f>"SP3015X20AZ"</f>
        <v>SP3015X20AZ</v>
      </c>
      <c r="B1287" s="18" t="s">
        <v>1202</v>
      </c>
      <c r="C1287" s="37">
        <v>457.33949999999999</v>
      </c>
      <c r="D1287" s="51"/>
      <c r="E1287" s="19" t="str">
        <f>"610377378307"</f>
        <v>610377378307</v>
      </c>
      <c r="F1287" s="20">
        <v>1</v>
      </c>
    </row>
    <row r="1288" spans="1:6">
      <c r="A1288" s="15" t="str">
        <f>"SP3020EEAZ"</f>
        <v>SP3020EEAZ</v>
      </c>
      <c r="B1288" s="15" t="s">
        <v>1203</v>
      </c>
      <c r="C1288" s="36">
        <v>584.10900000000004</v>
      </c>
      <c r="D1288" s="51"/>
      <c r="E1288" s="16" t="str">
        <f>"610377294300"</f>
        <v>610377294300</v>
      </c>
      <c r="F1288" s="17">
        <v>1</v>
      </c>
    </row>
    <row r="1289" spans="1:6">
      <c r="A1289" s="18" t="str">
        <f>"SP3020X252AZ"</f>
        <v>SP3020X252AZ</v>
      </c>
      <c r="B1289" s="18" t="s">
        <v>1204</v>
      </c>
      <c r="C1289" s="37">
        <v>664.20899999999995</v>
      </c>
      <c r="D1289" s="51"/>
      <c r="E1289" s="19" t="str">
        <f>"610377464383"</f>
        <v>610377464383</v>
      </c>
      <c r="F1289" s="20">
        <v>1</v>
      </c>
    </row>
    <row r="1290" spans="1:6">
      <c r="A1290" s="15" t="str">
        <f>"SP3020X25AZ"</f>
        <v>SP3020X25AZ</v>
      </c>
      <c r="B1290" s="15" t="s">
        <v>1205</v>
      </c>
      <c r="C1290" s="36">
        <v>538.13699999999994</v>
      </c>
      <c r="D1290" s="51"/>
      <c r="E1290" s="16" t="str">
        <f>"610377378314"</f>
        <v>610377378314</v>
      </c>
      <c r="F1290" s="17">
        <v>1</v>
      </c>
    </row>
    <row r="1291" spans="1:6">
      <c r="A1291" s="18" t="str">
        <f>"SP3025EEAZ"</f>
        <v>SP3025EEAZ</v>
      </c>
      <c r="B1291" s="18" t="s">
        <v>1206</v>
      </c>
      <c r="C1291" s="37">
        <v>714.49199999999996</v>
      </c>
      <c r="D1291" s="51"/>
      <c r="E1291" s="19" t="str">
        <f>"610377294317"</f>
        <v>610377294317</v>
      </c>
      <c r="F1291" s="20">
        <v>1</v>
      </c>
    </row>
    <row r="1292" spans="1:6">
      <c r="A1292" s="15" t="str">
        <f>"SP3025X30AZ"</f>
        <v>SP3025X30AZ</v>
      </c>
      <c r="B1292" s="15" t="s">
        <v>1207</v>
      </c>
      <c r="C1292" s="36">
        <v>664.0335</v>
      </c>
      <c r="D1292" s="51"/>
      <c r="E1292" s="16" t="str">
        <f>"610377464413"</f>
        <v>610377464413</v>
      </c>
      <c r="F1292" s="17">
        <v>1</v>
      </c>
    </row>
    <row r="1293" spans="1:6">
      <c r="A1293" s="18" t="str">
        <f>"SP303063AZ"</f>
        <v>SP303063AZ</v>
      </c>
      <c r="B1293" s="18" t="s">
        <v>1208</v>
      </c>
      <c r="C1293" s="37">
        <v>735.72299999999996</v>
      </c>
      <c r="D1293" s="51"/>
      <c r="E1293" s="19" t="str">
        <f>"610377466547"</f>
        <v>610377466547</v>
      </c>
      <c r="F1293" s="20">
        <v>1</v>
      </c>
    </row>
    <row r="1294" spans="1:6">
      <c r="A1294" s="15" t="str">
        <f>"SP3100T"</f>
        <v>SP3100T</v>
      </c>
      <c r="B1294" s="15" t="s">
        <v>1209</v>
      </c>
      <c r="C1294" s="36">
        <v>7.9020000000000001</v>
      </c>
      <c r="D1294" s="51"/>
      <c r="E1294" s="16" t="str">
        <f>"610377053969"</f>
        <v>610377053969</v>
      </c>
      <c r="F1294" s="17">
        <v>25</v>
      </c>
    </row>
    <row r="1295" spans="1:6">
      <c r="A1295" s="18" t="str">
        <f>"SP3200VSP"</f>
        <v>SP3200VSP</v>
      </c>
      <c r="B1295" s="18" t="s">
        <v>1210</v>
      </c>
      <c r="C1295" s="37">
        <v>752.4855</v>
      </c>
      <c r="D1295" s="51"/>
      <c r="E1295" s="19" t="str">
        <f>"610377232234"</f>
        <v>610377232234</v>
      </c>
      <c r="F1295" s="20">
        <v>1</v>
      </c>
    </row>
    <row r="1296" spans="1:6">
      <c r="A1296" s="15" t="str">
        <f>"SP3200VSPND"</f>
        <v>SP3200VSPND</v>
      </c>
      <c r="B1296" s="15" t="s">
        <v>1211</v>
      </c>
      <c r="C1296" s="36">
        <v>721.77300000000002</v>
      </c>
      <c r="D1296" s="51"/>
      <c r="E1296" s="16" t="str">
        <f>"610377232289"</f>
        <v>610377232289</v>
      </c>
      <c r="F1296" s="17">
        <v>1</v>
      </c>
    </row>
    <row r="1297" spans="1:6">
      <c r="A1297" s="18" t="str">
        <f>"SP3205EE"</f>
        <v>SP3205EE</v>
      </c>
      <c r="B1297" s="18" t="s">
        <v>1212</v>
      </c>
      <c r="C1297" s="37">
        <v>392.64299999999997</v>
      </c>
      <c r="D1297" s="51"/>
      <c r="E1297" s="19" t="str">
        <f>"610377006194"</f>
        <v>610377006194</v>
      </c>
      <c r="F1297" s="20">
        <v>1</v>
      </c>
    </row>
    <row r="1298" spans="1:6">
      <c r="A1298" s="15" t="str">
        <f>"SP3205X7"</f>
        <v>SP3205X7</v>
      </c>
      <c r="B1298" s="15" t="s">
        <v>1213</v>
      </c>
      <c r="C1298" s="36">
        <v>382.76100000000002</v>
      </c>
      <c r="D1298" s="51"/>
      <c r="E1298" s="16" t="str">
        <f>"610377013376"</f>
        <v>610377013376</v>
      </c>
      <c r="F1298" s="17">
        <v>1</v>
      </c>
    </row>
    <row r="1299" spans="1:6">
      <c r="A1299" s="18" t="str">
        <f>"SP3207EE"</f>
        <v>SP3207EE</v>
      </c>
      <c r="B1299" s="18" t="s">
        <v>1214</v>
      </c>
      <c r="C1299" s="37">
        <v>431.88749999999999</v>
      </c>
      <c r="D1299" s="51"/>
      <c r="E1299" s="19" t="str">
        <f>"610377911726"</f>
        <v>610377911726</v>
      </c>
      <c r="F1299" s="20">
        <v>1</v>
      </c>
    </row>
    <row r="1300" spans="1:6">
      <c r="A1300" s="15" t="str">
        <f>"SP3207X10"</f>
        <v>SP3207X10</v>
      </c>
      <c r="B1300" s="15" t="s">
        <v>1215</v>
      </c>
      <c r="C1300" s="36">
        <v>418.149</v>
      </c>
      <c r="D1300" s="51"/>
      <c r="E1300" s="16" t="str">
        <f>"610377017701"</f>
        <v>610377017701</v>
      </c>
      <c r="F1300" s="17">
        <v>1</v>
      </c>
    </row>
    <row r="1301" spans="1:6">
      <c r="A1301" s="18" t="str">
        <f>"SP32102EE"</f>
        <v>SP32102EE</v>
      </c>
      <c r="B1301" s="18" t="s">
        <v>1216</v>
      </c>
      <c r="C1301" s="37">
        <v>585.351</v>
      </c>
      <c r="D1301" s="51"/>
      <c r="E1301" s="19" t="str">
        <f>"610377913058"</f>
        <v>610377913058</v>
      </c>
      <c r="F1301" s="20">
        <v>1</v>
      </c>
    </row>
    <row r="1302" spans="1:6">
      <c r="A1302" s="15" t="str">
        <f>"SP3210EE"</f>
        <v>SP3210EE</v>
      </c>
      <c r="B1302" s="15" t="s">
        <v>1217</v>
      </c>
      <c r="C1302" s="36">
        <v>466.69049999999999</v>
      </c>
      <c r="D1302" s="51"/>
      <c r="E1302" s="16" t="str">
        <f>"610377911733"</f>
        <v>610377911733</v>
      </c>
      <c r="F1302" s="17">
        <v>1</v>
      </c>
    </row>
    <row r="1303" spans="1:6">
      <c r="A1303" s="18" t="str">
        <f>"SP3210X15"</f>
        <v>SP3210X15</v>
      </c>
      <c r="B1303" s="18" t="s">
        <v>1218</v>
      </c>
      <c r="C1303" s="37">
        <v>440.19900000000001</v>
      </c>
      <c r="D1303" s="51"/>
      <c r="E1303" s="19" t="str">
        <f>"610377017718"</f>
        <v>610377017718</v>
      </c>
      <c r="F1303" s="20">
        <v>1</v>
      </c>
    </row>
    <row r="1304" spans="1:6">
      <c r="A1304" s="15" t="str">
        <f>"SP3210X152"</f>
        <v>SP3210X152</v>
      </c>
      <c r="B1304" s="15" t="s">
        <v>1219</v>
      </c>
      <c r="C1304" s="36">
        <v>519.14700000000005</v>
      </c>
      <c r="D1304" s="51"/>
      <c r="E1304" s="16" t="str">
        <f>"610377017725"</f>
        <v>610377017725</v>
      </c>
      <c r="F1304" s="17">
        <v>1</v>
      </c>
    </row>
    <row r="1305" spans="1:6">
      <c r="A1305" s="18" t="str">
        <f>"SP32152EE"</f>
        <v>SP32152EE</v>
      </c>
      <c r="B1305" s="18" t="s">
        <v>1220</v>
      </c>
      <c r="C1305" s="37">
        <v>612.53099999999995</v>
      </c>
      <c r="D1305" s="51"/>
      <c r="E1305" s="19" t="str">
        <f>"610377913065"</f>
        <v>610377913065</v>
      </c>
      <c r="F1305" s="20">
        <v>1</v>
      </c>
    </row>
    <row r="1306" spans="1:6">
      <c r="A1306" s="15" t="str">
        <f>"SP3215EE"</f>
        <v>SP3215EE</v>
      </c>
      <c r="B1306" s="15" t="s">
        <v>1221</v>
      </c>
      <c r="C1306" s="36">
        <v>512.67600000000004</v>
      </c>
      <c r="D1306" s="51"/>
      <c r="E1306" s="16" t="str">
        <f>"610377898386"</f>
        <v>610377898386</v>
      </c>
      <c r="F1306" s="17">
        <v>1</v>
      </c>
    </row>
    <row r="1307" spans="1:6">
      <c r="A1307" s="18" t="str">
        <f>"SP3215X20"</f>
        <v>SP3215X20</v>
      </c>
      <c r="B1307" s="18" t="s">
        <v>1222</v>
      </c>
      <c r="C1307" s="37">
        <v>477.81900000000002</v>
      </c>
      <c r="D1307" s="51"/>
      <c r="E1307" s="19" t="str">
        <f>"610377017732"</f>
        <v>610377017732</v>
      </c>
      <c r="F1307" s="20">
        <v>1</v>
      </c>
    </row>
    <row r="1308" spans="1:6">
      <c r="A1308" s="15" t="str">
        <f>"SP3215X202"</f>
        <v>SP3215X202</v>
      </c>
      <c r="B1308" s="15" t="s">
        <v>1223</v>
      </c>
      <c r="C1308" s="36">
        <v>595.39049999999997</v>
      </c>
      <c r="D1308" s="51"/>
      <c r="E1308" s="16" t="str">
        <f>"610377017749"</f>
        <v>610377017749</v>
      </c>
      <c r="F1308" s="17">
        <v>1</v>
      </c>
    </row>
    <row r="1309" spans="1:6">
      <c r="A1309" s="18" t="str">
        <f>"SP32202EE"</f>
        <v>SP32202EE</v>
      </c>
      <c r="B1309" s="18" t="s">
        <v>1224</v>
      </c>
      <c r="C1309" s="37">
        <v>713.84849999999994</v>
      </c>
      <c r="D1309" s="51"/>
      <c r="E1309" s="19" t="str">
        <f>"610377913072"</f>
        <v>610377913072</v>
      </c>
      <c r="F1309" s="20">
        <v>1</v>
      </c>
    </row>
    <row r="1310" spans="1:6" ht="16" thickBot="1">
      <c r="A1310" s="21" t="str">
        <f>"SP322063EEV *"</f>
        <v>SP322063EEV *</v>
      </c>
      <c r="B1310" s="21" t="s">
        <v>1225</v>
      </c>
      <c r="C1310" s="38">
        <v>504.86399999999998</v>
      </c>
      <c r="D1310" s="52"/>
      <c r="E1310" s="22" t="str">
        <f>"610377049184"</f>
        <v>610377049184</v>
      </c>
      <c r="F1310" s="23">
        <v>1</v>
      </c>
    </row>
    <row r="1311" spans="1:6" ht="16" thickTop="1">
      <c r="A1311" s="12" t="str">
        <f>"SP3220EE"</f>
        <v>SP3220EE</v>
      </c>
      <c r="B1311" s="12" t="s">
        <v>1226</v>
      </c>
      <c r="C1311" s="35">
        <v>593.47349999999994</v>
      </c>
      <c r="D1311" s="50"/>
      <c r="E1311" s="13" t="str">
        <f>"610377898393"</f>
        <v>610377898393</v>
      </c>
      <c r="F1311" s="14">
        <v>1</v>
      </c>
    </row>
    <row r="1312" spans="1:6">
      <c r="A1312" s="15" t="str">
        <f>"SP3220X25"</f>
        <v>SP3220X25</v>
      </c>
      <c r="B1312" s="15" t="s">
        <v>1227</v>
      </c>
      <c r="C1312" s="36">
        <v>562.28399999999999</v>
      </c>
      <c r="D1312" s="51"/>
      <c r="E1312" s="16" t="str">
        <f>"610377017756"</f>
        <v>610377017756</v>
      </c>
      <c r="F1312" s="17">
        <v>1</v>
      </c>
    </row>
    <row r="1313" spans="1:6">
      <c r="A1313" s="18" t="str">
        <f>"SP3220X252"</f>
        <v>SP3220X252</v>
      </c>
      <c r="B1313" s="18" t="s">
        <v>1228</v>
      </c>
      <c r="C1313" s="37">
        <v>695.63250000000005</v>
      </c>
      <c r="D1313" s="51"/>
      <c r="E1313" s="19" t="str">
        <f>"610377017763"</f>
        <v>610377017763</v>
      </c>
      <c r="F1313" s="20">
        <v>1</v>
      </c>
    </row>
    <row r="1314" spans="1:6">
      <c r="A1314" s="15" t="str">
        <f>"SP3225X30"</f>
        <v>SP3225X30</v>
      </c>
      <c r="B1314" s="15" t="s">
        <v>1229</v>
      </c>
      <c r="C1314" s="36">
        <v>688.41899999999998</v>
      </c>
      <c r="D1314" s="51"/>
      <c r="E1314" s="16" t="str">
        <f>"610377017671"</f>
        <v>610377017671</v>
      </c>
      <c r="F1314" s="17">
        <v>1</v>
      </c>
    </row>
    <row r="1315" spans="1:6">
      <c r="A1315" s="18" t="str">
        <f>"SP323063EE"</f>
        <v>SP323063EE</v>
      </c>
      <c r="B1315" s="18" t="s">
        <v>1230</v>
      </c>
      <c r="C1315" s="37">
        <v>765.65250000000003</v>
      </c>
      <c r="D1315" s="51"/>
      <c r="E1315" s="19" t="str">
        <f>"610377901147"</f>
        <v>610377901147</v>
      </c>
      <c r="F1315" s="20">
        <v>1</v>
      </c>
    </row>
    <row r="1316" spans="1:6">
      <c r="A1316" s="15" t="str">
        <f>"SP3230EE"</f>
        <v>SP3230EE</v>
      </c>
      <c r="B1316" s="15" t="s">
        <v>1231</v>
      </c>
      <c r="C1316" s="36">
        <v>737.41949999999997</v>
      </c>
      <c r="D1316" s="51"/>
      <c r="E1316" s="16" t="str">
        <f>"610377898409"</f>
        <v>610377898409</v>
      </c>
      <c r="F1316" s="17">
        <v>1</v>
      </c>
    </row>
    <row r="1317" spans="1:6">
      <c r="A1317" s="18" t="str">
        <f>"SP3250EE"</f>
        <v>SP3250EE</v>
      </c>
      <c r="B1317" s="18" t="s">
        <v>1232</v>
      </c>
      <c r="C1317" s="37">
        <v>1200.7755</v>
      </c>
      <c r="D1317" s="51"/>
      <c r="E1317" s="19" t="str">
        <f>"610377019224"</f>
        <v>610377019224</v>
      </c>
      <c r="F1317" s="20">
        <v>1</v>
      </c>
    </row>
    <row r="1318" spans="1:6">
      <c r="A1318" s="15" t="str">
        <f>"SP3400VSP"</f>
        <v>SP3400VSP</v>
      </c>
      <c r="B1318" s="15" t="s">
        <v>1233</v>
      </c>
      <c r="C1318" s="36">
        <v>918.23850000000004</v>
      </c>
      <c r="D1318" s="51"/>
      <c r="E1318" s="16" t="str">
        <f>"610377127349"</f>
        <v>610377127349</v>
      </c>
      <c r="F1318" s="17">
        <v>1</v>
      </c>
    </row>
    <row r="1319" spans="1:6">
      <c r="A1319" s="18" t="str">
        <f>"SP3400VSPVR"</f>
        <v>SP3400VSPVR</v>
      </c>
      <c r="B1319" s="18" t="s">
        <v>1234</v>
      </c>
      <c r="C1319" s="37">
        <v>1075.1130000000001</v>
      </c>
      <c r="D1319" s="51"/>
      <c r="E1319" s="19" t="str">
        <f>"610377127356"</f>
        <v>610377127356</v>
      </c>
      <c r="F1319" s="20">
        <v>1</v>
      </c>
    </row>
    <row r="1320" spans="1:6">
      <c r="A1320" s="15" t="str">
        <f>"SP36075EE"</f>
        <v>SP36075EE</v>
      </c>
      <c r="B1320" s="15" t="s">
        <v>1235</v>
      </c>
      <c r="C1320" s="36">
        <v>482.08499999999998</v>
      </c>
      <c r="D1320" s="51"/>
      <c r="E1320" s="16" t="str">
        <f>"610377010429"</f>
        <v>610377010429</v>
      </c>
      <c r="F1320" s="17">
        <v>1</v>
      </c>
    </row>
    <row r="1321" spans="1:6">
      <c r="A1321" s="18" t="str">
        <f>"SP36120EE"</f>
        <v>SP36120EE</v>
      </c>
      <c r="B1321" s="18" t="s">
        <v>1236</v>
      </c>
      <c r="C1321" s="37">
        <v>529.50599999999997</v>
      </c>
      <c r="D1321" s="51"/>
      <c r="E1321" s="19" t="str">
        <f>"610377010443"</f>
        <v>610377010443</v>
      </c>
      <c r="F1321" s="20">
        <v>1</v>
      </c>
    </row>
    <row r="1322" spans="1:6">
      <c r="A1322" s="15" t="str">
        <f>"SP4007 *"</f>
        <v>SP4007 *</v>
      </c>
      <c r="B1322" s="15" t="s">
        <v>1237</v>
      </c>
      <c r="C1322" s="36">
        <v>420.87599999999998</v>
      </c>
      <c r="D1322" s="51"/>
      <c r="E1322" s="16" t="str">
        <f>"610377460354"</f>
        <v>610377460354</v>
      </c>
      <c r="F1322" s="17">
        <v>1</v>
      </c>
    </row>
    <row r="1323" spans="1:6">
      <c r="A1323" s="18" t="str">
        <f>"SP4015X202 *"</f>
        <v>SP4015X202 *</v>
      </c>
      <c r="B1323" s="18" t="s">
        <v>1238</v>
      </c>
      <c r="C1323" s="37">
        <v>595.11149999999998</v>
      </c>
      <c r="D1323" s="51"/>
      <c r="E1323" s="19" t="str">
        <f>"610377079716"</f>
        <v>610377079716</v>
      </c>
      <c r="F1323" s="20">
        <v>1</v>
      </c>
    </row>
    <row r="1324" spans="1:6">
      <c r="A1324" s="15" t="str">
        <f>"SP4020X252 *"</f>
        <v>SP4020X252 *</v>
      </c>
      <c r="B1324" s="15" t="s">
        <v>1239</v>
      </c>
      <c r="C1324" s="42">
        <v>692.44200000000001</v>
      </c>
      <c r="D1324" s="53"/>
      <c r="E1324" s="28" t="str">
        <f>"610377079730"</f>
        <v>610377079730</v>
      </c>
      <c r="F1324" s="17">
        <v>1</v>
      </c>
    </row>
    <row r="1325" spans="1:6">
      <c r="A1325" s="18" t="str">
        <f>"SP7410"</f>
        <v>SP7410</v>
      </c>
      <c r="B1325" s="18" t="s">
        <v>1240</v>
      </c>
      <c r="C1325" s="41">
        <v>34.402500000000003</v>
      </c>
      <c r="D1325" s="53"/>
      <c r="E1325" s="29" t="str">
        <f>"610377054324"</f>
        <v>610377054324</v>
      </c>
      <c r="F1325" s="20">
        <v>10</v>
      </c>
    </row>
    <row r="1326" spans="1:6">
      <c r="A1326" s="15" t="str">
        <f>"SPGBY8EXTL096"</f>
        <v>SPGBY8EXTL096</v>
      </c>
      <c r="B1326" s="15" t="s">
        <v>1241</v>
      </c>
      <c r="C1326" s="42">
        <v>625.34249999999997</v>
      </c>
      <c r="D1326" s="53"/>
      <c r="E1326" s="28" t="str">
        <f>"610377115827"</f>
        <v>610377115827</v>
      </c>
      <c r="F1326" s="17">
        <v>1</v>
      </c>
    </row>
    <row r="1327" spans="1:6">
      <c r="A1327" s="18" t="str">
        <f>"SV015"</f>
        <v>SV015</v>
      </c>
      <c r="B1327" s="18" t="s">
        <v>1242</v>
      </c>
      <c r="C1327" s="54"/>
      <c r="D1327" s="31">
        <v>151.47999999999999</v>
      </c>
      <c r="E1327" s="29" t="str">
        <f>"761418012442"</f>
        <v>761418012442</v>
      </c>
      <c r="F1327" s="20">
        <v>1</v>
      </c>
    </row>
    <row r="1328" spans="1:6">
      <c r="A1328" s="15" t="str">
        <f>"SV030"</f>
        <v>SV030</v>
      </c>
      <c r="B1328" s="15" t="s">
        <v>1243</v>
      </c>
      <c r="C1328" s="54"/>
      <c r="D1328" s="30">
        <v>232.14</v>
      </c>
      <c r="E1328" s="28" t="str">
        <f>"761418012459"</f>
        <v>761418012459</v>
      </c>
      <c r="F1328" s="17">
        <v>1</v>
      </c>
    </row>
    <row r="1329" spans="1:6">
      <c r="A1329" s="18" t="str">
        <f>"SV10050STE"</f>
        <v>SV10050STE</v>
      </c>
      <c r="B1329" s="18" t="s">
        <v>1244</v>
      </c>
      <c r="C1329" s="41">
        <v>256.83300000000003</v>
      </c>
      <c r="D1329" s="53"/>
      <c r="E1329" s="29" t="str">
        <f>"610377728584"</f>
        <v>610377728584</v>
      </c>
      <c r="F1329" s="20">
        <v>1</v>
      </c>
    </row>
    <row r="1330" spans="1:6">
      <c r="A1330" s="15" t="str">
        <f>"SV10050STV"</f>
        <v>SV10050STV</v>
      </c>
      <c r="B1330" s="15" t="s">
        <v>1245</v>
      </c>
      <c r="C1330" s="42">
        <v>240.012</v>
      </c>
      <c r="D1330" s="53"/>
      <c r="E1330" s="28" t="str">
        <f>"610377728591"</f>
        <v>610377728591</v>
      </c>
      <c r="F1330" s="17">
        <v>1</v>
      </c>
    </row>
    <row r="1331" spans="1:6">
      <c r="A1331" s="18" t="str">
        <f>"SV10075STE"</f>
        <v>SV10075STE</v>
      </c>
      <c r="B1331" s="18" t="s">
        <v>1246</v>
      </c>
      <c r="C1331" s="41">
        <v>318.20400000000001</v>
      </c>
      <c r="D1331" s="53"/>
      <c r="E1331" s="29" t="str">
        <f>"610377728607"</f>
        <v>610377728607</v>
      </c>
      <c r="F1331" s="20">
        <v>1</v>
      </c>
    </row>
    <row r="1332" spans="1:6">
      <c r="A1332" s="15" t="str">
        <f>"SV10075STE220A"</f>
        <v>SV10075STE220A</v>
      </c>
      <c r="B1332" s="15" t="s">
        <v>1247</v>
      </c>
      <c r="C1332" s="36">
        <v>383.79149999999998</v>
      </c>
      <c r="D1332" s="51"/>
      <c r="E1332" s="16" t="str">
        <f>"610377729048"</f>
        <v>610377729048</v>
      </c>
      <c r="F1332" s="17">
        <v>1</v>
      </c>
    </row>
    <row r="1333" spans="1:6">
      <c r="A1333" s="18" t="str">
        <f>"SV10075STE24A/D"</f>
        <v>SV10075STE24A/D</v>
      </c>
      <c r="B1333" s="18" t="s">
        <v>1248</v>
      </c>
      <c r="C1333" s="37">
        <v>409.56299999999999</v>
      </c>
      <c r="D1333" s="51"/>
      <c r="E1333" s="19" t="str">
        <f>"610377728898"</f>
        <v>610377728898</v>
      </c>
      <c r="F1333" s="20">
        <v>1</v>
      </c>
    </row>
    <row r="1334" spans="1:6">
      <c r="A1334" s="15" t="str">
        <f>"SV10075STV"</f>
        <v>SV10075STV</v>
      </c>
      <c r="B1334" s="15" t="s">
        <v>1249</v>
      </c>
      <c r="C1334" s="36">
        <v>358.09199999999998</v>
      </c>
      <c r="D1334" s="51"/>
      <c r="E1334" s="16" t="str">
        <f>"610377115889"</f>
        <v>610377115889</v>
      </c>
      <c r="F1334" s="17">
        <v>1</v>
      </c>
    </row>
    <row r="1335" spans="1:6">
      <c r="A1335" s="18" t="str">
        <f>"SV10075STV24A/D"</f>
        <v>SV10075STV24A/D</v>
      </c>
      <c r="B1335" s="18" t="s">
        <v>1250</v>
      </c>
      <c r="C1335" s="37">
        <v>460.55250000000001</v>
      </c>
      <c r="D1335" s="51"/>
      <c r="E1335" s="19" t="str">
        <f>"610377728881"</f>
        <v>610377728881</v>
      </c>
      <c r="F1335" s="20">
        <v>1</v>
      </c>
    </row>
    <row r="1336" spans="1:6">
      <c r="A1336" s="15" t="str">
        <f>"SV10100STE"</f>
        <v>SV10100STE</v>
      </c>
      <c r="B1336" s="15" t="s">
        <v>1251</v>
      </c>
      <c r="C1336" s="36">
        <v>346.59449999999998</v>
      </c>
      <c r="D1336" s="51"/>
      <c r="E1336" s="16" t="str">
        <f>"610377728614"</f>
        <v>610377728614</v>
      </c>
      <c r="F1336" s="17">
        <v>1</v>
      </c>
    </row>
    <row r="1337" spans="1:6">
      <c r="A1337" s="18" t="str">
        <f>"SV10100STV"</f>
        <v>SV10100STV</v>
      </c>
      <c r="B1337" s="18" t="s">
        <v>1252</v>
      </c>
      <c r="C1337" s="37">
        <v>357.10649999999998</v>
      </c>
      <c r="D1337" s="51"/>
      <c r="E1337" s="19" t="str">
        <f>"610377728621"</f>
        <v>610377728621</v>
      </c>
      <c r="F1337" s="20">
        <v>1</v>
      </c>
    </row>
    <row r="1338" spans="1:6">
      <c r="A1338" s="15" t="str">
        <f>"SV20025STE"</f>
        <v>SV20025STE</v>
      </c>
      <c r="B1338" s="15" t="s">
        <v>1253</v>
      </c>
      <c r="C1338" s="36">
        <v>251.81100000000001</v>
      </c>
      <c r="D1338" s="51"/>
      <c r="E1338" s="16" t="str">
        <f>"610377728638"</f>
        <v>610377728638</v>
      </c>
      <c r="F1338" s="17">
        <v>1</v>
      </c>
    </row>
    <row r="1339" spans="1:6">
      <c r="A1339" s="18" t="str">
        <f>"SV20025STV"</f>
        <v>SV20025STV</v>
      </c>
      <c r="B1339" s="18" t="s">
        <v>1254</v>
      </c>
      <c r="C1339" s="37">
        <v>258.90300000000002</v>
      </c>
      <c r="D1339" s="51"/>
      <c r="E1339" s="19" t="str">
        <f>"610377728645"</f>
        <v>610377728645</v>
      </c>
      <c r="F1339" s="20">
        <v>1</v>
      </c>
    </row>
    <row r="1340" spans="1:6">
      <c r="A1340" s="15" t="str">
        <f>"SV20050STE"</f>
        <v>SV20050STE</v>
      </c>
      <c r="B1340" s="15" t="s">
        <v>1255</v>
      </c>
      <c r="C1340" s="36">
        <v>251.81100000000001</v>
      </c>
      <c r="D1340" s="51"/>
      <c r="E1340" s="16" t="str">
        <f>"610377115896"</f>
        <v>610377115896</v>
      </c>
      <c r="F1340" s="17">
        <v>1</v>
      </c>
    </row>
    <row r="1341" spans="1:6">
      <c r="A1341" s="18" t="str">
        <f>"SV20050STV"</f>
        <v>SV20050STV</v>
      </c>
      <c r="B1341" s="18" t="s">
        <v>1256</v>
      </c>
      <c r="C1341" s="37">
        <v>258.89400000000001</v>
      </c>
      <c r="D1341" s="51"/>
      <c r="E1341" s="19" t="str">
        <f>"610377728652"</f>
        <v>610377728652</v>
      </c>
      <c r="F1341" s="20">
        <v>1</v>
      </c>
    </row>
    <row r="1342" spans="1:6">
      <c r="A1342" s="15" t="str">
        <f>"SV20075STE"</f>
        <v>SV20075STE</v>
      </c>
      <c r="B1342" s="15" t="s">
        <v>1257</v>
      </c>
      <c r="C1342" s="36">
        <v>338.35050000000001</v>
      </c>
      <c r="D1342" s="51"/>
      <c r="E1342" s="16" t="str">
        <f>"610377115902"</f>
        <v>610377115902</v>
      </c>
      <c r="F1342" s="17">
        <v>1</v>
      </c>
    </row>
    <row r="1343" spans="1:6">
      <c r="A1343" s="18" t="str">
        <f>"SV20075STV"</f>
        <v>SV20075STV</v>
      </c>
      <c r="B1343" s="18" t="s">
        <v>1258</v>
      </c>
      <c r="C1343" s="37">
        <v>351.33300000000003</v>
      </c>
      <c r="D1343" s="51"/>
      <c r="E1343" s="19" t="str">
        <f>"610377728676"</f>
        <v>610377728676</v>
      </c>
      <c r="F1343" s="20">
        <v>1</v>
      </c>
    </row>
    <row r="1344" spans="1:6">
      <c r="A1344" s="15" t="str">
        <f>"SV20100STE"</f>
        <v>SV20100STE</v>
      </c>
      <c r="B1344" s="15" t="s">
        <v>1259</v>
      </c>
      <c r="C1344" s="36">
        <v>369.00900000000001</v>
      </c>
      <c r="D1344" s="51"/>
      <c r="E1344" s="16" t="str">
        <f>"610377728683"</f>
        <v>610377728683</v>
      </c>
      <c r="F1344" s="17">
        <v>1</v>
      </c>
    </row>
    <row r="1345" spans="1:6">
      <c r="A1345" s="18" t="str">
        <f>"SV20100STV"</f>
        <v>SV20100STV</v>
      </c>
      <c r="B1345" s="18" t="s">
        <v>1260</v>
      </c>
      <c r="C1345" s="37">
        <v>379.50299999999999</v>
      </c>
      <c r="D1345" s="51"/>
      <c r="E1345" s="19" t="str">
        <f>"610377728713"</f>
        <v>610377728713</v>
      </c>
      <c r="F1345" s="20">
        <v>1</v>
      </c>
    </row>
    <row r="1346" spans="1:6">
      <c r="A1346" s="15" t="str">
        <f>"SW-5PK"</f>
        <v>SW-5PK</v>
      </c>
      <c r="B1346" s="15" t="s">
        <v>1261</v>
      </c>
      <c r="C1346" s="36">
        <v>51.533999999999999</v>
      </c>
      <c r="D1346" s="51"/>
      <c r="E1346" s="16" t="str">
        <f>"761418001637"</f>
        <v>761418001637</v>
      </c>
      <c r="F1346" s="17">
        <v>1</v>
      </c>
    </row>
    <row r="1347" spans="1:6">
      <c r="A1347" s="18" t="str">
        <f>"SW1300E"</f>
        <v>SW1300E</v>
      </c>
      <c r="B1347" s="18" t="s">
        <v>1262</v>
      </c>
      <c r="C1347" s="37">
        <v>580.995</v>
      </c>
      <c r="D1347" s="51"/>
      <c r="E1347" s="19" t="str">
        <f>"610377224901"</f>
        <v>610377224901</v>
      </c>
      <c r="F1347" s="20">
        <v>1</v>
      </c>
    </row>
    <row r="1348" spans="1:6">
      <c r="A1348" s="15" t="str">
        <f>"SW1300EC"</f>
        <v>SW1300EC</v>
      </c>
      <c r="B1348" s="15" t="s">
        <v>1263</v>
      </c>
      <c r="C1348" s="36">
        <v>816.84</v>
      </c>
      <c r="D1348" s="51"/>
      <c r="E1348" s="16" t="str">
        <f>"610377224925"</f>
        <v>610377224925</v>
      </c>
      <c r="F1348" s="17">
        <v>1</v>
      </c>
    </row>
    <row r="1349" spans="1:6">
      <c r="A1349" s="18" t="str">
        <f>"SW1400E"</f>
        <v>SW1400E</v>
      </c>
      <c r="B1349" s="18" t="s">
        <v>1264</v>
      </c>
      <c r="C1349" s="37">
        <v>774.54899999999998</v>
      </c>
      <c r="D1349" s="51"/>
      <c r="E1349" s="19" t="str">
        <f>"610377225410"</f>
        <v>610377225410</v>
      </c>
      <c r="F1349" s="20">
        <v>1</v>
      </c>
    </row>
    <row r="1350" spans="1:6">
      <c r="A1350" s="15" t="str">
        <f>"SW1400EC"</f>
        <v>SW1400EC</v>
      </c>
      <c r="B1350" s="15" t="s">
        <v>1265</v>
      </c>
      <c r="C1350" s="36">
        <v>1032.1785</v>
      </c>
      <c r="D1350" s="51"/>
      <c r="E1350" s="16" t="str">
        <f>"610377225427"</f>
        <v>610377225427</v>
      </c>
      <c r="F1350" s="17">
        <v>1</v>
      </c>
    </row>
    <row r="1351" spans="1:6">
      <c r="A1351" s="18" t="str">
        <f>"SW1400V"</f>
        <v>SW1400V</v>
      </c>
      <c r="B1351" s="18" t="s">
        <v>1266</v>
      </c>
      <c r="C1351" s="37">
        <v>1543.788</v>
      </c>
      <c r="D1351" s="51"/>
      <c r="E1351" s="19" t="str">
        <f>"610377235624"</f>
        <v>610377235624</v>
      </c>
      <c r="F1351" s="20">
        <v>1</v>
      </c>
    </row>
    <row r="1352" spans="1:6">
      <c r="A1352" s="15" t="str">
        <f>"SW1600E"</f>
        <v>SW1600E</v>
      </c>
      <c r="B1352" s="15" t="s">
        <v>1267</v>
      </c>
      <c r="C1352" s="36">
        <v>1144.6514999999999</v>
      </c>
      <c r="D1352" s="51"/>
      <c r="E1352" s="16" t="str">
        <f>"610377225953"</f>
        <v>610377225953</v>
      </c>
      <c r="F1352" s="17">
        <v>1</v>
      </c>
    </row>
    <row r="1353" spans="1:6">
      <c r="A1353" s="18" t="str">
        <f>"SW1600EC"</f>
        <v>SW1600EC</v>
      </c>
      <c r="B1353" s="18" t="s">
        <v>1268</v>
      </c>
      <c r="C1353" s="37">
        <v>1375.002</v>
      </c>
      <c r="D1353" s="51"/>
      <c r="E1353" s="19" t="str">
        <f>"610377225977"</f>
        <v>610377225977</v>
      </c>
      <c r="F1353" s="20">
        <v>1</v>
      </c>
    </row>
    <row r="1354" spans="1:6" ht="16" thickBot="1">
      <c r="A1354" s="21" t="str">
        <f>"SW1600V"</f>
        <v>SW1600V</v>
      </c>
      <c r="B1354" s="21" t="s">
        <v>1269</v>
      </c>
      <c r="C1354" s="38">
        <v>1052.6759999999999</v>
      </c>
      <c r="D1354" s="52"/>
      <c r="E1354" s="22" t="str">
        <f>"610377235631"</f>
        <v>610377235631</v>
      </c>
      <c r="F1354" s="23">
        <v>1</v>
      </c>
    </row>
    <row r="1355" spans="1:6" ht="16" thickTop="1">
      <c r="C1355" s="39"/>
      <c r="D1355" s="39"/>
    </row>
    <row r="1356" spans="1:6" ht="16" thickBot="1">
      <c r="A1356" s="24" t="s">
        <v>42</v>
      </c>
      <c r="C1356" s="39"/>
      <c r="D1356" s="39"/>
    </row>
    <row r="1357" spans="1:6" ht="16" thickTop="1">
      <c r="A1357" s="12" t="str">
        <f>"SW1800E"</f>
        <v>SW1800E</v>
      </c>
      <c r="B1357" s="12" t="s">
        <v>1270</v>
      </c>
      <c r="C1357" s="35">
        <v>1632.9645</v>
      </c>
      <c r="D1357" s="50"/>
      <c r="E1357" s="13" t="str">
        <f>"610377226059"</f>
        <v>610377226059</v>
      </c>
      <c r="F1357" s="14">
        <v>1</v>
      </c>
    </row>
    <row r="1358" spans="1:6">
      <c r="A1358" s="15" t="str">
        <f>"SW1800EC"</f>
        <v>SW1800EC</v>
      </c>
      <c r="B1358" s="15" t="s">
        <v>1271</v>
      </c>
      <c r="C1358" s="36">
        <v>2178.5940000000001</v>
      </c>
      <c r="D1358" s="51"/>
      <c r="E1358" s="16" t="str">
        <f>"610377226066"</f>
        <v>610377226066</v>
      </c>
      <c r="F1358" s="17">
        <v>1</v>
      </c>
    </row>
    <row r="1359" spans="1:6">
      <c r="A1359" s="18" t="str">
        <f>"SW1800V"</f>
        <v>SW1800V</v>
      </c>
      <c r="B1359" s="18" t="s">
        <v>1272</v>
      </c>
      <c r="C1359" s="37">
        <v>2234.16</v>
      </c>
      <c r="D1359" s="51"/>
      <c r="E1359" s="19" t="str">
        <f>"610377235648"</f>
        <v>610377235648</v>
      </c>
      <c r="F1359" s="20">
        <v>1</v>
      </c>
    </row>
    <row r="1360" spans="1:6">
      <c r="A1360" s="15" t="str">
        <f>"SW4400E"</f>
        <v>SW4400E</v>
      </c>
      <c r="B1360" s="15" t="s">
        <v>1273</v>
      </c>
      <c r="C1360" s="36">
        <v>962.77049999999997</v>
      </c>
      <c r="D1360" s="51"/>
      <c r="E1360" s="16" t="str">
        <f>"610377245890"</f>
        <v>610377245890</v>
      </c>
      <c r="F1360" s="17">
        <v>1</v>
      </c>
    </row>
    <row r="1361" spans="1:6">
      <c r="A1361" s="18" t="str">
        <f>"T-CELL-15"</f>
        <v>T-CELL-15</v>
      </c>
      <c r="B1361" s="18" t="s">
        <v>1274</v>
      </c>
      <c r="C1361" s="37">
        <v>451.1925</v>
      </c>
      <c r="D1361" s="51"/>
      <c r="E1361" s="19" t="str">
        <f>"610377862899"</f>
        <v>610377862899</v>
      </c>
      <c r="F1361" s="20">
        <v>1</v>
      </c>
    </row>
    <row r="1362" spans="1:6">
      <c r="A1362" s="15" t="str">
        <f>"T-CELL-15LL"</f>
        <v>T-CELL-15LL</v>
      </c>
      <c r="B1362" s="15" t="s">
        <v>1275</v>
      </c>
      <c r="C1362" s="36">
        <v>484.85250000000002</v>
      </c>
      <c r="D1362" s="51"/>
      <c r="E1362" s="16" t="str">
        <f>"610377261234"</f>
        <v>610377261234</v>
      </c>
      <c r="F1362" s="17">
        <v>1</v>
      </c>
    </row>
    <row r="1363" spans="1:6">
      <c r="A1363" s="18" t="str">
        <f>"T-CELL-3"</f>
        <v>T-CELL-3</v>
      </c>
      <c r="B1363" s="18" t="s">
        <v>1276</v>
      </c>
      <c r="C1363" s="37">
        <v>200.54249999999999</v>
      </c>
      <c r="D1363" s="51"/>
      <c r="E1363" s="19" t="str">
        <f>"761418011018"</f>
        <v>761418011018</v>
      </c>
      <c r="F1363" s="20">
        <v>1</v>
      </c>
    </row>
    <row r="1364" spans="1:6">
      <c r="A1364" s="15" t="str">
        <f>"T-CELL-9"</f>
        <v>T-CELL-9</v>
      </c>
      <c r="B1364" s="15" t="s">
        <v>1277</v>
      </c>
      <c r="C1364" s="36">
        <v>325.87200000000001</v>
      </c>
      <c r="D1364" s="51"/>
      <c r="E1364" s="16" t="str">
        <f>"761418011001"</f>
        <v>761418011001</v>
      </c>
      <c r="F1364" s="17">
        <v>1</v>
      </c>
    </row>
    <row r="1365" spans="1:6">
      <c r="A1365" s="18" t="str">
        <f>"TB1050ST"</f>
        <v>TB1050ST</v>
      </c>
      <c r="B1365" s="18" t="s">
        <v>1278</v>
      </c>
      <c r="C1365" s="37">
        <v>22.846499999999999</v>
      </c>
      <c r="D1365" s="51"/>
      <c r="E1365" s="19" t="str">
        <f>"610377326384"</f>
        <v>610377326384</v>
      </c>
      <c r="F1365" s="20">
        <v>12</v>
      </c>
    </row>
    <row r="1366" spans="1:6">
      <c r="A1366" s="15" t="str">
        <f>"TB1050STE"</f>
        <v>TB1050STE</v>
      </c>
      <c r="B1366" s="15" t="s">
        <v>1279</v>
      </c>
      <c r="C1366" s="36">
        <v>20.123999999999999</v>
      </c>
      <c r="D1366" s="51"/>
      <c r="E1366" s="16" t="str">
        <f>"610377326391"</f>
        <v>610377326391</v>
      </c>
      <c r="F1366" s="17">
        <v>12</v>
      </c>
    </row>
    <row r="1367" spans="1:6">
      <c r="A1367" s="18" t="str">
        <f>"TB1075ST"</f>
        <v>TB1075ST</v>
      </c>
      <c r="B1367" s="18" t="s">
        <v>1280</v>
      </c>
      <c r="C1367" s="37">
        <v>27.256499999999999</v>
      </c>
      <c r="D1367" s="51"/>
      <c r="E1367" s="19" t="str">
        <f>"610377326827"</f>
        <v>610377326827</v>
      </c>
      <c r="F1367" s="20">
        <v>12</v>
      </c>
    </row>
    <row r="1368" spans="1:6">
      <c r="A1368" s="15" t="str">
        <f>"TB1075STE"</f>
        <v>TB1075STE</v>
      </c>
      <c r="B1368" s="15" t="s">
        <v>1281</v>
      </c>
      <c r="C1368" s="36">
        <v>24.831</v>
      </c>
      <c r="D1368" s="51"/>
      <c r="E1368" s="16" t="str">
        <f>"610377326834"</f>
        <v>610377326834</v>
      </c>
      <c r="F1368" s="17">
        <v>12</v>
      </c>
    </row>
    <row r="1369" spans="1:6">
      <c r="A1369" s="18" t="str">
        <f>"TB1100STE"</f>
        <v>TB1100STE</v>
      </c>
      <c r="B1369" s="18" t="s">
        <v>1282</v>
      </c>
      <c r="C1369" s="37">
        <v>28.6965</v>
      </c>
      <c r="D1369" s="51"/>
      <c r="E1369" s="19" t="str">
        <f>"610377327169"</f>
        <v>610377327169</v>
      </c>
      <c r="F1369" s="20">
        <v>12</v>
      </c>
    </row>
    <row r="1370" spans="1:6">
      <c r="A1370" s="15" t="str">
        <f>"TB1125ST"</f>
        <v>TB1125ST</v>
      </c>
      <c r="B1370" s="15" t="s">
        <v>1283</v>
      </c>
      <c r="C1370" s="36">
        <v>43.4925</v>
      </c>
      <c r="D1370" s="51"/>
      <c r="E1370" s="16" t="str">
        <f>"610377350297"</f>
        <v>610377350297</v>
      </c>
      <c r="F1370" s="17">
        <v>6</v>
      </c>
    </row>
    <row r="1371" spans="1:6">
      <c r="A1371" s="18" t="str">
        <f>"TB1125STE"</f>
        <v>TB1125STE</v>
      </c>
      <c r="B1371" s="18" t="s">
        <v>1284</v>
      </c>
      <c r="C1371" s="37">
        <v>38.083500000000001</v>
      </c>
      <c r="D1371" s="51"/>
      <c r="E1371" s="19" t="str">
        <f>"610377350310"</f>
        <v>610377350310</v>
      </c>
      <c r="F1371" s="20">
        <v>6</v>
      </c>
    </row>
    <row r="1372" spans="1:6">
      <c r="A1372" s="15" t="str">
        <f>"TB1150ST"</f>
        <v>TB1150ST</v>
      </c>
      <c r="B1372" s="15" t="s">
        <v>1285</v>
      </c>
      <c r="C1372" s="36">
        <v>53.918999999999997</v>
      </c>
      <c r="D1372" s="51"/>
      <c r="E1372" s="16" t="str">
        <f>"610377327497"</f>
        <v>610377327497</v>
      </c>
      <c r="F1372" s="17">
        <v>6</v>
      </c>
    </row>
    <row r="1373" spans="1:6">
      <c r="A1373" s="18" t="str">
        <f>"TB1150STE"</f>
        <v>TB1150STE</v>
      </c>
      <c r="B1373" s="18" t="s">
        <v>1286</v>
      </c>
      <c r="C1373" s="37">
        <v>48.0105</v>
      </c>
      <c r="D1373" s="51"/>
      <c r="E1373" s="19" t="str">
        <f>"610377327503"</f>
        <v>610377327503</v>
      </c>
      <c r="F1373" s="20">
        <v>6</v>
      </c>
    </row>
    <row r="1374" spans="1:6">
      <c r="A1374" s="15" t="str">
        <f>"TB1200ST"</f>
        <v>TB1200ST</v>
      </c>
      <c r="B1374" s="15" t="s">
        <v>1287</v>
      </c>
      <c r="C1374" s="36">
        <v>70.614000000000004</v>
      </c>
      <c r="D1374" s="51"/>
      <c r="E1374" s="16" t="str">
        <f>"610377327824"</f>
        <v>610377327824</v>
      </c>
      <c r="F1374" s="17">
        <v>1</v>
      </c>
    </row>
    <row r="1375" spans="1:6">
      <c r="A1375" s="18" t="str">
        <f>"TB1200STE"</f>
        <v>TB1200STE</v>
      </c>
      <c r="B1375" s="18" t="s">
        <v>1288</v>
      </c>
      <c r="C1375" s="37">
        <v>62.936999999999998</v>
      </c>
      <c r="D1375" s="51"/>
      <c r="E1375" s="19" t="str">
        <f>"610377327831"</f>
        <v>610377327831</v>
      </c>
      <c r="F1375" s="20">
        <v>1</v>
      </c>
    </row>
    <row r="1376" spans="1:6">
      <c r="A1376" s="15" t="str">
        <f>"TB1250S"</f>
        <v>TB1250S</v>
      </c>
      <c r="B1376" s="15" t="s">
        <v>1289</v>
      </c>
      <c r="C1376" s="36">
        <v>157.66200000000001</v>
      </c>
      <c r="D1376" s="51"/>
      <c r="E1376" s="16" t="str">
        <f>"610377164221"</f>
        <v>610377164221</v>
      </c>
      <c r="F1376" s="17">
        <v>1</v>
      </c>
    </row>
    <row r="1377" spans="1:6">
      <c r="A1377" s="18" t="str">
        <f>"TB1250SE"</f>
        <v>TB1250SE</v>
      </c>
      <c r="B1377" s="18" t="s">
        <v>1290</v>
      </c>
      <c r="C1377" s="37">
        <v>140.24250000000001</v>
      </c>
      <c r="D1377" s="51"/>
      <c r="E1377" s="19" t="str">
        <f>"610377164238"</f>
        <v>610377164238</v>
      </c>
      <c r="F1377" s="20">
        <v>1</v>
      </c>
    </row>
    <row r="1378" spans="1:6">
      <c r="A1378" s="15" t="str">
        <f>"TB1250TE"</f>
        <v>TB1250TE</v>
      </c>
      <c r="B1378" s="15" t="s">
        <v>1291</v>
      </c>
      <c r="C1378" s="36">
        <v>140.24250000000001</v>
      </c>
      <c r="D1378" s="51"/>
      <c r="E1378" s="16" t="str">
        <f>"610377164252"</f>
        <v>610377164252</v>
      </c>
      <c r="F1378" s="17">
        <v>1</v>
      </c>
    </row>
    <row r="1379" spans="1:6">
      <c r="A1379" s="18" t="str">
        <f>"TB1300S"</f>
        <v>TB1300S</v>
      </c>
      <c r="B1379" s="18" t="s">
        <v>1292</v>
      </c>
      <c r="C1379" s="37">
        <v>174.006</v>
      </c>
      <c r="D1379" s="51"/>
      <c r="E1379" s="19" t="str">
        <f>"610377164306"</f>
        <v>610377164306</v>
      </c>
      <c r="F1379" s="20">
        <v>1</v>
      </c>
    </row>
    <row r="1380" spans="1:6">
      <c r="A1380" s="15" t="str">
        <f>"TB1300SE"</f>
        <v>TB1300SE</v>
      </c>
      <c r="B1380" s="15" t="s">
        <v>1293</v>
      </c>
      <c r="C1380" s="36">
        <v>145.197</v>
      </c>
      <c r="D1380" s="51"/>
      <c r="E1380" s="16" t="str">
        <f>"610377164337"</f>
        <v>610377164337</v>
      </c>
      <c r="F1380" s="17">
        <v>1</v>
      </c>
    </row>
    <row r="1381" spans="1:6">
      <c r="A1381" s="18" t="str">
        <f>"TB1300T"</f>
        <v>TB1300T</v>
      </c>
      <c r="B1381" s="18" t="s">
        <v>1294</v>
      </c>
      <c r="C1381" s="37">
        <v>174.006</v>
      </c>
      <c r="D1381" s="51"/>
      <c r="E1381" s="19" t="str">
        <f>"610377164344"</f>
        <v>610377164344</v>
      </c>
      <c r="F1381" s="20">
        <v>1</v>
      </c>
    </row>
    <row r="1382" spans="1:6">
      <c r="A1382" s="15" t="str">
        <f>"TB1300TE"</f>
        <v>TB1300TE</v>
      </c>
      <c r="B1382" s="15" t="s">
        <v>1295</v>
      </c>
      <c r="C1382" s="36">
        <v>145.197</v>
      </c>
      <c r="D1382" s="51"/>
      <c r="E1382" s="16" t="str">
        <f>"610377164368"</f>
        <v>610377164368</v>
      </c>
      <c r="F1382" s="17">
        <v>1</v>
      </c>
    </row>
    <row r="1383" spans="1:6">
      <c r="A1383" s="18" t="str">
        <f>"TB1400F"</f>
        <v>TB1400F</v>
      </c>
      <c r="B1383" s="18" t="s">
        <v>1296</v>
      </c>
      <c r="C1383" s="37">
        <v>531.36900000000003</v>
      </c>
      <c r="D1383" s="51"/>
      <c r="E1383" s="19" t="str">
        <f>"610377164405"</f>
        <v>610377164405</v>
      </c>
      <c r="F1383" s="20">
        <v>1</v>
      </c>
    </row>
    <row r="1384" spans="1:6">
      <c r="A1384" s="15" t="str">
        <f>"TB1400S"</f>
        <v>TB1400S</v>
      </c>
      <c r="B1384" s="15" t="s">
        <v>1297</v>
      </c>
      <c r="C1384" s="36">
        <v>293.73750000000001</v>
      </c>
      <c r="D1384" s="51"/>
      <c r="E1384" s="16" t="str">
        <f>"610377164443"</f>
        <v>610377164443</v>
      </c>
      <c r="F1384" s="17">
        <v>1</v>
      </c>
    </row>
    <row r="1385" spans="1:6">
      <c r="A1385" s="18" t="str">
        <f>"TB1400SE"</f>
        <v>TB1400SE</v>
      </c>
      <c r="B1385" s="18" t="s">
        <v>1298</v>
      </c>
      <c r="C1385" s="37">
        <v>255.52350000000001</v>
      </c>
      <c r="D1385" s="51"/>
      <c r="E1385" s="19" t="str">
        <f>"610377164474"</f>
        <v>610377164474</v>
      </c>
      <c r="F1385" s="20">
        <v>1</v>
      </c>
    </row>
    <row r="1386" spans="1:6">
      <c r="A1386" s="15" t="str">
        <f>"TB1400T"</f>
        <v>TB1400T</v>
      </c>
      <c r="B1386" s="15" t="s">
        <v>1299</v>
      </c>
      <c r="C1386" s="36">
        <v>293.73750000000001</v>
      </c>
      <c r="D1386" s="51"/>
      <c r="E1386" s="16" t="str">
        <f>"610377164481"</f>
        <v>610377164481</v>
      </c>
      <c r="F1386" s="17">
        <v>1</v>
      </c>
    </row>
    <row r="1387" spans="1:6">
      <c r="A1387" s="18" t="str">
        <f>"TB1400TE"</f>
        <v>TB1400TE</v>
      </c>
      <c r="B1387" s="18" t="s">
        <v>1300</v>
      </c>
      <c r="C1387" s="37">
        <v>255.52350000000001</v>
      </c>
      <c r="D1387" s="51"/>
      <c r="E1387" s="19" t="str">
        <f>"610377164504"</f>
        <v>610377164504</v>
      </c>
      <c r="F1387" s="20">
        <v>1</v>
      </c>
    </row>
    <row r="1388" spans="1:6">
      <c r="A1388" s="15" t="str">
        <f>"TB1600F"</f>
        <v>TB1600F</v>
      </c>
      <c r="B1388" s="15" t="s">
        <v>1301</v>
      </c>
      <c r="C1388" s="36">
        <v>729.61649999999997</v>
      </c>
      <c r="D1388" s="51"/>
      <c r="E1388" s="16" t="str">
        <f>"610377164511"</f>
        <v>610377164511</v>
      </c>
      <c r="F1388" s="17">
        <v>1</v>
      </c>
    </row>
    <row r="1389" spans="1:6">
      <c r="A1389" s="18" t="str">
        <f>"TB1600FE"</f>
        <v>TB1600FE</v>
      </c>
      <c r="B1389" s="18" t="s">
        <v>1302</v>
      </c>
      <c r="C1389" s="37">
        <v>689.51700000000005</v>
      </c>
      <c r="D1389" s="51"/>
      <c r="E1389" s="19" t="str">
        <f>"610377164542"</f>
        <v>610377164542</v>
      </c>
      <c r="F1389" s="20">
        <v>1</v>
      </c>
    </row>
    <row r="1390" spans="1:6">
      <c r="A1390" s="15" t="str">
        <f>"TB2075ST"</f>
        <v>TB2075ST</v>
      </c>
      <c r="B1390" s="15" t="s">
        <v>1303</v>
      </c>
      <c r="C1390" s="36">
        <v>39.843000000000004</v>
      </c>
      <c r="D1390" s="51"/>
      <c r="E1390" s="16" t="str">
        <f>"610377326872"</f>
        <v>610377326872</v>
      </c>
      <c r="F1390" s="17">
        <v>12</v>
      </c>
    </row>
    <row r="1391" spans="1:6">
      <c r="A1391" s="18" t="str">
        <f>"TB2150STE"</f>
        <v>TB2150STE</v>
      </c>
      <c r="B1391" s="18" t="s">
        <v>1304</v>
      </c>
      <c r="C1391" s="37">
        <v>80.91</v>
      </c>
      <c r="D1391" s="51"/>
      <c r="E1391" s="19" t="str">
        <f>"610377327541"</f>
        <v>610377327541</v>
      </c>
      <c r="F1391" s="20">
        <v>6</v>
      </c>
    </row>
    <row r="1392" spans="1:6">
      <c r="A1392" s="15" t="str">
        <f>"TB2200STE"</f>
        <v>TB2200STE</v>
      </c>
      <c r="B1392" s="15" t="s">
        <v>1305</v>
      </c>
      <c r="C1392" s="36">
        <v>99.314999999999998</v>
      </c>
      <c r="D1392" s="51"/>
      <c r="E1392" s="16" t="str">
        <f>"610377327893"</f>
        <v>610377327893</v>
      </c>
      <c r="F1392" s="17">
        <v>1</v>
      </c>
    </row>
    <row r="1393" spans="1:6">
      <c r="A1393" s="18" t="str">
        <f>"TB2250SE"</f>
        <v>TB2250SE</v>
      </c>
      <c r="B1393" s="18" t="s">
        <v>1306</v>
      </c>
      <c r="C1393" s="37">
        <v>275.04899999999998</v>
      </c>
      <c r="D1393" s="51"/>
      <c r="E1393" s="19" t="str">
        <f>"610377241137"</f>
        <v>610377241137</v>
      </c>
      <c r="F1393" s="20">
        <v>1</v>
      </c>
    </row>
    <row r="1394" spans="1:6">
      <c r="A1394" s="15" t="str">
        <f>"TBB1005CPEG"</f>
        <v>TBB1005CPEG</v>
      </c>
      <c r="B1394" s="15" t="s">
        <v>1307</v>
      </c>
      <c r="C1394" s="36">
        <v>10.737</v>
      </c>
      <c r="D1394" s="51"/>
      <c r="E1394" s="16" t="str">
        <f>"610377091398"</f>
        <v>610377091398</v>
      </c>
      <c r="F1394" s="17">
        <v>1</v>
      </c>
    </row>
    <row r="1395" spans="1:6">
      <c r="A1395" s="18" t="str">
        <f>"TBB1007CPEG"</f>
        <v>TBB1007CPEG</v>
      </c>
      <c r="B1395" s="18" t="s">
        <v>1308</v>
      </c>
      <c r="C1395" s="37">
        <v>11.9115</v>
      </c>
      <c r="D1395" s="51"/>
      <c r="E1395" s="19" t="str">
        <f>"610377091404"</f>
        <v>610377091404</v>
      </c>
      <c r="F1395" s="20">
        <v>1</v>
      </c>
    </row>
    <row r="1396" spans="1:6">
      <c r="A1396" s="15" t="str">
        <f>"TBB1010CPEG"</f>
        <v>TBB1010CPEG</v>
      </c>
      <c r="B1396" s="15" t="s">
        <v>1309</v>
      </c>
      <c r="C1396" s="36">
        <v>14.314500000000001</v>
      </c>
      <c r="D1396" s="51"/>
      <c r="E1396" s="16" t="str">
        <f>"610377091473"</f>
        <v>610377091473</v>
      </c>
      <c r="F1396" s="17">
        <v>24</v>
      </c>
    </row>
    <row r="1397" spans="1:6">
      <c r="A1397" s="18" t="str">
        <f>"TBB1012CPEG"</f>
        <v>TBB1012CPEG</v>
      </c>
      <c r="B1397" s="18" t="s">
        <v>1310</v>
      </c>
      <c r="C1397" s="37">
        <v>20.664000000000001</v>
      </c>
      <c r="D1397" s="51"/>
      <c r="E1397" s="19" t="str">
        <f>"610377091534"</f>
        <v>610377091534</v>
      </c>
      <c r="F1397" s="20">
        <v>1</v>
      </c>
    </row>
    <row r="1398" spans="1:6">
      <c r="A1398" s="15" t="str">
        <f>"TBB1015CPEG"</f>
        <v>TBB1015CPEG</v>
      </c>
      <c r="B1398" s="15" t="s">
        <v>1311</v>
      </c>
      <c r="C1398" s="36">
        <v>24.245999999999999</v>
      </c>
      <c r="D1398" s="51"/>
      <c r="E1398" s="16" t="str">
        <f>"610377091602"</f>
        <v>610377091602</v>
      </c>
      <c r="F1398" s="17">
        <v>24</v>
      </c>
    </row>
    <row r="1399" spans="1:6">
      <c r="A1399" s="18" t="str">
        <f>"TBB1020CPEG"</f>
        <v>TBB1020CPEG</v>
      </c>
      <c r="B1399" s="18" t="s">
        <v>1312</v>
      </c>
      <c r="C1399" s="37">
        <v>33.0075</v>
      </c>
      <c r="D1399" s="51"/>
      <c r="E1399" s="19" t="str">
        <f>"610377091619"</f>
        <v>610377091619</v>
      </c>
      <c r="F1399" s="20">
        <v>12</v>
      </c>
    </row>
    <row r="1400" spans="1:6">
      <c r="A1400" s="15" t="str">
        <f>"TBB1025SPEG"</f>
        <v>TBB1025SPEG</v>
      </c>
      <c r="B1400" s="15" t="s">
        <v>1313</v>
      </c>
      <c r="C1400" s="36">
        <v>72.841499999999996</v>
      </c>
      <c r="D1400" s="51"/>
      <c r="E1400" s="16" t="str">
        <f>"610377091640"</f>
        <v>610377091640</v>
      </c>
      <c r="F1400" s="17">
        <v>6</v>
      </c>
    </row>
    <row r="1401" spans="1:6">
      <c r="A1401" s="18" t="str">
        <f>"TBB1025TPEG"</f>
        <v>TBB1025TPEG</v>
      </c>
      <c r="B1401" s="18" t="s">
        <v>1314</v>
      </c>
      <c r="C1401" s="37">
        <v>71.833500000000001</v>
      </c>
      <c r="D1401" s="51"/>
      <c r="E1401" s="19" t="str">
        <f>"610377091725"</f>
        <v>610377091725</v>
      </c>
      <c r="F1401" s="20">
        <v>6</v>
      </c>
    </row>
    <row r="1402" spans="1:6" ht="16" thickBot="1">
      <c r="A1402" s="21" t="str">
        <f>"TBB1030TPEG"</f>
        <v>TBB1030TPEG</v>
      </c>
      <c r="B1402" s="21" t="s">
        <v>1315</v>
      </c>
      <c r="C1402" s="38">
        <v>87.057000000000002</v>
      </c>
      <c r="D1402" s="52"/>
      <c r="E1402" s="22" t="str">
        <f>"610377091732"</f>
        <v>610377091732</v>
      </c>
      <c r="F1402" s="23">
        <v>6</v>
      </c>
    </row>
    <row r="1403" spans="1:6" ht="16" thickTop="1">
      <c r="A1403" s="12" t="str">
        <f>"TBB1030TPFG"</f>
        <v>TBB1030TPFG</v>
      </c>
      <c r="B1403" s="12" t="s">
        <v>1316</v>
      </c>
      <c r="C1403" s="35">
        <v>88.641000000000005</v>
      </c>
      <c r="D1403" s="50"/>
      <c r="E1403" s="13" t="str">
        <f>"610377091855"</f>
        <v>610377091855</v>
      </c>
      <c r="F1403" s="14">
        <v>6</v>
      </c>
    </row>
    <row r="1404" spans="1:6">
      <c r="A1404" s="15" t="str">
        <f>"TBB1040TPEG"</f>
        <v>TBB1040TPEG</v>
      </c>
      <c r="B1404" s="15" t="s">
        <v>1317</v>
      </c>
      <c r="C1404" s="36">
        <v>153.30600000000001</v>
      </c>
      <c r="D1404" s="51"/>
      <c r="E1404" s="16" t="str">
        <f>"610377091749"</f>
        <v>610377091749</v>
      </c>
      <c r="F1404" s="17">
        <v>1</v>
      </c>
    </row>
    <row r="1405" spans="1:6">
      <c r="A1405" s="18" t="str">
        <f>"TBB2010CPEG"</f>
        <v>TBB2010CPEG</v>
      </c>
      <c r="B1405" s="18" t="s">
        <v>1318</v>
      </c>
      <c r="C1405" s="37">
        <v>46.138500000000001</v>
      </c>
      <c r="D1405" s="51"/>
      <c r="E1405" s="19" t="str">
        <f>"610377091893"</f>
        <v>610377091893</v>
      </c>
      <c r="F1405" s="20">
        <v>24</v>
      </c>
    </row>
    <row r="1406" spans="1:6">
      <c r="A1406" s="15" t="str">
        <f>"TBB2012CPEG"</f>
        <v>TBB2012CPEG</v>
      </c>
      <c r="B1406" s="15" t="s">
        <v>1319</v>
      </c>
      <c r="C1406" s="36">
        <v>68.265000000000001</v>
      </c>
      <c r="D1406" s="51"/>
      <c r="E1406" s="16" t="str">
        <f>"610377091909"</f>
        <v>610377091909</v>
      </c>
      <c r="F1406" s="17">
        <v>24</v>
      </c>
    </row>
    <row r="1407" spans="1:6">
      <c r="A1407" s="18" t="str">
        <f>"TBB2015CPEG"</f>
        <v>TBB2015CPEG</v>
      </c>
      <c r="B1407" s="18" t="s">
        <v>1320</v>
      </c>
      <c r="C1407" s="37">
        <v>76.832999999999998</v>
      </c>
      <c r="D1407" s="51"/>
      <c r="E1407" s="19" t="str">
        <f>"610377091947"</f>
        <v>610377091947</v>
      </c>
      <c r="F1407" s="20">
        <v>24</v>
      </c>
    </row>
    <row r="1408" spans="1:6">
      <c r="A1408" s="15" t="str">
        <f>"TBB2020CPEG"</f>
        <v>TBB2020CPEG</v>
      </c>
      <c r="B1408" s="15" t="s">
        <v>1321</v>
      </c>
      <c r="C1408" s="36">
        <v>103.31100000000001</v>
      </c>
      <c r="D1408" s="51"/>
      <c r="E1408" s="16" t="str">
        <f>"610377091978"</f>
        <v>610377091978</v>
      </c>
      <c r="F1408" s="17">
        <v>24</v>
      </c>
    </row>
    <row r="1409" spans="1:6">
      <c r="A1409" s="18" t="str">
        <f>"TBLS1150STVL"</f>
        <v>TBLS1150STVL</v>
      </c>
      <c r="B1409" s="18" t="s">
        <v>1322</v>
      </c>
      <c r="C1409" s="37">
        <v>421.983</v>
      </c>
      <c r="D1409" s="51"/>
      <c r="E1409" s="19" t="str">
        <f>"610377019040"</f>
        <v>610377019040</v>
      </c>
      <c r="F1409" s="20">
        <v>6</v>
      </c>
    </row>
    <row r="1410" spans="1:6">
      <c r="A1410" s="15" t="str">
        <f>"TC10037T"</f>
        <v>TC10037T</v>
      </c>
      <c r="B1410" s="15" t="s">
        <v>1323</v>
      </c>
      <c r="C1410" s="36">
        <v>24.254999999999999</v>
      </c>
      <c r="D1410" s="51"/>
      <c r="E1410" s="16" t="str">
        <f>"610377166058"</f>
        <v>610377166058</v>
      </c>
      <c r="F1410" s="17">
        <v>50</v>
      </c>
    </row>
    <row r="1411" spans="1:6">
      <c r="A1411" s="18" t="str">
        <f>"TC10050STE"</f>
        <v>TC10050STE</v>
      </c>
      <c r="B1411" s="18" t="s">
        <v>1324</v>
      </c>
      <c r="C1411" s="37">
        <v>24.254999999999999</v>
      </c>
      <c r="D1411" s="51"/>
      <c r="E1411" s="19" t="str">
        <f>"610377166102"</f>
        <v>610377166102</v>
      </c>
      <c r="F1411" s="20">
        <v>12</v>
      </c>
    </row>
    <row r="1412" spans="1:6">
      <c r="A1412" s="15" t="str">
        <f>"TC10075STE"</f>
        <v>TC10075STE</v>
      </c>
      <c r="B1412" s="15" t="s">
        <v>1325</v>
      </c>
      <c r="C1412" s="36">
        <v>27.603000000000002</v>
      </c>
      <c r="D1412" s="51"/>
      <c r="E1412" s="16" t="str">
        <f>"610377166171"</f>
        <v>610377166171</v>
      </c>
      <c r="F1412" s="17">
        <v>12</v>
      </c>
    </row>
    <row r="1413" spans="1:6">
      <c r="A1413" s="18" t="str">
        <f>"TC10100ST"</f>
        <v>TC10100ST</v>
      </c>
      <c r="B1413" s="18" t="s">
        <v>1326</v>
      </c>
      <c r="C1413" s="37">
        <v>39.545999999999999</v>
      </c>
      <c r="D1413" s="51"/>
      <c r="E1413" s="19" t="str">
        <f>"610377166249"</f>
        <v>610377166249</v>
      </c>
      <c r="F1413" s="20">
        <v>12</v>
      </c>
    </row>
    <row r="1414" spans="1:6">
      <c r="A1414" s="15" t="str">
        <f>"TC10100STE"</f>
        <v>TC10100STE</v>
      </c>
      <c r="B1414" s="15" t="s">
        <v>1327</v>
      </c>
      <c r="C1414" s="36">
        <v>34.8705</v>
      </c>
      <c r="D1414" s="51"/>
      <c r="E1414" s="16" t="str">
        <f>"610377166256"</f>
        <v>610377166256</v>
      </c>
      <c r="F1414" s="17">
        <v>12</v>
      </c>
    </row>
    <row r="1415" spans="1:6">
      <c r="A1415" s="18" t="str">
        <f>"TC10125STE"</f>
        <v>TC10125STE</v>
      </c>
      <c r="B1415" s="18" t="s">
        <v>1328</v>
      </c>
      <c r="C1415" s="37">
        <v>56.43</v>
      </c>
      <c r="D1415" s="51"/>
      <c r="E1415" s="19" t="str">
        <f>"610377166324"</f>
        <v>610377166324</v>
      </c>
      <c r="F1415" s="20">
        <v>6</v>
      </c>
    </row>
    <row r="1416" spans="1:6">
      <c r="A1416" s="15" t="str">
        <f>"TC10150ST"</f>
        <v>TC10150ST</v>
      </c>
      <c r="B1416" s="15" t="s">
        <v>1329</v>
      </c>
      <c r="C1416" s="36">
        <v>65.582999999999998</v>
      </c>
      <c r="D1416" s="51"/>
      <c r="E1416" s="16" t="str">
        <f>"610377166386"</f>
        <v>610377166386</v>
      </c>
      <c r="F1416" s="17">
        <v>6</v>
      </c>
    </row>
    <row r="1417" spans="1:6">
      <c r="A1417" s="18" t="str">
        <f>"TC10150STE"</f>
        <v>TC10150STE</v>
      </c>
      <c r="B1417" s="18" t="s">
        <v>1330</v>
      </c>
      <c r="C1417" s="37">
        <v>56.43</v>
      </c>
      <c r="D1417" s="51"/>
      <c r="E1417" s="19" t="str">
        <f>"610377166393"</f>
        <v>610377166393</v>
      </c>
      <c r="F1417" s="20">
        <v>6</v>
      </c>
    </row>
    <row r="1418" spans="1:6">
      <c r="A1418" s="15" t="str">
        <f>"TC10200ST"</f>
        <v>TC10200ST</v>
      </c>
      <c r="B1418" s="15" t="s">
        <v>1331</v>
      </c>
      <c r="C1418" s="36">
        <v>87.867000000000004</v>
      </c>
      <c r="D1418" s="51"/>
      <c r="E1418" s="16" t="str">
        <f>"610377166454"</f>
        <v>610377166454</v>
      </c>
      <c r="F1418" s="17">
        <v>1</v>
      </c>
    </row>
    <row r="1419" spans="1:6">
      <c r="A1419" s="18" t="str">
        <f>"TC10200STE"</f>
        <v>TC10200STE</v>
      </c>
      <c r="B1419" s="18" t="s">
        <v>1332</v>
      </c>
      <c r="C1419" s="37">
        <v>79.47</v>
      </c>
      <c r="D1419" s="51"/>
      <c r="E1419" s="19" t="str">
        <f>"610377166461"</f>
        <v>610377166461</v>
      </c>
      <c r="F1419" s="20">
        <v>1</v>
      </c>
    </row>
    <row r="1420" spans="1:6">
      <c r="A1420" s="15" t="str">
        <f>"TC1250FE"</f>
        <v>TC1250FE</v>
      </c>
      <c r="B1420" s="15" t="s">
        <v>1333</v>
      </c>
      <c r="C1420" s="36">
        <v>310.34699999999998</v>
      </c>
      <c r="D1420" s="51"/>
      <c r="E1420" s="16" t="str">
        <f>"610377823975"</f>
        <v>610377823975</v>
      </c>
      <c r="F1420" s="17">
        <v>1</v>
      </c>
    </row>
    <row r="1421" spans="1:6">
      <c r="A1421" s="18" t="str">
        <f>"TC1250SE"</f>
        <v>TC1250SE</v>
      </c>
      <c r="B1421" s="18" t="s">
        <v>1334</v>
      </c>
      <c r="C1421" s="37">
        <v>184.87350000000001</v>
      </c>
      <c r="D1421" s="51"/>
      <c r="E1421" s="19" t="str">
        <f>"610377166522"</f>
        <v>610377166522</v>
      </c>
      <c r="F1421" s="20">
        <v>1</v>
      </c>
    </row>
    <row r="1422" spans="1:6">
      <c r="A1422" s="15" t="str">
        <f>"TC1250TE"</f>
        <v>TC1250TE</v>
      </c>
      <c r="B1422" s="15" t="s">
        <v>1335</v>
      </c>
      <c r="C1422" s="36">
        <v>184.87350000000001</v>
      </c>
      <c r="D1422" s="51"/>
      <c r="E1422" s="16" t="str">
        <f>"610377382939"</f>
        <v>610377382939</v>
      </c>
      <c r="F1422" s="17">
        <v>1</v>
      </c>
    </row>
    <row r="1423" spans="1:6">
      <c r="A1423" s="18" t="str">
        <f>"TC1300FE"</f>
        <v>TC1300FE</v>
      </c>
      <c r="B1423" s="18" t="s">
        <v>1336</v>
      </c>
      <c r="C1423" s="37">
        <v>394.15949999999998</v>
      </c>
      <c r="D1423" s="51"/>
      <c r="E1423" s="19" t="str">
        <f>"610377166560"</f>
        <v>610377166560</v>
      </c>
      <c r="F1423" s="20">
        <v>1</v>
      </c>
    </row>
    <row r="1424" spans="1:6">
      <c r="A1424" s="15" t="str">
        <f>"TC1300S"</f>
        <v>TC1300S</v>
      </c>
      <c r="B1424" s="15" t="s">
        <v>1337</v>
      </c>
      <c r="C1424" s="36">
        <v>191.9025</v>
      </c>
      <c r="D1424" s="51"/>
      <c r="E1424" s="16" t="str">
        <f>"610377166577"</f>
        <v>610377166577</v>
      </c>
      <c r="F1424" s="17">
        <v>1</v>
      </c>
    </row>
    <row r="1425" spans="1:6">
      <c r="A1425" s="18" t="str">
        <f>"TC1300SE"</f>
        <v>TC1300SE</v>
      </c>
      <c r="B1425" s="18" t="s">
        <v>1338</v>
      </c>
      <c r="C1425" s="37">
        <v>193.6935</v>
      </c>
      <c r="D1425" s="51"/>
      <c r="E1425" s="19" t="str">
        <f>"610377166584"</f>
        <v>610377166584</v>
      </c>
      <c r="F1425" s="20">
        <v>1</v>
      </c>
    </row>
    <row r="1426" spans="1:6">
      <c r="A1426" s="15" t="str">
        <f>"TC1300T"</f>
        <v>TC1300T</v>
      </c>
      <c r="B1426" s="15" t="s">
        <v>1339</v>
      </c>
      <c r="C1426" s="36">
        <v>191.9025</v>
      </c>
      <c r="D1426" s="51"/>
      <c r="E1426" s="16" t="str">
        <f>"610377166591"</f>
        <v>610377166591</v>
      </c>
      <c r="F1426" s="17">
        <v>1</v>
      </c>
    </row>
    <row r="1427" spans="1:6">
      <c r="A1427" s="18" t="str">
        <f>"TC1300TE"</f>
        <v>TC1300TE</v>
      </c>
      <c r="B1427" s="18" t="s">
        <v>1340</v>
      </c>
      <c r="C1427" s="37">
        <v>193.6935</v>
      </c>
      <c r="D1427" s="51"/>
      <c r="E1427" s="19" t="str">
        <f>"610377166607"</f>
        <v>610377166607</v>
      </c>
      <c r="F1427" s="20">
        <v>1</v>
      </c>
    </row>
    <row r="1428" spans="1:6">
      <c r="A1428" s="15" t="str">
        <f>"TC1400FE"</f>
        <v>TC1400FE</v>
      </c>
      <c r="B1428" s="15" t="s">
        <v>1341</v>
      </c>
      <c r="C1428" s="36">
        <v>619.98749999999995</v>
      </c>
      <c r="D1428" s="51"/>
      <c r="E1428" s="16" t="str">
        <f>"610377166652"</f>
        <v>610377166652</v>
      </c>
      <c r="F1428" s="17">
        <v>1</v>
      </c>
    </row>
    <row r="1429" spans="1:6">
      <c r="A1429" s="18" t="str">
        <f>"TC1400S"</f>
        <v>TC1400S</v>
      </c>
      <c r="B1429" s="18" t="s">
        <v>1342</v>
      </c>
      <c r="C1429" s="37">
        <v>377.95949999999999</v>
      </c>
      <c r="D1429" s="51"/>
      <c r="E1429" s="19" t="str">
        <f>"610377166669"</f>
        <v>610377166669</v>
      </c>
      <c r="F1429" s="20">
        <v>1</v>
      </c>
    </row>
    <row r="1430" spans="1:6">
      <c r="A1430" s="15" t="str">
        <f>"TC1400SE"</f>
        <v>TC1400SE</v>
      </c>
      <c r="B1430" s="15" t="s">
        <v>1343</v>
      </c>
      <c r="C1430" s="36">
        <v>389.17349999999999</v>
      </c>
      <c r="D1430" s="51"/>
      <c r="E1430" s="16" t="str">
        <f>"610377166676"</f>
        <v>610377166676</v>
      </c>
      <c r="F1430" s="17">
        <v>1</v>
      </c>
    </row>
    <row r="1431" spans="1:6">
      <c r="A1431" s="18" t="str">
        <f>"TC1400T"</f>
        <v>TC1400T</v>
      </c>
      <c r="B1431" s="18" t="s">
        <v>1344</v>
      </c>
      <c r="C1431" s="37">
        <v>377.95949999999999</v>
      </c>
      <c r="D1431" s="51"/>
      <c r="E1431" s="19" t="str">
        <f>"610377166683"</f>
        <v>610377166683</v>
      </c>
      <c r="F1431" s="20">
        <v>1</v>
      </c>
    </row>
    <row r="1432" spans="1:6">
      <c r="A1432" s="15" t="str">
        <f>"TC1400TE"</f>
        <v>TC1400TE</v>
      </c>
      <c r="B1432" s="15" t="s">
        <v>1345</v>
      </c>
      <c r="C1432" s="36">
        <v>389.17349999999999</v>
      </c>
      <c r="D1432" s="51"/>
      <c r="E1432" s="16" t="str">
        <f>"610377166690"</f>
        <v>610377166690</v>
      </c>
      <c r="F1432" s="17">
        <v>1</v>
      </c>
    </row>
    <row r="1433" spans="1:6">
      <c r="A1433" s="18" t="str">
        <f>"TC1600FE"</f>
        <v>TC1600FE</v>
      </c>
      <c r="B1433" s="18" t="s">
        <v>1346</v>
      </c>
      <c r="C1433" s="37">
        <v>822.55949999999996</v>
      </c>
      <c r="D1433" s="51"/>
      <c r="E1433" s="19" t="str">
        <f>"610377166713"</f>
        <v>610377166713</v>
      </c>
      <c r="F1433" s="20">
        <v>1</v>
      </c>
    </row>
    <row r="1434" spans="1:6">
      <c r="A1434" s="15" t="str">
        <f>"TC20100ST"</f>
        <v>TC20100ST</v>
      </c>
      <c r="B1434" s="15" t="s">
        <v>1347</v>
      </c>
      <c r="C1434" s="36">
        <v>58.846499999999999</v>
      </c>
      <c r="D1434" s="51"/>
      <c r="E1434" s="16" t="str">
        <f>"610377166881"</f>
        <v>610377166881</v>
      </c>
      <c r="F1434" s="17">
        <v>12</v>
      </c>
    </row>
    <row r="1435" spans="1:6">
      <c r="A1435" s="18" t="str">
        <f>"TCB1005CEEG"</f>
        <v>TCB1005CEEG</v>
      </c>
      <c r="B1435" s="18" t="s">
        <v>1348</v>
      </c>
      <c r="C1435" s="37">
        <v>13.1625</v>
      </c>
      <c r="D1435" s="51"/>
      <c r="E1435" s="19" t="str">
        <f>"610377098700"</f>
        <v>610377098700</v>
      </c>
      <c r="F1435" s="20">
        <v>1</v>
      </c>
    </row>
    <row r="1436" spans="1:6">
      <c r="A1436" s="15" t="str">
        <f>"TCB1007CEEG"</f>
        <v>TCB1007CEEG</v>
      </c>
      <c r="B1436" s="15" t="s">
        <v>1349</v>
      </c>
      <c r="C1436" s="36">
        <v>15.813000000000001</v>
      </c>
      <c r="D1436" s="51"/>
      <c r="E1436" s="16" t="str">
        <f>"610377098717"</f>
        <v>610377098717</v>
      </c>
      <c r="F1436" s="17">
        <v>1</v>
      </c>
    </row>
    <row r="1437" spans="1:6">
      <c r="A1437" s="18" t="str">
        <f>"TCB1010CEEG"</f>
        <v>TCB1010CEEG</v>
      </c>
      <c r="B1437" s="18" t="s">
        <v>1350</v>
      </c>
      <c r="C1437" s="37">
        <v>19.998000000000001</v>
      </c>
      <c r="D1437" s="51"/>
      <c r="E1437" s="19" t="str">
        <f>"610377098724"</f>
        <v>610377098724</v>
      </c>
      <c r="F1437" s="20">
        <v>1</v>
      </c>
    </row>
    <row r="1438" spans="1:6">
      <c r="A1438" s="15" t="str">
        <f>"TCB1012CEEG"</f>
        <v>TCB1012CEEG</v>
      </c>
      <c r="B1438" s="15" t="s">
        <v>1351</v>
      </c>
      <c r="C1438" s="36">
        <v>30.5505</v>
      </c>
      <c r="D1438" s="51"/>
      <c r="E1438" s="16" t="str">
        <f>"610377098731"</f>
        <v>610377098731</v>
      </c>
      <c r="F1438" s="17">
        <v>1</v>
      </c>
    </row>
    <row r="1439" spans="1:6">
      <c r="A1439" s="18" t="str">
        <f>"TCB1015CEEG"</f>
        <v>TCB1015CEEG</v>
      </c>
      <c r="B1439" s="18" t="s">
        <v>1352</v>
      </c>
      <c r="C1439" s="37">
        <v>32.121000000000002</v>
      </c>
      <c r="D1439" s="51"/>
      <c r="E1439" s="19" t="str">
        <f>"610377098748"</f>
        <v>610377098748</v>
      </c>
      <c r="F1439" s="20">
        <v>1</v>
      </c>
    </row>
    <row r="1440" spans="1:6">
      <c r="A1440" s="15" t="str">
        <f>"TCB1020CEEG"</f>
        <v>TCB1020CEEG</v>
      </c>
      <c r="B1440" s="15" t="s">
        <v>1353</v>
      </c>
      <c r="C1440" s="36">
        <v>45.319499999999998</v>
      </c>
      <c r="D1440" s="51"/>
      <c r="E1440" s="16" t="str">
        <f>"610377098755"</f>
        <v>610377098755</v>
      </c>
      <c r="F1440" s="17">
        <v>1</v>
      </c>
    </row>
    <row r="1441" spans="1:6">
      <c r="A1441" s="18" t="str">
        <f>"TW1050STE"</f>
        <v>TW1050STE</v>
      </c>
      <c r="B1441" s="18" t="s">
        <v>1354</v>
      </c>
      <c r="C1441" s="37">
        <v>56.686500000000002</v>
      </c>
      <c r="D1441" s="51"/>
      <c r="E1441" s="19" t="str">
        <f>"610377833936"</f>
        <v>610377833936</v>
      </c>
      <c r="F1441" s="20">
        <v>1</v>
      </c>
    </row>
    <row r="1442" spans="1:6">
      <c r="A1442" s="15" t="str">
        <f>"TW1075STE"</f>
        <v>TW1075STE</v>
      </c>
      <c r="B1442" s="15" t="s">
        <v>1355</v>
      </c>
      <c r="C1442" s="36">
        <v>64.242000000000004</v>
      </c>
      <c r="D1442" s="51"/>
      <c r="E1442" s="16" t="str">
        <f>"610377839990"</f>
        <v>610377839990</v>
      </c>
      <c r="F1442" s="17">
        <v>1</v>
      </c>
    </row>
    <row r="1443" spans="1:6">
      <c r="A1443" s="18" t="str">
        <f>"TW1100STE"</f>
        <v>TW1100STE</v>
      </c>
      <c r="B1443" s="18" t="s">
        <v>1356</v>
      </c>
      <c r="C1443" s="37">
        <v>92.222999999999999</v>
      </c>
      <c r="D1443" s="51"/>
      <c r="E1443" s="19" t="str">
        <f>"610377822893"</f>
        <v>610377822893</v>
      </c>
      <c r="F1443" s="20">
        <v>1</v>
      </c>
    </row>
    <row r="1444" spans="1:6">
      <c r="A1444" s="15" t="str">
        <f>"TW1125STE"</f>
        <v>TW1125STE</v>
      </c>
      <c r="B1444" s="15" t="s">
        <v>1357</v>
      </c>
      <c r="C1444" s="36">
        <v>192.75299999999999</v>
      </c>
      <c r="D1444" s="51"/>
      <c r="E1444" s="16" t="str">
        <f>"610377821667"</f>
        <v>610377821667</v>
      </c>
      <c r="F1444" s="17">
        <v>1</v>
      </c>
    </row>
    <row r="1445" spans="1:6">
      <c r="A1445" s="18" t="str">
        <f>"TW1150STE"</f>
        <v>TW1150STE</v>
      </c>
      <c r="B1445" s="18" t="s">
        <v>1358</v>
      </c>
      <c r="C1445" s="37">
        <v>139.2705</v>
      </c>
      <c r="D1445" s="51"/>
      <c r="E1445" s="19" t="str">
        <f>"610377821582"</f>
        <v>610377821582</v>
      </c>
      <c r="F1445" s="20">
        <v>1</v>
      </c>
    </row>
    <row r="1446" spans="1:6">
      <c r="A1446" s="15" t="str">
        <f>"TW1200STE"</f>
        <v>TW1200STE</v>
      </c>
      <c r="B1446" s="15" t="s">
        <v>1359</v>
      </c>
      <c r="C1446" s="36">
        <v>185.97149999999999</v>
      </c>
      <c r="D1446" s="51"/>
      <c r="E1446" s="16" t="str">
        <f>"610377820134"</f>
        <v>610377820134</v>
      </c>
      <c r="F1446" s="17">
        <v>1</v>
      </c>
    </row>
    <row r="1447" spans="1:6">
      <c r="A1447" s="18" t="str">
        <f>"TW1250SE"</f>
        <v>TW1250SE</v>
      </c>
      <c r="B1447" s="18" t="s">
        <v>1360</v>
      </c>
      <c r="C1447" s="37">
        <v>422.00549999999998</v>
      </c>
      <c r="D1447" s="51"/>
      <c r="E1447" s="19" t="str">
        <f>"610377833455"</f>
        <v>610377833455</v>
      </c>
      <c r="F1447" s="20">
        <v>1</v>
      </c>
    </row>
    <row r="1448" spans="1:6" ht="16" thickBot="1">
      <c r="A1448" s="21" t="str">
        <f>"TW1250TE"</f>
        <v>TW1250TE</v>
      </c>
      <c r="B1448" s="21" t="s">
        <v>1361</v>
      </c>
      <c r="C1448" s="38">
        <v>422.00549999999998</v>
      </c>
      <c r="D1448" s="52"/>
      <c r="E1448" s="22" t="str">
        <f>"610377833448"</f>
        <v>610377833448</v>
      </c>
      <c r="F1448" s="23">
        <v>1</v>
      </c>
    </row>
    <row r="1449" spans="1:6" ht="16" thickTop="1">
      <c r="A1449" s="12" t="str">
        <f>"TW1300SE"</f>
        <v>TW1300SE</v>
      </c>
      <c r="B1449" s="12" t="s">
        <v>1362</v>
      </c>
      <c r="C1449" s="35">
        <v>422.00549999999998</v>
      </c>
      <c r="D1449" s="50"/>
      <c r="E1449" s="13" t="str">
        <f>"610377832649"</f>
        <v>610377832649</v>
      </c>
      <c r="F1449" s="14">
        <v>1</v>
      </c>
    </row>
    <row r="1450" spans="1:6">
      <c r="A1450" s="15" t="str">
        <f>"TW1300TE"</f>
        <v>TW1300TE</v>
      </c>
      <c r="B1450" s="15" t="s">
        <v>1363</v>
      </c>
      <c r="C1450" s="36">
        <v>422.00549999999998</v>
      </c>
      <c r="D1450" s="51"/>
      <c r="E1450" s="16" t="str">
        <f>"610377832656"</f>
        <v>610377832656</v>
      </c>
      <c r="F1450" s="17">
        <v>1</v>
      </c>
    </row>
    <row r="1451" spans="1:6">
      <c r="A1451" s="18" t="str">
        <f>"TW1400SE"</f>
        <v>TW1400SE</v>
      </c>
      <c r="B1451" s="18" t="s">
        <v>1364</v>
      </c>
      <c r="C1451" s="37">
        <v>830.64599999999996</v>
      </c>
      <c r="D1451" s="51"/>
      <c r="E1451" s="19" t="str">
        <f>"610377832236"</f>
        <v>610377832236</v>
      </c>
      <c r="F1451" s="20">
        <v>1</v>
      </c>
    </row>
    <row r="1452" spans="1:6">
      <c r="A1452" s="15" t="str">
        <f>"TW1400TE"</f>
        <v>TW1400TE</v>
      </c>
      <c r="B1452" s="15" t="s">
        <v>1365</v>
      </c>
      <c r="C1452" s="36">
        <v>830.64599999999996</v>
      </c>
      <c r="D1452" s="51"/>
      <c r="E1452" s="16" t="str">
        <f>"610377832243"</f>
        <v>610377832243</v>
      </c>
      <c r="F1452" s="17">
        <v>1</v>
      </c>
    </row>
    <row r="1453" spans="1:6">
      <c r="A1453" s="18" t="str">
        <f>"TW1600FE"</f>
        <v>TW1600FE</v>
      </c>
      <c r="B1453" s="18" t="s">
        <v>1366</v>
      </c>
      <c r="C1453" s="37">
        <v>1749.7170000000001</v>
      </c>
      <c r="D1453" s="51"/>
      <c r="E1453" s="19" t="str">
        <f>"610377867528"</f>
        <v>610377867528</v>
      </c>
      <c r="F1453" s="20">
        <v>1</v>
      </c>
    </row>
    <row r="1454" spans="1:6">
      <c r="A1454" s="15" t="str">
        <f>"V094P"</f>
        <v>V094P</v>
      </c>
      <c r="B1454" s="15" t="s">
        <v>1367</v>
      </c>
      <c r="C1454" s="36">
        <v>11.3445</v>
      </c>
      <c r="D1454" s="51"/>
      <c r="E1454" s="16" t="str">
        <f>"610377208734"</f>
        <v>610377208734</v>
      </c>
      <c r="F1454" s="17">
        <v>10</v>
      </c>
    </row>
    <row r="1455" spans="1:6">
      <c r="A1455" s="18" t="str">
        <f>"V096P"</f>
        <v>V096P</v>
      </c>
      <c r="B1455" s="18" t="s">
        <v>1368</v>
      </c>
      <c r="C1455" s="37">
        <v>17.176500000000001</v>
      </c>
      <c r="D1455" s="51"/>
      <c r="E1455" s="19" t="str">
        <f>"610377170048"</f>
        <v>610377170048</v>
      </c>
      <c r="F1455" s="20">
        <v>25</v>
      </c>
    </row>
    <row r="1456" spans="1:6">
      <c r="A1456" s="15" t="str">
        <f>"V1032LG"</f>
        <v>V1032LG</v>
      </c>
      <c r="B1456" s="15" t="s">
        <v>1369</v>
      </c>
      <c r="C1456" s="36">
        <v>116.289</v>
      </c>
      <c r="D1456" s="51"/>
      <c r="E1456" s="16" t="str">
        <f>"610377857413"</f>
        <v>610377857413</v>
      </c>
      <c r="F1456" s="17">
        <v>1</v>
      </c>
    </row>
    <row r="1457" spans="1:6">
      <c r="A1457" s="18" t="str">
        <f>"V109BK"</f>
        <v>V109BK</v>
      </c>
      <c r="B1457" s="18" t="s">
        <v>1370</v>
      </c>
      <c r="C1457" s="37">
        <v>173.0205</v>
      </c>
      <c r="D1457" s="51"/>
      <c r="E1457" s="19" t="str">
        <f>"610377170192"</f>
        <v>610377170192</v>
      </c>
      <c r="F1457" s="20">
        <v>1</v>
      </c>
    </row>
    <row r="1458" spans="1:6">
      <c r="A1458" s="15" t="str">
        <f>"V109LG"</f>
        <v>V109LG</v>
      </c>
      <c r="B1458" s="15" t="s">
        <v>1371</v>
      </c>
      <c r="C1458" s="36">
        <v>173.0205</v>
      </c>
      <c r="D1458" s="51"/>
      <c r="E1458" s="16" t="str">
        <f>"610377236799"</f>
        <v>610377236799</v>
      </c>
      <c r="F1458" s="17">
        <v>1</v>
      </c>
    </row>
    <row r="1459" spans="1:6">
      <c r="A1459" s="18" t="str">
        <f>"V130BK"</f>
        <v>V130BK</v>
      </c>
      <c r="B1459" s="18" t="s">
        <v>1372</v>
      </c>
      <c r="C1459" s="37">
        <v>72.796499999999995</v>
      </c>
      <c r="D1459" s="51"/>
      <c r="E1459" s="19" t="str">
        <f>"610377170253"</f>
        <v>610377170253</v>
      </c>
      <c r="F1459" s="20">
        <v>1</v>
      </c>
    </row>
    <row r="1460" spans="1:6">
      <c r="A1460" s="15" t="str">
        <f>"V130LG"</f>
        <v>V130LG</v>
      </c>
      <c r="B1460" s="15" t="s">
        <v>1373</v>
      </c>
      <c r="C1460" s="36">
        <v>72.796499999999995</v>
      </c>
      <c r="D1460" s="51"/>
      <c r="E1460" s="16" t="str">
        <f>"610377231657"</f>
        <v>610377231657</v>
      </c>
      <c r="F1460" s="17">
        <v>1</v>
      </c>
    </row>
    <row r="1461" spans="1:6">
      <c r="A1461" s="18" t="str">
        <f>"V305P"</f>
        <v>V305P</v>
      </c>
      <c r="B1461" s="18" t="s">
        <v>1374</v>
      </c>
      <c r="C1461" s="37">
        <v>7.056</v>
      </c>
      <c r="D1461" s="51"/>
      <c r="E1461" s="19" t="str">
        <f>"610377170307"</f>
        <v>610377170307</v>
      </c>
      <c r="F1461" s="20">
        <v>25</v>
      </c>
    </row>
    <row r="1462" spans="1:6">
      <c r="A1462" s="15" t="str">
        <f>"V531LG *"</f>
        <v>V531LG *</v>
      </c>
      <c r="B1462" s="15" t="s">
        <v>1375</v>
      </c>
      <c r="C1462" s="36">
        <v>66.1815</v>
      </c>
      <c r="D1462" s="51"/>
      <c r="E1462" s="16" t="str">
        <f>"610377237550"</f>
        <v>610377237550</v>
      </c>
      <c r="F1462" s="17">
        <v>1</v>
      </c>
    </row>
    <row r="1463" spans="1:6">
      <c r="A1463" s="18" t="str">
        <f>"V532BK"</f>
        <v>V532BK</v>
      </c>
      <c r="B1463" s="18" t="s">
        <v>1376</v>
      </c>
      <c r="C1463" s="37">
        <v>89.450999999999993</v>
      </c>
      <c r="D1463" s="51"/>
      <c r="E1463" s="19" t="str">
        <f>"610377170338"</f>
        <v>610377170338</v>
      </c>
      <c r="F1463" s="20">
        <v>1</v>
      </c>
    </row>
    <row r="1464" spans="1:6">
      <c r="A1464" s="15" t="str">
        <f>"V532LG"</f>
        <v>V532LG</v>
      </c>
      <c r="B1464" s="15" t="s">
        <v>1377</v>
      </c>
      <c r="C1464" s="36">
        <v>89.450999999999993</v>
      </c>
      <c r="D1464" s="51"/>
      <c r="E1464" s="16" t="str">
        <f>"610377243377"</f>
        <v>610377243377</v>
      </c>
      <c r="F1464" s="17">
        <v>1</v>
      </c>
    </row>
    <row r="1465" spans="1:6">
      <c r="A1465" s="18" t="str">
        <f>"V533LG"</f>
        <v>V533LG</v>
      </c>
      <c r="B1465" s="18" t="s">
        <v>1378</v>
      </c>
      <c r="C1465" s="37">
        <v>58.6935</v>
      </c>
      <c r="D1465" s="51"/>
      <c r="E1465" s="19" t="str">
        <f>"610377857406"</f>
        <v>610377857406</v>
      </c>
      <c r="F1465" s="20">
        <v>1</v>
      </c>
    </row>
    <row r="1466" spans="1:6">
      <c r="A1466" s="15" t="str">
        <f>"V574P"</f>
        <v>V574P</v>
      </c>
      <c r="B1466" s="15" t="s">
        <v>1379</v>
      </c>
      <c r="C1466" s="36">
        <v>15.579000000000001</v>
      </c>
      <c r="D1466" s="51"/>
      <c r="E1466" s="16" t="str">
        <f>"610377653329"</f>
        <v>610377653329</v>
      </c>
      <c r="F1466" s="17">
        <v>25</v>
      </c>
    </row>
    <row r="1467" spans="1:6">
      <c r="A1467" s="18" t="str">
        <f>"VL40T32"</f>
        <v>VL40T32</v>
      </c>
      <c r="B1467" s="18" t="s">
        <v>1380</v>
      </c>
      <c r="C1467" s="37">
        <v>168.15600000000001</v>
      </c>
      <c r="D1467" s="51"/>
      <c r="E1467" s="19" t="str">
        <f>"610377138932"</f>
        <v>610377138932</v>
      </c>
      <c r="F1467" s="20">
        <v>1</v>
      </c>
    </row>
    <row r="1468" spans="1:6">
      <c r="A1468" s="15" t="str">
        <f>"VR1000"</f>
        <v>VR1000</v>
      </c>
      <c r="B1468" s="15" t="s">
        <v>1381</v>
      </c>
      <c r="C1468" s="36">
        <v>628.70849999999996</v>
      </c>
      <c r="D1468" s="51"/>
      <c r="E1468" s="16" t="str">
        <f>"610377011587"</f>
        <v>610377011587</v>
      </c>
      <c r="F1468" s="17">
        <v>1</v>
      </c>
    </row>
    <row r="1469" spans="1:6">
      <c r="A1469" s="18" t="str">
        <f>"VR1000NT *"</f>
        <v>VR1000NT *</v>
      </c>
      <c r="B1469" s="18" t="s">
        <v>1382</v>
      </c>
      <c r="C1469" s="37">
        <v>628.70849999999996</v>
      </c>
      <c r="D1469" s="51"/>
      <c r="E1469" s="19" t="str">
        <f>"610377107921"</f>
        <v>610377107921</v>
      </c>
      <c r="F1469" s="20">
        <v>1</v>
      </c>
    </row>
    <row r="1470" spans="1:6">
      <c r="A1470" s="15" t="str">
        <f>"VRHEAT110"</f>
        <v>VRHEAT110</v>
      </c>
      <c r="B1470" s="15" t="s">
        <v>1383</v>
      </c>
      <c r="C1470" s="36">
        <v>433.67399999999998</v>
      </c>
      <c r="D1470" s="51"/>
      <c r="E1470" s="16" t="str">
        <f>"610377130066"</f>
        <v>610377130066</v>
      </c>
      <c r="F1470" s="17">
        <v>1</v>
      </c>
    </row>
    <row r="1471" spans="1:6">
      <c r="A1471" s="18" t="str">
        <f>"VRHEAT220"</f>
        <v>VRHEAT220</v>
      </c>
      <c r="B1471" s="18" t="s">
        <v>1384</v>
      </c>
      <c r="C1471" s="37">
        <v>433.67399999999998</v>
      </c>
      <c r="D1471" s="51"/>
      <c r="E1471" s="19" t="str">
        <f>"610377130073"</f>
        <v>610377130073</v>
      </c>
      <c r="F1471" s="20">
        <v>1</v>
      </c>
    </row>
    <row r="1472" spans="1:6">
      <c r="A1472" s="15" t="str">
        <f>"V&amp;A-1P"</f>
        <v>V&amp;A-1P</v>
      </c>
      <c r="B1472" s="15" t="s">
        <v>1385</v>
      </c>
      <c r="C1472" s="36">
        <v>129.4965</v>
      </c>
      <c r="D1472" s="51"/>
      <c r="E1472" s="16" t="str">
        <f>"761418001491"</f>
        <v>761418001491</v>
      </c>
      <c r="F1472" s="17">
        <v>6</v>
      </c>
    </row>
    <row r="1473" spans="1:6">
      <c r="A1473" s="18" t="str">
        <f>"V&amp;A-2P"</f>
        <v>V&amp;A-2P</v>
      </c>
      <c r="B1473" s="18" t="s">
        <v>1386</v>
      </c>
      <c r="C1473" s="37">
        <v>129.4965</v>
      </c>
      <c r="D1473" s="51"/>
      <c r="E1473" s="19" t="str">
        <f>"761418001507"</f>
        <v>761418001507</v>
      </c>
      <c r="F1473" s="20">
        <v>1</v>
      </c>
    </row>
    <row r="1474" spans="1:6">
      <c r="A1474" s="15" t="str">
        <f>"W400BBKP"</f>
        <v>W400BBKP</v>
      </c>
      <c r="B1474" s="15" t="s">
        <v>1387</v>
      </c>
      <c r="C1474" s="36">
        <v>15.8355</v>
      </c>
      <c r="D1474" s="51"/>
      <c r="E1474" s="16" t="str">
        <f>"610377059831"</f>
        <v>610377059831</v>
      </c>
      <c r="F1474" s="17">
        <v>10</v>
      </c>
    </row>
    <row r="1475" spans="1:6">
      <c r="A1475" s="18" t="str">
        <f>"W400BLGP"</f>
        <v>W400BLGP</v>
      </c>
      <c r="B1475" s="18" t="s">
        <v>1388</v>
      </c>
      <c r="C1475" s="37">
        <v>15.8355</v>
      </c>
      <c r="D1475" s="51"/>
      <c r="E1475" s="19" t="str">
        <f>"610377059848"</f>
        <v>610377059848</v>
      </c>
      <c r="F1475" s="20">
        <v>10</v>
      </c>
    </row>
    <row r="1476" spans="1:6">
      <c r="A1476" s="15" t="str">
        <f>"W400BWHP"</f>
        <v>W400BWHP</v>
      </c>
      <c r="B1476" s="15" t="s">
        <v>1389</v>
      </c>
      <c r="C1476" s="36">
        <v>15.282</v>
      </c>
      <c r="D1476" s="51"/>
      <c r="E1476" s="16" t="str">
        <f>"610377059824"</f>
        <v>610377059824</v>
      </c>
      <c r="F1476" s="17">
        <v>10</v>
      </c>
    </row>
    <row r="1477" spans="1:6">
      <c r="A1477" s="18" t="str">
        <f>"W490R"</f>
        <v>W490R</v>
      </c>
      <c r="B1477" s="18" t="s">
        <v>1390</v>
      </c>
      <c r="C1477" s="37">
        <v>67.058999999999997</v>
      </c>
      <c r="D1477" s="51"/>
      <c r="E1477" s="19" t="str">
        <f>"610377631983"</f>
        <v>610377631983</v>
      </c>
      <c r="F1477" s="20">
        <v>12</v>
      </c>
    </row>
    <row r="1478" spans="1:6">
      <c r="A1478" s="15" t="str">
        <f>"W491R"</f>
        <v>W491R</v>
      </c>
      <c r="B1478" s="15" t="s">
        <v>1391</v>
      </c>
      <c r="C1478" s="36">
        <v>64.489500000000007</v>
      </c>
      <c r="D1478" s="51"/>
      <c r="E1478" s="16" t="str">
        <f>"610377631976"</f>
        <v>610377631976</v>
      </c>
      <c r="F1478" s="17">
        <v>12</v>
      </c>
    </row>
    <row r="1479" spans="1:6">
      <c r="A1479" s="18" t="str">
        <f>"W530"</f>
        <v>W530</v>
      </c>
      <c r="B1479" s="18" t="s">
        <v>1392</v>
      </c>
      <c r="C1479" s="37">
        <v>50.0715</v>
      </c>
      <c r="D1479" s="51"/>
      <c r="E1479" s="19" t="str">
        <f>"610377170819"</f>
        <v>610377170819</v>
      </c>
      <c r="F1479" s="20">
        <v>6</v>
      </c>
    </row>
    <row r="1480" spans="1:6">
      <c r="A1480" s="15" t="str">
        <f>"W550"</f>
        <v>W550</v>
      </c>
      <c r="B1480" s="15" t="s">
        <v>1393</v>
      </c>
      <c r="C1480" s="36">
        <v>11.3805</v>
      </c>
      <c r="D1480" s="51"/>
      <c r="E1480" s="16" t="str">
        <f>"610377208871"</f>
        <v>610377208871</v>
      </c>
      <c r="F1480" s="17">
        <v>10</v>
      </c>
    </row>
    <row r="1481" spans="1:6">
      <c r="A1481" s="18" t="str">
        <f>"W560"</f>
        <v>W560</v>
      </c>
      <c r="B1481" s="18" t="s">
        <v>1394</v>
      </c>
      <c r="C1481" s="37">
        <v>27.521999999999998</v>
      </c>
      <c r="D1481" s="51"/>
      <c r="E1481" s="19" t="str">
        <f>"610377170833"</f>
        <v>610377170833</v>
      </c>
      <c r="F1481" s="20">
        <v>6</v>
      </c>
    </row>
    <row r="1482" spans="1:6">
      <c r="A1482" s="15" t="str">
        <f>"WC11000ES"</f>
        <v>WC11000ES</v>
      </c>
      <c r="B1482" s="15" t="s">
        <v>1395</v>
      </c>
      <c r="C1482" s="36">
        <v>1385.9280000000001</v>
      </c>
      <c r="D1482" s="51"/>
      <c r="E1482" s="16" t="str">
        <f>"610377006569"</f>
        <v>610377006569</v>
      </c>
      <c r="F1482" s="17">
        <v>1</v>
      </c>
    </row>
    <row r="1483" spans="1:6">
      <c r="A1483" s="18" t="str">
        <f>"WC11000VS"</f>
        <v>WC11000VS</v>
      </c>
      <c r="B1483" s="18" t="s">
        <v>1396</v>
      </c>
      <c r="C1483" s="37">
        <v>1556.1315</v>
      </c>
      <c r="D1483" s="51"/>
      <c r="E1483" s="19" t="str">
        <f>"610377049443"</f>
        <v>610377049443</v>
      </c>
      <c r="F1483" s="20">
        <v>1</v>
      </c>
    </row>
    <row r="1484" spans="1:6">
      <c r="A1484" s="15" t="str">
        <f>"WC11200ES"</f>
        <v>WC11200ES</v>
      </c>
      <c r="B1484" s="15" t="s">
        <v>1397</v>
      </c>
      <c r="C1484" s="36">
        <v>1775.799</v>
      </c>
      <c r="D1484" s="51"/>
      <c r="E1484" s="16" t="str">
        <f>"610377092838"</f>
        <v>610377092838</v>
      </c>
      <c r="F1484" s="17">
        <v>1</v>
      </c>
    </row>
    <row r="1485" spans="1:6">
      <c r="A1485" s="18" t="str">
        <f>"WC11200VS"</f>
        <v>WC11200VS</v>
      </c>
      <c r="B1485" s="18" t="s">
        <v>1398</v>
      </c>
      <c r="C1485" s="37">
        <v>2036.421</v>
      </c>
      <c r="D1485" s="51"/>
      <c r="E1485" s="19" t="str">
        <f>"610377225700"</f>
        <v>610377225700</v>
      </c>
      <c r="F1485" s="20">
        <v>1</v>
      </c>
    </row>
    <row r="1486" spans="1:6">
      <c r="A1486" s="15" t="str">
        <f>"WC1500ES *"</f>
        <v>WC1500ES *</v>
      </c>
      <c r="B1486" s="15" t="s">
        <v>1399</v>
      </c>
      <c r="C1486" s="36">
        <v>470.65949999999998</v>
      </c>
      <c r="D1486" s="51"/>
      <c r="E1486" s="16" t="str">
        <f>"610377135207"</f>
        <v>610377135207</v>
      </c>
      <c r="F1486" s="17">
        <v>1</v>
      </c>
    </row>
    <row r="1487" spans="1:6">
      <c r="A1487" s="18" t="str">
        <f>"WC1600ES *"</f>
        <v>WC1600ES *</v>
      </c>
      <c r="B1487" s="18" t="s">
        <v>1400</v>
      </c>
      <c r="C1487" s="37">
        <v>689.60699999999997</v>
      </c>
      <c r="D1487" s="51"/>
      <c r="E1487" s="19" t="str">
        <f>"610377032698"</f>
        <v>610377032698</v>
      </c>
      <c r="F1487" s="20">
        <v>1</v>
      </c>
    </row>
    <row r="1488" spans="1:6">
      <c r="A1488" s="15" t="str">
        <f>"WC1800ES *"</f>
        <v>WC1800ES *</v>
      </c>
      <c r="B1488" s="15" t="s">
        <v>1401</v>
      </c>
      <c r="C1488" s="36">
        <v>1158.7815000000001</v>
      </c>
      <c r="D1488" s="51"/>
      <c r="E1488" s="16" t="str">
        <f>"610377032834"</f>
        <v>610377032834</v>
      </c>
      <c r="F1488" s="17">
        <v>1</v>
      </c>
    </row>
    <row r="1489" spans="1:6">
      <c r="A1489" s="18" t="str">
        <f>"WCV1200E"</f>
        <v>WCV1200E</v>
      </c>
      <c r="B1489" s="18" t="s">
        <v>1402</v>
      </c>
      <c r="C1489" s="37">
        <v>165.06450000000001</v>
      </c>
      <c r="D1489" s="51"/>
      <c r="E1489" s="19" t="str">
        <f>"610377188784"</f>
        <v>610377188784</v>
      </c>
      <c r="F1489" s="20">
        <v>1</v>
      </c>
    </row>
    <row r="1490" spans="1:6">
      <c r="A1490" s="15" t="str">
        <f>"WCV1200ES"</f>
        <v>WCV1200ES</v>
      </c>
      <c r="B1490" s="15" t="s">
        <v>1403</v>
      </c>
      <c r="C1490" s="36">
        <v>191.01599999999999</v>
      </c>
      <c r="D1490" s="51"/>
      <c r="E1490" s="16" t="str">
        <f>"610377188524"</f>
        <v>610377188524</v>
      </c>
      <c r="F1490" s="17">
        <v>1</v>
      </c>
    </row>
    <row r="1491" spans="1:6">
      <c r="A1491" s="18" t="str">
        <f>"WCV1200V"</f>
        <v>WCV1200V</v>
      </c>
      <c r="B1491" s="18" t="s">
        <v>1404</v>
      </c>
      <c r="C1491" s="37">
        <v>177.0975</v>
      </c>
      <c r="D1491" s="51"/>
      <c r="E1491" s="19" t="str">
        <f>"610377188678"</f>
        <v>610377188678</v>
      </c>
      <c r="F1491" s="20">
        <v>1</v>
      </c>
    </row>
    <row r="1492" spans="1:6" ht="16" thickBot="1">
      <c r="A1492" s="21" t="str">
        <f>"WCV1250E"</f>
        <v>WCV1250E</v>
      </c>
      <c r="B1492" s="21" t="s">
        <v>1405</v>
      </c>
      <c r="C1492" s="38">
        <v>192.13200000000001</v>
      </c>
      <c r="D1492" s="52"/>
      <c r="E1492" s="22" t="str">
        <f>"610377188807"</f>
        <v>610377188807</v>
      </c>
      <c r="F1492" s="23">
        <v>1</v>
      </c>
    </row>
    <row r="1493" spans="1:6" ht="16" thickTop="1">
      <c r="C1493" s="39"/>
      <c r="D1493" s="39"/>
    </row>
    <row r="1494" spans="1:6" ht="16" thickBot="1">
      <c r="A1494" s="24" t="s">
        <v>42</v>
      </c>
      <c r="C1494" s="39"/>
      <c r="D1494" s="39"/>
    </row>
    <row r="1495" spans="1:6" ht="16" thickTop="1">
      <c r="A1495" s="12" t="str">
        <f>"WCV1250ES"</f>
        <v>WCV1250ES</v>
      </c>
      <c r="B1495" s="12" t="s">
        <v>1406</v>
      </c>
      <c r="C1495" s="35">
        <v>222.2955</v>
      </c>
      <c r="D1495" s="50"/>
      <c r="E1495" s="13" t="str">
        <f>"610377188531"</f>
        <v>610377188531</v>
      </c>
      <c r="F1495" s="14">
        <v>1</v>
      </c>
    </row>
    <row r="1496" spans="1:6">
      <c r="A1496" s="15" t="str">
        <f>"WCV1250V"</f>
        <v>WCV1250V</v>
      </c>
      <c r="B1496" s="15" t="s">
        <v>1407</v>
      </c>
      <c r="C1496" s="36">
        <v>203.21549999999999</v>
      </c>
      <c r="D1496" s="51"/>
      <c r="E1496" s="16" t="str">
        <f>"610377188685"</f>
        <v>610377188685</v>
      </c>
      <c r="F1496" s="17">
        <v>1</v>
      </c>
    </row>
    <row r="1497" spans="1:6">
      <c r="A1497" s="18" t="str">
        <f>"WCV1300E"</f>
        <v>WCV1300E</v>
      </c>
      <c r="B1497" s="18" t="s">
        <v>1408</v>
      </c>
      <c r="C1497" s="37">
        <v>221.97149999999999</v>
      </c>
      <c r="D1497" s="51"/>
      <c r="E1497" s="19" t="str">
        <f>"610377188869"</f>
        <v>610377188869</v>
      </c>
      <c r="F1497" s="20">
        <v>1</v>
      </c>
    </row>
    <row r="1498" spans="1:6">
      <c r="A1498" s="15" t="str">
        <f>"WCV1300ES"</f>
        <v>WCV1300ES</v>
      </c>
      <c r="B1498" s="15" t="s">
        <v>1409</v>
      </c>
      <c r="C1498" s="36">
        <v>256.87349999999998</v>
      </c>
      <c r="D1498" s="51"/>
      <c r="E1498" s="16" t="str">
        <f>"610377188562"</f>
        <v>610377188562</v>
      </c>
      <c r="F1498" s="17">
        <v>1</v>
      </c>
    </row>
    <row r="1499" spans="1:6">
      <c r="A1499" s="18" t="str">
        <f>"WCV1300V"</f>
        <v>WCV1300V</v>
      </c>
      <c r="B1499" s="18" t="s">
        <v>1410</v>
      </c>
      <c r="C1499" s="37">
        <v>241.929</v>
      </c>
      <c r="D1499" s="51"/>
      <c r="E1499" s="19" t="str">
        <f>"610377188692"</f>
        <v>610377188692</v>
      </c>
      <c r="F1499" s="20">
        <v>1</v>
      </c>
    </row>
    <row r="1500" spans="1:6">
      <c r="A1500" s="15" t="str">
        <f>"WCV1400E"</f>
        <v>WCV1400E</v>
      </c>
      <c r="B1500" s="15" t="s">
        <v>1411</v>
      </c>
      <c r="C1500" s="36">
        <v>254.02950000000001</v>
      </c>
      <c r="D1500" s="51"/>
      <c r="E1500" s="16" t="str">
        <f>"610377188876"</f>
        <v>610377188876</v>
      </c>
      <c r="F1500" s="17">
        <v>1</v>
      </c>
    </row>
    <row r="1501" spans="1:6">
      <c r="A1501" s="18" t="str">
        <f>"WCV1400ES"</f>
        <v>WCV1400ES</v>
      </c>
      <c r="B1501" s="18" t="s">
        <v>1412</v>
      </c>
      <c r="C1501" s="37">
        <v>293.92649999999998</v>
      </c>
      <c r="D1501" s="51"/>
      <c r="E1501" s="19" t="str">
        <f>"610377188586"</f>
        <v>610377188586</v>
      </c>
      <c r="F1501" s="20">
        <v>1</v>
      </c>
    </row>
    <row r="1502" spans="1:6">
      <c r="A1502" s="15" t="str">
        <f>"WCV1400V"</f>
        <v>WCV1400V</v>
      </c>
      <c r="B1502" s="15" t="s">
        <v>1413</v>
      </c>
      <c r="C1502" s="36">
        <v>284.62049999999999</v>
      </c>
      <c r="D1502" s="51"/>
      <c r="E1502" s="16" t="str">
        <f>"610377188722"</f>
        <v>610377188722</v>
      </c>
      <c r="F1502" s="17">
        <v>1</v>
      </c>
    </row>
    <row r="1503" spans="1:6">
      <c r="A1503" s="18" t="str">
        <f>"WCV1600E"</f>
        <v>WCV1600E</v>
      </c>
      <c r="B1503" s="18" t="s">
        <v>1414</v>
      </c>
      <c r="C1503" s="37">
        <v>362.90249999999997</v>
      </c>
      <c r="D1503" s="51"/>
      <c r="E1503" s="19" t="str">
        <f>"610377188883"</f>
        <v>610377188883</v>
      </c>
      <c r="F1503" s="20">
        <v>1</v>
      </c>
    </row>
    <row r="1504" spans="1:6">
      <c r="A1504" s="15" t="str">
        <f>"WCV1600ES"</f>
        <v>WCV1600ES</v>
      </c>
      <c r="B1504" s="15" t="s">
        <v>1415</v>
      </c>
      <c r="C1504" s="36">
        <v>419.87700000000001</v>
      </c>
      <c r="D1504" s="51"/>
      <c r="E1504" s="16" t="str">
        <f>"610377188593"</f>
        <v>610377188593</v>
      </c>
      <c r="F1504" s="17">
        <v>1</v>
      </c>
    </row>
    <row r="1505" spans="1:6">
      <c r="A1505" s="18" t="str">
        <f>"WCV1600V"</f>
        <v>WCV1600V</v>
      </c>
      <c r="B1505" s="18" t="s">
        <v>1416</v>
      </c>
      <c r="C1505" s="37">
        <v>402.01650000000001</v>
      </c>
      <c r="D1505" s="51"/>
      <c r="E1505" s="19" t="str">
        <f>"610377188739"</f>
        <v>610377188739</v>
      </c>
      <c r="F1505" s="20">
        <v>1</v>
      </c>
    </row>
    <row r="1506" spans="1:6">
      <c r="A1506" s="15" t="str">
        <f>"WCV1800E"</f>
        <v>WCV1800E</v>
      </c>
      <c r="B1506" s="15" t="s">
        <v>1417</v>
      </c>
      <c r="C1506" s="36">
        <v>716.52149999999995</v>
      </c>
      <c r="D1506" s="51"/>
      <c r="E1506" s="16" t="str">
        <f>"610377188890"</f>
        <v>610377188890</v>
      </c>
      <c r="F1506" s="17">
        <v>1</v>
      </c>
    </row>
    <row r="1507" spans="1:6">
      <c r="A1507" s="18" t="str">
        <f>"WCV1800ES"</f>
        <v>WCV1800ES</v>
      </c>
      <c r="B1507" s="18" t="s">
        <v>1418</v>
      </c>
      <c r="C1507" s="37">
        <v>829.06200000000001</v>
      </c>
      <c r="D1507" s="51"/>
      <c r="E1507" s="19" t="str">
        <f>"610377188609"</f>
        <v>610377188609</v>
      </c>
      <c r="F1507" s="20">
        <v>1</v>
      </c>
    </row>
    <row r="1508" spans="1:6">
      <c r="A1508" s="15" t="str">
        <f>"WCV1800V"</f>
        <v>WCV1800V</v>
      </c>
      <c r="B1508" s="15" t="s">
        <v>1419</v>
      </c>
      <c r="C1508" s="36">
        <v>764.87400000000002</v>
      </c>
      <c r="D1508" s="51"/>
      <c r="E1508" s="16" t="str">
        <f>"610377188760"</f>
        <v>610377188760</v>
      </c>
      <c r="F1508" s="17">
        <v>1</v>
      </c>
    </row>
    <row r="1509" spans="1:6">
      <c r="A1509" s="18" t="str">
        <f>"WCV2200ES"</f>
        <v>WCV2200ES</v>
      </c>
      <c r="B1509" s="18" t="s">
        <v>1420</v>
      </c>
      <c r="C1509" s="37">
        <v>239.922</v>
      </c>
      <c r="D1509" s="51"/>
      <c r="E1509" s="19" t="str">
        <f>"610377189705"</f>
        <v>610377189705</v>
      </c>
      <c r="F1509" s="20">
        <v>1</v>
      </c>
    </row>
    <row r="1510" spans="1:6">
      <c r="A1510" s="15" t="str">
        <f>"WCV2200VS"</f>
        <v>WCV2200VS</v>
      </c>
      <c r="B1510" s="15" t="s">
        <v>1421</v>
      </c>
      <c r="C1510" s="36">
        <v>251.1225</v>
      </c>
      <c r="D1510" s="51"/>
      <c r="E1510" s="16" t="str">
        <f>"610377189637"</f>
        <v>610377189637</v>
      </c>
      <c r="F1510" s="17">
        <v>1</v>
      </c>
    </row>
    <row r="1511" spans="1:6">
      <c r="A1511" s="18" t="str">
        <f>"WCV2250ES"</f>
        <v>WCV2250ES</v>
      </c>
      <c r="B1511" s="18" t="s">
        <v>1422</v>
      </c>
      <c r="C1511" s="37">
        <v>279.23399999999998</v>
      </c>
      <c r="D1511" s="51"/>
      <c r="E1511" s="19" t="str">
        <f>"610377189712"</f>
        <v>610377189712</v>
      </c>
      <c r="F1511" s="20">
        <v>1</v>
      </c>
    </row>
    <row r="1512" spans="1:6">
      <c r="A1512" s="15" t="str">
        <f>"WCV2250VS"</f>
        <v>WCV2250VS</v>
      </c>
      <c r="B1512" s="15" t="s">
        <v>1423</v>
      </c>
      <c r="C1512" s="36">
        <v>295.38</v>
      </c>
      <c r="D1512" s="51"/>
      <c r="E1512" s="16" t="str">
        <f>"610377189644"</f>
        <v>610377189644</v>
      </c>
      <c r="F1512" s="17">
        <v>1</v>
      </c>
    </row>
    <row r="1513" spans="1:6">
      <c r="A1513" s="18" t="str">
        <f>"WCV2300ES"</f>
        <v>WCV2300ES</v>
      </c>
      <c r="B1513" s="18" t="s">
        <v>1424</v>
      </c>
      <c r="C1513" s="37">
        <v>330.9255</v>
      </c>
      <c r="D1513" s="51"/>
      <c r="E1513" s="19" t="str">
        <f>"610377189729"</f>
        <v>610377189729</v>
      </c>
      <c r="F1513" s="20">
        <v>1</v>
      </c>
    </row>
    <row r="1514" spans="1:6">
      <c r="A1514" s="15" t="str">
        <f>"WCV2300VS"</f>
        <v>WCV2300VS</v>
      </c>
      <c r="B1514" s="15" t="s">
        <v>1425</v>
      </c>
      <c r="C1514" s="36">
        <v>365.30549999999999</v>
      </c>
      <c r="D1514" s="51"/>
      <c r="E1514" s="16" t="str">
        <f>"610377189651"</f>
        <v>610377189651</v>
      </c>
      <c r="F1514" s="17">
        <v>1</v>
      </c>
    </row>
    <row r="1515" spans="1:6">
      <c r="A1515" s="18" t="str">
        <f>"WCV2400ES"</f>
        <v>WCV2400ES</v>
      </c>
      <c r="B1515" s="18" t="s">
        <v>1426</v>
      </c>
      <c r="C1515" s="37">
        <v>378.67950000000002</v>
      </c>
      <c r="D1515" s="51"/>
      <c r="E1515" s="19" t="str">
        <f>"610377189736"</f>
        <v>610377189736</v>
      </c>
      <c r="F1515" s="20">
        <v>1</v>
      </c>
    </row>
    <row r="1516" spans="1:6">
      <c r="A1516" s="15" t="str">
        <f>"WCV2400VS"</f>
        <v>WCV2400VS</v>
      </c>
      <c r="B1516" s="15" t="s">
        <v>1427</v>
      </c>
      <c r="C1516" s="36">
        <v>413.66250000000002</v>
      </c>
      <c r="D1516" s="51"/>
      <c r="E1516" s="16" t="str">
        <f>"610377189668"</f>
        <v>610377189668</v>
      </c>
      <c r="F1516" s="17">
        <v>1</v>
      </c>
    </row>
    <row r="1517" spans="1:6">
      <c r="A1517" s="18" t="str">
        <f>"WCV2600ES"</f>
        <v>WCV2600ES</v>
      </c>
      <c r="B1517" s="18" t="s">
        <v>1428</v>
      </c>
      <c r="C1517" s="37">
        <v>527.43600000000004</v>
      </c>
      <c r="D1517" s="51"/>
      <c r="E1517" s="19" t="str">
        <f>"610377189743"</f>
        <v>610377189743</v>
      </c>
      <c r="F1517" s="20">
        <v>1</v>
      </c>
    </row>
    <row r="1518" spans="1:6">
      <c r="A1518" s="15" t="str">
        <f>"WCV2600VS"</f>
        <v>WCV2600VS</v>
      </c>
      <c r="B1518" s="15" t="s">
        <v>1429</v>
      </c>
      <c r="C1518" s="36">
        <v>584.31150000000002</v>
      </c>
      <c r="D1518" s="51"/>
      <c r="E1518" s="16" t="str">
        <f>"610377189675"</f>
        <v>610377189675</v>
      </c>
      <c r="F1518" s="17">
        <v>1</v>
      </c>
    </row>
    <row r="1519" spans="1:6">
      <c r="A1519" s="18" t="str">
        <f>"WCV2800ES"</f>
        <v>WCV2800ES</v>
      </c>
      <c r="B1519" s="18" t="s">
        <v>1430</v>
      </c>
      <c r="C1519" s="37">
        <v>1041.4169999999999</v>
      </c>
      <c r="D1519" s="51"/>
      <c r="E1519" s="19" t="str">
        <f>"610377189750"</f>
        <v>610377189750</v>
      </c>
      <c r="F1519" s="20">
        <v>1</v>
      </c>
    </row>
    <row r="1520" spans="1:6">
      <c r="A1520" s="15" t="str">
        <f>"WCV2800VS"</f>
        <v>WCV2800VS</v>
      </c>
      <c r="B1520" s="15" t="s">
        <v>1431</v>
      </c>
      <c r="C1520" s="36">
        <v>1111.7429999999999</v>
      </c>
      <c r="D1520" s="51"/>
      <c r="E1520" s="16" t="str">
        <f>"610377189699"</f>
        <v>610377189699</v>
      </c>
      <c r="F1520" s="17">
        <v>1</v>
      </c>
    </row>
    <row r="1521" spans="1:6">
      <c r="A1521" s="18" t="str">
        <f>"WG1030AVBLKPAK2"</f>
        <v>WG1030AVBLKPAK2</v>
      </c>
      <c r="B1521" s="18" t="s">
        <v>1432</v>
      </c>
      <c r="C1521" s="37">
        <v>17.8065</v>
      </c>
      <c r="D1521" s="51"/>
      <c r="E1521" s="19" t="str">
        <f>"610377095426"</f>
        <v>610377095426</v>
      </c>
      <c r="F1521" s="20">
        <v>24</v>
      </c>
    </row>
    <row r="1522" spans="1:6">
      <c r="A1522" s="15" t="str">
        <f>"WG1030AVDGRPAK2"</f>
        <v>WG1030AVDGRPAK2</v>
      </c>
      <c r="B1522" s="15" t="s">
        <v>1433</v>
      </c>
      <c r="C1522" s="36">
        <v>17.8065</v>
      </c>
      <c r="D1522" s="51"/>
      <c r="E1522" s="16" t="str">
        <f>"610377177207"</f>
        <v>610377177207</v>
      </c>
      <c r="F1522" s="17">
        <v>12</v>
      </c>
    </row>
    <row r="1523" spans="1:6">
      <c r="A1523" s="18" t="str">
        <f>"WG1030AVGRPAK2"</f>
        <v>WG1030AVGRPAK2</v>
      </c>
      <c r="B1523" s="18" t="s">
        <v>1434</v>
      </c>
      <c r="C1523" s="37">
        <v>17.8065</v>
      </c>
      <c r="D1523" s="51"/>
      <c r="E1523" s="19" t="str">
        <f>"610377008495"</f>
        <v>610377008495</v>
      </c>
      <c r="F1523" s="20">
        <v>24</v>
      </c>
    </row>
    <row r="1524" spans="1:6">
      <c r="A1524" s="15" t="str">
        <f>"WG1030AVPAK2"</f>
        <v>WG1030AVPAK2</v>
      </c>
      <c r="B1524" s="15" t="s">
        <v>1435</v>
      </c>
      <c r="C1524" s="36">
        <v>17.8065</v>
      </c>
      <c r="D1524" s="51"/>
      <c r="E1524" s="16" t="str">
        <f>"610377008389"</f>
        <v>610377008389</v>
      </c>
      <c r="F1524" s="17">
        <v>24</v>
      </c>
    </row>
    <row r="1525" spans="1:6">
      <c r="A1525" s="18" t="str">
        <f>"WG1031HF2PAK2"</f>
        <v>WG1031HF2PAK2</v>
      </c>
      <c r="B1525" s="18" t="s">
        <v>1436</v>
      </c>
      <c r="C1525" s="37">
        <v>63.612000000000002</v>
      </c>
      <c r="D1525" s="51"/>
      <c r="E1525" s="19" t="str">
        <f>"610377144704"</f>
        <v>610377144704</v>
      </c>
      <c r="F1525" s="20">
        <v>4</v>
      </c>
    </row>
    <row r="1526" spans="1:6">
      <c r="A1526" s="15" t="str">
        <f>"WG1031LV2PAK2"</f>
        <v>WG1031LV2PAK2</v>
      </c>
      <c r="B1526" s="15" t="s">
        <v>1437</v>
      </c>
      <c r="C1526" s="36">
        <v>63.612000000000002</v>
      </c>
      <c r="D1526" s="51"/>
      <c r="E1526" s="16" t="str">
        <f>"610377144766"</f>
        <v>610377144766</v>
      </c>
      <c r="F1526" s="17">
        <v>4</v>
      </c>
    </row>
    <row r="1527" spans="1:6">
      <c r="A1527" s="18" t="str">
        <f>"WG1032HF2PAK2"</f>
        <v>WG1032HF2PAK2</v>
      </c>
      <c r="B1527" s="18" t="s">
        <v>1438</v>
      </c>
      <c r="C1527" s="37">
        <v>101.1555</v>
      </c>
      <c r="D1527" s="51"/>
      <c r="E1527" s="19" t="str">
        <f>"610377144667"</f>
        <v>610377144667</v>
      </c>
      <c r="F1527" s="20">
        <v>4</v>
      </c>
    </row>
    <row r="1528" spans="1:6">
      <c r="A1528" s="15" t="str">
        <f>"WG1032LV2PAK2"</f>
        <v>WG1032LV2PAK2</v>
      </c>
      <c r="B1528" s="15" t="s">
        <v>1439</v>
      </c>
      <c r="C1528" s="36">
        <v>101.1555</v>
      </c>
      <c r="D1528" s="51"/>
      <c r="E1528" s="16" t="str">
        <f>"610377144728"</f>
        <v>610377144728</v>
      </c>
      <c r="F1528" s="17">
        <v>4</v>
      </c>
    </row>
    <row r="1529" spans="1:6">
      <c r="A1529" s="18" t="str">
        <f>"WG1033HF2PAK2"</f>
        <v>WG1033HF2PAK2</v>
      </c>
      <c r="B1529" s="18" t="s">
        <v>1440</v>
      </c>
      <c r="C1529" s="37">
        <v>309.3075</v>
      </c>
      <c r="D1529" s="51"/>
      <c r="E1529" s="19" t="str">
        <f>"610377144698"</f>
        <v>610377144698</v>
      </c>
      <c r="F1529" s="20">
        <v>2</v>
      </c>
    </row>
    <row r="1530" spans="1:6">
      <c r="A1530" s="15" t="str">
        <f>"WG1033LV2PAK2"</f>
        <v>WG1033LV2PAK2</v>
      </c>
      <c r="B1530" s="15" t="s">
        <v>1441</v>
      </c>
      <c r="C1530" s="36">
        <v>309.3075</v>
      </c>
      <c r="D1530" s="51"/>
      <c r="E1530" s="16" t="str">
        <f>"610377144759"</f>
        <v>610377144759</v>
      </c>
      <c r="F1530" s="17">
        <v>2</v>
      </c>
    </row>
    <row r="1531" spans="1:6">
      <c r="A1531" s="18" t="str">
        <f>"WG1048AVDGRPAK2"</f>
        <v>WG1048AVDGRPAK2</v>
      </c>
      <c r="B1531" s="18" t="s">
        <v>1442</v>
      </c>
      <c r="C1531" s="37">
        <v>40.342500000000001</v>
      </c>
      <c r="D1531" s="51"/>
      <c r="E1531" s="19" t="str">
        <f>"610377234801"</f>
        <v>610377234801</v>
      </c>
      <c r="F1531" s="20">
        <v>6</v>
      </c>
    </row>
    <row r="1532" spans="1:6">
      <c r="A1532" s="15" t="str">
        <f>"WG1048AVGRPAK2"</f>
        <v>WG1048AVGRPAK2</v>
      </c>
      <c r="B1532" s="15" t="s">
        <v>1443</v>
      </c>
      <c r="C1532" s="36">
        <v>40.342500000000001</v>
      </c>
      <c r="D1532" s="51"/>
      <c r="E1532" s="16" t="str">
        <f>"610377228015"</f>
        <v>610377228015</v>
      </c>
      <c r="F1532" s="17">
        <v>6</v>
      </c>
    </row>
    <row r="1533" spans="1:6">
      <c r="A1533" s="18" t="str">
        <f>"WG1048AVPAK2"</f>
        <v>WG1048AVPAK2</v>
      </c>
      <c r="B1533" s="18" t="s">
        <v>1444</v>
      </c>
      <c r="C1533" s="37">
        <v>40.342500000000001</v>
      </c>
      <c r="D1533" s="51"/>
      <c r="E1533" s="19" t="str">
        <f>"610377008075"</f>
        <v>610377008075</v>
      </c>
      <c r="F1533" s="20">
        <v>6</v>
      </c>
    </row>
    <row r="1534" spans="1:6">
      <c r="A1534" s="15" t="str">
        <f>"WG1049AVDGRPAK2"</f>
        <v>WG1049AVDGRPAK2</v>
      </c>
      <c r="B1534" s="15" t="s">
        <v>1445</v>
      </c>
      <c r="C1534" s="36">
        <v>38.780999999999999</v>
      </c>
      <c r="D1534" s="51"/>
      <c r="E1534" s="16" t="str">
        <f>"610377224451"</f>
        <v>610377224451</v>
      </c>
      <c r="F1534" s="17">
        <v>6</v>
      </c>
    </row>
    <row r="1535" spans="1:6">
      <c r="A1535" s="18" t="str">
        <f>"WG1049AVPAK2"</f>
        <v>WG1049AVPAK2</v>
      </c>
      <c r="B1535" s="18" t="s">
        <v>1446</v>
      </c>
      <c r="C1535" s="37">
        <v>38.780999999999999</v>
      </c>
      <c r="D1535" s="51"/>
      <c r="E1535" s="19" t="str">
        <f>"610377008082"</f>
        <v>610377008082</v>
      </c>
      <c r="F1535" s="20">
        <v>6</v>
      </c>
    </row>
    <row r="1536" spans="1:6">
      <c r="A1536" s="15" t="str">
        <f>"WG1051AVPAK2"</f>
        <v>WG1051AVPAK2</v>
      </c>
      <c r="B1536" s="15" t="s">
        <v>1447</v>
      </c>
      <c r="C1536" s="36">
        <v>34.47</v>
      </c>
      <c r="D1536" s="51"/>
      <c r="E1536" s="16" t="str">
        <f>"610377008099"</f>
        <v>610377008099</v>
      </c>
      <c r="F1536" s="17">
        <v>6</v>
      </c>
    </row>
    <row r="1537" spans="1:6">
      <c r="A1537" s="18" t="str">
        <f>"WG1051X"</f>
        <v>WG1051X</v>
      </c>
      <c r="B1537" s="18" t="s">
        <v>1448</v>
      </c>
      <c r="C1537" s="37">
        <v>3.1905000000000001</v>
      </c>
      <c r="D1537" s="51"/>
      <c r="E1537" s="19" t="str">
        <f>"610377008532"</f>
        <v>610377008532</v>
      </c>
      <c r="F1537" s="20">
        <v>10</v>
      </c>
    </row>
    <row r="1538" spans="1:6">
      <c r="A1538" s="15" t="str">
        <f>"WG1052AVPAK2"</f>
        <v>WG1052AVPAK2</v>
      </c>
      <c r="B1538" s="15" t="s">
        <v>1446</v>
      </c>
      <c r="C1538" s="36">
        <v>33.128999999999998</v>
      </c>
      <c r="D1538" s="51"/>
      <c r="E1538" s="16" t="str">
        <f>"610377008105"</f>
        <v>610377008105</v>
      </c>
      <c r="F1538" s="17">
        <v>6</v>
      </c>
    </row>
    <row r="1539" spans="1:6">
      <c r="A1539" s="18" t="str">
        <f>"WG1053AVPAK2"</f>
        <v>WG1053AVPAK2</v>
      </c>
      <c r="B1539" s="18" t="s">
        <v>1447</v>
      </c>
      <c r="C1539" s="37">
        <v>34.47</v>
      </c>
      <c r="D1539" s="51"/>
      <c r="E1539" s="19" t="str">
        <f>"610377008112"</f>
        <v>610377008112</v>
      </c>
      <c r="F1539" s="20">
        <v>6</v>
      </c>
    </row>
    <row r="1540" spans="1:6" ht="16" thickBot="1">
      <c r="A1540" s="21" t="str">
        <f>"WG1054AVPAK2"</f>
        <v>WG1054AVPAK2</v>
      </c>
      <c r="B1540" s="21" t="s">
        <v>1446</v>
      </c>
      <c r="C1540" s="38">
        <v>33.128999999999998</v>
      </c>
      <c r="D1540" s="52"/>
      <c r="E1540" s="22" t="str">
        <f>"610377008167"</f>
        <v>610377008167</v>
      </c>
      <c r="F1540" s="23">
        <v>6</v>
      </c>
    </row>
    <row r="1541" spans="1:6" ht="16" thickTop="1">
      <c r="A1541" s="12" t="str">
        <f>"WG1061HF2PAK2"</f>
        <v>WG1061HF2PAK2</v>
      </c>
      <c r="B1541" s="12" t="s">
        <v>1449</v>
      </c>
      <c r="C1541" s="35">
        <v>104.364</v>
      </c>
      <c r="D1541" s="50"/>
      <c r="E1541" s="13" t="str">
        <f>"610377214797"</f>
        <v>610377214797</v>
      </c>
      <c r="F1541" s="14">
        <v>1</v>
      </c>
    </row>
    <row r="1542" spans="1:6">
      <c r="A1542" s="15" t="str">
        <f>"WG1061LV2PAK2"</f>
        <v>WG1061LV2PAK2</v>
      </c>
      <c r="B1542" s="15" t="s">
        <v>1450</v>
      </c>
      <c r="C1542" s="36">
        <v>104.364</v>
      </c>
      <c r="D1542" s="51"/>
      <c r="E1542" s="16" t="str">
        <f>"610377214803"</f>
        <v>610377214803</v>
      </c>
      <c r="F1542" s="17">
        <v>1</v>
      </c>
    </row>
    <row r="1543" spans="1:6">
      <c r="A1543" s="18" t="str">
        <f>"WG10712SFVA"</f>
        <v>WG10712SFVA</v>
      </c>
      <c r="B1543" s="18" t="s">
        <v>985</v>
      </c>
      <c r="C1543" s="37">
        <v>60.430500000000002</v>
      </c>
      <c r="D1543" s="51"/>
      <c r="E1543" s="19" t="str">
        <f>"610377134804"</f>
        <v>610377134804</v>
      </c>
      <c r="F1543" s="20">
        <v>1</v>
      </c>
    </row>
    <row r="1544" spans="1:6">
      <c r="A1544" s="15" t="str">
        <f>"WG1080FVEKIT *"</f>
        <v>WG1080FVEKIT *</v>
      </c>
      <c r="B1544" s="15" t="s">
        <v>992</v>
      </c>
      <c r="C1544" s="36">
        <v>39.226500000000001</v>
      </c>
      <c r="D1544" s="51"/>
      <c r="E1544" s="16" t="str">
        <f>"610377134835"</f>
        <v>610377134835</v>
      </c>
      <c r="F1544" s="17">
        <v>10</v>
      </c>
    </row>
    <row r="1545" spans="1:6">
      <c r="A1545" s="18" t="str">
        <f>"WG1153AVPAK2"</f>
        <v>WG1153AVPAK2</v>
      </c>
      <c r="B1545" s="18" t="s">
        <v>1447</v>
      </c>
      <c r="C1545" s="37">
        <v>35.833500000000001</v>
      </c>
      <c r="D1545" s="51"/>
      <c r="E1545" s="19" t="str">
        <f>"610377008334"</f>
        <v>610377008334</v>
      </c>
      <c r="F1545" s="20">
        <v>6</v>
      </c>
    </row>
    <row r="1546" spans="1:6">
      <c r="A1546" s="15" t="str">
        <f>"WG1154AVPAK2"</f>
        <v>WG1154AVPAK2</v>
      </c>
      <c r="B1546" s="15" t="s">
        <v>1446</v>
      </c>
      <c r="C1546" s="36">
        <v>34.451999999999998</v>
      </c>
      <c r="D1546" s="51"/>
      <c r="E1546" s="16" t="str">
        <f>"610377008341"</f>
        <v>610377008341</v>
      </c>
      <c r="F1546" s="17">
        <v>6</v>
      </c>
    </row>
    <row r="1547" spans="1:6">
      <c r="A1547" s="18" t="str">
        <f>"WG1154SBLKPAK2"</f>
        <v>WG1154SBLKPAK2</v>
      </c>
      <c r="B1547" s="18" t="s">
        <v>1451</v>
      </c>
      <c r="C1547" s="37">
        <v>34.451999999999998</v>
      </c>
      <c r="D1547" s="51"/>
      <c r="E1547" s="19" t="str">
        <f>"610377214674"</f>
        <v>610377214674</v>
      </c>
      <c r="F1547" s="20">
        <v>6</v>
      </c>
    </row>
    <row r="1548" spans="1:6">
      <c r="A1548" s="15" t="str">
        <f>"WG1154SDGRPAK2"</f>
        <v>WG1154SDGRPAK2</v>
      </c>
      <c r="B1548" s="15" t="s">
        <v>1452</v>
      </c>
      <c r="C1548" s="36">
        <v>34.451999999999998</v>
      </c>
      <c r="D1548" s="51"/>
      <c r="E1548" s="16" t="str">
        <f>"610377214650"</f>
        <v>610377214650</v>
      </c>
      <c r="F1548" s="17">
        <v>6</v>
      </c>
    </row>
    <row r="1549" spans="1:6">
      <c r="A1549" s="18" t="str">
        <f>"WG1154SGRPAK2"</f>
        <v>WG1154SGRPAK2</v>
      </c>
      <c r="B1549" s="18" t="s">
        <v>1453</v>
      </c>
      <c r="C1549" s="41">
        <v>34.451999999999998</v>
      </c>
      <c r="D1549" s="51"/>
      <c r="E1549" s="19" t="str">
        <f>"610377214667"</f>
        <v>610377214667</v>
      </c>
      <c r="F1549" s="20">
        <v>6</v>
      </c>
    </row>
    <row r="1550" spans="1:6">
      <c r="A1550" s="15" t="str">
        <f>"WG1154SPAK2"</f>
        <v>WG1154SPAK2</v>
      </c>
      <c r="B1550" s="15" t="s">
        <v>1454</v>
      </c>
      <c r="C1550" s="42">
        <v>34.451999999999998</v>
      </c>
      <c r="D1550" s="51"/>
      <c r="E1550" s="16" t="str">
        <f>"610377214636"</f>
        <v>610377214636</v>
      </c>
      <c r="F1550" s="17">
        <v>6</v>
      </c>
    </row>
    <row r="1551" spans="1:6">
      <c r="A1551" s="18" t="str">
        <f>"WL010"</f>
        <v>WL010</v>
      </c>
      <c r="B1551" s="18" t="s">
        <v>1455</v>
      </c>
      <c r="C1551" s="54"/>
      <c r="D1551" s="31">
        <v>288.23</v>
      </c>
      <c r="E1551" s="29" t="str">
        <f>"761418012466"</f>
        <v>761418012466</v>
      </c>
      <c r="F1551" s="20">
        <v>1</v>
      </c>
    </row>
    <row r="1552" spans="1:6">
      <c r="A1552" s="15" t="str">
        <f>"YC10400S"</f>
        <v>YC10400S</v>
      </c>
      <c r="B1552" s="15" t="s">
        <v>1456</v>
      </c>
      <c r="C1552" s="42">
        <v>553.70699999999999</v>
      </c>
      <c r="D1552" s="51"/>
      <c r="E1552" s="16" t="str">
        <f>"610377168755"</f>
        <v>610377168755</v>
      </c>
      <c r="F1552" s="17">
        <v>1</v>
      </c>
    </row>
    <row r="1553" spans="1:6">
      <c r="A1553" s="18" t="str">
        <f>"YS00050S"</f>
        <v>YS00050S</v>
      </c>
      <c r="B1553" s="18" t="s">
        <v>1457</v>
      </c>
      <c r="C1553" s="37">
        <v>45.872999999999998</v>
      </c>
      <c r="D1553" s="51"/>
      <c r="E1553" s="19" t="str">
        <f>"610377512985"</f>
        <v>610377512985</v>
      </c>
      <c r="F1553" s="20">
        <v>24</v>
      </c>
    </row>
    <row r="1554" spans="1:6">
      <c r="A1554" s="15" t="str">
        <f>"YS00050SU"</f>
        <v>YS00050SU</v>
      </c>
      <c r="B1554" s="15" t="s">
        <v>1458</v>
      </c>
      <c r="C1554" s="36">
        <v>50.76</v>
      </c>
      <c r="D1554" s="51"/>
      <c r="E1554" s="16" t="str">
        <f>"610377096621"</f>
        <v>610377096621</v>
      </c>
      <c r="F1554" s="17">
        <v>1</v>
      </c>
    </row>
    <row r="1555" spans="1:6">
      <c r="A1555" s="18" t="str">
        <f>"YS00050T"</f>
        <v>YS00050T</v>
      </c>
      <c r="B1555" s="18" t="s">
        <v>1459</v>
      </c>
      <c r="C1555" s="37">
        <v>45.872999999999998</v>
      </c>
      <c r="D1555" s="51"/>
      <c r="E1555" s="19" t="str">
        <f>"610377512954"</f>
        <v>610377512954</v>
      </c>
      <c r="F1555" s="20">
        <v>24</v>
      </c>
    </row>
    <row r="1556" spans="1:6">
      <c r="A1556" s="15" t="str">
        <f>"YS00050TU"</f>
        <v>YS00050TU</v>
      </c>
      <c r="B1556" s="15" t="s">
        <v>1460</v>
      </c>
      <c r="C1556" s="36">
        <v>50.76</v>
      </c>
      <c r="D1556" s="51"/>
      <c r="E1556" s="16" t="str">
        <f>"610377138314"</f>
        <v>610377138314</v>
      </c>
      <c r="F1556" s="17">
        <v>1</v>
      </c>
    </row>
    <row r="1557" spans="1:6">
      <c r="A1557" s="18" t="str">
        <f>"YS00075S"</f>
        <v>YS00075S</v>
      </c>
      <c r="B1557" s="18" t="s">
        <v>1461</v>
      </c>
      <c r="C1557" s="37">
        <v>51.799500000000002</v>
      </c>
      <c r="D1557" s="51"/>
      <c r="E1557" s="19" t="str">
        <f>"610377513005"</f>
        <v>610377513005</v>
      </c>
      <c r="F1557" s="20">
        <v>24</v>
      </c>
    </row>
    <row r="1558" spans="1:6">
      <c r="A1558" s="15" t="str">
        <f>"YS00075SU"</f>
        <v>YS00075SU</v>
      </c>
      <c r="B1558" s="15" t="s">
        <v>1462</v>
      </c>
      <c r="C1558" s="36">
        <v>57.771000000000001</v>
      </c>
      <c r="D1558" s="51"/>
      <c r="E1558" s="16" t="str">
        <f>"610377015523"</f>
        <v>610377015523</v>
      </c>
      <c r="F1558" s="17">
        <v>1</v>
      </c>
    </row>
    <row r="1559" spans="1:6">
      <c r="A1559" s="18" t="str">
        <f>"YS00075T"</f>
        <v>YS00075T</v>
      </c>
      <c r="B1559" s="18" t="s">
        <v>1463</v>
      </c>
      <c r="C1559" s="37">
        <v>51.799500000000002</v>
      </c>
      <c r="D1559" s="51"/>
      <c r="E1559" s="19" t="str">
        <f>"610377513036"</f>
        <v>610377513036</v>
      </c>
      <c r="F1559" s="20">
        <v>24</v>
      </c>
    </row>
    <row r="1560" spans="1:6">
      <c r="A1560" s="15" t="str">
        <f>"YS00075TU"</f>
        <v>YS00075TU</v>
      </c>
      <c r="B1560" s="15" t="s">
        <v>1464</v>
      </c>
      <c r="C1560" s="36">
        <v>57.771000000000001</v>
      </c>
      <c r="D1560" s="51"/>
      <c r="E1560" s="16" t="str">
        <f>"610377081733"</f>
        <v>610377081733</v>
      </c>
      <c r="F1560" s="17">
        <v>1</v>
      </c>
    </row>
    <row r="1561" spans="1:6">
      <c r="A1561" s="18" t="str">
        <f>"YS00100S"</f>
        <v>YS00100S</v>
      </c>
      <c r="B1561" s="18" t="s">
        <v>1465</v>
      </c>
      <c r="C1561" s="37">
        <v>57.118499999999997</v>
      </c>
      <c r="D1561" s="51"/>
      <c r="E1561" s="19" t="str">
        <f>"610377513067"</f>
        <v>610377513067</v>
      </c>
      <c r="F1561" s="20">
        <v>12</v>
      </c>
    </row>
    <row r="1562" spans="1:6">
      <c r="A1562" s="15" t="str">
        <f>"YS00100SU"</f>
        <v>YS00100SU</v>
      </c>
      <c r="B1562" s="15" t="s">
        <v>1466</v>
      </c>
      <c r="C1562" s="36">
        <v>63.225000000000001</v>
      </c>
      <c r="D1562" s="51"/>
      <c r="E1562" s="16" t="str">
        <f>"610377059978"</f>
        <v>610377059978</v>
      </c>
      <c r="F1562" s="17">
        <v>1</v>
      </c>
    </row>
    <row r="1563" spans="1:6">
      <c r="A1563" s="18" t="str">
        <f>"YS00100T"</f>
        <v>YS00100T</v>
      </c>
      <c r="B1563" s="18" t="s">
        <v>1467</v>
      </c>
      <c r="C1563" s="37">
        <v>57.118499999999997</v>
      </c>
      <c r="D1563" s="51"/>
      <c r="E1563" s="19" t="str">
        <f>"610377513050"</f>
        <v>610377513050</v>
      </c>
      <c r="F1563" s="20">
        <v>12</v>
      </c>
    </row>
    <row r="1564" spans="1:6">
      <c r="A1564" s="15" t="str">
        <f>"YS00100TU"</f>
        <v>YS00100TU</v>
      </c>
      <c r="B1564" s="15" t="s">
        <v>1468</v>
      </c>
      <c r="C1564" s="36">
        <v>63.225000000000001</v>
      </c>
      <c r="D1564" s="51"/>
      <c r="E1564" s="16" t="str">
        <f>"610377047029"</f>
        <v>610377047029</v>
      </c>
      <c r="F1564" s="17">
        <v>1</v>
      </c>
    </row>
    <row r="1565" spans="1:6">
      <c r="A1565" s="18" t="str">
        <f>"YS00125S"</f>
        <v>YS00125S</v>
      </c>
      <c r="B1565" s="18" t="s">
        <v>1469</v>
      </c>
      <c r="C1565" s="37">
        <v>103.5675</v>
      </c>
      <c r="D1565" s="51"/>
      <c r="E1565" s="19" t="str">
        <f>"610377513104"</f>
        <v>610377513104</v>
      </c>
      <c r="F1565" s="20">
        <v>6</v>
      </c>
    </row>
    <row r="1566" spans="1:6">
      <c r="A1566" s="15" t="str">
        <f>"YS00125SU"</f>
        <v>YS00125SU</v>
      </c>
      <c r="B1566" s="15" t="s">
        <v>1470</v>
      </c>
      <c r="C1566" s="36">
        <v>108.432</v>
      </c>
      <c r="D1566" s="51"/>
      <c r="E1566" s="16" t="str">
        <f>"610377132602"</f>
        <v>610377132602</v>
      </c>
      <c r="F1566" s="17">
        <v>1</v>
      </c>
    </row>
    <row r="1567" spans="1:6">
      <c r="A1567" s="18" t="str">
        <f>"YS00125T"</f>
        <v>YS00125T</v>
      </c>
      <c r="B1567" s="18" t="s">
        <v>1471</v>
      </c>
      <c r="C1567" s="37">
        <v>103.5675</v>
      </c>
      <c r="D1567" s="51"/>
      <c r="E1567" s="19" t="str">
        <f>"610377513111"</f>
        <v>610377513111</v>
      </c>
      <c r="F1567" s="20">
        <v>6</v>
      </c>
    </row>
    <row r="1568" spans="1:6">
      <c r="A1568" s="15" t="str">
        <f>"YS00125TU"</f>
        <v>YS00125TU</v>
      </c>
      <c r="B1568" s="15" t="s">
        <v>1471</v>
      </c>
      <c r="C1568" s="36">
        <v>108.432</v>
      </c>
      <c r="D1568" s="51"/>
      <c r="E1568" s="16" t="str">
        <f>"610377074599"</f>
        <v>610377074599</v>
      </c>
      <c r="F1568" s="17">
        <v>1</v>
      </c>
    </row>
    <row r="1569" spans="1:6">
      <c r="A1569" s="18" t="str">
        <f>"YS00150S"</f>
        <v>YS00150S</v>
      </c>
      <c r="B1569" s="18" t="s">
        <v>1472</v>
      </c>
      <c r="C1569" s="37">
        <v>103.5675</v>
      </c>
      <c r="D1569" s="51"/>
      <c r="E1569" s="19" t="str">
        <f>"610377513166"</f>
        <v>610377513166</v>
      </c>
      <c r="F1569" s="20">
        <v>6</v>
      </c>
    </row>
    <row r="1570" spans="1:6">
      <c r="A1570" s="15" t="str">
        <f>"YS00150SU"</f>
        <v>YS00150SU</v>
      </c>
      <c r="B1570" s="15" t="s">
        <v>1473</v>
      </c>
      <c r="C1570" s="36">
        <v>113.85</v>
      </c>
      <c r="D1570" s="51"/>
      <c r="E1570" s="16" t="str">
        <f>"610377016926"</f>
        <v>610377016926</v>
      </c>
      <c r="F1570" s="17">
        <v>1</v>
      </c>
    </row>
    <row r="1571" spans="1:6">
      <c r="A1571" s="18" t="str">
        <f>"YS00150T"</f>
        <v>YS00150T</v>
      </c>
      <c r="B1571" s="18" t="s">
        <v>1474</v>
      </c>
      <c r="C1571" s="37">
        <v>103.5675</v>
      </c>
      <c r="D1571" s="51"/>
      <c r="E1571" s="19" t="str">
        <f>"610377513173"</f>
        <v>610377513173</v>
      </c>
      <c r="F1571" s="20">
        <v>6</v>
      </c>
    </row>
    <row r="1572" spans="1:6">
      <c r="A1572" s="15" t="str">
        <f>"YS00150TU"</f>
        <v>YS00150TU</v>
      </c>
      <c r="B1572" s="15" t="s">
        <v>1475</v>
      </c>
      <c r="C1572" s="36">
        <v>113.85</v>
      </c>
      <c r="D1572" s="51"/>
      <c r="E1572" s="16" t="str">
        <f>"610377105453"</f>
        <v>610377105453</v>
      </c>
      <c r="F1572" s="17">
        <v>1</v>
      </c>
    </row>
    <row r="1573" spans="1:6">
      <c r="A1573" s="18" t="str">
        <f>"YS00200F"</f>
        <v>YS00200F</v>
      </c>
      <c r="B1573" s="18" t="s">
        <v>1476</v>
      </c>
      <c r="C1573" s="37">
        <v>201.73949999999999</v>
      </c>
      <c r="D1573" s="51"/>
      <c r="E1573" s="19" t="str">
        <f>"610377512947"</f>
        <v>610377512947</v>
      </c>
      <c r="F1573" s="20">
        <v>1</v>
      </c>
    </row>
    <row r="1574" spans="1:6">
      <c r="A1574" s="15" t="str">
        <f>"YS00200S"</f>
        <v>YS00200S</v>
      </c>
      <c r="B1574" s="15" t="s">
        <v>1477</v>
      </c>
      <c r="C1574" s="36">
        <v>121.383</v>
      </c>
      <c r="D1574" s="51"/>
      <c r="E1574" s="16" t="str">
        <f>"610377512916"</f>
        <v>610377512916</v>
      </c>
      <c r="F1574" s="17">
        <v>1</v>
      </c>
    </row>
    <row r="1575" spans="1:6">
      <c r="A1575" s="18" t="str">
        <f>"YS00200SU"</f>
        <v>YS00200SU</v>
      </c>
      <c r="B1575" s="18" t="s">
        <v>1478</v>
      </c>
      <c r="C1575" s="37">
        <v>132.5745</v>
      </c>
      <c r="D1575" s="51"/>
      <c r="E1575" s="19" t="str">
        <f>"610377063913"</f>
        <v>610377063913</v>
      </c>
      <c r="F1575" s="20">
        <v>1</v>
      </c>
    </row>
    <row r="1576" spans="1:6">
      <c r="A1576" s="15" t="str">
        <f>"YS00200T"</f>
        <v>YS00200T</v>
      </c>
      <c r="B1576" s="15" t="s">
        <v>1479</v>
      </c>
      <c r="C1576" s="36">
        <v>121.383</v>
      </c>
      <c r="D1576" s="51"/>
      <c r="E1576" s="16" t="str">
        <f>"610377512886"</f>
        <v>610377512886</v>
      </c>
      <c r="F1576" s="17">
        <v>1</v>
      </c>
    </row>
    <row r="1577" spans="1:6">
      <c r="A1577" s="18" t="str">
        <f>"YS00200TU"</f>
        <v>YS00200TU</v>
      </c>
      <c r="B1577" s="18" t="s">
        <v>1480</v>
      </c>
      <c r="C1577" s="37">
        <v>132.5745</v>
      </c>
      <c r="D1577" s="51"/>
      <c r="E1577" s="19" t="str">
        <f>"610377017350"</f>
        <v>610377017350</v>
      </c>
      <c r="F1577" s="20">
        <v>1</v>
      </c>
    </row>
    <row r="1578" spans="1:6">
      <c r="A1578" s="15" t="str">
        <f>"YS10050S"</f>
        <v>YS10050S</v>
      </c>
      <c r="B1578" s="15" t="s">
        <v>1481</v>
      </c>
      <c r="C1578" s="36">
        <v>45.872999999999998</v>
      </c>
      <c r="D1578" s="51"/>
      <c r="E1578" s="16" t="str">
        <f>"610377168793"</f>
        <v>610377168793</v>
      </c>
      <c r="F1578" s="17">
        <v>24</v>
      </c>
    </row>
    <row r="1579" spans="1:6">
      <c r="A1579" s="18" t="str">
        <f>"YS10050SU"</f>
        <v>YS10050SU</v>
      </c>
      <c r="B1579" s="18" t="s">
        <v>1482</v>
      </c>
      <c r="C1579" s="37">
        <v>50.76</v>
      </c>
      <c r="D1579" s="51"/>
      <c r="E1579" s="19" t="str">
        <f>"610377016919"</f>
        <v>610377016919</v>
      </c>
      <c r="F1579" s="20">
        <v>1</v>
      </c>
    </row>
    <row r="1580" spans="1:6">
      <c r="A1580" s="15" t="str">
        <f>"YS10050TU"</f>
        <v>YS10050TU</v>
      </c>
      <c r="B1580" s="15" t="s">
        <v>1483</v>
      </c>
      <c r="C1580" s="36">
        <v>50.76</v>
      </c>
      <c r="D1580" s="51"/>
      <c r="E1580" s="16" t="str">
        <f>"610377010757"</f>
        <v>610377010757</v>
      </c>
      <c r="F1580" s="17">
        <v>1</v>
      </c>
    </row>
    <row r="1581" spans="1:6">
      <c r="A1581" s="18" t="str">
        <f>"YS10075S"</f>
        <v>YS10075S</v>
      </c>
      <c r="B1581" s="18" t="s">
        <v>1484</v>
      </c>
      <c r="C1581" s="37">
        <v>51.799500000000002</v>
      </c>
      <c r="D1581" s="51"/>
      <c r="E1581" s="19" t="str">
        <f>"610377168823"</f>
        <v>610377168823</v>
      </c>
      <c r="F1581" s="20">
        <v>24</v>
      </c>
    </row>
    <row r="1582" spans="1:6">
      <c r="A1582" s="15" t="str">
        <f>"YS10075SU"</f>
        <v>YS10075SU</v>
      </c>
      <c r="B1582" s="15" t="s">
        <v>1485</v>
      </c>
      <c r="C1582" s="36">
        <v>57.771000000000001</v>
      </c>
      <c r="D1582" s="51"/>
      <c r="E1582" s="16" t="str">
        <f>"610377011242"</f>
        <v>610377011242</v>
      </c>
      <c r="F1582" s="17">
        <v>1</v>
      </c>
    </row>
    <row r="1583" spans="1:6">
      <c r="A1583" s="18" t="str">
        <f>"YS10075T"</f>
        <v>YS10075T</v>
      </c>
      <c r="B1583" s="18" t="s">
        <v>1486</v>
      </c>
      <c r="C1583" s="37">
        <v>51.799500000000002</v>
      </c>
      <c r="D1583" s="51"/>
      <c r="E1583" s="19" t="str">
        <f>"610377168830"</f>
        <v>610377168830</v>
      </c>
      <c r="F1583" s="20">
        <v>24</v>
      </c>
    </row>
    <row r="1584" spans="1:6" ht="16" thickBot="1">
      <c r="A1584" s="21" t="str">
        <f>"YS10075TE"</f>
        <v>YS10075TE</v>
      </c>
      <c r="B1584" s="21" t="s">
        <v>1487</v>
      </c>
      <c r="C1584" s="38">
        <v>51.799500000000002</v>
      </c>
      <c r="D1584" s="52"/>
      <c r="E1584" s="22" t="str">
        <f>"610377039833"</f>
        <v>610377039833</v>
      </c>
      <c r="F1584" s="23">
        <v>24</v>
      </c>
    </row>
    <row r="1585" spans="1:6" ht="16" thickTop="1">
      <c r="C1585" s="39"/>
      <c r="D1585" s="39"/>
    </row>
    <row r="1586" spans="1:6" ht="16" thickBot="1">
      <c r="A1586" s="24" t="s">
        <v>42</v>
      </c>
      <c r="C1586" s="39"/>
      <c r="D1586" s="39"/>
    </row>
    <row r="1587" spans="1:6" ht="16" thickTop="1">
      <c r="A1587" s="12" t="str">
        <f>"YS10075TU"</f>
        <v>YS10075TU</v>
      </c>
      <c r="B1587" s="12" t="s">
        <v>1488</v>
      </c>
      <c r="C1587" s="35">
        <v>57.771000000000001</v>
      </c>
      <c r="D1587" s="50"/>
      <c r="E1587" s="13" t="str">
        <f>"610377060325"</f>
        <v>610377060325</v>
      </c>
      <c r="F1587" s="14">
        <v>1</v>
      </c>
    </row>
    <row r="1588" spans="1:6">
      <c r="A1588" s="15" t="str">
        <f>"YS10100S"</f>
        <v>YS10100S</v>
      </c>
      <c r="B1588" s="15" t="s">
        <v>1489</v>
      </c>
      <c r="C1588" s="36">
        <v>57.118499999999997</v>
      </c>
      <c r="D1588" s="51"/>
      <c r="E1588" s="16" t="str">
        <f>"610377168854"</f>
        <v>610377168854</v>
      </c>
      <c r="F1588" s="17">
        <v>12</v>
      </c>
    </row>
    <row r="1589" spans="1:6">
      <c r="A1589" s="18" t="str">
        <f>"YS10100SU"</f>
        <v>YS10100SU</v>
      </c>
      <c r="B1589" s="18" t="s">
        <v>1490</v>
      </c>
      <c r="C1589" s="37">
        <v>63.225000000000001</v>
      </c>
      <c r="D1589" s="51"/>
      <c r="E1589" s="19" t="str">
        <f>"610377038683"</f>
        <v>610377038683</v>
      </c>
      <c r="F1589" s="20">
        <v>1</v>
      </c>
    </row>
    <row r="1590" spans="1:6">
      <c r="A1590" s="15" t="str">
        <f>"YS10100T"</f>
        <v>YS10100T</v>
      </c>
      <c r="B1590" s="15" t="s">
        <v>1491</v>
      </c>
      <c r="C1590" s="36">
        <v>57.131999999999998</v>
      </c>
      <c r="D1590" s="51"/>
      <c r="E1590" s="16" t="str">
        <f>"610377168861"</f>
        <v>610377168861</v>
      </c>
      <c r="F1590" s="17">
        <v>12</v>
      </c>
    </row>
    <row r="1591" spans="1:6">
      <c r="A1591" s="18" t="str">
        <f>"YS10100TU"</f>
        <v>YS10100TU</v>
      </c>
      <c r="B1591" s="18" t="s">
        <v>1492</v>
      </c>
      <c r="C1591" s="37">
        <v>63.225000000000001</v>
      </c>
      <c r="D1591" s="51"/>
      <c r="E1591" s="19" t="str">
        <f>"610377039444"</f>
        <v>610377039444</v>
      </c>
      <c r="F1591" s="20">
        <v>1</v>
      </c>
    </row>
    <row r="1592" spans="1:6">
      <c r="A1592" s="15" t="str">
        <f>"YS10125S"</f>
        <v>YS10125S</v>
      </c>
      <c r="B1592" s="15" t="s">
        <v>1493</v>
      </c>
      <c r="C1592" s="36">
        <v>103.5675</v>
      </c>
      <c r="D1592" s="51"/>
      <c r="E1592" s="16" t="str">
        <f>"610377168885"</f>
        <v>610377168885</v>
      </c>
      <c r="F1592" s="17">
        <v>6</v>
      </c>
    </row>
    <row r="1593" spans="1:6">
      <c r="A1593" s="18" t="str">
        <f>"YS10125SU"</f>
        <v>YS10125SU</v>
      </c>
      <c r="B1593" s="18" t="s">
        <v>1494</v>
      </c>
      <c r="C1593" s="37">
        <v>108.432</v>
      </c>
      <c r="D1593" s="51"/>
      <c r="E1593" s="19" t="str">
        <f>"610377074117"</f>
        <v>610377074117</v>
      </c>
      <c r="F1593" s="20">
        <v>1</v>
      </c>
    </row>
    <row r="1594" spans="1:6">
      <c r="A1594" s="15" t="str">
        <f>"YS10125T"</f>
        <v>YS10125T</v>
      </c>
      <c r="B1594" s="15" t="s">
        <v>1495</v>
      </c>
      <c r="C1594" s="36">
        <v>103.5675</v>
      </c>
      <c r="D1594" s="51"/>
      <c r="E1594" s="16" t="str">
        <f>"610377168908"</f>
        <v>610377168908</v>
      </c>
      <c r="F1594" s="17">
        <v>6</v>
      </c>
    </row>
    <row r="1595" spans="1:6">
      <c r="A1595" s="18" t="str">
        <f>"YS10125TU"</f>
        <v>YS10125TU</v>
      </c>
      <c r="B1595" s="18" t="s">
        <v>1496</v>
      </c>
      <c r="C1595" s="37">
        <v>108.432</v>
      </c>
      <c r="D1595" s="51"/>
      <c r="E1595" s="19" t="str">
        <f>"610377016933"</f>
        <v>610377016933</v>
      </c>
      <c r="F1595" s="20">
        <v>1</v>
      </c>
    </row>
    <row r="1596" spans="1:6">
      <c r="A1596" s="15" t="str">
        <f>"YS10150S"</f>
        <v>YS10150S</v>
      </c>
      <c r="B1596" s="15" t="s">
        <v>1497</v>
      </c>
      <c r="C1596" s="36">
        <v>103.5675</v>
      </c>
      <c r="D1596" s="51"/>
      <c r="E1596" s="16" t="str">
        <f>"610377168922"</f>
        <v>610377168922</v>
      </c>
      <c r="F1596" s="17">
        <v>6</v>
      </c>
    </row>
    <row r="1597" spans="1:6">
      <c r="A1597" s="18" t="str">
        <f>"YS10150SU"</f>
        <v>YS10150SU</v>
      </c>
      <c r="B1597" s="18" t="s">
        <v>1498</v>
      </c>
      <c r="C1597" s="37">
        <v>113.85</v>
      </c>
      <c r="D1597" s="51"/>
      <c r="E1597" s="19" t="str">
        <f>"610377010993"</f>
        <v>610377010993</v>
      </c>
      <c r="F1597" s="20">
        <v>1</v>
      </c>
    </row>
    <row r="1598" spans="1:6">
      <c r="A1598" s="15" t="str">
        <f>"YS10150T"</f>
        <v>YS10150T</v>
      </c>
      <c r="B1598" s="15" t="s">
        <v>1499</v>
      </c>
      <c r="C1598" s="36">
        <v>103.5675</v>
      </c>
      <c r="D1598" s="51"/>
      <c r="E1598" s="16" t="str">
        <f>"610377168939"</f>
        <v>610377168939</v>
      </c>
      <c r="F1598" s="17">
        <v>6</v>
      </c>
    </row>
    <row r="1599" spans="1:6">
      <c r="A1599" s="18" t="str">
        <f>"YS10150TU"</f>
        <v>YS10150TU</v>
      </c>
      <c r="B1599" s="18" t="s">
        <v>1500</v>
      </c>
      <c r="C1599" s="37">
        <v>113.85</v>
      </c>
      <c r="D1599" s="51"/>
      <c r="E1599" s="19" t="str">
        <f>"610377010986"</f>
        <v>610377010986</v>
      </c>
      <c r="F1599" s="20">
        <v>1</v>
      </c>
    </row>
    <row r="1600" spans="1:6">
      <c r="A1600" s="15" t="str">
        <f>"YS10200F"</f>
        <v>YS10200F</v>
      </c>
      <c r="B1600" s="15" t="s">
        <v>1501</v>
      </c>
      <c r="C1600" s="36">
        <v>201.73949999999999</v>
      </c>
      <c r="D1600" s="51"/>
      <c r="E1600" s="16" t="str">
        <f>"610377168946"</f>
        <v>610377168946</v>
      </c>
      <c r="F1600" s="17">
        <v>1</v>
      </c>
    </row>
    <row r="1601" spans="1:6">
      <c r="A1601" s="18" t="str">
        <f>"YS10200S"</f>
        <v>YS10200S</v>
      </c>
      <c r="B1601" s="18" t="s">
        <v>1502</v>
      </c>
      <c r="C1601" s="37">
        <v>121.383</v>
      </c>
      <c r="D1601" s="51"/>
      <c r="E1601" s="19" t="str">
        <f>"610377168953"</f>
        <v>610377168953</v>
      </c>
      <c r="F1601" s="20">
        <v>1</v>
      </c>
    </row>
    <row r="1602" spans="1:6">
      <c r="A1602" s="15" t="str">
        <f>"YS10200SU"</f>
        <v>YS10200SU</v>
      </c>
      <c r="B1602" s="15" t="s">
        <v>1478</v>
      </c>
      <c r="C1602" s="36">
        <v>132.5745</v>
      </c>
      <c r="D1602" s="51"/>
      <c r="E1602" s="16" t="str">
        <f>"610377039666"</f>
        <v>610377039666</v>
      </c>
      <c r="F1602" s="17">
        <v>1</v>
      </c>
    </row>
    <row r="1603" spans="1:6">
      <c r="A1603" s="18" t="str">
        <f>"YS10200T"</f>
        <v>YS10200T</v>
      </c>
      <c r="B1603" s="18" t="s">
        <v>1503</v>
      </c>
      <c r="C1603" s="37">
        <v>121.383</v>
      </c>
      <c r="D1603" s="51"/>
      <c r="E1603" s="19" t="str">
        <f>"610377168977"</f>
        <v>610377168977</v>
      </c>
      <c r="F1603" s="20">
        <v>1</v>
      </c>
    </row>
    <row r="1604" spans="1:6">
      <c r="A1604" s="15" t="str">
        <f>"YS10200TE"</f>
        <v>YS10200TE</v>
      </c>
      <c r="B1604" s="15" t="s">
        <v>1504</v>
      </c>
      <c r="C1604" s="36">
        <v>121.383</v>
      </c>
      <c r="D1604" s="51"/>
      <c r="E1604" s="16" t="str">
        <f>"610377006309"</f>
        <v>610377006309</v>
      </c>
      <c r="F1604" s="17">
        <v>1</v>
      </c>
    </row>
    <row r="1605" spans="1:6">
      <c r="A1605" s="18" t="str">
        <f>"YS10200TU"</f>
        <v>YS10200TU</v>
      </c>
      <c r="B1605" s="18" t="s">
        <v>1505</v>
      </c>
      <c r="C1605" s="37">
        <v>132.5745</v>
      </c>
      <c r="D1605" s="51"/>
      <c r="E1605" s="19" t="str">
        <f>"610377039680"</f>
        <v>610377039680</v>
      </c>
      <c r="F1605" s="20">
        <v>1</v>
      </c>
    </row>
    <row r="1606" spans="1:6">
      <c r="A1606" s="15" t="str">
        <f>"YS10250F"</f>
        <v>YS10250F</v>
      </c>
      <c r="B1606" s="15" t="s">
        <v>1506</v>
      </c>
      <c r="C1606" s="36">
        <v>441.16199999999998</v>
      </c>
      <c r="D1606" s="51"/>
      <c r="E1606" s="16" t="str">
        <f>"610377168984"</f>
        <v>610377168984</v>
      </c>
      <c r="F1606" s="17">
        <v>1</v>
      </c>
    </row>
    <row r="1607" spans="1:6">
      <c r="A1607" s="18" t="str">
        <f>"YS10250S"</f>
        <v>YS10250S</v>
      </c>
      <c r="B1607" s="18" t="s">
        <v>1507</v>
      </c>
      <c r="C1607" s="37">
        <v>289.18349999999998</v>
      </c>
      <c r="D1607" s="51"/>
      <c r="E1607" s="19" t="str">
        <f>"610377168991"</f>
        <v>610377168991</v>
      </c>
      <c r="F1607" s="20">
        <v>1</v>
      </c>
    </row>
    <row r="1608" spans="1:6">
      <c r="A1608" s="15" t="str">
        <f>"YS10250SU"</f>
        <v>YS10250SU</v>
      </c>
      <c r="B1608" s="15" t="s">
        <v>1508</v>
      </c>
      <c r="C1608" s="36">
        <v>216.864</v>
      </c>
      <c r="D1608" s="51"/>
      <c r="E1608" s="16" t="str">
        <f>"610377073639"</f>
        <v>610377073639</v>
      </c>
      <c r="F1608" s="17">
        <v>1</v>
      </c>
    </row>
    <row r="1609" spans="1:6">
      <c r="A1609" s="18" t="str">
        <f>"YS10250T"</f>
        <v>YS10250T</v>
      </c>
      <c r="B1609" s="18" t="s">
        <v>1509</v>
      </c>
      <c r="C1609" s="37">
        <v>289.18349999999998</v>
      </c>
      <c r="D1609" s="51"/>
      <c r="E1609" s="19" t="str">
        <f>"610377169004"</f>
        <v>610377169004</v>
      </c>
      <c r="F1609" s="20">
        <v>1</v>
      </c>
    </row>
    <row r="1610" spans="1:6">
      <c r="A1610" s="15" t="str">
        <f>"YS10250TU"</f>
        <v>YS10250TU</v>
      </c>
      <c r="B1610" s="15" t="s">
        <v>1510</v>
      </c>
      <c r="C1610" s="36">
        <v>216.864</v>
      </c>
      <c r="D1610" s="51"/>
      <c r="E1610" s="16" t="str">
        <f>"610377104173"</f>
        <v>610377104173</v>
      </c>
      <c r="F1610" s="17">
        <v>1</v>
      </c>
    </row>
    <row r="1611" spans="1:6">
      <c r="A1611" s="18" t="str">
        <f>"YS10300F"</f>
        <v>YS10300F</v>
      </c>
      <c r="B1611" s="18" t="s">
        <v>1511</v>
      </c>
      <c r="C1611" s="37">
        <v>418.63499999999999</v>
      </c>
      <c r="D1611" s="51"/>
      <c r="E1611" s="19" t="str">
        <f>"610377169011"</f>
        <v>610377169011</v>
      </c>
      <c r="F1611" s="20">
        <v>1</v>
      </c>
    </row>
    <row r="1612" spans="1:6">
      <c r="A1612" s="15" t="str">
        <f>"YS10300S"</f>
        <v>YS10300S</v>
      </c>
      <c r="B1612" s="15" t="s">
        <v>1512</v>
      </c>
      <c r="C1612" s="36">
        <v>271.50299999999999</v>
      </c>
      <c r="D1612" s="51"/>
      <c r="E1612" s="16" t="str">
        <f>"610377169028"</f>
        <v>610377169028</v>
      </c>
      <c r="F1612" s="17">
        <v>1</v>
      </c>
    </row>
    <row r="1613" spans="1:6">
      <c r="A1613" s="18" t="str">
        <f>"YS10300SU"</f>
        <v>YS10300SU</v>
      </c>
      <c r="B1613" s="18" t="s">
        <v>1513</v>
      </c>
      <c r="C1613" s="37">
        <v>300.24450000000002</v>
      </c>
      <c r="D1613" s="51"/>
      <c r="E1613" s="19" t="str">
        <f>"610377071765"</f>
        <v>610377071765</v>
      </c>
      <c r="F1613" s="20">
        <v>1</v>
      </c>
    </row>
    <row r="1614" spans="1:6">
      <c r="A1614" s="15" t="str">
        <f>"YS10300T"</f>
        <v>YS10300T</v>
      </c>
      <c r="B1614" s="15" t="s">
        <v>1514</v>
      </c>
      <c r="C1614" s="36">
        <v>271.50299999999999</v>
      </c>
      <c r="D1614" s="51"/>
      <c r="E1614" s="16" t="str">
        <f>"610377169035"</f>
        <v>610377169035</v>
      </c>
      <c r="F1614" s="17">
        <v>1</v>
      </c>
    </row>
    <row r="1615" spans="1:6">
      <c r="A1615" s="18" t="str">
        <f>"YS10300TU"</f>
        <v>YS10300TU</v>
      </c>
      <c r="B1615" s="18" t="s">
        <v>1515</v>
      </c>
      <c r="C1615" s="37">
        <v>300.24450000000002</v>
      </c>
      <c r="D1615" s="51"/>
      <c r="E1615" s="19" t="str">
        <f>"610377096171"</f>
        <v>610377096171</v>
      </c>
      <c r="F1615" s="20">
        <v>1</v>
      </c>
    </row>
    <row r="1616" spans="1:6">
      <c r="A1616" s="15" t="str">
        <f>"YS10400F"</f>
        <v>YS10400F</v>
      </c>
      <c r="B1616" s="15" t="s">
        <v>1516</v>
      </c>
      <c r="C1616" s="36">
        <v>674.7165</v>
      </c>
      <c r="D1616" s="51"/>
      <c r="E1616" s="16" t="str">
        <f>"610377169042"</f>
        <v>610377169042</v>
      </c>
      <c r="F1616" s="17">
        <v>1</v>
      </c>
    </row>
    <row r="1617" spans="1:6">
      <c r="A1617" s="18" t="str">
        <f>"YS10400S"</f>
        <v>YS10400S</v>
      </c>
      <c r="B1617" s="18" t="s">
        <v>1517</v>
      </c>
      <c r="C1617" s="37">
        <v>474.94799999999998</v>
      </c>
      <c r="D1617" s="51"/>
      <c r="E1617" s="19" t="str">
        <f>"610377169059"</f>
        <v>610377169059</v>
      </c>
      <c r="F1617" s="20">
        <v>1</v>
      </c>
    </row>
    <row r="1618" spans="1:6">
      <c r="A1618" s="15" t="str">
        <f>"YS10400SU"</f>
        <v>YS10400SU</v>
      </c>
      <c r="B1618" s="15" t="s">
        <v>1518</v>
      </c>
      <c r="C1618" s="36">
        <v>527.04899999999998</v>
      </c>
      <c r="D1618" s="51"/>
      <c r="E1618" s="16" t="str">
        <f>"610377045070"</f>
        <v>610377045070</v>
      </c>
      <c r="F1618" s="17">
        <v>1</v>
      </c>
    </row>
    <row r="1619" spans="1:6">
      <c r="A1619" s="18" t="str">
        <f>"YS10400T"</f>
        <v>YS10400T</v>
      </c>
      <c r="B1619" s="18" t="s">
        <v>1519</v>
      </c>
      <c r="C1619" s="37">
        <v>474.94799999999998</v>
      </c>
      <c r="D1619" s="51"/>
      <c r="E1619" s="19" t="str">
        <f>"610377169066"</f>
        <v>610377169066</v>
      </c>
      <c r="F1619" s="20">
        <v>1</v>
      </c>
    </row>
    <row r="1620" spans="1:6">
      <c r="A1620" s="15" t="str">
        <f>"YS10400TU"</f>
        <v>YS10400TU</v>
      </c>
      <c r="B1620" s="15" t="s">
        <v>1520</v>
      </c>
      <c r="C1620" s="36">
        <v>527.04899999999998</v>
      </c>
      <c r="D1620" s="51"/>
      <c r="E1620" s="16" t="str">
        <f>"610377109475"</f>
        <v>610377109475</v>
      </c>
      <c r="F1620" s="17">
        <v>1</v>
      </c>
    </row>
    <row r="1621" spans="1:6">
      <c r="A1621" s="18" t="str">
        <f>"YS17075100"</f>
        <v>YS17075100</v>
      </c>
      <c r="B1621" s="18" t="s">
        <v>1521</v>
      </c>
      <c r="C1621" s="37">
        <v>88.974000000000004</v>
      </c>
      <c r="D1621" s="51"/>
      <c r="E1621" s="19" t="str">
        <f>"610377706674"</f>
        <v>610377706674</v>
      </c>
      <c r="F1621" s="20">
        <v>1</v>
      </c>
    </row>
    <row r="1622" spans="1:6">
      <c r="A1622" s="15" t="str">
        <f>"YS1707520"</f>
        <v>YS1707520</v>
      </c>
      <c r="B1622" s="15" t="s">
        <v>1522</v>
      </c>
      <c r="C1622" s="36">
        <v>88.974000000000004</v>
      </c>
      <c r="D1622" s="51"/>
      <c r="E1622" s="16" t="str">
        <f>"610377706018"</f>
        <v>610377706018</v>
      </c>
      <c r="F1622" s="17">
        <v>1</v>
      </c>
    </row>
    <row r="1623" spans="1:6">
      <c r="A1623" s="18" t="str">
        <f>"YS1720020"</f>
        <v>YS1720020</v>
      </c>
      <c r="B1623" s="18" t="s">
        <v>1523</v>
      </c>
      <c r="C1623" s="37">
        <v>166.05</v>
      </c>
      <c r="D1623" s="51"/>
      <c r="E1623" s="19" t="str">
        <f>"610377705172"</f>
        <v>610377705172</v>
      </c>
      <c r="F1623" s="20">
        <v>1</v>
      </c>
    </row>
    <row r="1624" spans="1:6">
      <c r="A1624" s="15" t="str">
        <f>"YS20050S"</f>
        <v>YS20050S</v>
      </c>
      <c r="B1624" s="15" t="s">
        <v>1524</v>
      </c>
      <c r="C1624" s="36">
        <v>126.71550000000001</v>
      </c>
      <c r="D1624" s="51"/>
      <c r="E1624" s="16" t="str">
        <f>"610377169110"</f>
        <v>610377169110</v>
      </c>
      <c r="F1624" s="17">
        <v>24</v>
      </c>
    </row>
    <row r="1625" spans="1:6">
      <c r="A1625" s="18" t="str">
        <f>"YS20050SU"</f>
        <v>YS20050SU</v>
      </c>
      <c r="B1625" s="18" t="s">
        <v>1525</v>
      </c>
      <c r="C1625" s="37">
        <v>139.29300000000001</v>
      </c>
      <c r="D1625" s="51"/>
      <c r="E1625" s="19" t="str">
        <f>"610377031431"</f>
        <v>610377031431</v>
      </c>
      <c r="F1625" s="20">
        <v>1</v>
      </c>
    </row>
    <row r="1626" spans="1:6">
      <c r="A1626" s="15" t="str">
        <f>"YS20050T"</f>
        <v>YS20050T</v>
      </c>
      <c r="B1626" s="15" t="s">
        <v>1526</v>
      </c>
      <c r="C1626" s="36">
        <v>126.71550000000001</v>
      </c>
      <c r="D1626" s="51"/>
      <c r="E1626" s="16" t="str">
        <f>"610377169127"</f>
        <v>610377169127</v>
      </c>
      <c r="F1626" s="17">
        <v>24</v>
      </c>
    </row>
    <row r="1627" spans="1:6">
      <c r="A1627" s="18" t="str">
        <f>"YS20050TU"</f>
        <v>YS20050TU</v>
      </c>
      <c r="B1627" s="18" t="s">
        <v>1527</v>
      </c>
      <c r="C1627" s="37">
        <v>139.29300000000001</v>
      </c>
      <c r="D1627" s="51"/>
      <c r="E1627" s="19" t="str">
        <f>"610377019347"</f>
        <v>610377019347</v>
      </c>
      <c r="F1627" s="20">
        <v>1</v>
      </c>
    </row>
    <row r="1628" spans="1:6">
      <c r="A1628" s="15" t="str">
        <f>"YS20075S"</f>
        <v>YS20075S</v>
      </c>
      <c r="B1628" s="15" t="s">
        <v>1528</v>
      </c>
      <c r="C1628" s="36">
        <v>140.08949999999999</v>
      </c>
      <c r="D1628" s="51"/>
      <c r="E1628" s="16" t="str">
        <f>"610377169141"</f>
        <v>610377169141</v>
      </c>
      <c r="F1628" s="17">
        <v>24</v>
      </c>
    </row>
    <row r="1629" spans="1:6">
      <c r="A1629" s="18" t="str">
        <f>"YS20075SU"</f>
        <v>YS20075SU</v>
      </c>
      <c r="B1629" s="18" t="s">
        <v>1529</v>
      </c>
      <c r="C1629" s="37">
        <v>155.11500000000001</v>
      </c>
      <c r="D1629" s="51"/>
      <c r="E1629" s="19" t="str">
        <f>"610377077354"</f>
        <v>610377077354</v>
      </c>
      <c r="F1629" s="20">
        <v>1</v>
      </c>
    </row>
    <row r="1630" spans="1:6">
      <c r="A1630" s="15" t="str">
        <f>"YS20075T"</f>
        <v>YS20075T</v>
      </c>
      <c r="B1630" s="15" t="s">
        <v>1530</v>
      </c>
      <c r="C1630" s="36">
        <v>140.08949999999999</v>
      </c>
      <c r="D1630" s="51"/>
      <c r="E1630" s="16" t="str">
        <f>"610377169158"</f>
        <v>610377169158</v>
      </c>
      <c r="F1630" s="17">
        <v>24</v>
      </c>
    </row>
    <row r="1631" spans="1:6">
      <c r="A1631" s="18" t="str">
        <f>"YS20075TU"</f>
        <v>YS20075TU</v>
      </c>
      <c r="B1631" s="18" t="s">
        <v>1531</v>
      </c>
      <c r="C1631" s="37">
        <v>155.11500000000001</v>
      </c>
      <c r="D1631" s="51"/>
      <c r="E1631" s="19" t="str">
        <f>"610377130196"</f>
        <v>610377130196</v>
      </c>
      <c r="F1631" s="20">
        <v>1</v>
      </c>
    </row>
    <row r="1632" spans="1:6" ht="16" thickBot="1">
      <c r="A1632" s="21" t="str">
        <f>"YS20100S"</f>
        <v>YS20100S</v>
      </c>
      <c r="B1632" s="21" t="s">
        <v>1532</v>
      </c>
      <c r="C1632" s="38">
        <v>179.37</v>
      </c>
      <c r="D1632" s="52"/>
      <c r="E1632" s="22" t="str">
        <f>"610377169172"</f>
        <v>610377169172</v>
      </c>
      <c r="F1632" s="23">
        <v>12</v>
      </c>
    </row>
    <row r="1633" spans="1:6" ht="16" thickTop="1">
      <c r="A1633" s="12" t="str">
        <f>"YS20100SU"</f>
        <v>YS20100SU</v>
      </c>
      <c r="B1633" s="12" t="s">
        <v>1533</v>
      </c>
      <c r="C1633" s="35">
        <v>193.2525</v>
      </c>
      <c r="D1633" s="50"/>
      <c r="E1633" s="13" t="str">
        <f>"610377059893"</f>
        <v>610377059893</v>
      </c>
      <c r="F1633" s="14">
        <v>1</v>
      </c>
    </row>
    <row r="1634" spans="1:6">
      <c r="A1634" s="15" t="str">
        <f>"YS20100T"</f>
        <v>YS20100T</v>
      </c>
      <c r="B1634" s="15" t="s">
        <v>1534</v>
      </c>
      <c r="C1634" s="36">
        <v>179.37</v>
      </c>
      <c r="D1634" s="51"/>
      <c r="E1634" s="16" t="str">
        <f>"610377169189"</f>
        <v>610377169189</v>
      </c>
      <c r="F1634" s="17">
        <v>12</v>
      </c>
    </row>
    <row r="1635" spans="1:6">
      <c r="A1635" s="18" t="str">
        <f>"YS20100TU"</f>
        <v>YS20100TU</v>
      </c>
      <c r="B1635" s="18" t="s">
        <v>1535</v>
      </c>
      <c r="C1635" s="37">
        <v>193.2525</v>
      </c>
      <c r="D1635" s="51"/>
      <c r="E1635" s="19" t="str">
        <f>"610377011259"</f>
        <v>610377011259</v>
      </c>
      <c r="F1635" s="20">
        <v>1</v>
      </c>
    </row>
    <row r="1636" spans="1:6">
      <c r="A1636" s="15" t="str">
        <f>"YS20150S"</f>
        <v>YS20150S</v>
      </c>
      <c r="B1636" s="15" t="s">
        <v>1536</v>
      </c>
      <c r="C1636" s="36">
        <v>278.57249999999999</v>
      </c>
      <c r="D1636" s="51"/>
      <c r="E1636" s="16" t="str">
        <f>"610377169202"</f>
        <v>610377169202</v>
      </c>
      <c r="F1636" s="17">
        <v>6</v>
      </c>
    </row>
    <row r="1637" spans="1:6">
      <c r="A1637" s="18" t="str">
        <f>"YS20150SU"</f>
        <v>YS20150SU</v>
      </c>
      <c r="B1637" s="18" t="s">
        <v>1537</v>
      </c>
      <c r="C1637" s="37">
        <v>307.73250000000002</v>
      </c>
      <c r="D1637" s="51"/>
      <c r="E1637" s="19" t="str">
        <f>"610377059886"</f>
        <v>610377059886</v>
      </c>
      <c r="F1637" s="20">
        <v>1</v>
      </c>
    </row>
    <row r="1638" spans="1:6">
      <c r="A1638" s="15" t="str">
        <f>"YS20150T"</f>
        <v>YS20150T</v>
      </c>
      <c r="B1638" s="15" t="s">
        <v>1538</v>
      </c>
      <c r="C1638" s="36">
        <v>278.57249999999999</v>
      </c>
      <c r="D1638" s="51"/>
      <c r="E1638" s="16" t="str">
        <f>"610377169219"</f>
        <v>610377169219</v>
      </c>
      <c r="F1638" s="17">
        <v>6</v>
      </c>
    </row>
    <row r="1639" spans="1:6">
      <c r="A1639" s="18" t="str">
        <f>"YS20150TU"</f>
        <v>YS20150TU</v>
      </c>
      <c r="B1639" s="18" t="s">
        <v>1539</v>
      </c>
      <c r="C1639" s="37">
        <v>307.73250000000002</v>
      </c>
      <c r="D1639" s="51"/>
      <c r="E1639" s="19" t="str">
        <f>"610377060875"</f>
        <v>610377060875</v>
      </c>
      <c r="F1639" s="20">
        <v>1</v>
      </c>
    </row>
    <row r="1640" spans="1:6">
      <c r="A1640" s="15" t="str">
        <f>"YS20200F"</f>
        <v>YS20200F</v>
      </c>
      <c r="B1640" s="15" t="s">
        <v>1540</v>
      </c>
      <c r="C1640" s="36">
        <v>482.88150000000002</v>
      </c>
      <c r="D1640" s="51"/>
      <c r="E1640" s="16" t="str">
        <f>"610377169226"</f>
        <v>610377169226</v>
      </c>
      <c r="F1640" s="17">
        <v>1</v>
      </c>
    </row>
    <row r="1641" spans="1:6">
      <c r="A1641" s="18" t="str">
        <f>"YS20200S"</f>
        <v>YS20200S</v>
      </c>
      <c r="B1641" s="18" t="s">
        <v>1541</v>
      </c>
      <c r="C1641" s="37">
        <v>358.029</v>
      </c>
      <c r="D1641" s="51"/>
      <c r="E1641" s="19" t="str">
        <f>"610377169233"</f>
        <v>610377169233</v>
      </c>
      <c r="F1641" s="20">
        <v>1</v>
      </c>
    </row>
    <row r="1642" spans="1:6">
      <c r="A1642" s="15" t="str">
        <f>"YS20200SU"</f>
        <v>YS20200SU</v>
      </c>
      <c r="B1642" s="15" t="s">
        <v>1542</v>
      </c>
      <c r="C1642" s="36">
        <v>408.69900000000001</v>
      </c>
      <c r="D1642" s="51"/>
      <c r="E1642" s="16" t="str">
        <f>"610377044707"</f>
        <v>610377044707</v>
      </c>
      <c r="F1642" s="17">
        <v>1</v>
      </c>
    </row>
    <row r="1643" spans="1:6">
      <c r="A1643" s="18" t="str">
        <f>"YS20200T"</f>
        <v>YS20200T</v>
      </c>
      <c r="B1643" s="18" t="s">
        <v>1543</v>
      </c>
      <c r="C1643" s="37">
        <v>358.029</v>
      </c>
      <c r="D1643" s="51"/>
      <c r="E1643" s="19" t="str">
        <f>"610377169240"</f>
        <v>610377169240</v>
      </c>
      <c r="F1643" s="20">
        <v>1</v>
      </c>
    </row>
    <row r="1644" spans="1:6">
      <c r="A1644" s="15" t="str">
        <f>"YS20200TU"</f>
        <v>YS20200TU</v>
      </c>
      <c r="B1644" s="15" t="s">
        <v>1544</v>
      </c>
      <c r="C1644" s="36">
        <v>408.69900000000001</v>
      </c>
      <c r="D1644" s="51"/>
      <c r="E1644" s="16" t="str">
        <f>"610377060646"</f>
        <v>610377060646</v>
      </c>
      <c r="F1644" s="17">
        <v>1</v>
      </c>
    </row>
    <row r="1645" spans="1:6">
      <c r="A1645" s="18" t="str">
        <f>"YS20300F"</f>
        <v>YS20300F</v>
      </c>
      <c r="B1645" s="18" t="s">
        <v>1545</v>
      </c>
      <c r="C1645" s="37">
        <v>692.62199999999996</v>
      </c>
      <c r="D1645" s="51"/>
      <c r="E1645" s="19" t="str">
        <f>"610377169257"</f>
        <v>610377169257</v>
      </c>
      <c r="F1645" s="20">
        <v>1</v>
      </c>
    </row>
    <row r="1646" spans="1:6">
      <c r="A1646" s="15" t="str">
        <f>"YS20300S"</f>
        <v>YS20300S</v>
      </c>
      <c r="B1646" s="15" t="s">
        <v>1546</v>
      </c>
      <c r="C1646" s="36">
        <v>446.18400000000003</v>
      </c>
      <c r="D1646" s="51"/>
      <c r="E1646" s="16" t="str">
        <f>"610377169264"</f>
        <v>610377169264</v>
      </c>
      <c r="F1646" s="17">
        <v>1</v>
      </c>
    </row>
    <row r="1647" spans="1:6">
      <c r="A1647" s="18" t="str">
        <f>"YS20300SU"</f>
        <v>YS20300SU</v>
      </c>
      <c r="B1647" s="18" t="s">
        <v>1547</v>
      </c>
      <c r="C1647" s="37">
        <v>489.85199999999998</v>
      </c>
      <c r="D1647" s="51"/>
      <c r="E1647" s="19" t="str">
        <f>"610377045049"</f>
        <v>610377045049</v>
      </c>
      <c r="F1647" s="20">
        <v>1</v>
      </c>
    </row>
    <row r="1648" spans="1:6">
      <c r="A1648" s="15" t="str">
        <f>"YS20300T"</f>
        <v>YS20300T</v>
      </c>
      <c r="B1648" s="15" t="s">
        <v>1548</v>
      </c>
      <c r="C1648" s="36">
        <v>446.18400000000003</v>
      </c>
      <c r="D1648" s="51"/>
      <c r="E1648" s="16" t="str">
        <f>"610377169271"</f>
        <v>610377169271</v>
      </c>
      <c r="F1648" s="17">
        <v>1</v>
      </c>
    </row>
    <row r="1649" spans="1:6">
      <c r="A1649" s="18" t="str">
        <f>"YS20300TU"</f>
        <v>YS20300TU</v>
      </c>
      <c r="B1649" s="18" t="s">
        <v>1547</v>
      </c>
      <c r="C1649" s="37">
        <v>489.83850000000001</v>
      </c>
      <c r="D1649" s="51"/>
      <c r="E1649" s="19" t="str">
        <f>"610377109826"</f>
        <v>610377109826</v>
      </c>
      <c r="F1649" s="20">
        <v>1</v>
      </c>
    </row>
    <row r="1650" spans="1:6">
      <c r="A1650" s="15" t="str">
        <f>"YS20400F"</f>
        <v>YS20400F</v>
      </c>
      <c r="B1650" s="15" t="s">
        <v>1549</v>
      </c>
      <c r="C1650" s="36">
        <v>1110.0735</v>
      </c>
      <c r="D1650" s="51"/>
      <c r="E1650" s="16" t="str">
        <f>"610377169288"</f>
        <v>610377169288</v>
      </c>
      <c r="F1650" s="17">
        <v>1</v>
      </c>
    </row>
    <row r="1651" spans="1:6">
      <c r="A1651" s="18" t="str">
        <f>"YS20400S"</f>
        <v>YS20400S</v>
      </c>
      <c r="B1651" s="18" t="s">
        <v>1550</v>
      </c>
      <c r="C1651" s="37">
        <v>773.14049999999997</v>
      </c>
      <c r="D1651" s="51"/>
      <c r="E1651" s="19" t="str">
        <f>"610377169295"</f>
        <v>610377169295</v>
      </c>
      <c r="F1651" s="20">
        <v>1</v>
      </c>
    </row>
    <row r="1652" spans="1:6">
      <c r="A1652" s="15" t="str">
        <f>"YS20400SU"</f>
        <v>YS20400SU</v>
      </c>
      <c r="B1652" s="15" t="s">
        <v>1551</v>
      </c>
      <c r="C1652" s="36">
        <v>833.18399999999997</v>
      </c>
      <c r="D1652" s="51"/>
      <c r="E1652" s="16" t="str">
        <f>"610377079600"</f>
        <v>610377079600</v>
      </c>
      <c r="F1652" s="17">
        <v>1</v>
      </c>
    </row>
    <row r="1653" spans="1:6">
      <c r="A1653" s="18" t="str">
        <f>"YS20400T"</f>
        <v>YS20400T</v>
      </c>
      <c r="B1653" s="18" t="s">
        <v>1552</v>
      </c>
      <c r="C1653" s="37">
        <v>773.14049999999997</v>
      </c>
      <c r="D1653" s="51"/>
      <c r="E1653" s="19" t="str">
        <f>"610377169301"</f>
        <v>610377169301</v>
      </c>
      <c r="F1653" s="20">
        <v>1</v>
      </c>
    </row>
    <row r="1654" spans="1:6" ht="16" thickBot="1">
      <c r="A1654" s="21" t="str">
        <f>"YS20400TU"</f>
        <v>YS20400TU</v>
      </c>
      <c r="B1654" s="21" t="s">
        <v>1553</v>
      </c>
      <c r="C1654" s="38">
        <v>833.17499999999995</v>
      </c>
      <c r="D1654" s="52"/>
      <c r="E1654" s="22" t="str">
        <f>"610377138321"</f>
        <v>610377138321</v>
      </c>
      <c r="F1654" s="23">
        <v>1</v>
      </c>
    </row>
    <row r="1655" spans="1:6" ht="16" thickTop="1"/>
  </sheetData>
  <sheetProtection password="EBE2" sheet="1" objects="1" scenarios="1"/>
  <pageMargins left="0.61" right="0.43" top="0.68" bottom="0.81" header="0.5" footer="0.33"/>
  <pageSetup scale="81" orientation="portrait"/>
  <headerFooter>
    <oddFooter xml:space="preserve">&amp;C&amp;"Arial,Bold Italic"- &amp;P -&amp;"Arial,Regular"
</oddFooter>
  </headerFooter>
  <rowBreaks count="35" manualBreakCount="35">
    <brk id="49" max="16383" man="1"/>
    <brk id="95" max="16383" man="1"/>
    <brk id="141" max="16383" man="1"/>
    <brk id="209" max="16383" man="1"/>
    <brk id="253" max="16383" man="1"/>
    <brk id="298" max="16383" man="1"/>
    <brk id="344" max="16383" man="1"/>
    <brk id="390" max="16383" man="1"/>
    <brk id="436" max="16383" man="1"/>
    <brk id="482" max="16383" man="1"/>
    <brk id="528" max="16383" man="1"/>
    <brk id="574" max="16383" man="1"/>
    <brk id="620" max="16383" man="1"/>
    <brk id="666" max="16383" man="1"/>
    <brk id="712" max="16383" man="1"/>
    <brk id="758" max="16383" man="1"/>
    <brk id="804" max="16383" man="1"/>
    <brk id="850" max="16383" man="1"/>
    <brk id="896" max="16383" man="1"/>
    <brk id="942" max="16383" man="1"/>
    <brk id="988" max="16383" man="1"/>
    <brk id="1034" max="16383" man="1"/>
    <brk id="1080" max="16383" man="1"/>
    <brk id="1126" max="16383" man="1"/>
    <brk id="1172" max="16383" man="1"/>
    <brk id="1218" max="16383" man="1"/>
    <brk id="1264" max="16383" man="1"/>
    <brk id="1310" max="16383" man="1"/>
    <brk id="1356" max="16383" man="1"/>
    <brk id="1402" max="16383" man="1"/>
    <brk id="1448" max="16383" man="1"/>
    <brk id="1494" max="16383" man="1"/>
    <brk id="1540" max="16383" man="1"/>
    <brk id="1586" max="16383" man="1"/>
    <brk id="1632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Finished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Doman</dc:creator>
  <cp:lastModifiedBy>Steve Chatterton</cp:lastModifiedBy>
  <cp:lastPrinted>2014-08-25T05:41:05Z</cp:lastPrinted>
  <dcterms:created xsi:type="dcterms:W3CDTF">2014-08-25T00:56:47Z</dcterms:created>
  <dcterms:modified xsi:type="dcterms:W3CDTF">2016-04-04T20:09:38Z</dcterms:modified>
</cp:coreProperties>
</file>