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0" windowWidth="15480" windowHeight="11640"/>
  </bookViews>
  <sheets>
    <sheet name="SQLT0002" sheetId="1" r:id="rId1"/>
  </sheets>
  <calcPr calcId="125725"/>
</workbook>
</file>

<file path=xl/calcChain.xml><?xml version="1.0" encoding="utf-8"?>
<calcChain xmlns="http://schemas.openxmlformats.org/spreadsheetml/2006/main">
  <c r="A1" i="1"/>
  <c r="B1"/>
  <c r="C1"/>
  <c r="C2"/>
  <c r="C3"/>
  <c r="C4"/>
  <c r="C5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31"/>
  <c r="C32"/>
  <c r="C33"/>
  <c r="C34"/>
  <c r="C35"/>
  <c r="C36"/>
  <c r="C37"/>
  <c r="C38"/>
  <c r="C39"/>
  <c r="C40"/>
  <c r="C41"/>
  <c r="C42"/>
  <c r="C43"/>
  <c r="C44"/>
  <c r="C45"/>
  <c r="C46"/>
  <c r="C47"/>
  <c r="C48"/>
  <c r="C49"/>
  <c r="C50"/>
  <c r="C51"/>
  <c r="C52"/>
  <c r="C53"/>
  <c r="C54"/>
  <c r="C55"/>
  <c r="C56"/>
  <c r="C57"/>
  <c r="C58"/>
  <c r="C59"/>
  <c r="C60"/>
  <c r="C61"/>
  <c r="C62"/>
  <c r="C63"/>
  <c r="C64"/>
  <c r="C65"/>
  <c r="C66"/>
  <c r="C67"/>
  <c r="C68"/>
  <c r="C69"/>
  <c r="C70"/>
  <c r="C71"/>
  <c r="C72"/>
  <c r="C73"/>
  <c r="C74"/>
  <c r="C75"/>
  <c r="C76"/>
  <c r="C77"/>
  <c r="C78"/>
  <c r="C79"/>
  <c r="C80"/>
  <c r="C81"/>
  <c r="C82"/>
  <c r="C83"/>
  <c r="C84"/>
  <c r="C85"/>
  <c r="C86"/>
  <c r="C87"/>
  <c r="C88"/>
  <c r="C89"/>
  <c r="C90"/>
  <c r="C91"/>
  <c r="C92"/>
  <c r="C93"/>
  <c r="C94"/>
  <c r="C95"/>
  <c r="C96"/>
  <c r="C97"/>
  <c r="C98"/>
  <c r="C99"/>
  <c r="C100"/>
  <c r="C101"/>
  <c r="C102"/>
  <c r="C103"/>
  <c r="C104"/>
  <c r="C105"/>
  <c r="C106"/>
  <c r="C107"/>
  <c r="C108"/>
  <c r="C109"/>
  <c r="C110"/>
  <c r="C111"/>
  <c r="C112"/>
  <c r="C113"/>
  <c r="C114"/>
  <c r="C115"/>
  <c r="C116"/>
  <c r="C117"/>
  <c r="C118"/>
  <c r="C119"/>
  <c r="C120"/>
  <c r="C121"/>
  <c r="C122"/>
  <c r="C123"/>
  <c r="C124"/>
  <c r="C125"/>
  <c r="C126"/>
  <c r="C127"/>
  <c r="C128"/>
  <c r="C129"/>
  <c r="C130"/>
  <c r="C131"/>
  <c r="C132"/>
  <c r="C133"/>
  <c r="C134"/>
  <c r="C135"/>
  <c r="C136"/>
  <c r="C137"/>
  <c r="C138"/>
  <c r="C139"/>
  <c r="C140"/>
  <c r="C141"/>
  <c r="C142"/>
  <c r="C143"/>
  <c r="C144"/>
  <c r="C145"/>
  <c r="C146"/>
  <c r="C147"/>
  <c r="C148"/>
  <c r="C149"/>
  <c r="C150"/>
  <c r="C151"/>
  <c r="C152"/>
  <c r="C153"/>
  <c r="C154"/>
  <c r="C155"/>
  <c r="C156"/>
  <c r="C157"/>
  <c r="C158"/>
  <c r="C159"/>
  <c r="C160"/>
  <c r="C161"/>
  <c r="C162"/>
  <c r="C163"/>
  <c r="C164"/>
  <c r="C165"/>
  <c r="C166"/>
  <c r="C167"/>
  <c r="C168"/>
  <c r="C169"/>
  <c r="C170"/>
  <c r="C171"/>
  <c r="C172"/>
  <c r="C173"/>
  <c r="C174"/>
  <c r="C175"/>
  <c r="C176"/>
  <c r="C177"/>
  <c r="C178"/>
  <c r="C179"/>
  <c r="C180"/>
  <c r="C181"/>
  <c r="C182"/>
  <c r="C183"/>
  <c r="C184"/>
  <c r="C185"/>
  <c r="C186"/>
  <c r="C187"/>
  <c r="C188"/>
  <c r="C189"/>
  <c r="C190"/>
  <c r="C191"/>
  <c r="C192"/>
  <c r="C193"/>
  <c r="C194"/>
  <c r="C195"/>
  <c r="C196"/>
  <c r="C197"/>
  <c r="C198"/>
  <c r="C199"/>
  <c r="C200"/>
  <c r="C201"/>
  <c r="C202"/>
  <c r="C203"/>
  <c r="C204"/>
  <c r="C205"/>
  <c r="C206"/>
  <c r="C207"/>
  <c r="C208"/>
  <c r="C209"/>
  <c r="C210"/>
  <c r="C211"/>
  <c r="C212"/>
  <c r="C213"/>
  <c r="C214"/>
  <c r="C215"/>
  <c r="C216"/>
  <c r="C217"/>
  <c r="C218"/>
  <c r="C219"/>
  <c r="C220"/>
  <c r="C221"/>
  <c r="C222"/>
  <c r="C223"/>
  <c r="C224"/>
  <c r="C225"/>
  <c r="C226"/>
  <c r="C227"/>
  <c r="C228"/>
  <c r="C229"/>
  <c r="C230"/>
  <c r="C231"/>
  <c r="C232"/>
  <c r="C233"/>
  <c r="C234"/>
  <c r="C235"/>
  <c r="C236"/>
  <c r="C237"/>
  <c r="C238"/>
  <c r="C239"/>
  <c r="C240"/>
  <c r="C241"/>
  <c r="C242"/>
  <c r="C243"/>
  <c r="C244"/>
  <c r="C245"/>
  <c r="C246"/>
  <c r="C247"/>
  <c r="C248"/>
  <c r="C249"/>
  <c r="C250"/>
  <c r="C251"/>
  <c r="C252"/>
  <c r="C253"/>
  <c r="C254"/>
  <c r="C255"/>
  <c r="C256"/>
  <c r="C257"/>
  <c r="C258"/>
  <c r="C259"/>
  <c r="C260"/>
  <c r="C261"/>
  <c r="C262"/>
  <c r="C263"/>
  <c r="C264"/>
  <c r="C265"/>
  <c r="C266"/>
  <c r="C267"/>
  <c r="C268"/>
  <c r="C269"/>
  <c r="C270"/>
  <c r="C271"/>
  <c r="C272"/>
  <c r="C273"/>
  <c r="C274"/>
  <c r="C275"/>
  <c r="C276"/>
  <c r="C277"/>
  <c r="C278"/>
  <c r="C279"/>
  <c r="C280"/>
  <c r="C281"/>
  <c r="C282"/>
  <c r="C283"/>
  <c r="C284"/>
  <c r="C285"/>
  <c r="C286"/>
  <c r="C287"/>
  <c r="C288"/>
  <c r="C289"/>
  <c r="C290"/>
  <c r="C291"/>
  <c r="C292"/>
  <c r="C293"/>
  <c r="C294"/>
  <c r="C295"/>
  <c r="C296"/>
  <c r="C297"/>
  <c r="C298"/>
  <c r="C299"/>
  <c r="C300"/>
  <c r="C301"/>
  <c r="C302"/>
  <c r="C303"/>
  <c r="C304"/>
  <c r="C305"/>
  <c r="C306"/>
  <c r="C307"/>
  <c r="C308"/>
  <c r="C309"/>
  <c r="C310"/>
  <c r="C311"/>
  <c r="C312"/>
  <c r="C313"/>
  <c r="C314"/>
  <c r="C315"/>
  <c r="C316"/>
  <c r="C317"/>
  <c r="C318"/>
  <c r="C319"/>
  <c r="C320"/>
  <c r="C321"/>
  <c r="C322"/>
  <c r="C323"/>
  <c r="C324"/>
  <c r="C325"/>
  <c r="C326"/>
  <c r="C327"/>
  <c r="C328"/>
  <c r="C329"/>
  <c r="C330"/>
  <c r="C331"/>
  <c r="C332"/>
  <c r="C333"/>
  <c r="C334"/>
  <c r="C335"/>
  <c r="C336"/>
</calcChain>
</file>

<file path=xl/sharedStrings.xml><?xml version="1.0" encoding="utf-8"?>
<sst xmlns="http://schemas.openxmlformats.org/spreadsheetml/2006/main" count="4" uniqueCount="4">
  <si>
    <t xml:space="preserve">CharlieCard </t>
  </si>
  <si>
    <t>Monthly Ticket</t>
  </si>
  <si>
    <t xml:space="preserve">Mag SV </t>
  </si>
  <si>
    <t>CASH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</si>
</sst>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36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2.75"/>
  <cols>
    <col min="1" max="1" width="11" bestFit="1" customWidth="1"/>
    <col min="2" max="2" width="14" bestFit="1" customWidth="1"/>
    <col min="3" max="3" width="44.5703125" bestFit="1" customWidth="1"/>
    <col min="4" max="4" width="11.140625" bestFit="1" customWidth="1"/>
    <col min="5" max="5" width="13.28515625" bestFit="1" customWidth="1"/>
    <col min="6" max="6" width="8.28515625" bestFit="1" customWidth="1"/>
    <col min="7" max="7" width="6.140625" bestFit="1" customWidth="1"/>
    <col min="8" max="17" width="16.140625" customWidth="1"/>
  </cols>
  <sheetData>
    <row r="1" spans="1:7">
      <c r="A1" t="str">
        <f>"VERSIONID"</f>
        <v>VERSIONID</v>
      </c>
      <c r="B1" t="str">
        <f>"TICKETTYPEID"</f>
        <v>TICKETTYPEID</v>
      </c>
      <c r="C1" t="str">
        <f>"DESCRIPTION"</f>
        <v>DESCRIPTION</v>
      </c>
      <c r="D1" t="s">
        <v>0</v>
      </c>
      <c r="E1" t="s">
        <v>1</v>
      </c>
      <c r="F1" t="s">
        <v>2</v>
      </c>
      <c r="G1" t="s">
        <v>3</v>
      </c>
    </row>
    <row r="2" spans="1:7">
      <c r="A2">
        <v>319</v>
      </c>
      <c r="B2">
        <v>102000100</v>
      </c>
      <c r="C2" t="str">
        <f>"** Subway Monthly Adult"</f>
        <v>** Subway Monthly Adult</v>
      </c>
      <c r="D2">
        <v>1</v>
      </c>
      <c r="E2">
        <v>1</v>
      </c>
    </row>
    <row r="3" spans="1:7">
      <c r="A3">
        <v>319</v>
      </c>
      <c r="B3">
        <v>102400400</v>
      </c>
      <c r="C3" t="str">
        <f>"Monthly Link Student 5 Days 3am to 11pm"</f>
        <v>Monthly Link Student 5 Days 3am to 11pm</v>
      </c>
      <c r="D3">
        <v>1</v>
      </c>
      <c r="E3">
        <v>1</v>
      </c>
    </row>
    <row r="4" spans="1:7">
      <c r="A4">
        <v>319</v>
      </c>
      <c r="B4">
        <v>102400500</v>
      </c>
      <c r="C4" t="str">
        <f>"Monthly Link Senior"</f>
        <v>Monthly Link Senior</v>
      </c>
      <c r="D4">
        <v>1</v>
      </c>
      <c r="E4">
        <v>1</v>
      </c>
    </row>
    <row r="5" spans="1:7">
      <c r="A5">
        <v>319</v>
      </c>
      <c r="B5">
        <v>102400600</v>
      </c>
      <c r="C5" t="str">
        <f>"Monthly Link T.A.P."</f>
        <v>Monthly Link T.A.P.</v>
      </c>
      <c r="D5">
        <v>1</v>
      </c>
      <c r="E5">
        <v>1</v>
      </c>
    </row>
    <row r="6" spans="1:7">
      <c r="A6">
        <v>319</v>
      </c>
      <c r="B6">
        <v>102402500</v>
      </c>
      <c r="C6" t="str">
        <f>"Monthly Link Student 6 Days 3am to 11pm"</f>
        <v>Monthly Link Student 6 Days 3am to 11pm</v>
      </c>
      <c r="D6">
        <v>1</v>
      </c>
      <c r="E6">
        <v>1</v>
      </c>
    </row>
    <row r="7" spans="1:7">
      <c r="A7">
        <v>319</v>
      </c>
      <c r="B7">
        <v>102402700</v>
      </c>
      <c r="C7" t="str">
        <f>"Monthly Link Student 5 Days 3am to 11:00pm"</f>
        <v>Monthly Link Student 5 Days 3am to 11:00pm</v>
      </c>
      <c r="D7">
        <v>1</v>
      </c>
      <c r="E7">
        <v>1</v>
      </c>
    </row>
    <row r="8" spans="1:7">
      <c r="A8">
        <v>319</v>
      </c>
      <c r="B8">
        <v>102403300</v>
      </c>
      <c r="C8" t="str">
        <f>"Monthly Link Student 6 Days 3am to 11:00pm"</f>
        <v>Monthly Link Student 6 Days 3am to 11:00pm</v>
      </c>
      <c r="D8">
        <v>1</v>
      </c>
      <c r="E8">
        <v>1</v>
      </c>
    </row>
    <row r="9" spans="1:7">
      <c r="A9">
        <v>319</v>
      </c>
      <c r="B9">
        <v>202000100</v>
      </c>
      <c r="C9" t="str">
        <f>"Local Bus Monthly Pass Adult"</f>
        <v>Local Bus Monthly Pass Adult</v>
      </c>
      <c r="D9">
        <v>1</v>
      </c>
      <c r="E9">
        <v>1</v>
      </c>
    </row>
    <row r="10" spans="1:7">
      <c r="A10">
        <v>319</v>
      </c>
      <c r="B10">
        <v>204000140</v>
      </c>
      <c r="C10" t="str">
        <f>"** ExpressBus 1 + GL 10 Ride"</f>
        <v>** ExpressBus 1 + GL 10 Ride</v>
      </c>
    </row>
    <row r="11" spans="1:7">
      <c r="A11">
        <v>319</v>
      </c>
      <c r="B11">
        <v>204000141</v>
      </c>
      <c r="C11" t="str">
        <f>"** ExpressBus 2 + GL 10 Ride"</f>
        <v>** ExpressBus 2 + GL 10 Ride</v>
      </c>
    </row>
    <row r="12" spans="1:7">
      <c r="A12">
        <v>319</v>
      </c>
      <c r="B12">
        <v>204000142</v>
      </c>
      <c r="C12" t="str">
        <f>"** ExpressBus 3 + GL 10 Ride"</f>
        <v>** ExpressBus 3 + GL 10 Ride</v>
      </c>
    </row>
    <row r="13" spans="1:7">
      <c r="A13">
        <v>319</v>
      </c>
      <c r="B13">
        <v>208000100</v>
      </c>
      <c r="C13" t="str">
        <f>"Bus Cash Adult"</f>
        <v>Bus Cash Adult</v>
      </c>
      <c r="G13">
        <v>1</v>
      </c>
    </row>
    <row r="14" spans="1:7">
      <c r="A14">
        <v>319</v>
      </c>
      <c r="B14">
        <v>208000200</v>
      </c>
      <c r="C14" t="str">
        <f>"** Bus Cash Child &lt;5"</f>
        <v>** Bus Cash Child &lt;5</v>
      </c>
      <c r="G14">
        <v>1</v>
      </c>
    </row>
    <row r="15" spans="1:7">
      <c r="A15">
        <v>319</v>
      </c>
      <c r="B15">
        <v>208000300</v>
      </c>
      <c r="C15" t="str">
        <f>"** Bus Cash Child 5-11"</f>
        <v>** Bus Cash Child 5-11</v>
      </c>
      <c r="G15">
        <v>1</v>
      </c>
    </row>
    <row r="16" spans="1:7">
      <c r="A16">
        <v>319</v>
      </c>
      <c r="B16">
        <v>208000400</v>
      </c>
      <c r="C16" t="str">
        <f>"Bus Cash Student"</f>
        <v>Bus Cash Student</v>
      </c>
      <c r="G16">
        <v>1</v>
      </c>
    </row>
    <row r="17" spans="1:7">
      <c r="A17">
        <v>319</v>
      </c>
      <c r="B17">
        <v>208000500</v>
      </c>
      <c r="C17" t="str">
        <f>"Bus Cash Senior"</f>
        <v>Bus Cash Senior</v>
      </c>
      <c r="G17">
        <v>1</v>
      </c>
    </row>
    <row r="18" spans="1:7">
      <c r="A18">
        <v>319</v>
      </c>
      <c r="B18">
        <v>208000600</v>
      </c>
      <c r="C18" t="str">
        <f>"Bus Cash T.A.P. "</f>
        <v xml:space="preserve">Bus Cash T.A.P. </v>
      </c>
      <c r="G18">
        <v>1</v>
      </c>
    </row>
    <row r="19" spans="1:7">
      <c r="A19">
        <v>319</v>
      </c>
      <c r="B19">
        <v>208000700</v>
      </c>
      <c r="C19" t="str">
        <f>"Bus Cash Employee"</f>
        <v>Bus Cash Employee</v>
      </c>
      <c r="G19">
        <v>1</v>
      </c>
    </row>
    <row r="20" spans="1:7">
      <c r="A20">
        <v>319</v>
      </c>
      <c r="B20">
        <v>208000800</v>
      </c>
      <c r="C20" t="str">
        <f>"Bus Cash Retiree"</f>
        <v>Bus Cash Retiree</v>
      </c>
      <c r="G20">
        <v>1</v>
      </c>
    </row>
    <row r="21" spans="1:7">
      <c r="A21">
        <v>319</v>
      </c>
      <c r="B21">
        <v>208000900</v>
      </c>
      <c r="C21" t="str">
        <f>"Bus Cash Police Fire"</f>
        <v>Bus Cash Police Fire</v>
      </c>
      <c r="G21">
        <v>1</v>
      </c>
    </row>
    <row r="22" spans="1:7">
      <c r="A22">
        <v>319</v>
      </c>
      <c r="B22">
        <v>208001000</v>
      </c>
      <c r="C22" t="str">
        <f>"Bus Cash Blind Person"</f>
        <v>Bus Cash Blind Person</v>
      </c>
      <c r="G22">
        <v>1</v>
      </c>
    </row>
    <row r="23" spans="1:7">
      <c r="A23">
        <v>319</v>
      </c>
      <c r="B23">
        <v>208001100</v>
      </c>
      <c r="C23" t="str">
        <f>"Bus Cash Short"</f>
        <v>Bus Cash Short</v>
      </c>
      <c r="G23">
        <v>1</v>
      </c>
    </row>
    <row r="24" spans="1:7">
      <c r="A24">
        <v>319</v>
      </c>
      <c r="B24">
        <v>300100101</v>
      </c>
      <c r="C24" t="str">
        <f>"CR OW Adult Zone 1a"</f>
        <v>CR OW Adult Zone 1a</v>
      </c>
      <c r="E24">
        <v>1</v>
      </c>
    </row>
    <row r="25" spans="1:7">
      <c r="A25">
        <v>319</v>
      </c>
      <c r="B25">
        <v>300100102</v>
      </c>
      <c r="C25" t="str">
        <f>"** CR OW Adult Zone 1b"</f>
        <v>** CR OW Adult Zone 1b</v>
      </c>
      <c r="E25">
        <v>1</v>
      </c>
    </row>
    <row r="26" spans="1:7">
      <c r="A26">
        <v>319</v>
      </c>
      <c r="B26">
        <v>300100103</v>
      </c>
      <c r="C26" t="str">
        <f>"CR OW Adult Zone 1"</f>
        <v>CR OW Adult Zone 1</v>
      </c>
      <c r="E26">
        <v>1</v>
      </c>
    </row>
    <row r="27" spans="1:7">
      <c r="A27">
        <v>319</v>
      </c>
      <c r="B27">
        <v>300100104</v>
      </c>
      <c r="C27" t="str">
        <f>"CR OW Adult Zone 2"</f>
        <v>CR OW Adult Zone 2</v>
      </c>
      <c r="E27">
        <v>1</v>
      </c>
    </row>
    <row r="28" spans="1:7">
      <c r="A28">
        <v>319</v>
      </c>
      <c r="B28">
        <v>300100105</v>
      </c>
      <c r="C28" t="str">
        <f>"CR OW Adult Zone 3"</f>
        <v>CR OW Adult Zone 3</v>
      </c>
      <c r="E28">
        <v>1</v>
      </c>
    </row>
    <row r="29" spans="1:7">
      <c r="A29">
        <v>319</v>
      </c>
      <c r="B29">
        <v>300100106</v>
      </c>
      <c r="C29" t="str">
        <f>"CR OW Adult Zone 4"</f>
        <v>CR OW Adult Zone 4</v>
      </c>
      <c r="E29">
        <v>1</v>
      </c>
    </row>
    <row r="30" spans="1:7">
      <c r="A30">
        <v>319</v>
      </c>
      <c r="B30">
        <v>300100107</v>
      </c>
      <c r="C30" t="str">
        <f>"CR OW Adult Zone 5"</f>
        <v>CR OW Adult Zone 5</v>
      </c>
      <c r="E30">
        <v>1</v>
      </c>
    </row>
    <row r="31" spans="1:7">
      <c r="A31">
        <v>319</v>
      </c>
      <c r="B31">
        <v>300100108</v>
      </c>
      <c r="C31" t="str">
        <f>"CR OW Adult Zone 6"</f>
        <v>CR OW Adult Zone 6</v>
      </c>
      <c r="E31">
        <v>1</v>
      </c>
    </row>
    <row r="32" spans="1:7">
      <c r="A32">
        <v>319</v>
      </c>
      <c r="B32">
        <v>300100109</v>
      </c>
      <c r="C32" t="str">
        <f>"CR OW Adult Zone 7"</f>
        <v>CR OW Adult Zone 7</v>
      </c>
      <c r="E32">
        <v>1</v>
      </c>
    </row>
    <row r="33" spans="1:5">
      <c r="A33">
        <v>319</v>
      </c>
      <c r="B33">
        <v>300100110</v>
      </c>
      <c r="C33" t="str">
        <f>"CR OW Adult Zone 8"</f>
        <v>CR OW Adult Zone 8</v>
      </c>
      <c r="E33">
        <v>1</v>
      </c>
    </row>
    <row r="34" spans="1:5">
      <c r="A34">
        <v>319</v>
      </c>
      <c r="B34">
        <v>300101501</v>
      </c>
      <c r="C34" t="str">
        <f>"CR OW Half Fare Zone 1a"</f>
        <v>CR OW Half Fare Zone 1a</v>
      </c>
      <c r="E34">
        <v>1</v>
      </c>
    </row>
    <row r="35" spans="1:5">
      <c r="A35">
        <v>319</v>
      </c>
      <c r="B35">
        <v>300101502</v>
      </c>
      <c r="C35" t="str">
        <f>"** CR OW Half Fare Zone 1b"</f>
        <v>** CR OW Half Fare Zone 1b</v>
      </c>
      <c r="E35">
        <v>1</v>
      </c>
    </row>
    <row r="36" spans="1:5">
      <c r="A36">
        <v>319</v>
      </c>
      <c r="B36">
        <v>300101503</v>
      </c>
      <c r="C36" t="str">
        <f>"CR OW Half Fare Zone 1"</f>
        <v>CR OW Half Fare Zone 1</v>
      </c>
      <c r="E36">
        <v>1</v>
      </c>
    </row>
    <row r="37" spans="1:5">
      <c r="A37">
        <v>319</v>
      </c>
      <c r="B37">
        <v>300101504</v>
      </c>
      <c r="C37" t="str">
        <f>"CR OW Half Fare Zone 2"</f>
        <v>CR OW Half Fare Zone 2</v>
      </c>
      <c r="E37">
        <v>1</v>
      </c>
    </row>
    <row r="38" spans="1:5">
      <c r="A38">
        <v>319</v>
      </c>
      <c r="B38">
        <v>300101505</v>
      </c>
      <c r="C38" t="str">
        <f>"CR OW Half Fare Zone 3"</f>
        <v>CR OW Half Fare Zone 3</v>
      </c>
      <c r="E38">
        <v>1</v>
      </c>
    </row>
    <row r="39" spans="1:5">
      <c r="A39">
        <v>319</v>
      </c>
      <c r="B39">
        <v>300101506</v>
      </c>
      <c r="C39" t="str">
        <f>"CR OW Half Fare Zone 4"</f>
        <v>CR OW Half Fare Zone 4</v>
      </c>
      <c r="E39">
        <v>1</v>
      </c>
    </row>
    <row r="40" spans="1:5">
      <c r="A40">
        <v>319</v>
      </c>
      <c r="B40">
        <v>300101507</v>
      </c>
      <c r="C40" t="str">
        <f>"CR OW Half Fare Zone 5"</f>
        <v>CR OW Half Fare Zone 5</v>
      </c>
      <c r="E40">
        <v>1</v>
      </c>
    </row>
    <row r="41" spans="1:5">
      <c r="A41">
        <v>319</v>
      </c>
      <c r="B41">
        <v>300101508</v>
      </c>
      <c r="C41" t="str">
        <f>"CR OW Half Fare Zone 6"</f>
        <v>CR OW Half Fare Zone 6</v>
      </c>
      <c r="E41">
        <v>1</v>
      </c>
    </row>
    <row r="42" spans="1:5">
      <c r="A42">
        <v>319</v>
      </c>
      <c r="B42">
        <v>300101509</v>
      </c>
      <c r="C42" t="str">
        <f>"CR OW Half Fare Zone 7"</f>
        <v>CR OW Half Fare Zone 7</v>
      </c>
      <c r="E42">
        <v>1</v>
      </c>
    </row>
    <row r="43" spans="1:5">
      <c r="A43">
        <v>319</v>
      </c>
      <c r="B43">
        <v>300101510</v>
      </c>
      <c r="C43" t="str">
        <f>"CR OW Half Fare Zone 8"</f>
        <v>CR OW Half Fare Zone 8</v>
      </c>
      <c r="E43">
        <v>1</v>
      </c>
    </row>
    <row r="44" spans="1:5">
      <c r="A44">
        <v>319</v>
      </c>
      <c r="B44">
        <v>300300101</v>
      </c>
      <c r="C44" t="str">
        <f>"CR OW IZ Adult 1 Zone"</f>
        <v>CR OW IZ Adult 1 Zone</v>
      </c>
      <c r="E44">
        <v>1</v>
      </c>
    </row>
    <row r="45" spans="1:5">
      <c r="A45">
        <v>319</v>
      </c>
      <c r="B45">
        <v>300300102</v>
      </c>
      <c r="C45" t="str">
        <f>"CR OW IZ Adult 2 Zones"</f>
        <v>CR OW IZ Adult 2 Zones</v>
      </c>
      <c r="E45">
        <v>1</v>
      </c>
    </row>
    <row r="46" spans="1:5">
      <c r="A46">
        <v>319</v>
      </c>
      <c r="B46">
        <v>300300103</v>
      </c>
      <c r="C46" t="str">
        <f>"CR OW IZ Adult 3 Zones"</f>
        <v>CR OW IZ Adult 3 Zones</v>
      </c>
      <c r="E46">
        <v>1</v>
      </c>
    </row>
    <row r="47" spans="1:5">
      <c r="A47">
        <v>319</v>
      </c>
      <c r="B47">
        <v>300300104</v>
      </c>
      <c r="C47" t="str">
        <f>"CR OW IZ Adult 4 Zones"</f>
        <v>CR OW IZ Adult 4 Zones</v>
      </c>
      <c r="E47">
        <v>1</v>
      </c>
    </row>
    <row r="48" spans="1:5">
      <c r="A48">
        <v>319</v>
      </c>
      <c r="B48">
        <v>300300105</v>
      </c>
      <c r="C48" t="str">
        <f>"CR OW IZ Adult 5 Zones"</f>
        <v>CR OW IZ Adult 5 Zones</v>
      </c>
      <c r="E48">
        <v>1</v>
      </c>
    </row>
    <row r="49" spans="1:5">
      <c r="A49">
        <v>319</v>
      </c>
      <c r="B49">
        <v>300300106</v>
      </c>
      <c r="C49" t="str">
        <f>"CR OW IZ Adult 6 Zones"</f>
        <v>CR OW IZ Adult 6 Zones</v>
      </c>
      <c r="E49">
        <v>1</v>
      </c>
    </row>
    <row r="50" spans="1:5">
      <c r="A50">
        <v>319</v>
      </c>
      <c r="B50">
        <v>300300107</v>
      </c>
      <c r="C50" t="str">
        <f>"CR OW IZ Adult 7 Zones"</f>
        <v>CR OW IZ Adult 7 Zones</v>
      </c>
      <c r="E50">
        <v>1</v>
      </c>
    </row>
    <row r="51" spans="1:5">
      <c r="A51">
        <v>319</v>
      </c>
      <c r="B51">
        <v>300300108</v>
      </c>
      <c r="C51" t="str">
        <f>"CR OW IZ Adult 8 Zones"</f>
        <v>CR OW IZ Adult 8 Zones</v>
      </c>
      <c r="E51">
        <v>1</v>
      </c>
    </row>
    <row r="52" spans="1:5">
      <c r="A52">
        <v>319</v>
      </c>
      <c r="B52">
        <v>300301501</v>
      </c>
      <c r="C52" t="str">
        <f>"CR OW IZ Half Fare 1 Zone"</f>
        <v>CR OW IZ Half Fare 1 Zone</v>
      </c>
      <c r="E52">
        <v>1</v>
      </c>
    </row>
    <row r="53" spans="1:5">
      <c r="A53">
        <v>319</v>
      </c>
      <c r="B53">
        <v>300301502</v>
      </c>
      <c r="C53" t="str">
        <f>"CR OW IZ Half Fare 2 Zone"</f>
        <v>CR OW IZ Half Fare 2 Zone</v>
      </c>
      <c r="E53">
        <v>1</v>
      </c>
    </row>
    <row r="54" spans="1:5">
      <c r="A54">
        <v>319</v>
      </c>
      <c r="B54">
        <v>300301503</v>
      </c>
      <c r="C54" t="str">
        <f>"CR OW IZ Half Fare 3 Zone"</f>
        <v>CR OW IZ Half Fare 3 Zone</v>
      </c>
      <c r="E54">
        <v>1</v>
      </c>
    </row>
    <row r="55" spans="1:5">
      <c r="A55">
        <v>319</v>
      </c>
      <c r="B55">
        <v>300301504</v>
      </c>
      <c r="C55" t="str">
        <f>"CR OW IZ Half Fare 4 Zone"</f>
        <v>CR OW IZ Half Fare 4 Zone</v>
      </c>
      <c r="E55">
        <v>1</v>
      </c>
    </row>
    <row r="56" spans="1:5">
      <c r="A56">
        <v>319</v>
      </c>
      <c r="B56">
        <v>300301505</v>
      </c>
      <c r="C56" t="str">
        <f>"CR OW IZ Half Fare 5 Zone"</f>
        <v>CR OW IZ Half Fare 5 Zone</v>
      </c>
      <c r="E56">
        <v>1</v>
      </c>
    </row>
    <row r="57" spans="1:5">
      <c r="A57">
        <v>319</v>
      </c>
      <c r="B57">
        <v>300301506</v>
      </c>
      <c r="C57" t="str">
        <f>"CR OW IZ Half Fare 6 Zone"</f>
        <v>CR OW IZ Half Fare 6 Zone</v>
      </c>
      <c r="E57">
        <v>1</v>
      </c>
    </row>
    <row r="58" spans="1:5">
      <c r="A58">
        <v>319</v>
      </c>
      <c r="B58">
        <v>300301507</v>
      </c>
      <c r="C58" t="str">
        <f>"CR OW IZ Half Fare 7 Zone"</f>
        <v>CR OW IZ Half Fare 7 Zone</v>
      </c>
      <c r="E58">
        <v>1</v>
      </c>
    </row>
    <row r="59" spans="1:5">
      <c r="A59">
        <v>319</v>
      </c>
      <c r="B59">
        <v>300301508</v>
      </c>
      <c r="C59" t="str">
        <f>"CR OW IZ Half Fare 8 Zone"</f>
        <v>CR OW IZ Half Fare 8 Zone</v>
      </c>
      <c r="E59">
        <v>1</v>
      </c>
    </row>
    <row r="60" spans="1:5">
      <c r="A60">
        <v>319</v>
      </c>
      <c r="B60">
        <v>300400101</v>
      </c>
      <c r="C60" t="str">
        <f>"CR RT Adult Zone 1a"</f>
        <v>CR RT Adult Zone 1a</v>
      </c>
      <c r="E60">
        <v>1</v>
      </c>
    </row>
    <row r="61" spans="1:5">
      <c r="A61">
        <v>319</v>
      </c>
      <c r="B61">
        <v>300400102</v>
      </c>
      <c r="C61" t="str">
        <f>"** CR RT Adult Zone 1b"</f>
        <v>** CR RT Adult Zone 1b</v>
      </c>
      <c r="E61">
        <v>1</v>
      </c>
    </row>
    <row r="62" spans="1:5">
      <c r="A62">
        <v>319</v>
      </c>
      <c r="B62">
        <v>300400103</v>
      </c>
      <c r="C62" t="str">
        <f>"CR RT Adult Zone 1"</f>
        <v>CR RT Adult Zone 1</v>
      </c>
      <c r="E62">
        <v>1</v>
      </c>
    </row>
    <row r="63" spans="1:5">
      <c r="A63">
        <v>319</v>
      </c>
      <c r="B63">
        <v>300400104</v>
      </c>
      <c r="C63" t="str">
        <f>"CR RT Adult Zone 2"</f>
        <v>CR RT Adult Zone 2</v>
      </c>
      <c r="E63">
        <v>1</v>
      </c>
    </row>
    <row r="64" spans="1:5">
      <c r="A64">
        <v>319</v>
      </c>
      <c r="B64">
        <v>300400105</v>
      </c>
      <c r="C64" t="str">
        <f>"CR RT Adult Zone 3"</f>
        <v>CR RT Adult Zone 3</v>
      </c>
      <c r="E64">
        <v>1</v>
      </c>
    </row>
    <row r="65" spans="1:5">
      <c r="A65">
        <v>319</v>
      </c>
      <c r="B65">
        <v>300400106</v>
      </c>
      <c r="C65" t="str">
        <f>"CR RT Adult Zone 4"</f>
        <v>CR RT Adult Zone 4</v>
      </c>
      <c r="E65">
        <v>1</v>
      </c>
    </row>
    <row r="66" spans="1:5">
      <c r="A66">
        <v>319</v>
      </c>
      <c r="B66">
        <v>300400107</v>
      </c>
      <c r="C66" t="str">
        <f>"CR RT Adult Zone 5"</f>
        <v>CR RT Adult Zone 5</v>
      </c>
      <c r="E66">
        <v>1</v>
      </c>
    </row>
    <row r="67" spans="1:5">
      <c r="A67">
        <v>319</v>
      </c>
      <c r="B67">
        <v>300400108</v>
      </c>
      <c r="C67" t="str">
        <f>"CR RT Adult Zone 6"</f>
        <v>CR RT Adult Zone 6</v>
      </c>
      <c r="E67">
        <v>1</v>
      </c>
    </row>
    <row r="68" spans="1:5">
      <c r="A68">
        <v>319</v>
      </c>
      <c r="B68">
        <v>300400109</v>
      </c>
      <c r="C68" t="str">
        <f>"CR RT Adult Zone 7"</f>
        <v>CR RT Adult Zone 7</v>
      </c>
      <c r="E68">
        <v>1</v>
      </c>
    </row>
    <row r="69" spans="1:5">
      <c r="A69">
        <v>319</v>
      </c>
      <c r="B69">
        <v>300400110</v>
      </c>
      <c r="C69" t="str">
        <f>"CR RT Adult Zone 8"</f>
        <v>CR RT Adult Zone 8</v>
      </c>
      <c r="E69">
        <v>1</v>
      </c>
    </row>
    <row r="70" spans="1:5">
      <c r="A70">
        <v>319</v>
      </c>
      <c r="B70">
        <v>300401501</v>
      </c>
      <c r="C70" t="str">
        <f>"CR RT Half fare Zone 1a"</f>
        <v>CR RT Half fare Zone 1a</v>
      </c>
      <c r="E70">
        <v>1</v>
      </c>
    </row>
    <row r="71" spans="1:5">
      <c r="A71">
        <v>319</v>
      </c>
      <c r="B71">
        <v>300401502</v>
      </c>
      <c r="C71" t="str">
        <f>"** CR RT Half fare Zone 1b"</f>
        <v>** CR RT Half fare Zone 1b</v>
      </c>
      <c r="E71">
        <v>1</v>
      </c>
    </row>
    <row r="72" spans="1:5">
      <c r="A72">
        <v>319</v>
      </c>
      <c r="B72">
        <v>300401503</v>
      </c>
      <c r="C72" t="str">
        <f>"CR RT Half fare Zone 1"</f>
        <v>CR RT Half fare Zone 1</v>
      </c>
      <c r="E72">
        <v>1</v>
      </c>
    </row>
    <row r="73" spans="1:5">
      <c r="A73">
        <v>319</v>
      </c>
      <c r="B73">
        <v>300401504</v>
      </c>
      <c r="C73" t="str">
        <f>"CR RT Half fare Zone 2"</f>
        <v>CR RT Half fare Zone 2</v>
      </c>
      <c r="E73">
        <v>1</v>
      </c>
    </row>
    <row r="74" spans="1:5">
      <c r="A74">
        <v>319</v>
      </c>
      <c r="B74">
        <v>300401505</v>
      </c>
      <c r="C74" t="str">
        <f>"CR RT Half fare Zone 3"</f>
        <v>CR RT Half fare Zone 3</v>
      </c>
      <c r="E74">
        <v>1</v>
      </c>
    </row>
    <row r="75" spans="1:5">
      <c r="A75">
        <v>319</v>
      </c>
      <c r="B75">
        <v>300401506</v>
      </c>
      <c r="C75" t="str">
        <f>"CR RT Half fare Zone 4"</f>
        <v>CR RT Half fare Zone 4</v>
      </c>
      <c r="E75">
        <v>1</v>
      </c>
    </row>
    <row r="76" spans="1:5">
      <c r="A76">
        <v>319</v>
      </c>
      <c r="B76">
        <v>300401507</v>
      </c>
      <c r="C76" t="str">
        <f>"CR RT Half fare Zone 5"</f>
        <v>CR RT Half fare Zone 5</v>
      </c>
      <c r="E76">
        <v>1</v>
      </c>
    </row>
    <row r="77" spans="1:5">
      <c r="A77">
        <v>319</v>
      </c>
      <c r="B77">
        <v>300401508</v>
      </c>
      <c r="C77" t="str">
        <f>"CR RT Half fare Zone 6"</f>
        <v>CR RT Half fare Zone 6</v>
      </c>
      <c r="E77">
        <v>1</v>
      </c>
    </row>
    <row r="78" spans="1:5">
      <c r="A78">
        <v>319</v>
      </c>
      <c r="B78">
        <v>300401509</v>
      </c>
      <c r="C78" t="str">
        <f>"CR RT Half fare Zone 7"</f>
        <v>CR RT Half fare Zone 7</v>
      </c>
      <c r="E78">
        <v>1</v>
      </c>
    </row>
    <row r="79" spans="1:5">
      <c r="A79">
        <v>319</v>
      </c>
      <c r="B79">
        <v>300401510</v>
      </c>
      <c r="C79" t="str">
        <f>"CR RT Half fare Zone 8"</f>
        <v>CR RT Half fare Zone 8</v>
      </c>
      <c r="E79">
        <v>1</v>
      </c>
    </row>
    <row r="80" spans="1:5">
      <c r="A80">
        <v>319</v>
      </c>
      <c r="B80">
        <v>300700101</v>
      </c>
      <c r="C80" t="str">
        <f>"CR RT Adult IZ 1 Zone"</f>
        <v>CR RT Adult IZ 1 Zone</v>
      </c>
      <c r="E80">
        <v>1</v>
      </c>
    </row>
    <row r="81" spans="1:5">
      <c r="A81">
        <v>319</v>
      </c>
      <c r="B81">
        <v>300700102</v>
      </c>
      <c r="C81" t="str">
        <f>"CR RT Adult IZ 2 Zones"</f>
        <v>CR RT Adult IZ 2 Zones</v>
      </c>
      <c r="E81">
        <v>1</v>
      </c>
    </row>
    <row r="82" spans="1:5">
      <c r="A82">
        <v>319</v>
      </c>
      <c r="B82">
        <v>300700103</v>
      </c>
      <c r="C82" t="str">
        <f>"CR RT Adult IZ 3 Zones"</f>
        <v>CR RT Adult IZ 3 Zones</v>
      </c>
      <c r="E82">
        <v>1</v>
      </c>
    </row>
    <row r="83" spans="1:5">
      <c r="A83">
        <v>319</v>
      </c>
      <c r="B83">
        <v>300700104</v>
      </c>
      <c r="C83" t="str">
        <f>"CR RT Adult IZ 4 Zones"</f>
        <v>CR RT Adult IZ 4 Zones</v>
      </c>
      <c r="E83">
        <v>1</v>
      </c>
    </row>
    <row r="84" spans="1:5">
      <c r="A84">
        <v>319</v>
      </c>
      <c r="B84">
        <v>300700105</v>
      </c>
      <c r="C84" t="str">
        <f>"CR RT Adult IZ 5 Zones"</f>
        <v>CR RT Adult IZ 5 Zones</v>
      </c>
      <c r="E84">
        <v>1</v>
      </c>
    </row>
    <row r="85" spans="1:5">
      <c r="A85">
        <v>319</v>
      </c>
      <c r="B85">
        <v>300700106</v>
      </c>
      <c r="C85" t="str">
        <f>"CR RT Adult IZ 6 Zones"</f>
        <v>CR RT Adult IZ 6 Zones</v>
      </c>
      <c r="E85">
        <v>1</v>
      </c>
    </row>
    <row r="86" spans="1:5">
      <c r="A86">
        <v>319</v>
      </c>
      <c r="B86">
        <v>300700107</v>
      </c>
      <c r="C86" t="str">
        <f>"CR RT Adult IZ 7 Zones"</f>
        <v>CR RT Adult IZ 7 Zones</v>
      </c>
      <c r="E86">
        <v>1</v>
      </c>
    </row>
    <row r="87" spans="1:5">
      <c r="A87">
        <v>319</v>
      </c>
      <c r="B87">
        <v>300700108</v>
      </c>
      <c r="C87" t="str">
        <f>"CR RT Adult IZ 8 Zones"</f>
        <v>CR RT Adult IZ 8 Zones</v>
      </c>
      <c r="E87">
        <v>1</v>
      </c>
    </row>
    <row r="88" spans="1:5">
      <c r="A88">
        <v>319</v>
      </c>
      <c r="B88">
        <v>300701501</v>
      </c>
      <c r="C88" t="str">
        <f>"CR RT Half IZ 1 Zone"</f>
        <v>CR RT Half IZ 1 Zone</v>
      </c>
      <c r="E88">
        <v>1</v>
      </c>
    </row>
    <row r="89" spans="1:5">
      <c r="A89">
        <v>319</v>
      </c>
      <c r="B89">
        <v>300701502</v>
      </c>
      <c r="C89" t="str">
        <f>"CR RT Half IZ 2 Zones"</f>
        <v>CR RT Half IZ 2 Zones</v>
      </c>
      <c r="E89">
        <v>1</v>
      </c>
    </row>
    <row r="90" spans="1:5">
      <c r="A90">
        <v>319</v>
      </c>
      <c r="B90">
        <v>300701503</v>
      </c>
      <c r="C90" t="str">
        <f>"CR RT Half IZ 3 Zones"</f>
        <v>CR RT Half IZ 3 Zones</v>
      </c>
      <c r="E90">
        <v>1</v>
      </c>
    </row>
    <row r="91" spans="1:5">
      <c r="A91">
        <v>319</v>
      </c>
      <c r="B91">
        <v>300701504</v>
      </c>
      <c r="C91" t="str">
        <f>"CR RT Half IZ 4 Zones"</f>
        <v>CR RT Half IZ 4 Zones</v>
      </c>
      <c r="E91">
        <v>1</v>
      </c>
    </row>
    <row r="92" spans="1:5">
      <c r="A92">
        <v>319</v>
      </c>
      <c r="B92">
        <v>300701505</v>
      </c>
      <c r="C92" t="str">
        <f>"CR RT Half IZ 5 Zones"</f>
        <v>CR RT Half IZ 5 Zones</v>
      </c>
      <c r="E92">
        <v>1</v>
      </c>
    </row>
    <row r="93" spans="1:5">
      <c r="A93">
        <v>319</v>
      </c>
      <c r="B93">
        <v>300701506</v>
      </c>
      <c r="C93" t="str">
        <f>"CR RT Half IZ 6 Zones"</f>
        <v>CR RT Half IZ 6 Zones</v>
      </c>
      <c r="E93">
        <v>1</v>
      </c>
    </row>
    <row r="94" spans="1:5">
      <c r="A94">
        <v>319</v>
      </c>
      <c r="B94">
        <v>300701507</v>
      </c>
      <c r="C94" t="str">
        <f>"CR RT Half IZ 7 Zones"</f>
        <v>CR RT Half IZ 7 Zones</v>
      </c>
      <c r="E94">
        <v>1</v>
      </c>
    </row>
    <row r="95" spans="1:5">
      <c r="A95">
        <v>319</v>
      </c>
      <c r="B95">
        <v>300701508</v>
      </c>
      <c r="C95" t="str">
        <f>"CR RT Half IZ 8 Zones"</f>
        <v>CR RT Half IZ 8 Zones</v>
      </c>
      <c r="E95">
        <v>1</v>
      </c>
    </row>
    <row r="96" spans="1:5">
      <c r="A96">
        <v>319</v>
      </c>
      <c r="B96">
        <v>302100101</v>
      </c>
      <c r="C96" t="str">
        <f>"CR Monthly RPass Adult Zone 1A not active"</f>
        <v>CR Monthly RPass Adult Zone 1A not active</v>
      </c>
      <c r="E96">
        <v>1</v>
      </c>
    </row>
    <row r="97" spans="1:5">
      <c r="A97">
        <v>319</v>
      </c>
      <c r="B97">
        <v>302100103</v>
      </c>
      <c r="C97" t="str">
        <f>"CR Monthly RPass Adult Zone 1 not active"</f>
        <v>CR Monthly RPass Adult Zone 1 not active</v>
      </c>
      <c r="E97">
        <v>1</v>
      </c>
    </row>
    <row r="98" spans="1:5">
      <c r="A98">
        <v>319</v>
      </c>
      <c r="B98">
        <v>302100104</v>
      </c>
      <c r="C98" t="str">
        <f>"CR Monthly RPass Adult Zone 2 not active"</f>
        <v>CR Monthly RPass Adult Zone 2 not active</v>
      </c>
      <c r="E98">
        <v>1</v>
      </c>
    </row>
    <row r="99" spans="1:5">
      <c r="A99">
        <v>319</v>
      </c>
      <c r="B99">
        <v>302100105</v>
      </c>
      <c r="C99" t="str">
        <f>"CR Monthly RPass Adult Zone 3 not active"</f>
        <v>CR Monthly RPass Adult Zone 3 not active</v>
      </c>
      <c r="E99">
        <v>1</v>
      </c>
    </row>
    <row r="100" spans="1:5">
      <c r="A100">
        <v>319</v>
      </c>
      <c r="B100">
        <v>302100106</v>
      </c>
      <c r="C100" t="str">
        <f>"CR Monthly RPass Adult Zone 4 not active"</f>
        <v>CR Monthly RPass Adult Zone 4 not active</v>
      </c>
      <c r="E100">
        <v>1</v>
      </c>
    </row>
    <row r="101" spans="1:5">
      <c r="A101">
        <v>319</v>
      </c>
      <c r="B101">
        <v>302100107</v>
      </c>
      <c r="C101" t="str">
        <f>"CR Monthly RPass Adult Zone 5 not active"</f>
        <v>CR Monthly RPass Adult Zone 5 not active</v>
      </c>
      <c r="E101">
        <v>1</v>
      </c>
    </row>
    <row r="102" spans="1:5">
      <c r="A102">
        <v>319</v>
      </c>
      <c r="B102">
        <v>302100108</v>
      </c>
      <c r="C102" t="str">
        <f>"CR Monthly RPass Adult Zone 6 not active"</f>
        <v>CR Monthly RPass Adult Zone 6 not active</v>
      </c>
      <c r="E102">
        <v>1</v>
      </c>
    </row>
    <row r="103" spans="1:5">
      <c r="A103">
        <v>319</v>
      </c>
      <c r="B103">
        <v>302100109</v>
      </c>
      <c r="C103" t="str">
        <f>"CR Monthly RPass Adult Zone 7 not active"</f>
        <v>CR Monthly RPass Adult Zone 7 not active</v>
      </c>
      <c r="E103">
        <v>1</v>
      </c>
    </row>
    <row r="104" spans="1:5">
      <c r="A104">
        <v>319</v>
      </c>
      <c r="B104">
        <v>302100110</v>
      </c>
      <c r="C104" t="str">
        <f>"CR Monthly RPass Adult Zone 8 not active"</f>
        <v>CR Monthly RPass Adult Zone 8 not active</v>
      </c>
      <c r="E104">
        <v>1</v>
      </c>
    </row>
    <row r="105" spans="1:5">
      <c r="A105">
        <v>319</v>
      </c>
      <c r="B105">
        <v>302200101</v>
      </c>
      <c r="C105" t="str">
        <f>"CR Monthly RPass Adult Zone 1A"</f>
        <v>CR Monthly RPass Adult Zone 1A</v>
      </c>
      <c r="E105">
        <v>1</v>
      </c>
    </row>
    <row r="106" spans="1:5">
      <c r="A106">
        <v>319</v>
      </c>
      <c r="B106">
        <v>302200103</v>
      </c>
      <c r="C106" t="str">
        <f>"CR Monthly RPass Adult Zone 1"</f>
        <v>CR Monthly RPass Adult Zone 1</v>
      </c>
      <c r="E106">
        <v>1</v>
      </c>
    </row>
    <row r="107" spans="1:5">
      <c r="A107">
        <v>319</v>
      </c>
      <c r="B107">
        <v>302200104</v>
      </c>
      <c r="C107" t="str">
        <f>"CR Monthly RPass Adult Zone 2"</f>
        <v>CR Monthly RPass Adult Zone 2</v>
      </c>
      <c r="E107">
        <v>1</v>
      </c>
    </row>
    <row r="108" spans="1:5">
      <c r="A108">
        <v>319</v>
      </c>
      <c r="B108">
        <v>302200105</v>
      </c>
      <c r="C108" t="str">
        <f>"CR Monthly RPass Adult Zone 3"</f>
        <v>CR Monthly RPass Adult Zone 3</v>
      </c>
      <c r="E108">
        <v>1</v>
      </c>
    </row>
    <row r="109" spans="1:5">
      <c r="A109">
        <v>319</v>
      </c>
      <c r="B109">
        <v>302200106</v>
      </c>
      <c r="C109" t="str">
        <f>"CR Monthly RPass Adult Zone 4"</f>
        <v>CR Monthly RPass Adult Zone 4</v>
      </c>
      <c r="E109">
        <v>1</v>
      </c>
    </row>
    <row r="110" spans="1:5">
      <c r="A110">
        <v>319</v>
      </c>
      <c r="B110">
        <v>302200107</v>
      </c>
      <c r="C110" t="str">
        <f>"CR Monthly RPass Adult Zone 5"</f>
        <v>CR Monthly RPass Adult Zone 5</v>
      </c>
      <c r="E110">
        <v>1</v>
      </c>
    </row>
    <row r="111" spans="1:5">
      <c r="A111">
        <v>319</v>
      </c>
      <c r="B111">
        <v>302200108</v>
      </c>
      <c r="C111" t="str">
        <f>"CR Monthly RPass Adult Zone 6"</f>
        <v>CR Monthly RPass Adult Zone 6</v>
      </c>
      <c r="E111">
        <v>1</v>
      </c>
    </row>
    <row r="112" spans="1:5">
      <c r="A112">
        <v>319</v>
      </c>
      <c r="B112">
        <v>302200109</v>
      </c>
      <c r="C112" t="str">
        <f>"CR Monthly RPass Adult Zone 7"</f>
        <v>CR Monthly RPass Adult Zone 7</v>
      </c>
      <c r="E112">
        <v>1</v>
      </c>
    </row>
    <row r="113" spans="1:5">
      <c r="A113">
        <v>319</v>
      </c>
      <c r="B113">
        <v>302200110</v>
      </c>
      <c r="C113" t="str">
        <f>"CR Monthly RPass Adult Zone 8"</f>
        <v>CR Monthly RPass Adult Zone 8</v>
      </c>
      <c r="E113">
        <v>1</v>
      </c>
    </row>
    <row r="114" spans="1:5">
      <c r="A114">
        <v>319</v>
      </c>
      <c r="B114">
        <v>302300101</v>
      </c>
      <c r="C114" t="str">
        <f>"CR Monthly Pass Adult Zone 1a"</f>
        <v>CR Monthly Pass Adult Zone 1a</v>
      </c>
      <c r="E114">
        <v>1</v>
      </c>
    </row>
    <row r="115" spans="1:5">
      <c r="A115">
        <v>319</v>
      </c>
      <c r="B115">
        <v>302300102</v>
      </c>
      <c r="C115" t="str">
        <f>"** CR Monthly Pass Adult Zone 1b"</f>
        <v>** CR Monthly Pass Adult Zone 1b</v>
      </c>
      <c r="E115">
        <v>1</v>
      </c>
    </row>
    <row r="116" spans="1:5">
      <c r="A116">
        <v>319</v>
      </c>
      <c r="B116">
        <v>302300103</v>
      </c>
      <c r="C116" t="str">
        <f>"CR Monthly Pass Adult Zone 1"</f>
        <v>CR Monthly Pass Adult Zone 1</v>
      </c>
      <c r="E116">
        <v>1</v>
      </c>
    </row>
    <row r="117" spans="1:5">
      <c r="A117">
        <v>319</v>
      </c>
      <c r="B117">
        <v>302300104</v>
      </c>
      <c r="C117" t="str">
        <f>"CR Monthly Pass Adult Zone 2"</f>
        <v>CR Monthly Pass Adult Zone 2</v>
      </c>
      <c r="E117">
        <v>1</v>
      </c>
    </row>
    <row r="118" spans="1:5">
      <c r="A118">
        <v>319</v>
      </c>
      <c r="B118">
        <v>302300105</v>
      </c>
      <c r="C118" t="str">
        <f>"CR Monthly Pass Adult Zone 3"</f>
        <v>CR Monthly Pass Adult Zone 3</v>
      </c>
      <c r="E118">
        <v>1</v>
      </c>
    </row>
    <row r="119" spans="1:5">
      <c r="A119">
        <v>319</v>
      </c>
      <c r="B119">
        <v>302300106</v>
      </c>
      <c r="C119" t="str">
        <f>"CR Monthly Pass Adult Zone 4"</f>
        <v>CR Monthly Pass Adult Zone 4</v>
      </c>
      <c r="E119">
        <v>1</v>
      </c>
    </row>
    <row r="120" spans="1:5">
      <c r="A120">
        <v>319</v>
      </c>
      <c r="B120">
        <v>302300107</v>
      </c>
      <c r="C120" t="str">
        <f>"CR Monthly Pass Adult Zone 5"</f>
        <v>CR Monthly Pass Adult Zone 5</v>
      </c>
      <c r="E120">
        <v>1</v>
      </c>
    </row>
    <row r="121" spans="1:5">
      <c r="A121">
        <v>319</v>
      </c>
      <c r="B121">
        <v>302300108</v>
      </c>
      <c r="C121" t="str">
        <f>"CR Monthly Pass Adult Zone 6"</f>
        <v>CR Monthly Pass Adult Zone 6</v>
      </c>
      <c r="E121">
        <v>1</v>
      </c>
    </row>
    <row r="122" spans="1:5">
      <c r="A122">
        <v>319</v>
      </c>
      <c r="B122">
        <v>302300109</v>
      </c>
      <c r="C122" t="str">
        <f>"CR Monthly Pass Adult Zone 7"</f>
        <v>CR Monthly Pass Adult Zone 7</v>
      </c>
      <c r="E122">
        <v>1</v>
      </c>
    </row>
    <row r="123" spans="1:5">
      <c r="A123">
        <v>319</v>
      </c>
      <c r="B123">
        <v>302300110</v>
      </c>
      <c r="C123" t="str">
        <f>"CR Monthly Pass Adult Zone 8"</f>
        <v>CR Monthly Pass Adult Zone 8</v>
      </c>
      <c r="E123">
        <v>1</v>
      </c>
    </row>
    <row r="124" spans="1:5">
      <c r="A124">
        <v>319</v>
      </c>
      <c r="B124">
        <v>302500101</v>
      </c>
      <c r="C124" t="str">
        <f>"CR Monthly IZ Pass 1 Zone"</f>
        <v>CR Monthly IZ Pass 1 Zone</v>
      </c>
      <c r="E124">
        <v>1</v>
      </c>
    </row>
    <row r="125" spans="1:5">
      <c r="A125">
        <v>319</v>
      </c>
      <c r="B125">
        <v>302500102</v>
      </c>
      <c r="C125" t="str">
        <f>"CR Monthly IZ Pass 2 Zones"</f>
        <v>CR Monthly IZ Pass 2 Zones</v>
      </c>
      <c r="E125">
        <v>1</v>
      </c>
    </row>
    <row r="126" spans="1:5">
      <c r="A126">
        <v>319</v>
      </c>
      <c r="B126">
        <v>302500103</v>
      </c>
      <c r="C126" t="str">
        <f>"CR Monthly IZ Pass 3 Zones"</f>
        <v>CR Monthly IZ Pass 3 Zones</v>
      </c>
      <c r="E126">
        <v>1</v>
      </c>
    </row>
    <row r="127" spans="1:5">
      <c r="A127">
        <v>319</v>
      </c>
      <c r="B127">
        <v>302500104</v>
      </c>
      <c r="C127" t="str">
        <f>"CR Monthly IZ Pass 4 Zones"</f>
        <v>CR Monthly IZ Pass 4 Zones</v>
      </c>
      <c r="E127">
        <v>1</v>
      </c>
    </row>
    <row r="128" spans="1:5">
      <c r="A128">
        <v>319</v>
      </c>
      <c r="B128">
        <v>302500105</v>
      </c>
      <c r="C128" t="str">
        <f>"CR Monthly IZ Pass 5 Zones"</f>
        <v>CR Monthly IZ Pass 5 Zones</v>
      </c>
      <c r="E128">
        <v>1</v>
      </c>
    </row>
    <row r="129" spans="1:5">
      <c r="A129">
        <v>319</v>
      </c>
      <c r="B129">
        <v>302500106</v>
      </c>
      <c r="C129" t="str">
        <f>"CR Monthly IZ Pass 6 Zones"</f>
        <v>CR Monthly IZ Pass 6 Zones</v>
      </c>
      <c r="E129">
        <v>1</v>
      </c>
    </row>
    <row r="130" spans="1:5">
      <c r="A130">
        <v>319</v>
      </c>
      <c r="B130">
        <v>302500107</v>
      </c>
      <c r="C130" t="str">
        <f>"CR Monthly IZ Pass 7 Zones"</f>
        <v>CR Monthly IZ Pass 7 Zones</v>
      </c>
      <c r="E130">
        <v>1</v>
      </c>
    </row>
    <row r="131" spans="1:5">
      <c r="A131">
        <v>319</v>
      </c>
      <c r="B131">
        <v>302500108</v>
      </c>
      <c r="C131" t="str">
        <f>"CR Monthly IZ Pass 8 Zones"</f>
        <v>CR Monthly IZ Pass 8 Zones</v>
      </c>
      <c r="E131">
        <v>1</v>
      </c>
    </row>
    <row r="132" spans="1:5">
      <c r="A132">
        <v>319</v>
      </c>
      <c r="B132">
        <v>303000101</v>
      </c>
      <c r="C132" t="str">
        <f>"CR Family Fare Zone 1a"</f>
        <v>CR Family Fare Zone 1a</v>
      </c>
      <c r="E132">
        <v>1</v>
      </c>
    </row>
    <row r="133" spans="1:5">
      <c r="A133">
        <v>319</v>
      </c>
      <c r="B133">
        <v>303000102</v>
      </c>
      <c r="C133" t="str">
        <f>"** CR Family Fare Zone 1b"</f>
        <v>** CR Family Fare Zone 1b</v>
      </c>
      <c r="E133">
        <v>1</v>
      </c>
    </row>
    <row r="134" spans="1:5">
      <c r="A134">
        <v>319</v>
      </c>
      <c r="B134">
        <v>303000103</v>
      </c>
      <c r="C134" t="str">
        <f>"CR Family fare Zone 1"</f>
        <v>CR Family fare Zone 1</v>
      </c>
      <c r="E134">
        <v>1</v>
      </c>
    </row>
    <row r="135" spans="1:5">
      <c r="A135">
        <v>319</v>
      </c>
      <c r="B135">
        <v>303000104</v>
      </c>
      <c r="C135" t="str">
        <f>"CR Family fare Zone 2"</f>
        <v>CR Family fare Zone 2</v>
      </c>
      <c r="E135">
        <v>1</v>
      </c>
    </row>
    <row r="136" spans="1:5">
      <c r="A136">
        <v>319</v>
      </c>
      <c r="B136">
        <v>303000105</v>
      </c>
      <c r="C136" t="str">
        <f>"CR Family fare Zone 3"</f>
        <v>CR Family fare Zone 3</v>
      </c>
      <c r="E136">
        <v>1</v>
      </c>
    </row>
    <row r="137" spans="1:5">
      <c r="A137">
        <v>319</v>
      </c>
      <c r="B137">
        <v>303000106</v>
      </c>
      <c r="C137" t="str">
        <f>"CR Family fare Zone 4"</f>
        <v>CR Family fare Zone 4</v>
      </c>
      <c r="E137">
        <v>1</v>
      </c>
    </row>
    <row r="138" spans="1:5">
      <c r="A138">
        <v>319</v>
      </c>
      <c r="B138">
        <v>303000107</v>
      </c>
      <c r="C138" t="str">
        <f>"CR Family fare Zone 5"</f>
        <v>CR Family fare Zone 5</v>
      </c>
      <c r="E138">
        <v>1</v>
      </c>
    </row>
    <row r="139" spans="1:5">
      <c r="A139">
        <v>319</v>
      </c>
      <c r="B139">
        <v>303000108</v>
      </c>
      <c r="C139" t="str">
        <f>"CR Family fare Zone 6"</f>
        <v>CR Family fare Zone 6</v>
      </c>
      <c r="E139">
        <v>1</v>
      </c>
    </row>
    <row r="140" spans="1:5">
      <c r="A140">
        <v>319</v>
      </c>
      <c r="B140">
        <v>303000109</v>
      </c>
      <c r="C140" t="str">
        <f>"CR Family fare Zone 7"</f>
        <v>CR Family fare Zone 7</v>
      </c>
      <c r="E140">
        <v>1</v>
      </c>
    </row>
    <row r="141" spans="1:5">
      <c r="A141">
        <v>319</v>
      </c>
      <c r="B141">
        <v>303000110</v>
      </c>
      <c r="C141" t="str">
        <f>"CR Family fare Zone 8"</f>
        <v>CR Family fare Zone 8</v>
      </c>
      <c r="E141">
        <v>1</v>
      </c>
    </row>
    <row r="142" spans="1:5">
      <c r="A142">
        <v>319</v>
      </c>
      <c r="B142">
        <v>303001501</v>
      </c>
      <c r="C142" t="str">
        <f>"CR Family Fare Half Zone 1a"</f>
        <v>CR Family Fare Half Zone 1a</v>
      </c>
      <c r="E142">
        <v>1</v>
      </c>
    </row>
    <row r="143" spans="1:5">
      <c r="A143">
        <v>319</v>
      </c>
      <c r="B143">
        <v>303001502</v>
      </c>
      <c r="C143" t="str">
        <f>"** CR Family Fare Half Zone 1b"</f>
        <v>** CR Family Fare Half Zone 1b</v>
      </c>
      <c r="E143">
        <v>1</v>
      </c>
    </row>
    <row r="144" spans="1:5">
      <c r="A144">
        <v>319</v>
      </c>
      <c r="B144">
        <v>303001503</v>
      </c>
      <c r="C144" t="str">
        <f>"CR Family fare Half Zone 1"</f>
        <v>CR Family fare Half Zone 1</v>
      </c>
      <c r="E144">
        <v>1</v>
      </c>
    </row>
    <row r="145" spans="1:5">
      <c r="A145">
        <v>319</v>
      </c>
      <c r="B145">
        <v>303001504</v>
      </c>
      <c r="C145" t="str">
        <f>"CR Family fare Half Zone 2"</f>
        <v>CR Family fare Half Zone 2</v>
      </c>
      <c r="E145">
        <v>1</v>
      </c>
    </row>
    <row r="146" spans="1:5">
      <c r="A146">
        <v>319</v>
      </c>
      <c r="B146">
        <v>303001505</v>
      </c>
      <c r="C146" t="str">
        <f>"CR Family fare Half Zone 3"</f>
        <v>CR Family fare Half Zone 3</v>
      </c>
      <c r="E146">
        <v>1</v>
      </c>
    </row>
    <row r="147" spans="1:5">
      <c r="A147">
        <v>319</v>
      </c>
      <c r="B147">
        <v>303001506</v>
      </c>
      <c r="C147" t="str">
        <f>"CR Family fare Half Zone 4"</f>
        <v>CR Family fare Half Zone 4</v>
      </c>
      <c r="E147">
        <v>1</v>
      </c>
    </row>
    <row r="148" spans="1:5">
      <c r="A148">
        <v>319</v>
      </c>
      <c r="B148">
        <v>303001507</v>
      </c>
      <c r="C148" t="str">
        <f>"CR Family fare Half Zone 5"</f>
        <v>CR Family fare Half Zone 5</v>
      </c>
      <c r="E148">
        <v>1</v>
      </c>
    </row>
    <row r="149" spans="1:5">
      <c r="A149">
        <v>319</v>
      </c>
      <c r="B149">
        <v>303001508</v>
      </c>
      <c r="C149" t="str">
        <f>"CR Family fare Half Zone 6"</f>
        <v>CR Family fare Half Zone 6</v>
      </c>
      <c r="E149">
        <v>1</v>
      </c>
    </row>
    <row r="150" spans="1:5">
      <c r="A150">
        <v>319</v>
      </c>
      <c r="B150">
        <v>303001509</v>
      </c>
      <c r="C150" t="str">
        <f>"CR Family fare Half Zone 7"</f>
        <v>CR Family fare Half Zone 7</v>
      </c>
      <c r="E150">
        <v>1</v>
      </c>
    </row>
    <row r="151" spans="1:5">
      <c r="A151">
        <v>319</v>
      </c>
      <c r="B151">
        <v>303001510</v>
      </c>
      <c r="C151" t="str">
        <f>"CR Family fare Half Zone 8"</f>
        <v>CR Family fare Half Zone 8</v>
      </c>
      <c r="E151">
        <v>1</v>
      </c>
    </row>
    <row r="152" spans="1:5">
      <c r="A152">
        <v>319</v>
      </c>
      <c r="B152">
        <v>303100101</v>
      </c>
      <c r="C152" t="str">
        <f>"CR Family fare IZ 1 Zone"</f>
        <v>CR Family fare IZ 1 Zone</v>
      </c>
      <c r="E152">
        <v>1</v>
      </c>
    </row>
    <row r="153" spans="1:5">
      <c r="A153">
        <v>319</v>
      </c>
      <c r="B153">
        <v>303100102</v>
      </c>
      <c r="C153" t="str">
        <f>"CR Family fare IZ 2 Zones"</f>
        <v>CR Family fare IZ 2 Zones</v>
      </c>
      <c r="E153">
        <v>1</v>
      </c>
    </row>
    <row r="154" spans="1:5">
      <c r="A154">
        <v>319</v>
      </c>
      <c r="B154">
        <v>303100103</v>
      </c>
      <c r="C154" t="str">
        <f>"CR Family fare IZ 3 Zones"</f>
        <v>CR Family fare IZ 3 Zones</v>
      </c>
      <c r="E154">
        <v>1</v>
      </c>
    </row>
    <row r="155" spans="1:5">
      <c r="A155">
        <v>319</v>
      </c>
      <c r="B155">
        <v>303100104</v>
      </c>
      <c r="C155" t="str">
        <f>"CR Family fare IZ 4 Zones"</f>
        <v>CR Family fare IZ 4 Zones</v>
      </c>
      <c r="E155">
        <v>1</v>
      </c>
    </row>
    <row r="156" spans="1:5">
      <c r="A156">
        <v>319</v>
      </c>
      <c r="B156">
        <v>303100105</v>
      </c>
      <c r="C156" t="str">
        <f>"CR Family fare IZ 5 Zones"</f>
        <v>CR Family fare IZ 5 Zones</v>
      </c>
      <c r="E156">
        <v>1</v>
      </c>
    </row>
    <row r="157" spans="1:5">
      <c r="A157">
        <v>319</v>
      </c>
      <c r="B157">
        <v>303100106</v>
      </c>
      <c r="C157" t="str">
        <f>"CR Family fare IZ 6 Zones"</f>
        <v>CR Family fare IZ 6 Zones</v>
      </c>
      <c r="E157">
        <v>1</v>
      </c>
    </row>
    <row r="158" spans="1:5">
      <c r="A158">
        <v>319</v>
      </c>
      <c r="B158">
        <v>303100107</v>
      </c>
      <c r="C158" t="str">
        <f>"CR Family fare IZ 7 Zones"</f>
        <v>CR Family fare IZ 7 Zones</v>
      </c>
      <c r="E158">
        <v>1</v>
      </c>
    </row>
    <row r="159" spans="1:5">
      <c r="A159">
        <v>319</v>
      </c>
      <c r="B159">
        <v>303100108</v>
      </c>
      <c r="C159" t="str">
        <f>"CR Family fare IZ 8 Zones"</f>
        <v>CR Family fare IZ 8 Zones</v>
      </c>
      <c r="E159">
        <v>1</v>
      </c>
    </row>
    <row r="160" spans="1:5">
      <c r="A160">
        <v>319</v>
      </c>
      <c r="B160">
        <v>303101501</v>
      </c>
      <c r="C160" t="str">
        <f>"CR Family fare Half IZ 1 Zone"</f>
        <v>CR Family fare Half IZ 1 Zone</v>
      </c>
      <c r="E160">
        <v>1</v>
      </c>
    </row>
    <row r="161" spans="1:5">
      <c r="A161">
        <v>319</v>
      </c>
      <c r="B161">
        <v>303101502</v>
      </c>
      <c r="C161" t="str">
        <f>"CR Family fare Half IZ 2 Zones"</f>
        <v>CR Family fare Half IZ 2 Zones</v>
      </c>
      <c r="E161">
        <v>1</v>
      </c>
    </row>
    <row r="162" spans="1:5">
      <c r="A162">
        <v>319</v>
      </c>
      <c r="B162">
        <v>303101503</v>
      </c>
      <c r="C162" t="str">
        <f>"CR Family fare Half IZ 3 Zones"</f>
        <v>CR Family fare Half IZ 3 Zones</v>
      </c>
      <c r="E162">
        <v>1</v>
      </c>
    </row>
    <row r="163" spans="1:5">
      <c r="A163">
        <v>319</v>
      </c>
      <c r="B163">
        <v>303101504</v>
      </c>
      <c r="C163" t="str">
        <f>"CR Family fare Half IZ 4 Zones"</f>
        <v>CR Family fare Half IZ 4 Zones</v>
      </c>
      <c r="E163">
        <v>1</v>
      </c>
    </row>
    <row r="164" spans="1:5">
      <c r="A164">
        <v>319</v>
      </c>
      <c r="B164">
        <v>303101505</v>
      </c>
      <c r="C164" t="str">
        <f>"CR Family fare Half IZ 5 Zones"</f>
        <v>CR Family fare Half IZ 5 Zones</v>
      </c>
      <c r="E164">
        <v>1</v>
      </c>
    </row>
    <row r="165" spans="1:5">
      <c r="A165">
        <v>319</v>
      </c>
      <c r="B165">
        <v>303101506</v>
      </c>
      <c r="C165" t="str">
        <f>"CR Family fare Half IZ 6 Zones"</f>
        <v>CR Family fare Half IZ 6 Zones</v>
      </c>
      <c r="E165">
        <v>1</v>
      </c>
    </row>
    <row r="166" spans="1:5">
      <c r="A166">
        <v>319</v>
      </c>
      <c r="B166">
        <v>303101507</v>
      </c>
      <c r="C166" t="str">
        <f>"CR Family fare Half IZ 7 Zones"</f>
        <v>CR Family fare Half IZ 7 Zones</v>
      </c>
      <c r="E166">
        <v>1</v>
      </c>
    </row>
    <row r="167" spans="1:5">
      <c r="A167">
        <v>319</v>
      </c>
      <c r="B167">
        <v>303101508</v>
      </c>
      <c r="C167" t="str">
        <f>"CR Family fare Half IZ 8 Zones"</f>
        <v>CR Family fare Half IZ 8 Zones</v>
      </c>
      <c r="E167">
        <v>1</v>
      </c>
    </row>
    <row r="168" spans="1:5">
      <c r="A168">
        <v>319</v>
      </c>
      <c r="B168">
        <v>303200101</v>
      </c>
      <c r="C168" t="str">
        <f>"CR Group Ticket Zone 1a"</f>
        <v>CR Group Ticket Zone 1a</v>
      </c>
      <c r="E168">
        <v>1</v>
      </c>
    </row>
    <row r="169" spans="1:5">
      <c r="A169">
        <v>319</v>
      </c>
      <c r="B169">
        <v>303200102</v>
      </c>
      <c r="C169" t="str">
        <f>"** CR Group Ticket Zone 1b"</f>
        <v>** CR Group Ticket Zone 1b</v>
      </c>
      <c r="E169">
        <v>1</v>
      </c>
    </row>
    <row r="170" spans="1:5">
      <c r="A170">
        <v>319</v>
      </c>
      <c r="B170">
        <v>303200103</v>
      </c>
      <c r="C170" t="str">
        <f>"CR Group Ticket Zone 1"</f>
        <v>CR Group Ticket Zone 1</v>
      </c>
      <c r="E170">
        <v>1</v>
      </c>
    </row>
    <row r="171" spans="1:5">
      <c r="A171">
        <v>319</v>
      </c>
      <c r="B171">
        <v>303200104</v>
      </c>
      <c r="C171" t="str">
        <f>"CR Group Ticket Zone 2"</f>
        <v>CR Group Ticket Zone 2</v>
      </c>
      <c r="E171">
        <v>1</v>
      </c>
    </row>
    <row r="172" spans="1:5">
      <c r="A172">
        <v>319</v>
      </c>
      <c r="B172">
        <v>303200105</v>
      </c>
      <c r="C172" t="str">
        <f>"CR Group Ticket Zone 3"</f>
        <v>CR Group Ticket Zone 3</v>
      </c>
      <c r="E172">
        <v>1</v>
      </c>
    </row>
    <row r="173" spans="1:5">
      <c r="A173">
        <v>319</v>
      </c>
      <c r="B173">
        <v>303200106</v>
      </c>
      <c r="C173" t="str">
        <f>"CR Group Ticket Zone 4"</f>
        <v>CR Group Ticket Zone 4</v>
      </c>
      <c r="E173">
        <v>1</v>
      </c>
    </row>
    <row r="174" spans="1:5">
      <c r="A174">
        <v>319</v>
      </c>
      <c r="B174">
        <v>303200107</v>
      </c>
      <c r="C174" t="str">
        <f>"CR Group Ticket Zone 5"</f>
        <v>CR Group Ticket Zone 5</v>
      </c>
      <c r="E174">
        <v>1</v>
      </c>
    </row>
    <row r="175" spans="1:5">
      <c r="A175">
        <v>319</v>
      </c>
      <c r="B175">
        <v>303200108</v>
      </c>
      <c r="C175" t="str">
        <f>"CR Group Ticket Zone 6"</f>
        <v>CR Group Ticket Zone 6</v>
      </c>
      <c r="E175">
        <v>1</v>
      </c>
    </row>
    <row r="176" spans="1:5">
      <c r="A176">
        <v>319</v>
      </c>
      <c r="B176">
        <v>303200109</v>
      </c>
      <c r="C176" t="str">
        <f>"CR Group Ticket Zone 7"</f>
        <v>CR Group Ticket Zone 7</v>
      </c>
      <c r="E176">
        <v>1</v>
      </c>
    </row>
    <row r="177" spans="1:5">
      <c r="A177">
        <v>319</v>
      </c>
      <c r="B177">
        <v>303200110</v>
      </c>
      <c r="C177" t="str">
        <f>"CR Group Ticket Zone 8"</f>
        <v>CR Group Ticket Zone 8</v>
      </c>
      <c r="E177">
        <v>1</v>
      </c>
    </row>
    <row r="178" spans="1:5">
      <c r="A178">
        <v>319</v>
      </c>
      <c r="B178">
        <v>303300101</v>
      </c>
      <c r="C178" t="str">
        <f>"CR Group Ticket IZ 1 Zone"</f>
        <v>CR Group Ticket IZ 1 Zone</v>
      </c>
      <c r="E178">
        <v>1</v>
      </c>
    </row>
    <row r="179" spans="1:5">
      <c r="A179">
        <v>319</v>
      </c>
      <c r="B179">
        <v>303300102</v>
      </c>
      <c r="C179" t="str">
        <f>"CR Group Ticket IZ 2 Zones"</f>
        <v>CR Group Ticket IZ 2 Zones</v>
      </c>
      <c r="E179">
        <v>1</v>
      </c>
    </row>
    <row r="180" spans="1:5">
      <c r="A180">
        <v>319</v>
      </c>
      <c r="B180">
        <v>303300103</v>
      </c>
      <c r="C180" t="str">
        <f>"CR Group Ticket IZ 3 Zones"</f>
        <v>CR Group Ticket IZ 3 Zones</v>
      </c>
      <c r="E180">
        <v>1</v>
      </c>
    </row>
    <row r="181" spans="1:5">
      <c r="A181">
        <v>319</v>
      </c>
      <c r="B181">
        <v>303300104</v>
      </c>
      <c r="C181" t="str">
        <f>"CR Group Ticket IZ 4 Zones"</f>
        <v>CR Group Ticket IZ 4 Zones</v>
      </c>
      <c r="E181">
        <v>1</v>
      </c>
    </row>
    <row r="182" spans="1:5">
      <c r="A182">
        <v>319</v>
      </c>
      <c r="B182">
        <v>303300105</v>
      </c>
      <c r="C182" t="str">
        <f>"CR Group Ticket IZ 5 Zones"</f>
        <v>CR Group Ticket IZ 5 Zones</v>
      </c>
      <c r="E182">
        <v>1</v>
      </c>
    </row>
    <row r="183" spans="1:5">
      <c r="A183">
        <v>319</v>
      </c>
      <c r="B183">
        <v>303300106</v>
      </c>
      <c r="C183" t="str">
        <f>"CR Group Ticket IZ 6 Zones"</f>
        <v>CR Group Ticket IZ 6 Zones</v>
      </c>
      <c r="E183">
        <v>1</v>
      </c>
    </row>
    <row r="184" spans="1:5">
      <c r="A184">
        <v>319</v>
      </c>
      <c r="B184">
        <v>303300107</v>
      </c>
      <c r="C184" t="str">
        <f>"CR Group Ticket IZ 7 Zones"</f>
        <v>CR Group Ticket IZ 7 Zones</v>
      </c>
      <c r="E184">
        <v>1</v>
      </c>
    </row>
    <row r="185" spans="1:5">
      <c r="A185">
        <v>319</v>
      </c>
      <c r="B185">
        <v>303300108</v>
      </c>
      <c r="C185" t="str">
        <f>"CR Group Ticket IZ 8 Zones"</f>
        <v>CR Group Ticket IZ 8 Zones</v>
      </c>
      <c r="E185">
        <v>1</v>
      </c>
    </row>
    <row r="186" spans="1:5">
      <c r="A186">
        <v>319</v>
      </c>
      <c r="B186">
        <v>303600101</v>
      </c>
      <c r="C186" t="str">
        <f>"CR Monthly IZ RPass 1 not active"</f>
        <v>CR Monthly IZ RPass 1 not active</v>
      </c>
      <c r="E186">
        <v>1</v>
      </c>
    </row>
    <row r="187" spans="1:5">
      <c r="A187">
        <v>319</v>
      </c>
      <c r="B187">
        <v>303600102</v>
      </c>
      <c r="C187" t="str">
        <f>"CR Monthly IZ RPass 2 not active"</f>
        <v>CR Monthly IZ RPass 2 not active</v>
      </c>
      <c r="E187">
        <v>1</v>
      </c>
    </row>
    <row r="188" spans="1:5">
      <c r="A188">
        <v>319</v>
      </c>
      <c r="B188">
        <v>303600103</v>
      </c>
      <c r="C188" t="str">
        <f>"CR Monthly IZ RPass 3 not active"</f>
        <v>CR Monthly IZ RPass 3 not active</v>
      </c>
      <c r="E188">
        <v>1</v>
      </c>
    </row>
    <row r="189" spans="1:5">
      <c r="A189">
        <v>319</v>
      </c>
      <c r="B189">
        <v>303600104</v>
      </c>
      <c r="C189" t="str">
        <f>"CR Monthly IZ RPass 4 not active"</f>
        <v>CR Monthly IZ RPass 4 not active</v>
      </c>
      <c r="E189">
        <v>1</v>
      </c>
    </row>
    <row r="190" spans="1:5">
      <c r="A190">
        <v>319</v>
      </c>
      <c r="B190">
        <v>303600105</v>
      </c>
      <c r="C190" t="str">
        <f>"CR Monthly IZ RPass 5 not active"</f>
        <v>CR Monthly IZ RPass 5 not active</v>
      </c>
      <c r="E190">
        <v>1</v>
      </c>
    </row>
    <row r="191" spans="1:5">
      <c r="A191">
        <v>319</v>
      </c>
      <c r="B191">
        <v>303600106</v>
      </c>
      <c r="C191" t="str">
        <f>"CR Monthly IZ RPass 6 not active"</f>
        <v>CR Monthly IZ RPass 6 not active</v>
      </c>
      <c r="E191">
        <v>1</v>
      </c>
    </row>
    <row r="192" spans="1:5">
      <c r="A192">
        <v>319</v>
      </c>
      <c r="B192">
        <v>303600107</v>
      </c>
      <c r="C192" t="str">
        <f>"CR Monthly IZ RPass 7 not active"</f>
        <v>CR Monthly IZ RPass 7 not active</v>
      </c>
      <c r="E192">
        <v>1</v>
      </c>
    </row>
    <row r="193" spans="1:5">
      <c r="A193">
        <v>319</v>
      </c>
      <c r="B193">
        <v>303600108</v>
      </c>
      <c r="C193" t="str">
        <f>"CR Monthly IZ RPass 8 not active"</f>
        <v>CR Monthly IZ RPass 8 not active</v>
      </c>
      <c r="E193">
        <v>1</v>
      </c>
    </row>
    <row r="194" spans="1:5">
      <c r="A194">
        <v>319</v>
      </c>
      <c r="B194">
        <v>303700101</v>
      </c>
      <c r="C194" t="str">
        <f>"CR Monthly IZ RPass 1"</f>
        <v>CR Monthly IZ RPass 1</v>
      </c>
      <c r="E194">
        <v>1</v>
      </c>
    </row>
    <row r="195" spans="1:5">
      <c r="A195">
        <v>319</v>
      </c>
      <c r="B195">
        <v>303700102</v>
      </c>
      <c r="C195" t="str">
        <f>"CR Monthly IZ RPass 2"</f>
        <v>CR Monthly IZ RPass 2</v>
      </c>
      <c r="E195">
        <v>1</v>
      </c>
    </row>
    <row r="196" spans="1:5">
      <c r="A196">
        <v>319</v>
      </c>
      <c r="B196">
        <v>303700103</v>
      </c>
      <c r="C196" t="str">
        <f>"CR Monthly IZ RPass 3"</f>
        <v>CR Monthly IZ RPass 3</v>
      </c>
      <c r="E196">
        <v>1</v>
      </c>
    </row>
    <row r="197" spans="1:5">
      <c r="A197">
        <v>319</v>
      </c>
      <c r="B197">
        <v>303700104</v>
      </c>
      <c r="C197" t="str">
        <f>"CR Monthly IZ RPass 4"</f>
        <v>CR Monthly IZ RPass 4</v>
      </c>
      <c r="E197">
        <v>1</v>
      </c>
    </row>
    <row r="198" spans="1:5">
      <c r="A198">
        <v>319</v>
      </c>
      <c r="B198">
        <v>303700105</v>
      </c>
      <c r="C198" t="str">
        <f>"CR Monthly IZ RPass 5"</f>
        <v>CR Monthly IZ RPass 5</v>
      </c>
      <c r="E198">
        <v>1</v>
      </c>
    </row>
    <row r="199" spans="1:5">
      <c r="A199">
        <v>319</v>
      </c>
      <c r="B199">
        <v>303700106</v>
      </c>
      <c r="C199" t="str">
        <f>"CR Monthly IZ RPass 6"</f>
        <v>CR Monthly IZ RPass 6</v>
      </c>
      <c r="E199">
        <v>1</v>
      </c>
    </row>
    <row r="200" spans="1:5">
      <c r="A200">
        <v>319</v>
      </c>
      <c r="B200">
        <v>303700107</v>
      </c>
      <c r="C200" t="str">
        <f>"CR Monthly IZ RPass 7"</f>
        <v>CR Monthly IZ RPass 7</v>
      </c>
      <c r="E200">
        <v>1</v>
      </c>
    </row>
    <row r="201" spans="1:5">
      <c r="A201">
        <v>319</v>
      </c>
      <c r="B201">
        <v>303700108</v>
      </c>
      <c r="C201" t="str">
        <f>"CR Monthly IZ RPass 8"</f>
        <v>CR Monthly IZ RPass 8</v>
      </c>
      <c r="E201">
        <v>1</v>
      </c>
    </row>
    <row r="202" spans="1:5">
      <c r="A202">
        <v>319</v>
      </c>
      <c r="B202">
        <v>304101501</v>
      </c>
      <c r="C202" t="str">
        <f>"CR 10 Ride Half Fare Zone 1a"</f>
        <v>CR 10 Ride Half Fare Zone 1a</v>
      </c>
      <c r="E202">
        <v>1</v>
      </c>
    </row>
    <row r="203" spans="1:5">
      <c r="A203">
        <v>319</v>
      </c>
      <c r="B203">
        <v>304101502</v>
      </c>
      <c r="C203" t="str">
        <f>"** CR 10 Ride Half Fare Zone 1b"</f>
        <v>** CR 10 Ride Half Fare Zone 1b</v>
      </c>
      <c r="E203">
        <v>1</v>
      </c>
    </row>
    <row r="204" spans="1:5">
      <c r="A204">
        <v>319</v>
      </c>
      <c r="B204">
        <v>304101503</v>
      </c>
      <c r="C204" t="str">
        <f>"CR 10 Ride Half Fare Zone 1"</f>
        <v>CR 10 Ride Half Fare Zone 1</v>
      </c>
      <c r="E204">
        <v>1</v>
      </c>
    </row>
    <row r="205" spans="1:5">
      <c r="A205">
        <v>319</v>
      </c>
      <c r="B205">
        <v>304101504</v>
      </c>
      <c r="C205" t="str">
        <f>"CR 10 Ride Half Fare Zone 2"</f>
        <v>CR 10 Ride Half Fare Zone 2</v>
      </c>
      <c r="E205">
        <v>1</v>
      </c>
    </row>
    <row r="206" spans="1:5">
      <c r="A206">
        <v>319</v>
      </c>
      <c r="B206">
        <v>304101505</v>
      </c>
      <c r="C206" t="str">
        <f>"CR 10 Ride Half Fare Zone 3"</f>
        <v>CR 10 Ride Half Fare Zone 3</v>
      </c>
      <c r="E206">
        <v>1</v>
      </c>
    </row>
    <row r="207" spans="1:5">
      <c r="A207">
        <v>319</v>
      </c>
      <c r="B207">
        <v>304101506</v>
      </c>
      <c r="C207" t="str">
        <f>"CR 10 Ride Half Fare Zone 4"</f>
        <v>CR 10 Ride Half Fare Zone 4</v>
      </c>
      <c r="E207">
        <v>1</v>
      </c>
    </row>
    <row r="208" spans="1:5">
      <c r="A208">
        <v>319</v>
      </c>
      <c r="B208">
        <v>304101507</v>
      </c>
      <c r="C208" t="str">
        <f>"CR 10 Ride Half Fare Zone 5"</f>
        <v>CR 10 Ride Half Fare Zone 5</v>
      </c>
      <c r="E208">
        <v>1</v>
      </c>
    </row>
    <row r="209" spans="1:5">
      <c r="A209">
        <v>319</v>
      </c>
      <c r="B209">
        <v>304101508</v>
      </c>
      <c r="C209" t="str">
        <f>"CR 10 Ride Half Fare Zone 6"</f>
        <v>CR 10 Ride Half Fare Zone 6</v>
      </c>
      <c r="E209">
        <v>1</v>
      </c>
    </row>
    <row r="210" spans="1:5">
      <c r="A210">
        <v>319</v>
      </c>
      <c r="B210">
        <v>304101509</v>
      </c>
      <c r="C210" t="str">
        <f>"CR 10 Ride Half Fare Zone 7"</f>
        <v>CR 10 Ride Half Fare Zone 7</v>
      </c>
      <c r="E210">
        <v>1</v>
      </c>
    </row>
    <row r="211" spans="1:5">
      <c r="A211">
        <v>319</v>
      </c>
      <c r="B211">
        <v>304101510</v>
      </c>
      <c r="C211" t="str">
        <f>"CR 10 Ride Half Fare Zone 8"</f>
        <v>CR 10 Ride Half Fare Zone 8</v>
      </c>
      <c r="E211">
        <v>1</v>
      </c>
    </row>
    <row r="212" spans="1:5">
      <c r="A212">
        <v>319</v>
      </c>
      <c r="B212">
        <v>304200101</v>
      </c>
      <c r="C212" t="str">
        <f>"CR 12 Ride Adult Zone 1a"</f>
        <v>CR 12 Ride Adult Zone 1a</v>
      </c>
      <c r="E212">
        <v>1</v>
      </c>
    </row>
    <row r="213" spans="1:5">
      <c r="A213">
        <v>319</v>
      </c>
      <c r="B213">
        <v>304200102</v>
      </c>
      <c r="C213" t="str">
        <f>"** CR 12 Ride Adult Zone 1b"</f>
        <v>** CR 12 Ride Adult Zone 1b</v>
      </c>
      <c r="E213">
        <v>1</v>
      </c>
    </row>
    <row r="214" spans="1:5">
      <c r="A214">
        <v>319</v>
      </c>
      <c r="B214">
        <v>304200103</v>
      </c>
      <c r="C214" t="str">
        <f>"CR 12 Ride Adult Zone 1"</f>
        <v>CR 12 Ride Adult Zone 1</v>
      </c>
      <c r="E214">
        <v>1</v>
      </c>
    </row>
    <row r="215" spans="1:5">
      <c r="A215">
        <v>319</v>
      </c>
      <c r="B215">
        <v>304200104</v>
      </c>
      <c r="C215" t="str">
        <f>"CR 12 Ride Adult Zone 2"</f>
        <v>CR 12 Ride Adult Zone 2</v>
      </c>
      <c r="E215">
        <v>1</v>
      </c>
    </row>
    <row r="216" spans="1:5">
      <c r="A216">
        <v>319</v>
      </c>
      <c r="B216">
        <v>304200105</v>
      </c>
      <c r="C216" t="str">
        <f>"CR 12 Ride Adult Zone 3"</f>
        <v>CR 12 Ride Adult Zone 3</v>
      </c>
      <c r="E216">
        <v>1</v>
      </c>
    </row>
    <row r="217" spans="1:5">
      <c r="A217">
        <v>319</v>
      </c>
      <c r="B217">
        <v>304200106</v>
      </c>
      <c r="C217" t="str">
        <f>"CR 12 Ride Adult Zone 4"</f>
        <v>CR 12 Ride Adult Zone 4</v>
      </c>
      <c r="E217">
        <v>1</v>
      </c>
    </row>
    <row r="218" spans="1:5">
      <c r="A218">
        <v>319</v>
      </c>
      <c r="B218">
        <v>304200107</v>
      </c>
      <c r="C218" t="str">
        <f>"CR 12 Ride Adult Zone 5"</f>
        <v>CR 12 Ride Adult Zone 5</v>
      </c>
      <c r="E218">
        <v>1</v>
      </c>
    </row>
    <row r="219" spans="1:5">
      <c r="A219">
        <v>319</v>
      </c>
      <c r="B219">
        <v>304200108</v>
      </c>
      <c r="C219" t="str">
        <f>"CR 12 Ride Adult Zone 6"</f>
        <v>CR 12 Ride Adult Zone 6</v>
      </c>
      <c r="E219">
        <v>1</v>
      </c>
    </row>
    <row r="220" spans="1:5">
      <c r="A220">
        <v>319</v>
      </c>
      <c r="B220">
        <v>304200109</v>
      </c>
      <c r="C220" t="str">
        <f>"CR 12 Ride Adult Zone 7"</f>
        <v>CR 12 Ride Adult Zone 7</v>
      </c>
      <c r="E220">
        <v>1</v>
      </c>
    </row>
    <row r="221" spans="1:5">
      <c r="A221">
        <v>319</v>
      </c>
      <c r="B221">
        <v>304200110</v>
      </c>
      <c r="C221" t="str">
        <f>"CR 12 Ride Adult Zone 8"</f>
        <v>CR 12 Ride Adult Zone 8</v>
      </c>
      <c r="E221">
        <v>1</v>
      </c>
    </row>
    <row r="222" spans="1:5">
      <c r="A222">
        <v>319</v>
      </c>
      <c r="B222">
        <v>318400101</v>
      </c>
      <c r="C222" t="str">
        <f>"Activation of CR Monthly RPass Adult Zone 1A"</f>
        <v>Activation of CR Monthly RPass Adult Zone 1A</v>
      </c>
      <c r="E222">
        <v>1</v>
      </c>
    </row>
    <row r="223" spans="1:5">
      <c r="A223">
        <v>319</v>
      </c>
      <c r="B223">
        <v>318400103</v>
      </c>
      <c r="C223" t="str">
        <f>"Activation of CR Monthly RPass Adult Zone 1"</f>
        <v>Activation of CR Monthly RPass Adult Zone 1</v>
      </c>
      <c r="E223">
        <v>1</v>
      </c>
    </row>
    <row r="224" spans="1:5">
      <c r="A224">
        <v>319</v>
      </c>
      <c r="B224">
        <v>318400104</v>
      </c>
      <c r="C224" t="str">
        <f>"Activation of CR Monthly RPass Adult Zone 2"</f>
        <v>Activation of CR Monthly RPass Adult Zone 2</v>
      </c>
      <c r="E224">
        <v>1</v>
      </c>
    </row>
    <row r="225" spans="1:5">
      <c r="A225">
        <v>319</v>
      </c>
      <c r="B225">
        <v>318400105</v>
      </c>
      <c r="C225" t="str">
        <f>"Activation of CR Monthly RPass Adult Zone 3"</f>
        <v>Activation of CR Monthly RPass Adult Zone 3</v>
      </c>
      <c r="E225">
        <v>1</v>
      </c>
    </row>
    <row r="226" spans="1:5">
      <c r="A226">
        <v>319</v>
      </c>
      <c r="B226">
        <v>318400106</v>
      </c>
      <c r="C226" t="str">
        <f>"Activation of CR Monthly RPass Adult Zone 4"</f>
        <v>Activation of CR Monthly RPass Adult Zone 4</v>
      </c>
      <c r="E226">
        <v>1</v>
      </c>
    </row>
    <row r="227" spans="1:5">
      <c r="A227">
        <v>319</v>
      </c>
      <c r="B227">
        <v>318400107</v>
      </c>
      <c r="C227" t="str">
        <f>"Activation of CR Monthly RPass Adult Zone 5"</f>
        <v>Activation of CR Monthly RPass Adult Zone 5</v>
      </c>
      <c r="E227">
        <v>1</v>
      </c>
    </row>
    <row r="228" spans="1:5">
      <c r="A228">
        <v>319</v>
      </c>
      <c r="B228">
        <v>318400108</v>
      </c>
      <c r="C228" t="str">
        <f>"Activation of CR Monthly RPass Adult Zone 6"</f>
        <v>Activation of CR Monthly RPass Adult Zone 6</v>
      </c>
      <c r="E228">
        <v>1</v>
      </c>
    </row>
    <row r="229" spans="1:5">
      <c r="A229">
        <v>319</v>
      </c>
      <c r="B229">
        <v>318400109</v>
      </c>
      <c r="C229" t="str">
        <f>"Activation of CR Monthly RPass Adult Zone 7"</f>
        <v>Activation of CR Monthly RPass Adult Zone 7</v>
      </c>
      <c r="E229">
        <v>1</v>
      </c>
    </row>
    <row r="230" spans="1:5">
      <c r="A230">
        <v>319</v>
      </c>
      <c r="B230">
        <v>318400110</v>
      </c>
      <c r="C230" t="str">
        <f>"Activation of CR Monthly RPass Adult Zone 8"</f>
        <v>Activation of CR Monthly RPass Adult Zone 8</v>
      </c>
      <c r="E230">
        <v>1</v>
      </c>
    </row>
    <row r="231" spans="1:5">
      <c r="A231">
        <v>319</v>
      </c>
      <c r="B231">
        <v>318600101</v>
      </c>
      <c r="C231" t="str">
        <f>"Activation of CR Monthly IZ RPass 1"</f>
        <v>Activation of CR Monthly IZ RPass 1</v>
      </c>
      <c r="E231">
        <v>1</v>
      </c>
    </row>
    <row r="232" spans="1:5">
      <c r="A232">
        <v>319</v>
      </c>
      <c r="B232">
        <v>318600102</v>
      </c>
      <c r="C232" t="str">
        <f>"Activation of CR Monthly IZ RPass 2"</f>
        <v>Activation of CR Monthly IZ RPass 2</v>
      </c>
      <c r="E232">
        <v>1</v>
      </c>
    </row>
    <row r="233" spans="1:5">
      <c r="A233">
        <v>319</v>
      </c>
      <c r="B233">
        <v>318600103</v>
      </c>
      <c r="C233" t="str">
        <f>"Activation of CR Monthly IZ RPass 3"</f>
        <v>Activation of CR Monthly IZ RPass 3</v>
      </c>
      <c r="E233">
        <v>1</v>
      </c>
    </row>
    <row r="234" spans="1:5">
      <c r="A234">
        <v>319</v>
      </c>
      <c r="B234">
        <v>318600104</v>
      </c>
      <c r="C234" t="str">
        <f>"Activation of CR Monthly IZ RPass 4"</f>
        <v>Activation of CR Monthly IZ RPass 4</v>
      </c>
      <c r="E234">
        <v>1</v>
      </c>
    </row>
    <row r="235" spans="1:5">
      <c r="A235">
        <v>319</v>
      </c>
      <c r="B235">
        <v>318600105</v>
      </c>
      <c r="C235" t="str">
        <f>"Activation of CR Monthly IZ RPass 5"</f>
        <v>Activation of CR Monthly IZ RPass 5</v>
      </c>
      <c r="E235">
        <v>1</v>
      </c>
    </row>
    <row r="236" spans="1:5">
      <c r="A236">
        <v>319</v>
      </c>
      <c r="B236">
        <v>318600106</v>
      </c>
      <c r="C236" t="str">
        <f>"Activation of CR Monthly IZ RPass 6"</f>
        <v>Activation of CR Monthly IZ RPass 6</v>
      </c>
      <c r="E236">
        <v>1</v>
      </c>
    </row>
    <row r="237" spans="1:5">
      <c r="A237">
        <v>319</v>
      </c>
      <c r="B237">
        <v>318600107</v>
      </c>
      <c r="C237" t="str">
        <f>"Activation of CR Monthly IZ RPass 7"</f>
        <v>Activation of CR Monthly IZ RPass 7</v>
      </c>
      <c r="E237">
        <v>1</v>
      </c>
    </row>
    <row r="238" spans="1:5">
      <c r="A238">
        <v>319</v>
      </c>
      <c r="B238">
        <v>318600108</v>
      </c>
      <c r="C238" t="str">
        <f>"Activation of CR Monthly IZ RPass 8"</f>
        <v>Activation of CR Monthly IZ RPass 8</v>
      </c>
      <c r="E238">
        <v>1</v>
      </c>
    </row>
    <row r="239" spans="1:5">
      <c r="A239">
        <v>319</v>
      </c>
      <c r="B239">
        <v>600900100</v>
      </c>
      <c r="C239" t="str">
        <f>"Monthly Link RPass not active"</f>
        <v>Monthly Link RPass not active</v>
      </c>
      <c r="D239">
        <v>1</v>
      </c>
      <c r="E239">
        <v>1</v>
      </c>
    </row>
    <row r="240" spans="1:5">
      <c r="A240">
        <v>319</v>
      </c>
      <c r="B240">
        <v>601000100</v>
      </c>
      <c r="C240" t="str">
        <f>"** MBTA Weekly Combo Pass Adult"</f>
        <v>** MBTA Weekly Combo Pass Adult</v>
      </c>
    </row>
    <row r="241" spans="1:5">
      <c r="A241">
        <v>319</v>
      </c>
      <c r="B241">
        <v>601100100</v>
      </c>
      <c r="C241" t="str">
        <f>"** MBTA Weekly Combo Plus Pass Adult"</f>
        <v>** MBTA Weekly Combo Plus Pass Adult</v>
      </c>
    </row>
    <row r="242" spans="1:5">
      <c r="A242">
        <v>319</v>
      </c>
      <c r="B242">
        <v>601200100</v>
      </c>
      <c r="C242" t="str">
        <f>"Inner Express Bus Monthly Pass"</f>
        <v>Inner Express Bus Monthly Pass</v>
      </c>
      <c r="D242">
        <v>1</v>
      </c>
      <c r="E242">
        <v>1</v>
      </c>
    </row>
    <row r="243" spans="1:5">
      <c r="A243">
        <v>319</v>
      </c>
      <c r="B243">
        <v>601300100</v>
      </c>
      <c r="C243" t="str">
        <f>"Outer Express Bus Monthly Pass"</f>
        <v>Outer Express Bus Monthly Pass</v>
      </c>
      <c r="D243">
        <v>1</v>
      </c>
      <c r="E243">
        <v>1</v>
      </c>
    </row>
    <row r="244" spans="1:5">
      <c r="A244">
        <v>319</v>
      </c>
      <c r="B244">
        <v>601400100</v>
      </c>
      <c r="C244" t="str">
        <f>"Inner Express Bus Monthly RPass Adult not active"</f>
        <v>Inner Express Bus Monthly RPass Adult not active</v>
      </c>
      <c r="D244">
        <v>1</v>
      </c>
      <c r="E244">
        <v>1</v>
      </c>
    </row>
    <row r="245" spans="1:5">
      <c r="A245">
        <v>319</v>
      </c>
      <c r="B245">
        <v>601500100</v>
      </c>
      <c r="C245" t="str">
        <f>"Inner Express Bus Monthly RPass Adult"</f>
        <v>Inner Express Bus Monthly RPass Adult</v>
      </c>
      <c r="D245">
        <v>1</v>
      </c>
      <c r="E245">
        <v>1</v>
      </c>
    </row>
    <row r="246" spans="1:5">
      <c r="A246">
        <v>319</v>
      </c>
      <c r="B246">
        <v>601600100</v>
      </c>
      <c r="C246" t="str">
        <f>"Outer Express Bus Monthly RPass Adult not active"</f>
        <v>Outer Express Bus Monthly RPass Adult not active</v>
      </c>
      <c r="D246">
        <v>1</v>
      </c>
      <c r="E246">
        <v>1</v>
      </c>
    </row>
    <row r="247" spans="1:5">
      <c r="A247">
        <v>319</v>
      </c>
      <c r="B247">
        <v>601700100</v>
      </c>
      <c r="C247" t="str">
        <f>"Outer Express Bus Monthly RPass Adult"</f>
        <v>Outer Express Bus Monthly RPass Adult</v>
      </c>
      <c r="D247">
        <v>1</v>
      </c>
      <c r="E247">
        <v>1</v>
      </c>
    </row>
    <row r="248" spans="1:5">
      <c r="A248">
        <v>319</v>
      </c>
      <c r="B248">
        <v>601800100</v>
      </c>
      <c r="C248" t="str">
        <f>"Local Bus Monthly RPass Adult not active"</f>
        <v>Local Bus Monthly RPass Adult not active</v>
      </c>
      <c r="D248">
        <v>1</v>
      </c>
      <c r="E248">
        <v>1</v>
      </c>
    </row>
    <row r="249" spans="1:5">
      <c r="A249">
        <v>319</v>
      </c>
      <c r="B249">
        <v>601900100</v>
      </c>
      <c r="C249" t="str">
        <f>"Local Bus Monthly RPass Adult"</f>
        <v>Local Bus Monthly RPass Adult</v>
      </c>
      <c r="D249">
        <v>1</v>
      </c>
      <c r="E249">
        <v>1</v>
      </c>
    </row>
    <row r="250" spans="1:5">
      <c r="A250">
        <v>319</v>
      </c>
      <c r="B250">
        <v>602100100</v>
      </c>
      <c r="C250" t="str">
        <f>"** MBTA Monthly Combo Pass"</f>
        <v>** MBTA Monthly Combo Pass</v>
      </c>
    </row>
    <row r="251" spans="1:5">
      <c r="A251">
        <v>319</v>
      </c>
      <c r="B251">
        <v>602600100</v>
      </c>
      <c r="C251" t="str">
        <f>"Monthly Commuter Boat Pass"</f>
        <v>Monthly Commuter Boat Pass</v>
      </c>
      <c r="D251">
        <v>1</v>
      </c>
      <c r="E251">
        <v>1</v>
      </c>
    </row>
    <row r="252" spans="1:5">
      <c r="A252">
        <v>319</v>
      </c>
      <c r="B252">
        <v>602800100</v>
      </c>
      <c r="C252" t="str">
        <f>"Monthly Link Pass"</f>
        <v>Monthly Link Pass</v>
      </c>
      <c r="D252">
        <v>1</v>
      </c>
      <c r="E252">
        <v>1</v>
      </c>
    </row>
    <row r="253" spans="1:5">
      <c r="A253">
        <v>319</v>
      </c>
      <c r="B253">
        <v>602900100</v>
      </c>
      <c r="C253" t="str">
        <f>"Monthly Link RPass"</f>
        <v>Monthly Link RPass</v>
      </c>
      <c r="D253">
        <v>1</v>
      </c>
      <c r="E253">
        <v>1</v>
      </c>
    </row>
    <row r="254" spans="1:5">
      <c r="A254">
        <v>319</v>
      </c>
      <c r="B254">
        <v>603400500</v>
      </c>
      <c r="C254" t="str">
        <f>"Monthly Link RPass Senior not active"</f>
        <v>Monthly Link RPass Senior not active</v>
      </c>
      <c r="D254">
        <v>1</v>
      </c>
      <c r="E254">
        <v>1</v>
      </c>
    </row>
    <row r="255" spans="1:5">
      <c r="A255">
        <v>319</v>
      </c>
      <c r="B255">
        <v>603400600</v>
      </c>
      <c r="C255" t="str">
        <f>"Monthly Link RPass T.A.P. not active"</f>
        <v>Monthly Link RPass T.A.P. not active</v>
      </c>
      <c r="D255">
        <v>1</v>
      </c>
      <c r="E255">
        <v>1</v>
      </c>
    </row>
    <row r="256" spans="1:5">
      <c r="A256">
        <v>319</v>
      </c>
      <c r="B256">
        <v>603500500</v>
      </c>
      <c r="C256" t="str">
        <f>"Monthly Link RPass Senior"</f>
        <v>Monthly Link RPass Senior</v>
      </c>
      <c r="D256">
        <v>1</v>
      </c>
      <c r="E256">
        <v>1</v>
      </c>
    </row>
    <row r="257" spans="1:5">
      <c r="A257">
        <v>319</v>
      </c>
      <c r="B257">
        <v>603500600</v>
      </c>
      <c r="C257" t="str">
        <f>"Monthly Link RPass T.A.P."</f>
        <v>Monthly Link RPass T.A.P.</v>
      </c>
      <c r="D257">
        <v>1</v>
      </c>
      <c r="E257">
        <v>1</v>
      </c>
    </row>
    <row r="258" spans="1:5">
      <c r="A258">
        <v>319</v>
      </c>
      <c r="B258">
        <v>603800100</v>
      </c>
      <c r="C258" t="str">
        <f>"Monthly Commuter Boat RPass not active"</f>
        <v>Monthly Commuter Boat RPass not active</v>
      </c>
      <c r="D258">
        <v>1</v>
      </c>
      <c r="E258">
        <v>1</v>
      </c>
    </row>
    <row r="259" spans="1:5">
      <c r="A259">
        <v>319</v>
      </c>
      <c r="B259">
        <v>603900100</v>
      </c>
      <c r="C259" t="str">
        <f>"Monthly Commuter Boat RPass"</f>
        <v>Monthly Commuter Boat RPass</v>
      </c>
      <c r="D259">
        <v>1</v>
      </c>
      <c r="E259">
        <v>1</v>
      </c>
    </row>
    <row r="260" spans="1:5">
      <c r="A260">
        <v>319</v>
      </c>
      <c r="B260">
        <v>605400100</v>
      </c>
      <c r="C260" t="str">
        <f>"Refund ticket"</f>
        <v>Refund ticket</v>
      </c>
      <c r="E260">
        <v>1</v>
      </c>
    </row>
    <row r="261" spans="1:5">
      <c r="A261">
        <v>319</v>
      </c>
      <c r="B261">
        <v>605501200</v>
      </c>
      <c r="C261" t="str">
        <f>"Pass (only register)"</f>
        <v>Pass (only register)</v>
      </c>
      <c r="D261">
        <v>1</v>
      </c>
    </row>
    <row r="262" spans="1:5">
      <c r="A262">
        <v>319</v>
      </c>
      <c r="B262">
        <v>606000700</v>
      </c>
      <c r="C262" t="str">
        <f>"Employee ID with Passback Function"</f>
        <v>Employee ID with Passback Function</v>
      </c>
      <c r="D262">
        <v>1</v>
      </c>
    </row>
    <row r="263" spans="1:5">
      <c r="A263">
        <v>319</v>
      </c>
      <c r="B263">
        <v>606000800</v>
      </c>
      <c r="C263" t="str">
        <f>"** ID w/o SV Retiree"</f>
        <v>** ID w/o SV Retiree</v>
      </c>
      <c r="D263">
        <v>1</v>
      </c>
    </row>
    <row r="264" spans="1:5">
      <c r="A264">
        <v>319</v>
      </c>
      <c r="B264">
        <v>606000900</v>
      </c>
      <c r="C264" t="str">
        <f>"** ID w/o SV Police/Fire"</f>
        <v>** ID w/o SV Police/Fire</v>
      </c>
      <c r="D264">
        <v>1</v>
      </c>
    </row>
    <row r="265" spans="1:5">
      <c r="A265">
        <v>319</v>
      </c>
      <c r="B265">
        <v>606001000</v>
      </c>
      <c r="C265" t="str">
        <f>"ID without SV Blind 5 yr. Validity"</f>
        <v>ID without SV Blind 5 yr. Validity</v>
      </c>
      <c r="D265">
        <v>1</v>
      </c>
    </row>
    <row r="266" spans="1:5">
      <c r="A266">
        <v>319</v>
      </c>
      <c r="B266">
        <v>606001400</v>
      </c>
      <c r="C266" t="str">
        <f>"Employee ID without Passback Function"</f>
        <v>Employee ID without Passback Function</v>
      </c>
      <c r="D266">
        <v>1</v>
      </c>
    </row>
    <row r="267" spans="1:5">
      <c r="A267">
        <v>319</v>
      </c>
      <c r="B267">
        <v>606002000</v>
      </c>
      <c r="C267" t="str">
        <f>"ID without SV Blind 4 yr. Validity"</f>
        <v>ID without SV Blind 4 yr. Validity</v>
      </c>
      <c r="D267">
        <v>1</v>
      </c>
    </row>
    <row r="268" spans="1:5">
      <c r="A268">
        <v>319</v>
      </c>
      <c r="B268">
        <v>606002100</v>
      </c>
      <c r="C268" t="str">
        <f>"ID without SV Blind 3 yr. Validity"</f>
        <v>ID without SV Blind 3 yr. Validity</v>
      </c>
      <c r="D268">
        <v>1</v>
      </c>
    </row>
    <row r="269" spans="1:5">
      <c r="A269">
        <v>319</v>
      </c>
      <c r="B269">
        <v>606002200</v>
      </c>
      <c r="C269" t="str">
        <f>"ID without SV Blind 2 yr. Validity"</f>
        <v>ID without SV Blind 2 yr. Validity</v>
      </c>
      <c r="D269">
        <v>1</v>
      </c>
    </row>
    <row r="270" spans="1:5">
      <c r="A270">
        <v>319</v>
      </c>
      <c r="B270">
        <v>606002300</v>
      </c>
      <c r="C270" t="str">
        <f>"ID without SV Blind 1 yr. Validity"</f>
        <v>ID without SV Blind 1 yr. Validity</v>
      </c>
      <c r="D270">
        <v>1</v>
      </c>
    </row>
    <row r="271" spans="1:5">
      <c r="A271">
        <v>319</v>
      </c>
      <c r="B271">
        <v>606002800</v>
      </c>
      <c r="C271" t="str">
        <f>"Public Official Ids w/o SV w Pb"</f>
        <v>Public Official Ids w/o SV w Pb</v>
      </c>
      <c r="D271">
        <v>1</v>
      </c>
    </row>
    <row r="272" spans="1:5">
      <c r="A272">
        <v>319</v>
      </c>
      <c r="B272">
        <v>606003000</v>
      </c>
      <c r="C272" t="str">
        <f>"Contractor IDs w/o SV w Pb"</f>
        <v>Contractor IDs w/o SV w Pb</v>
      </c>
      <c r="D272">
        <v>1</v>
      </c>
    </row>
    <row r="273" spans="1:5">
      <c r="A273">
        <v>319</v>
      </c>
      <c r="B273">
        <v>606003100</v>
      </c>
      <c r="C273" t="str">
        <f>"Contractor IDs w/o SV w/o Pb"</f>
        <v>Contractor IDs w/o SV w/o Pb</v>
      </c>
      <c r="D273">
        <v>1</v>
      </c>
    </row>
    <row r="274" spans="1:5">
      <c r="A274">
        <v>319</v>
      </c>
      <c r="B274">
        <v>606100500</v>
      </c>
      <c r="C274" t="str">
        <f>"ID with SV Senior"</f>
        <v>ID with SV Senior</v>
      </c>
      <c r="D274">
        <v>1</v>
      </c>
    </row>
    <row r="275" spans="1:5">
      <c r="A275">
        <v>319</v>
      </c>
      <c r="B275">
        <v>606100600</v>
      </c>
      <c r="C275" t="str">
        <f>"ID with SV T.A.P. 5 yr. Validity"</f>
        <v>ID with SV T.A.P. 5 yr. Validity</v>
      </c>
      <c r="D275">
        <v>1</v>
      </c>
    </row>
    <row r="276" spans="1:5">
      <c r="A276">
        <v>319</v>
      </c>
      <c r="B276">
        <v>606101600</v>
      </c>
      <c r="C276" t="str">
        <f>"ID with SV T.A.P. 4 yr. Validity"</f>
        <v>ID with SV T.A.P. 4 yr. Validity</v>
      </c>
      <c r="D276">
        <v>1</v>
      </c>
    </row>
    <row r="277" spans="1:5">
      <c r="A277">
        <v>319</v>
      </c>
      <c r="B277">
        <v>606101700</v>
      </c>
      <c r="C277" t="str">
        <f>"ID with SV T.A.P. 3 yr. Validity"</f>
        <v>ID with SV T.A.P. 3 yr. Validity</v>
      </c>
      <c r="D277">
        <v>1</v>
      </c>
    </row>
    <row r="278" spans="1:5">
      <c r="A278">
        <v>319</v>
      </c>
      <c r="B278">
        <v>606101800</v>
      </c>
      <c r="C278" t="str">
        <f>"ID with SV T.A.P. 2 yr. Validity"</f>
        <v>ID with SV T.A.P. 2 yr. Validity</v>
      </c>
      <c r="D278">
        <v>1</v>
      </c>
    </row>
    <row r="279" spans="1:5">
      <c r="A279">
        <v>319</v>
      </c>
      <c r="B279">
        <v>606101900</v>
      </c>
      <c r="C279" t="str">
        <f>"ID with SV T.A.P. 1 yr. Validity"</f>
        <v>ID with SV T.A.P. 1 yr. Validity</v>
      </c>
      <c r="D279">
        <v>1</v>
      </c>
    </row>
    <row r="280" spans="1:5">
      <c r="A280">
        <v>319</v>
      </c>
      <c r="B280">
        <v>606200400</v>
      </c>
      <c r="C280" t="str">
        <f>"Permit Student 5 Day Acceptance"</f>
        <v>Permit Student 5 Day Acceptance</v>
      </c>
      <c r="E280">
        <v>1</v>
      </c>
    </row>
    <row r="281" spans="1:5">
      <c r="A281">
        <v>319</v>
      </c>
      <c r="B281">
        <v>606200500</v>
      </c>
      <c r="C281" t="str">
        <f>"Permit Senior/TAP"</f>
        <v>Permit Senior/TAP</v>
      </c>
      <c r="E281">
        <v>1</v>
      </c>
    </row>
    <row r="282" spans="1:5">
      <c r="A282">
        <v>319</v>
      </c>
      <c r="B282">
        <v>606202400</v>
      </c>
      <c r="C282" t="str">
        <f>"Permit Senior/TAP 30 days validity"</f>
        <v>Permit Senior/TAP 30 days validity</v>
      </c>
      <c r="E282">
        <v>1</v>
      </c>
    </row>
    <row r="283" spans="1:5">
      <c r="A283">
        <v>319</v>
      </c>
      <c r="B283">
        <v>606202600</v>
      </c>
      <c r="C283" t="str">
        <f>"Student Permits w SV w/o Pb Mo-Fr 3am-11pm"</f>
        <v>Student Permits w SV w/o Pb Mo-Fr 3am-11pm</v>
      </c>
      <c r="E283">
        <v>1</v>
      </c>
    </row>
    <row r="284" spans="1:5">
      <c r="A284">
        <v>319</v>
      </c>
      <c r="B284">
        <v>606300100</v>
      </c>
      <c r="C284" t="str">
        <f>"The RIDE ID"</f>
        <v>The RIDE ID</v>
      </c>
      <c r="D284">
        <v>1</v>
      </c>
    </row>
    <row r="285" spans="1:5">
      <c r="A285">
        <v>319</v>
      </c>
      <c r="B285">
        <v>606301000</v>
      </c>
      <c r="C285" t="str">
        <f>"Blind ID2 5 yrs. wo pb"</f>
        <v>Blind ID2 5 yrs. wo pb</v>
      </c>
      <c r="D285">
        <v>1</v>
      </c>
    </row>
    <row r="286" spans="1:5">
      <c r="A286">
        <v>319</v>
      </c>
      <c r="B286">
        <v>606302000</v>
      </c>
      <c r="C286" t="str">
        <f>"Blind ID2 4 yrs. wo pb"</f>
        <v>Blind ID2 4 yrs. wo pb</v>
      </c>
      <c r="D286">
        <v>1</v>
      </c>
    </row>
    <row r="287" spans="1:5">
      <c r="A287">
        <v>319</v>
      </c>
      <c r="B287">
        <v>606302100</v>
      </c>
      <c r="C287" t="str">
        <f>"Blind ID2 3 yrs. wo pb"</f>
        <v>Blind ID2 3 yrs. wo pb</v>
      </c>
      <c r="D287">
        <v>1</v>
      </c>
    </row>
    <row r="288" spans="1:5">
      <c r="A288">
        <v>319</v>
      </c>
      <c r="B288">
        <v>606302200</v>
      </c>
      <c r="C288" t="str">
        <f>"Blind ID2 2 yrs. wo pb"</f>
        <v>Blind ID2 2 yrs. wo pb</v>
      </c>
      <c r="D288">
        <v>1</v>
      </c>
    </row>
    <row r="289" spans="1:6">
      <c r="A289">
        <v>319</v>
      </c>
      <c r="B289">
        <v>606302300</v>
      </c>
      <c r="C289" t="str">
        <f>"Blind ID2 1 yrs. wo pb"</f>
        <v>Blind ID2 1 yrs. wo pb</v>
      </c>
      <c r="D289">
        <v>1</v>
      </c>
    </row>
    <row r="290" spans="1:6">
      <c r="A290">
        <v>319</v>
      </c>
      <c r="B290">
        <v>607000100</v>
      </c>
      <c r="C290" t="str">
        <f>"SV Adult (MC)"</f>
        <v>SV Adult (MC)</v>
      </c>
      <c r="F290">
        <v>1</v>
      </c>
    </row>
    <row r="291" spans="1:6">
      <c r="A291">
        <v>319</v>
      </c>
      <c r="B291">
        <v>607000300</v>
      </c>
      <c r="C291" t="str">
        <f>"SV Child (MC)"</f>
        <v>SV Child (MC)</v>
      </c>
      <c r="F291">
        <v>1</v>
      </c>
    </row>
    <row r="292" spans="1:6">
      <c r="A292">
        <v>319</v>
      </c>
      <c r="B292">
        <v>607000400</v>
      </c>
      <c r="C292" t="str">
        <f>"Student IDs w SV w Pb Mo-Fr 3am-11pm"</f>
        <v>Student IDs w SV w Pb Mo-Fr 3am-11pm</v>
      </c>
      <c r="D292">
        <v>1</v>
      </c>
    </row>
    <row r="293" spans="1:6">
      <c r="A293">
        <v>319</v>
      </c>
      <c r="B293">
        <v>607100100</v>
      </c>
      <c r="C293" t="str">
        <f>"SV Adult (SC)"</f>
        <v>SV Adult (SC)</v>
      </c>
      <c r="D293">
        <v>1</v>
      </c>
    </row>
    <row r="294" spans="1:6">
      <c r="A294">
        <v>319</v>
      </c>
      <c r="B294">
        <v>607100300</v>
      </c>
      <c r="C294" t="str">
        <f>"SV Child (SC)"</f>
        <v>SV Child (SC)</v>
      </c>
      <c r="D294">
        <v>1</v>
      </c>
    </row>
    <row r="295" spans="1:6">
      <c r="A295">
        <v>319</v>
      </c>
      <c r="B295">
        <v>607102700</v>
      </c>
      <c r="C295" t="str">
        <f>"Student IDs w SV w Pb Mo-Fr 3am-11:00pm"</f>
        <v>Student IDs w SV w Pb Mo-Fr 3am-11:00pm</v>
      </c>
      <c r="D295">
        <v>1</v>
      </c>
    </row>
    <row r="296" spans="1:6">
      <c r="A296">
        <v>319</v>
      </c>
      <c r="B296">
        <v>607200100</v>
      </c>
      <c r="C296" t="str">
        <f>"SV Change Card Adult"</f>
        <v>SV Change Card Adult</v>
      </c>
      <c r="F296">
        <v>1</v>
      </c>
    </row>
    <row r="297" spans="1:6">
      <c r="A297">
        <v>319</v>
      </c>
      <c r="B297">
        <v>608300100</v>
      </c>
      <c r="C297" t="str">
        <f>"The T-Pass"</f>
        <v>The T-Pass</v>
      </c>
      <c r="D297">
        <v>1</v>
      </c>
      <c r="E297">
        <v>1</v>
      </c>
    </row>
    <row r="298" spans="1:6">
      <c r="A298">
        <v>319</v>
      </c>
      <c r="B298">
        <v>609000100</v>
      </c>
      <c r="C298" t="str">
        <f>"1 Day Link Pass active (24h)"</f>
        <v>1 Day Link Pass active (24h)</v>
      </c>
      <c r="D298">
        <v>1</v>
      </c>
      <c r="E298">
        <v>1</v>
      </c>
    </row>
    <row r="299" spans="1:6">
      <c r="A299">
        <v>319</v>
      </c>
      <c r="B299">
        <v>609100100</v>
      </c>
      <c r="C299" t="str">
        <f>"3 Day Link Pass active (3x 24h)"</f>
        <v>3 Day Link Pass active (3x 24h)</v>
      </c>
      <c r="D299">
        <v>1</v>
      </c>
      <c r="E299">
        <v>1</v>
      </c>
    </row>
    <row r="300" spans="1:6">
      <c r="A300">
        <v>319</v>
      </c>
      <c r="B300">
        <v>609200100</v>
      </c>
      <c r="C300" t="str">
        <f>"7 Day Link Pass active (7x 24h)"</f>
        <v>7 Day Link Pass active (7x 24h)</v>
      </c>
      <c r="D300">
        <v>1</v>
      </c>
      <c r="E300">
        <v>1</v>
      </c>
    </row>
    <row r="301" spans="1:6">
      <c r="A301">
        <v>319</v>
      </c>
      <c r="B301">
        <v>609300100</v>
      </c>
      <c r="C301" t="str">
        <f>"1 Day Link Pass not active (24h)"</f>
        <v>1 Day Link Pass not active (24h)</v>
      </c>
      <c r="D301">
        <v>1</v>
      </c>
      <c r="E301">
        <v>1</v>
      </c>
    </row>
    <row r="302" spans="1:6">
      <c r="A302">
        <v>319</v>
      </c>
      <c r="B302">
        <v>609400100</v>
      </c>
      <c r="C302" t="str">
        <f>"3 Day Link Pass not active (3x 24h)"</f>
        <v>3 Day Link Pass not active (3x 24h)</v>
      </c>
      <c r="D302">
        <v>1</v>
      </c>
      <c r="E302">
        <v>1</v>
      </c>
    </row>
    <row r="303" spans="1:6">
      <c r="A303">
        <v>319</v>
      </c>
      <c r="B303">
        <v>609500100</v>
      </c>
      <c r="C303" t="str">
        <f>"7 Day Link Pass not active (7x 24h)"</f>
        <v>7 Day Link Pass not active (7x 24h)</v>
      </c>
      <c r="D303">
        <v>1</v>
      </c>
      <c r="E303">
        <v>1</v>
      </c>
    </row>
    <row r="304" spans="1:6">
      <c r="A304">
        <v>319</v>
      </c>
      <c r="B304">
        <v>609600100</v>
      </c>
      <c r="C304" t="str">
        <f>"Activation of 1 Day Link Pass (24h)"</f>
        <v>Activation of 1 Day Link Pass (24h)</v>
      </c>
      <c r="D304">
        <v>1</v>
      </c>
      <c r="E304">
        <v>1</v>
      </c>
    </row>
    <row r="305" spans="1:5">
      <c r="A305">
        <v>319</v>
      </c>
      <c r="B305">
        <v>609700100</v>
      </c>
      <c r="C305" t="str">
        <f>"Activation of 3 Day Link Pass (3x 24h)"</f>
        <v>Activation of 3 Day Link Pass (3x 24h)</v>
      </c>
      <c r="D305">
        <v>1</v>
      </c>
      <c r="E305">
        <v>1</v>
      </c>
    </row>
    <row r="306" spans="1:5">
      <c r="A306">
        <v>319</v>
      </c>
      <c r="B306">
        <v>609800100</v>
      </c>
      <c r="C306" t="str">
        <f>"Activation of 7 Day Link Pass (7x 24h)"</f>
        <v>Activation of 7 Day Link Pass (7x 24h)</v>
      </c>
      <c r="D306">
        <v>1</v>
      </c>
      <c r="E306">
        <v>1</v>
      </c>
    </row>
    <row r="307" spans="1:5">
      <c r="A307">
        <v>319</v>
      </c>
      <c r="B307">
        <v>609900100</v>
      </c>
      <c r="C307" t="str">
        <f>"7 Day Rolling T-Pass active"</f>
        <v>7 Day Rolling T-Pass active</v>
      </c>
      <c r="D307">
        <v>1</v>
      </c>
      <c r="E307">
        <v>1</v>
      </c>
    </row>
    <row r="308" spans="1:5">
      <c r="A308">
        <v>319</v>
      </c>
      <c r="B308">
        <v>610000100</v>
      </c>
      <c r="C308" t="str">
        <f>"31 Day Rolling T-Pass active"</f>
        <v>31 Day Rolling T-Pass active</v>
      </c>
      <c r="D308">
        <v>1</v>
      </c>
      <c r="E308">
        <v>1</v>
      </c>
    </row>
    <row r="309" spans="1:5">
      <c r="A309">
        <v>319</v>
      </c>
      <c r="B309">
        <v>610100100</v>
      </c>
      <c r="C309" t="str">
        <f>"7 Day Rolling T-Pass not active"</f>
        <v>7 Day Rolling T-Pass not active</v>
      </c>
      <c r="D309">
        <v>1</v>
      </c>
      <c r="E309">
        <v>1</v>
      </c>
    </row>
    <row r="310" spans="1:5">
      <c r="A310">
        <v>319</v>
      </c>
      <c r="B310">
        <v>610200100</v>
      </c>
      <c r="C310" t="str">
        <f>"31 Day Rolling T-Pass not active"</f>
        <v>31 Day Rolling T-Pass not active</v>
      </c>
      <c r="D310">
        <v>1</v>
      </c>
      <c r="E310">
        <v>1</v>
      </c>
    </row>
    <row r="311" spans="1:5">
      <c r="A311">
        <v>319</v>
      </c>
      <c r="B311">
        <v>610300100</v>
      </c>
      <c r="C311" t="str">
        <f>"Activation of 7 Day Rolling T-Pass"</f>
        <v>Activation of 7 Day Rolling T-Pass</v>
      </c>
      <c r="D311">
        <v>1</v>
      </c>
      <c r="E311">
        <v>1</v>
      </c>
    </row>
    <row r="312" spans="1:5">
      <c r="A312">
        <v>319</v>
      </c>
      <c r="B312">
        <v>610400100</v>
      </c>
      <c r="C312" t="str">
        <f>"Activation of 31 Day Rolling T-Pass"</f>
        <v>Activation of 31 Day Rolling T-Pass</v>
      </c>
      <c r="D312">
        <v>1</v>
      </c>
      <c r="E312">
        <v>1</v>
      </c>
    </row>
    <row r="313" spans="1:5">
      <c r="A313">
        <v>319</v>
      </c>
      <c r="B313">
        <v>610500100</v>
      </c>
      <c r="C313" t="str">
        <f>"1 Day Rolling T-Pass active"</f>
        <v>1 Day Rolling T-Pass active</v>
      </c>
      <c r="D313">
        <v>1</v>
      </c>
      <c r="E313">
        <v>1</v>
      </c>
    </row>
    <row r="314" spans="1:5">
      <c r="A314">
        <v>319</v>
      </c>
      <c r="B314">
        <v>610600100</v>
      </c>
      <c r="C314" t="str">
        <f>"3 Day Rolling T-Pass active"</f>
        <v>3 Day Rolling T-Pass active</v>
      </c>
      <c r="D314">
        <v>1</v>
      </c>
      <c r="E314">
        <v>1</v>
      </c>
    </row>
    <row r="315" spans="1:5">
      <c r="A315">
        <v>319</v>
      </c>
      <c r="B315">
        <v>610700100</v>
      </c>
      <c r="C315" t="str">
        <f>"30 Day Rolling T-Pass active"</f>
        <v>30 Day Rolling T-Pass active</v>
      </c>
      <c r="D315">
        <v>1</v>
      </c>
      <c r="E315">
        <v>1</v>
      </c>
    </row>
    <row r="316" spans="1:5">
      <c r="A316">
        <v>319</v>
      </c>
      <c r="B316">
        <v>610800100</v>
      </c>
      <c r="C316" t="str">
        <f>"1 Day Rolling T-Pass not active"</f>
        <v>1 Day Rolling T-Pass not active</v>
      </c>
      <c r="D316">
        <v>1</v>
      </c>
      <c r="E316">
        <v>1</v>
      </c>
    </row>
    <row r="317" spans="1:5">
      <c r="A317">
        <v>319</v>
      </c>
      <c r="B317">
        <v>610900100</v>
      </c>
      <c r="C317" t="str">
        <f>"3 Day Rolling T-Pass not active"</f>
        <v>3 Day Rolling T-Pass not active</v>
      </c>
      <c r="D317">
        <v>1</v>
      </c>
      <c r="E317">
        <v>1</v>
      </c>
    </row>
    <row r="318" spans="1:5">
      <c r="A318">
        <v>319</v>
      </c>
      <c r="B318">
        <v>611000100</v>
      </c>
      <c r="C318" t="str">
        <f>"30 Day Rolling T-Pass not active"</f>
        <v>30 Day Rolling T-Pass not active</v>
      </c>
      <c r="D318">
        <v>1</v>
      </c>
      <c r="E318">
        <v>1</v>
      </c>
    </row>
    <row r="319" spans="1:5">
      <c r="A319">
        <v>319</v>
      </c>
      <c r="B319">
        <v>611100100</v>
      </c>
      <c r="C319" t="str">
        <f>"Activation of 1 Day Rolling T-Pass"</f>
        <v>Activation of 1 Day Rolling T-Pass</v>
      </c>
      <c r="D319">
        <v>1</v>
      </c>
      <c r="E319">
        <v>1</v>
      </c>
    </row>
    <row r="320" spans="1:5">
      <c r="A320">
        <v>319</v>
      </c>
      <c r="B320">
        <v>611200100</v>
      </c>
      <c r="C320" t="str">
        <f>"Activation of 3 Day Rolling T-Pass"</f>
        <v>Activation of 3 Day Rolling T-Pass</v>
      </c>
      <c r="D320">
        <v>1</v>
      </c>
      <c r="E320">
        <v>1</v>
      </c>
    </row>
    <row r="321" spans="1:6">
      <c r="A321">
        <v>319</v>
      </c>
      <c r="B321">
        <v>611300100</v>
      </c>
      <c r="C321" t="str">
        <f>"Activation of 30 Day Rolling T-Pass"</f>
        <v>Activation of 30 Day Rolling T-Pass</v>
      </c>
      <c r="D321">
        <v>1</v>
      </c>
      <c r="E321">
        <v>1</v>
      </c>
    </row>
    <row r="322" spans="1:6">
      <c r="A322">
        <v>319</v>
      </c>
      <c r="B322">
        <v>611400400</v>
      </c>
      <c r="C322" t="str">
        <f>"Student IDs w SV w Pb Mo-Sa 3am-11pm"</f>
        <v>Student IDs w SV w Pb Mo-Sa 3am-11pm</v>
      </c>
      <c r="D322">
        <v>1</v>
      </c>
    </row>
    <row r="323" spans="1:6">
      <c r="A323">
        <v>319</v>
      </c>
      <c r="B323">
        <v>611500400</v>
      </c>
      <c r="C323" t="str">
        <f>"Student IDs w SV w Pb Mo-Sa 3am-11:00pm"</f>
        <v>Student IDs w SV w Pb Mo-Sa 3am-11:00pm</v>
      </c>
      <c r="D323">
        <v>1</v>
      </c>
    </row>
    <row r="324" spans="1:6">
      <c r="A324">
        <v>319</v>
      </c>
      <c r="B324">
        <v>618000100</v>
      </c>
      <c r="C324" t="str">
        <f>"Activation of Monthly Link RPass Adult"</f>
        <v>Activation of Monthly Link RPass Adult</v>
      </c>
      <c r="D324">
        <v>1</v>
      </c>
      <c r="E324">
        <v>1</v>
      </c>
    </row>
    <row r="325" spans="1:6">
      <c r="A325">
        <v>319</v>
      </c>
      <c r="B325">
        <v>618100100</v>
      </c>
      <c r="C325" t="str">
        <f>"Activation of Inner Express Bus Monthly RPass"</f>
        <v>Activation of Inner Express Bus Monthly RPass</v>
      </c>
      <c r="D325">
        <v>1</v>
      </c>
      <c r="E325">
        <v>1</v>
      </c>
    </row>
    <row r="326" spans="1:6">
      <c r="A326">
        <v>319</v>
      </c>
      <c r="B326">
        <v>618200100</v>
      </c>
      <c r="C326" t="str">
        <f>"Activation of Outer Express Bus Monthly RPass"</f>
        <v>Activation of Outer Express Bus Monthly RPass</v>
      </c>
      <c r="D326">
        <v>1</v>
      </c>
      <c r="E326">
        <v>1</v>
      </c>
    </row>
    <row r="327" spans="1:6">
      <c r="A327">
        <v>319</v>
      </c>
      <c r="B327">
        <v>618300100</v>
      </c>
      <c r="C327" t="str">
        <f>"Activation of Local Bus Monthly RPass Adult"</f>
        <v>Activation of Local Bus Monthly RPass Adult</v>
      </c>
      <c r="D327">
        <v>1</v>
      </c>
      <c r="E327">
        <v>1</v>
      </c>
    </row>
    <row r="328" spans="1:6">
      <c r="A328">
        <v>319</v>
      </c>
      <c r="B328">
        <v>618500500</v>
      </c>
      <c r="C328" t="str">
        <f>"Activation of Monthly Link RPass Senior"</f>
        <v>Activation of Monthly Link RPass Senior</v>
      </c>
      <c r="D328">
        <v>1</v>
      </c>
      <c r="E328">
        <v>1</v>
      </c>
    </row>
    <row r="329" spans="1:6">
      <c r="A329">
        <v>319</v>
      </c>
      <c r="B329">
        <v>618500600</v>
      </c>
      <c r="C329" t="str">
        <f>"Activation of Monthly Link RPass T.A.P."</f>
        <v>Activation of Monthly Link RPass T.A.P.</v>
      </c>
      <c r="D329">
        <v>1</v>
      </c>
      <c r="E329">
        <v>1</v>
      </c>
    </row>
    <row r="330" spans="1:6">
      <c r="A330">
        <v>319</v>
      </c>
      <c r="B330">
        <v>618700100</v>
      </c>
      <c r="C330" t="str">
        <f>"Activation of Monthly Commuter Boat RPass"</f>
        <v>Activation of Monthly Commuter Boat RPass</v>
      </c>
      <c r="D330">
        <v>1</v>
      </c>
      <c r="E330">
        <v>1</v>
      </c>
    </row>
    <row r="331" spans="1:6">
      <c r="A331">
        <v>319</v>
      </c>
      <c r="B331">
        <v>619000100</v>
      </c>
      <c r="C331" t="str">
        <f>"1 Day Link Pass active FVM/TOM/RST/FBX"</f>
        <v>1 Day Link Pass active FVM/TOM/RST/FBX</v>
      </c>
      <c r="D331">
        <v>1</v>
      </c>
      <c r="E331">
        <v>1</v>
      </c>
    </row>
    <row r="332" spans="1:6">
      <c r="A332">
        <v>319</v>
      </c>
      <c r="B332">
        <v>619200100</v>
      </c>
      <c r="C332" t="str">
        <f>"7 Day Link Pass active FVM/TOM/RST"</f>
        <v>7 Day Link Pass active FVM/TOM/RST</v>
      </c>
      <c r="D332">
        <v>1</v>
      </c>
      <c r="E332">
        <v>1</v>
      </c>
    </row>
    <row r="333" spans="1:6">
      <c r="A333">
        <v>319</v>
      </c>
      <c r="B333">
        <v>620000100</v>
      </c>
      <c r="C333" t="str">
        <f>"Transfer Flex Adult"</f>
        <v>Transfer Flex Adult</v>
      </c>
      <c r="D333">
        <v>1</v>
      </c>
    </row>
    <row r="334" spans="1:6">
      <c r="A334">
        <v>319</v>
      </c>
      <c r="B334">
        <v>620000400</v>
      </c>
      <c r="C334" t="str">
        <f>"Transfer Flex Student"</f>
        <v>Transfer Flex Student</v>
      </c>
      <c r="D334">
        <v>1</v>
      </c>
    </row>
    <row r="335" spans="1:6">
      <c r="A335">
        <v>319</v>
      </c>
      <c r="B335">
        <v>620000500</v>
      </c>
      <c r="C335" t="str">
        <f>"Transfer Flex Senior"</f>
        <v>Transfer Flex Senior</v>
      </c>
      <c r="D335">
        <v>1</v>
      </c>
      <c r="F335" s="1">
        <v>1</v>
      </c>
    </row>
    <row r="336" spans="1:6">
      <c r="A336">
        <v>319</v>
      </c>
      <c r="B336">
        <v>620000600</v>
      </c>
      <c r="C336" t="str">
        <f>"Transfer Flex T.A.P."</f>
        <v>Transfer Flex T.A.P.</v>
      </c>
      <c r="D336">
        <v>1</v>
      </c>
      <c r="F336" s="1">
        <v>1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SQLT0002</vt:lpstr>
    </vt:vector>
  </TitlesOfParts>
  <Company>MBTA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rsc5625</dc:creator>
  <cp:lastModifiedBy> End User</cp:lastModifiedBy>
  <dcterms:created xsi:type="dcterms:W3CDTF">2010-12-22T21:18:36Z</dcterms:created>
  <dcterms:modified xsi:type="dcterms:W3CDTF">2011-02-09T21:34:48Z</dcterms:modified>
</cp:coreProperties>
</file>