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showInkAnnotation="0" autoCompressPictures="0"/>
  <bookViews>
    <workbookView xWindow="0" yWindow="0" windowWidth="28800" windowHeight="17480" tabRatio="500" activeTab="3"/>
  </bookViews>
  <sheets>
    <sheet name="Std Curve" sheetId="2" r:id="rId1"/>
    <sheet name="Data" sheetId="1" r:id="rId2"/>
    <sheet name="ug per mg lung" sheetId="3" r:id="rId3"/>
    <sheet name="Treatments graphed" sheetId="4" r:id="rId4"/>
    <sheet name="Stats" sheetId="5" r:id="rId5"/>
    <sheet name="M vs F" sheetId="6" r:id="rId6"/>
  </sheet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Q23" i="6" l="1"/>
  <c r="P23" i="6"/>
  <c r="Q22" i="6"/>
  <c r="P22" i="6"/>
  <c r="O23" i="6"/>
  <c r="N23" i="6"/>
  <c r="O22" i="6"/>
  <c r="N22" i="6"/>
  <c r="Q21" i="6"/>
  <c r="P21" i="6"/>
  <c r="O21" i="6"/>
  <c r="N21" i="6"/>
  <c r="K21" i="6"/>
  <c r="L21" i="6"/>
  <c r="L22" i="6"/>
  <c r="K22" i="6"/>
  <c r="K23" i="6"/>
  <c r="L23" i="6"/>
  <c r="D24" i="4"/>
  <c r="E24" i="4"/>
  <c r="E23" i="4"/>
  <c r="D23" i="4"/>
  <c r="E22" i="4"/>
  <c r="D22" i="4"/>
  <c r="C22" i="4"/>
  <c r="C23" i="4"/>
  <c r="C24" i="4"/>
  <c r="U25" i="3"/>
  <c r="U24" i="3"/>
  <c r="U23" i="3"/>
  <c r="T21" i="3"/>
  <c r="S25" i="3"/>
  <c r="S24" i="3"/>
  <c r="S23" i="3"/>
  <c r="R21" i="3"/>
  <c r="Q25" i="3"/>
  <c r="Q24" i="3"/>
  <c r="Q23" i="3"/>
  <c r="P21" i="3"/>
  <c r="O25" i="3"/>
  <c r="O24" i="3"/>
  <c r="O23" i="3"/>
  <c r="N21" i="3"/>
  <c r="M25" i="3"/>
  <c r="M24" i="3"/>
  <c r="M23" i="3"/>
  <c r="L21" i="3"/>
  <c r="K25" i="3"/>
  <c r="K24" i="3"/>
  <c r="K23" i="3"/>
  <c r="J21" i="3"/>
  <c r="I25" i="3"/>
  <c r="I24" i="3"/>
  <c r="I23" i="3"/>
  <c r="H21" i="3"/>
  <c r="G25" i="3"/>
  <c r="G24" i="3"/>
  <c r="G23" i="3"/>
  <c r="F21" i="3"/>
  <c r="E25" i="3"/>
  <c r="E24" i="3"/>
  <c r="E23" i="3"/>
  <c r="D21" i="3"/>
  <c r="U16" i="3"/>
  <c r="U15" i="3"/>
  <c r="U14" i="3"/>
  <c r="U13" i="3"/>
  <c r="S17" i="3"/>
  <c r="S16" i="3"/>
  <c r="S15" i="3"/>
  <c r="S14" i="3"/>
  <c r="S13" i="3"/>
  <c r="Q17" i="3"/>
  <c r="Q16" i="3"/>
  <c r="Q15" i="3"/>
  <c r="Q14" i="3"/>
  <c r="Q13" i="3"/>
  <c r="O17" i="3"/>
  <c r="O16" i="3"/>
  <c r="O15" i="3"/>
  <c r="O14" i="3"/>
  <c r="O13" i="3"/>
  <c r="M16" i="3"/>
  <c r="M15" i="3"/>
  <c r="M14" i="3"/>
  <c r="M13" i="3"/>
  <c r="K16" i="3"/>
  <c r="K15" i="3"/>
  <c r="K14" i="3"/>
  <c r="K13" i="3"/>
  <c r="I15" i="3"/>
  <c r="I14" i="3"/>
  <c r="I13" i="3"/>
  <c r="G17" i="3"/>
  <c r="G16" i="3"/>
  <c r="G15" i="3"/>
  <c r="G14" i="3"/>
  <c r="G13" i="3"/>
  <c r="E17" i="3"/>
  <c r="E16" i="3"/>
  <c r="E15" i="3"/>
  <c r="E14" i="3"/>
  <c r="E13" i="3"/>
  <c r="P35" i="1"/>
  <c r="P34" i="1"/>
  <c r="P33" i="1"/>
  <c r="P32" i="1"/>
  <c r="O35" i="1"/>
  <c r="O34" i="1"/>
  <c r="O33" i="1"/>
  <c r="O32" i="1"/>
  <c r="M36" i="1"/>
  <c r="M35" i="1"/>
  <c r="M34" i="1"/>
  <c r="M33" i="1"/>
  <c r="M32" i="1"/>
  <c r="L36" i="1"/>
  <c r="L35" i="1"/>
  <c r="L34" i="1"/>
  <c r="L33" i="1"/>
  <c r="L32" i="1"/>
  <c r="J36" i="1"/>
  <c r="J35" i="1"/>
  <c r="J34" i="1"/>
  <c r="J33" i="1"/>
  <c r="J32" i="1"/>
  <c r="I36" i="1"/>
  <c r="I35" i="1"/>
  <c r="I34" i="1"/>
  <c r="I33" i="1"/>
  <c r="I32" i="1"/>
  <c r="G36" i="1"/>
  <c r="G35" i="1"/>
  <c r="G34" i="1"/>
  <c r="G33" i="1"/>
  <c r="G32" i="1"/>
  <c r="F36" i="1"/>
  <c r="F35" i="1"/>
  <c r="F34" i="1"/>
  <c r="F33" i="1"/>
  <c r="F32" i="1"/>
  <c r="D35" i="1"/>
  <c r="D34" i="1"/>
  <c r="D33" i="1"/>
  <c r="D32" i="1"/>
  <c r="C35" i="1"/>
  <c r="C34" i="1"/>
  <c r="C33" i="1"/>
  <c r="C32" i="1"/>
  <c r="P25" i="1"/>
  <c r="P24" i="1"/>
  <c r="P23" i="1"/>
  <c r="P22" i="1"/>
  <c r="O25" i="1"/>
  <c r="O24" i="1"/>
  <c r="O23" i="1"/>
  <c r="O22" i="1"/>
  <c r="M24" i="1"/>
  <c r="M23" i="1"/>
  <c r="M22" i="1"/>
  <c r="L24" i="1"/>
  <c r="L23" i="1"/>
  <c r="L22" i="1"/>
  <c r="J26" i="1"/>
  <c r="J25" i="1"/>
  <c r="J24" i="1"/>
  <c r="J23" i="1"/>
  <c r="J22" i="1"/>
  <c r="I26" i="1"/>
  <c r="I25" i="1"/>
  <c r="I24" i="1"/>
  <c r="I23" i="1"/>
  <c r="I22" i="1"/>
  <c r="G26" i="1"/>
  <c r="G25" i="1"/>
  <c r="G24" i="1"/>
  <c r="G23" i="1"/>
  <c r="G22" i="1"/>
  <c r="F26" i="1"/>
  <c r="F25" i="1"/>
  <c r="F24" i="1"/>
  <c r="F23" i="1"/>
  <c r="F22" i="1"/>
  <c r="D29" i="1"/>
  <c r="D28" i="1"/>
  <c r="D27" i="1"/>
  <c r="D26" i="1"/>
  <c r="D25" i="1"/>
  <c r="D24" i="1"/>
  <c r="D23" i="1"/>
  <c r="D22" i="1"/>
  <c r="C29" i="1"/>
  <c r="C28" i="1"/>
  <c r="C27" i="1"/>
  <c r="C26" i="1"/>
  <c r="C25" i="1"/>
  <c r="C24" i="1"/>
  <c r="C23" i="1"/>
  <c r="C22" i="1"/>
  <c r="C10" i="2"/>
  <c r="C9" i="2"/>
  <c r="C8" i="2"/>
  <c r="C7" i="2"/>
  <c r="C6" i="2"/>
  <c r="C5" i="2"/>
  <c r="C4" i="2"/>
  <c r="C3" i="2"/>
</calcChain>
</file>

<file path=xl/sharedStrings.xml><?xml version="1.0" encoding="utf-8"?>
<sst xmlns="http://schemas.openxmlformats.org/spreadsheetml/2006/main" count="240" uniqueCount="109">
  <si>
    <t>Plate:</t>
  </si>
  <si>
    <t>Plate01</t>
  </si>
  <si>
    <t>Absorbance</t>
  </si>
  <si>
    <t>SoftMax Pro software, SpectraMax plate reader Plus</t>
  </si>
  <si>
    <t>96 wells read</t>
  </si>
  <si>
    <t>570 nm</t>
  </si>
  <si>
    <t>21.7 degrees C</t>
  </si>
  <si>
    <t>Standard</t>
  </si>
  <si>
    <t>Averages</t>
  </si>
  <si>
    <t>Concentration</t>
  </si>
  <si>
    <t>ug/ml</t>
  </si>
  <si>
    <t xml:space="preserve">Standard </t>
  </si>
  <si>
    <t>Group:</t>
  </si>
  <si>
    <t xml:space="preserve">average </t>
  </si>
  <si>
    <t>Conc</t>
  </si>
  <si>
    <t xml:space="preserve">Average 1 </t>
  </si>
  <si>
    <t xml:space="preserve">Conc </t>
  </si>
  <si>
    <t>Average 2</t>
  </si>
  <si>
    <t xml:space="preserve">conc </t>
  </si>
  <si>
    <t>Average 3</t>
  </si>
  <si>
    <t>Average 4</t>
  </si>
  <si>
    <t>Average 5</t>
  </si>
  <si>
    <t>conc</t>
  </si>
  <si>
    <t xml:space="preserve">Average 6 </t>
  </si>
  <si>
    <t>Average 7</t>
  </si>
  <si>
    <t>Average 8</t>
  </si>
  <si>
    <t>Average 9</t>
  </si>
  <si>
    <t xml:space="preserve">/ mg lung </t>
  </si>
  <si>
    <t xml:space="preserve">av </t>
  </si>
  <si>
    <t xml:space="preserve">average conc </t>
  </si>
  <si>
    <t>STDV</t>
  </si>
  <si>
    <t>SEM</t>
  </si>
  <si>
    <t>av</t>
  </si>
  <si>
    <t>Box 1</t>
  </si>
  <si>
    <t>Box 2</t>
  </si>
  <si>
    <t>Box 3</t>
  </si>
  <si>
    <t>Box 4</t>
  </si>
  <si>
    <t>Box 5</t>
  </si>
  <si>
    <t>Box 6</t>
  </si>
  <si>
    <t>Box 7</t>
  </si>
  <si>
    <t>Box 8</t>
  </si>
  <si>
    <t>Box 9</t>
  </si>
  <si>
    <t>AzA</t>
  </si>
  <si>
    <t>LA</t>
  </si>
  <si>
    <t>Saline</t>
  </si>
  <si>
    <t>Now combine by treatments:</t>
  </si>
  <si>
    <t>Mean</t>
  </si>
  <si>
    <t>Std Dev</t>
  </si>
  <si>
    <t>Copied from ug per mg lung tab</t>
  </si>
  <si>
    <t>Added treatments to box numbers:</t>
  </si>
  <si>
    <t>Analysis of Variance (One-Way)</t>
  </si>
  <si>
    <t>Descriptive Statistics</t>
  </si>
  <si>
    <t>Groups</t>
  </si>
  <si>
    <t>Sample size</t>
  </si>
  <si>
    <t>Sum</t>
  </si>
  <si>
    <t>Variance</t>
  </si>
  <si>
    <t>Total</t>
  </si>
  <si>
    <t/>
  </si>
  <si>
    <t>ANOVA</t>
  </si>
  <si>
    <t>Source of Variation</t>
  </si>
  <si>
    <t>d.f.</t>
  </si>
  <si>
    <t>SS</t>
  </si>
  <si>
    <t>MS</t>
  </si>
  <si>
    <t>F</t>
  </si>
  <si>
    <t>p-level</t>
  </si>
  <si>
    <t>F crit</t>
  </si>
  <si>
    <t>Omega Sqr.</t>
  </si>
  <si>
    <t>Between Groups</t>
  </si>
  <si>
    <t>Within Groups</t>
  </si>
  <si>
    <t>Hartley Fmax</t>
  </si>
  <si>
    <t>Degrees Of Freedom</t>
  </si>
  <si>
    <t>Cochran C</t>
  </si>
  <si>
    <t>Bartlett Chi-square</t>
  </si>
  <si>
    <t>Comparisons among groups (Factor 1 - Factor #1)</t>
  </si>
  <si>
    <t>Scheffe contrasts among pairs of means</t>
  </si>
  <si>
    <t>Group vs Group (Contrast)</t>
  </si>
  <si>
    <t>Difference</t>
  </si>
  <si>
    <t>95% Confidence Interval</t>
  </si>
  <si>
    <t>Test Statistics</t>
  </si>
  <si>
    <t>AzA vs LA</t>
  </si>
  <si>
    <t>AzA vs Saline</t>
  </si>
  <si>
    <t>LA vs Saline</t>
  </si>
  <si>
    <t>Tukey-Kramer Test for Differences Between Means</t>
  </si>
  <si>
    <t>Accepted?</t>
  </si>
  <si>
    <t>rejected</t>
  </si>
  <si>
    <t>accepted</t>
  </si>
  <si>
    <t>Bonferroni Test for Differences Between Means</t>
  </si>
  <si>
    <t>Alpha/N</t>
  </si>
  <si>
    <t>Fisher LSD</t>
  </si>
  <si>
    <t>StatPlus results</t>
  </si>
  <si>
    <t>** means p is &lt; 0.001!!!!!!!</t>
  </si>
  <si>
    <t>by 1-way ANOVA with post-hoc tests</t>
  </si>
  <si>
    <t xml:space="preserve">Different mouse boxes: </t>
  </si>
  <si>
    <t>Mouse boxes</t>
  </si>
  <si>
    <t>Don't use data per mouse box, but rather by treatments. See tab, Treatments graphed</t>
  </si>
  <si>
    <t>Zoie's experiment: Right lungs weighed and hydrolized using QuickZyme assay</t>
  </si>
  <si>
    <t>LAA</t>
  </si>
  <si>
    <t>Males vs Females</t>
  </si>
  <si>
    <t>Males</t>
  </si>
  <si>
    <t>Females</t>
  </si>
  <si>
    <t>p=0.01</t>
  </si>
  <si>
    <t>/ mg lung M</t>
  </si>
  <si>
    <t>/ mg lung F</t>
  </si>
  <si>
    <t>p=.4</t>
  </si>
  <si>
    <t>std dev</t>
  </si>
  <si>
    <t>sem</t>
  </si>
  <si>
    <t>I can't really explain this, so will not attempt</t>
  </si>
  <si>
    <t>to speculate in the paper</t>
  </si>
  <si>
    <t>p=0.47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</si>
</sst>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#####"/>
  </numFmts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0"/>
      <color indexed="8"/>
      <name val="Arial"/>
      <family val="2"/>
    </font>
    <font>
      <i/>
      <sz val="10"/>
      <color indexed="8"/>
      <name val="Arial"/>
      <family val="2"/>
    </font>
    <font>
      <sz val="12"/>
      <color rgb="FF000000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D78"/>
        <bgColor indexed="64"/>
      </patternFill>
    </fill>
    <fill>
      <patternFill patternType="solid">
        <fgColor rgb="FFFF8AD8"/>
        <bgColor indexed="64"/>
      </patternFill>
    </fill>
    <fill>
      <patternFill patternType="solid">
        <fgColor rgb="FF73FB79"/>
        <bgColor indexed="64"/>
      </patternFill>
    </fill>
    <fill>
      <patternFill patternType="solid">
        <fgColor rgb="FFFB451C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C2CFF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DAA"/>
        <bgColor indexed="64"/>
      </patternFill>
    </fill>
    <fill>
      <patternFill patternType="solid">
        <fgColor indexed="43"/>
        <bgColor indexed="9"/>
      </patternFill>
    </fill>
    <fill>
      <patternFill patternType="solid">
        <fgColor rgb="FFCCFFCC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E6B8B7"/>
        <bgColor rgb="FF000000"/>
      </patternFill>
    </fill>
    <fill>
      <patternFill patternType="solid">
        <fgColor rgb="FFC5D9F1"/>
        <bgColor rgb="FF000000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8"/>
      </bottom>
      <diagonal/>
    </border>
    <border>
      <left/>
      <right/>
      <top/>
      <bottom style="thin">
        <color indexed="8"/>
      </bottom>
      <diagonal/>
    </border>
  </borders>
  <cellStyleXfs count="5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7">
    <xf numFmtId="0" fontId="0" fillId="0" borderId="0" xfId="0"/>
    <xf numFmtId="0" fontId="0" fillId="2" borderId="0" xfId="0" applyFont="1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0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0" borderId="1" xfId="0" applyBorder="1"/>
    <xf numFmtId="0" fontId="4" fillId="0" borderId="2" xfId="0" applyFont="1" applyBorder="1" applyAlignment="1">
      <alignment horizontal="center"/>
    </xf>
    <xf numFmtId="0" fontId="0" fillId="0" borderId="2" xfId="0" applyBorder="1"/>
    <xf numFmtId="0" fontId="4" fillId="0" borderId="0" xfId="0" applyFont="1"/>
    <xf numFmtId="164" fontId="0" fillId="0" borderId="0" xfId="0" applyNumberFormat="1"/>
    <xf numFmtId="0" fontId="4" fillId="0" borderId="1" xfId="0" applyFont="1" applyBorder="1"/>
    <xf numFmtId="164" fontId="0" fillId="0" borderId="1" xfId="0" applyNumberFormat="1" applyBorder="1"/>
    <xf numFmtId="164" fontId="0" fillId="0" borderId="2" xfId="0" applyNumberFormat="1" applyBorder="1"/>
    <xf numFmtId="0" fontId="4" fillId="0" borderId="2" xfId="0" applyFont="1" applyBorder="1"/>
    <xf numFmtId="0" fontId="4" fillId="0" borderId="0" xfId="0" applyFont="1" applyAlignment="1">
      <alignment horizontal="center"/>
    </xf>
    <xf numFmtId="164" fontId="0" fillId="18" borderId="0" xfId="0" applyNumberFormat="1" applyFill="1"/>
    <xf numFmtId="0" fontId="0" fillId="18" borderId="0" xfId="0" applyFill="1"/>
    <xf numFmtId="0" fontId="0" fillId="18" borderId="2" xfId="0" applyFill="1" applyBorder="1"/>
    <xf numFmtId="164" fontId="0" fillId="18" borderId="2" xfId="0" applyNumberFormat="1" applyFill="1" applyBorder="1"/>
    <xf numFmtId="0" fontId="4" fillId="18" borderId="0" xfId="0" applyFont="1" applyFill="1"/>
    <xf numFmtId="0" fontId="4" fillId="18" borderId="2" xfId="0" applyFont="1" applyFill="1" applyBorder="1"/>
    <xf numFmtId="0" fontId="0" fillId="19" borderId="0" xfId="0" applyFill="1"/>
    <xf numFmtId="0" fontId="5" fillId="0" borderId="0" xfId="0" applyFont="1"/>
    <xf numFmtId="0" fontId="5" fillId="20" borderId="0" xfId="0" applyFont="1" applyFill="1"/>
    <xf numFmtId="0" fontId="5" fillId="21" borderId="0" xfId="0" applyFont="1" applyFill="1"/>
    <xf numFmtId="0" fontId="5" fillId="3" borderId="0" xfId="0" applyFont="1" applyFill="1"/>
    <xf numFmtId="0" fontId="4" fillId="0" borderId="2" xfId="0" applyFont="1" applyBorder="1"/>
    <xf numFmtId="0" fontId="0" fillId="0" borderId="2" xfId="0" applyBorder="1"/>
    <xf numFmtId="0" fontId="3" fillId="0" borderId="2" xfId="0" applyFont="1" applyBorder="1"/>
    <xf numFmtId="0" fontId="4" fillId="0" borderId="2" xfId="0" applyFont="1" applyBorder="1" applyAlignment="1">
      <alignment horizontal="center"/>
    </xf>
    <xf numFmtId="0" fontId="3" fillId="17" borderId="1" xfId="0" applyFont="1" applyFill="1" applyBorder="1" applyAlignment="1">
      <alignment horizontal="center"/>
    </xf>
    <xf numFmtId="0" fontId="0" fillId="0" borderId="1" xfId="0" applyBorder="1"/>
    <xf numFmtId="0" fontId="4" fillId="0" borderId="1" xfId="0" applyFont="1" applyBorder="1"/>
    <xf numFmtId="0" fontId="3" fillId="0" borderId="1" xfId="0" applyFont="1" applyBorder="1"/>
  </cellXfs>
  <cellStyles count="5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Normal" xfId="0" builtinId="0"/>
  </cellStyles>
  <dxfs count="0"/>
  <tableStyles count="0" defaultTableStyle="TableStyleMedium9" defaultPivotStyle="PivotStyleMedium4"/>
  <colors>
    <mruColors>
      <color rgb="FFFB451C"/>
      <color rgb="FFFFFDAA"/>
      <color rgb="FFFF8AD8"/>
      <color rgb="FFFFFD78"/>
      <color rgb="FF73FB79"/>
      <color rgb="FF6C2CFF"/>
      <color rgb="FF009C82"/>
      <color rgb="FF0096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'Std Curve'!$C$13</c:f>
              <c:strCache>
                <c:ptCount val="1"/>
                <c:pt idx="0">
                  <c:v>Concentration</c:v>
                </c:pt>
              </c:strCache>
            </c:strRef>
          </c:tx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'Std Curve'!$B$14:$B$21</c:f>
              <c:numCache>
                <c:formatCode>General</c:formatCode>
                <c:ptCount val="8"/>
                <c:pt idx="0">
                  <c:v>1.07545</c:v>
                </c:pt>
                <c:pt idx="1">
                  <c:v>0.75755</c:v>
                </c:pt>
                <c:pt idx="2">
                  <c:v>0.44505</c:v>
                </c:pt>
                <c:pt idx="3">
                  <c:v>0.2459</c:v>
                </c:pt>
                <c:pt idx="4">
                  <c:v>0.15265</c:v>
                </c:pt>
                <c:pt idx="5">
                  <c:v>0.09905</c:v>
                </c:pt>
                <c:pt idx="6">
                  <c:v>0.07335</c:v>
                </c:pt>
                <c:pt idx="7">
                  <c:v>0.0496</c:v>
                </c:pt>
              </c:numCache>
            </c:numRef>
          </c:xVal>
          <c:yVal>
            <c:numRef>
              <c:f>'Std Curve'!$C$14:$C$21</c:f>
              <c:numCache>
                <c:formatCode>General</c:formatCode>
                <c:ptCount val="8"/>
                <c:pt idx="0">
                  <c:v>300.0</c:v>
                </c:pt>
                <c:pt idx="1">
                  <c:v>200.0</c:v>
                </c:pt>
                <c:pt idx="2">
                  <c:v>100.0</c:v>
                </c:pt>
                <c:pt idx="3">
                  <c:v>50.0</c:v>
                </c:pt>
                <c:pt idx="4">
                  <c:v>25.0</c:v>
                </c:pt>
                <c:pt idx="5">
                  <c:v>12.5</c:v>
                </c:pt>
                <c:pt idx="6">
                  <c:v>6.25</c:v>
                </c:pt>
                <c:pt idx="7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9675480"/>
        <c:axId val="2109680584"/>
      </c:scatterChart>
      <c:valAx>
        <c:axId val="2109675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Absorbance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09680584"/>
        <c:crosses val="autoZero"/>
        <c:crossBetween val="midCat"/>
      </c:valAx>
      <c:valAx>
        <c:axId val="21096805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Concentration (ug/ml collagen)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096754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75000"/>
                <a:lumOff val="25000"/>
              </a:schemeClr>
            </a:solidFill>
          </c:spPr>
          <c:invertIfNegative val="0"/>
          <c:dLbls>
            <c:dLbl>
              <c:idx val="0"/>
              <c:delete val="1"/>
            </c:dLbl>
            <c:dLbl>
              <c:idx val="1"/>
              <c:layout>
                <c:manualLayout>
                  <c:x val="0.0"/>
                  <c:y val="-0.0324074074074074"/>
                </c:manualLayout>
              </c:layout>
              <c:tx>
                <c:rich>
                  <a:bodyPr/>
                  <a:lstStyle/>
                  <a:p>
                    <a:r>
                      <a:rPr lang="en-US" sz="1600"/>
                      <a:t>**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1.0185067526416E-16"/>
                  <c:y val="-0.0555555555555556"/>
                </c:manualLayout>
              </c:layout>
              <c:tx>
                <c:rich>
                  <a:bodyPr/>
                  <a:lstStyle/>
                  <a:p>
                    <a:r>
                      <a:rPr lang="en-US" sz="1600"/>
                      <a:t>**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errBars>
            <c:errBarType val="both"/>
            <c:errValType val="cust"/>
            <c:noEndCap val="0"/>
            <c:plus>
              <c:numRef>
                <c:f>'Treatments graphed'!$E$22:$E$24</c:f>
                <c:numCache>
                  <c:formatCode>General</c:formatCode>
                  <c:ptCount val="3"/>
                  <c:pt idx="0">
                    <c:v>0.182396289456815</c:v>
                  </c:pt>
                  <c:pt idx="1">
                    <c:v>0.0661289514116242</c:v>
                  </c:pt>
                  <c:pt idx="2">
                    <c:v>0.0622175594677889</c:v>
                  </c:pt>
                </c:numCache>
              </c:numRef>
            </c:plus>
            <c:minus>
              <c:numRef>
                <c:f>'Treatments graphed'!$E$22:$E$24</c:f>
                <c:numCache>
                  <c:formatCode>General</c:formatCode>
                  <c:ptCount val="3"/>
                  <c:pt idx="0">
                    <c:v>0.182396289456815</c:v>
                  </c:pt>
                  <c:pt idx="1">
                    <c:v>0.0661289514116242</c:v>
                  </c:pt>
                  <c:pt idx="2">
                    <c:v>0.0622175594677889</c:v>
                  </c:pt>
                </c:numCache>
              </c:numRef>
            </c:minus>
          </c:errBars>
          <c:cat>
            <c:strRef>
              <c:f>'Treatments graphed'!$B$22:$B$24</c:f>
              <c:strCache>
                <c:ptCount val="3"/>
                <c:pt idx="0">
                  <c:v>Saline</c:v>
                </c:pt>
                <c:pt idx="1">
                  <c:v>LAA</c:v>
                </c:pt>
                <c:pt idx="2">
                  <c:v>AzA</c:v>
                </c:pt>
              </c:strCache>
            </c:strRef>
          </c:cat>
          <c:val>
            <c:numRef>
              <c:f>'Treatments graphed'!$C$22:$C$24</c:f>
              <c:numCache>
                <c:formatCode>General</c:formatCode>
                <c:ptCount val="3"/>
                <c:pt idx="0">
                  <c:v>1.524582733104243</c:v>
                </c:pt>
                <c:pt idx="1">
                  <c:v>2.370084174172665</c:v>
                </c:pt>
                <c:pt idx="2">
                  <c:v>2.38978496427222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6304392"/>
        <c:axId val="2136307400"/>
      </c:barChart>
      <c:catAx>
        <c:axId val="213630439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600" b="1" i="0"/>
            </a:pPr>
            <a:endParaRPr lang="en-US"/>
          </a:p>
        </c:txPr>
        <c:crossAx val="2136307400"/>
        <c:crosses val="autoZero"/>
        <c:auto val="1"/>
        <c:lblAlgn val="ctr"/>
        <c:lblOffset val="100"/>
        <c:noMultiLvlLbl val="0"/>
      </c:catAx>
      <c:valAx>
        <c:axId val="213630740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Collagen (ug/mg lung)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1363043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0380358705162"/>
          <c:y val="0.0601851851851852"/>
          <c:w val="0.837634295713036"/>
          <c:h val="0.77673121940838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'M vs F'!$K$20</c:f>
              <c:strCache>
                <c:ptCount val="1"/>
                <c:pt idx="0">
                  <c:v>Males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'M vs F'!$P$21:$P$23</c:f>
                <c:numCache>
                  <c:formatCode>General</c:formatCode>
                  <c:ptCount val="3"/>
                  <c:pt idx="0">
                    <c:v>0.205518519674599</c:v>
                  </c:pt>
                  <c:pt idx="1">
                    <c:v>0.052593988101105</c:v>
                  </c:pt>
                  <c:pt idx="2">
                    <c:v>0.0959352525731406</c:v>
                  </c:pt>
                </c:numCache>
              </c:numRef>
            </c:plus>
            <c:minus>
              <c:numRef>
                <c:f>'M vs F'!$P$21:$P$23</c:f>
                <c:numCache>
                  <c:formatCode>General</c:formatCode>
                  <c:ptCount val="3"/>
                  <c:pt idx="0">
                    <c:v>0.205518519674599</c:v>
                  </c:pt>
                  <c:pt idx="1">
                    <c:v>0.052593988101105</c:v>
                  </c:pt>
                  <c:pt idx="2">
                    <c:v>0.0959352525731406</c:v>
                  </c:pt>
                </c:numCache>
              </c:numRef>
            </c:minus>
          </c:errBars>
          <c:cat>
            <c:strRef>
              <c:f>'M vs F'!$J$21:$J$23</c:f>
              <c:strCache>
                <c:ptCount val="3"/>
                <c:pt idx="0">
                  <c:v>Saline</c:v>
                </c:pt>
                <c:pt idx="1">
                  <c:v>LAA</c:v>
                </c:pt>
                <c:pt idx="2">
                  <c:v>AzA</c:v>
                </c:pt>
              </c:strCache>
            </c:strRef>
          </c:cat>
          <c:val>
            <c:numRef>
              <c:f>'M vs F'!$K$21:$K$23</c:f>
              <c:numCache>
                <c:formatCode>General</c:formatCode>
                <c:ptCount val="3"/>
                <c:pt idx="0">
                  <c:v>1.205663394111111</c:v>
                </c:pt>
                <c:pt idx="1">
                  <c:v>2.45164593925</c:v>
                </c:pt>
                <c:pt idx="2">
                  <c:v>2.39704354875</c:v>
                </c:pt>
              </c:numCache>
            </c:numRef>
          </c:val>
        </c:ser>
        <c:ser>
          <c:idx val="1"/>
          <c:order val="1"/>
          <c:tx>
            <c:strRef>
              <c:f>'M vs F'!$L$20</c:f>
              <c:strCache>
                <c:ptCount val="1"/>
                <c:pt idx="0">
                  <c:v>Females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-2.18722659718467E-7"/>
                  <c:y val="-0.00831600831600828"/>
                </c:manualLayout>
              </c:layout>
              <c:tx>
                <c:rich>
                  <a:bodyPr/>
                  <a:lstStyle/>
                  <a:p>
                    <a:r>
                      <a:rPr lang="en-US" sz="1600"/>
                      <a:t>*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errBars>
            <c:errBarType val="both"/>
            <c:errValType val="cust"/>
            <c:noEndCap val="0"/>
            <c:plus>
              <c:numRef>
                <c:f>'M vs F'!$Q$21:$Q$23</c:f>
                <c:numCache>
                  <c:formatCode>General</c:formatCode>
                  <c:ptCount val="3"/>
                  <c:pt idx="0">
                    <c:v>0.150107191585665</c:v>
                  </c:pt>
                  <c:pt idx="1">
                    <c:v>0.142949297719059</c:v>
                  </c:pt>
                  <c:pt idx="2">
                    <c:v>0.0698125768586304</c:v>
                  </c:pt>
                </c:numCache>
              </c:numRef>
            </c:plus>
            <c:minus>
              <c:numRef>
                <c:f>'M vs F'!$Q$21:$Q$23</c:f>
                <c:numCache>
                  <c:formatCode>General</c:formatCode>
                  <c:ptCount val="3"/>
                  <c:pt idx="0">
                    <c:v>0.150107191585665</c:v>
                  </c:pt>
                  <c:pt idx="1">
                    <c:v>0.142949297719059</c:v>
                  </c:pt>
                  <c:pt idx="2">
                    <c:v>0.0698125768586304</c:v>
                  </c:pt>
                </c:numCache>
              </c:numRef>
            </c:minus>
          </c:errBars>
          <c:cat>
            <c:strRef>
              <c:f>'M vs F'!$J$21:$J$23</c:f>
              <c:strCache>
                <c:ptCount val="3"/>
                <c:pt idx="0">
                  <c:v>Saline</c:v>
                </c:pt>
                <c:pt idx="1">
                  <c:v>LAA</c:v>
                </c:pt>
                <c:pt idx="2">
                  <c:v>AzA</c:v>
                </c:pt>
              </c:strCache>
            </c:strRef>
          </c:cat>
          <c:val>
            <c:numRef>
              <c:f>'M vs F'!$L$21:$L$23</c:f>
              <c:numCache>
                <c:formatCode>General</c:formatCode>
                <c:ptCount val="3"/>
                <c:pt idx="0">
                  <c:v>2.0986375432</c:v>
                </c:pt>
                <c:pt idx="1">
                  <c:v>2.3048347624</c:v>
                </c:pt>
                <c:pt idx="2">
                  <c:v>2.383332889111111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3978312"/>
        <c:axId val="2134065112"/>
      </c:barChart>
      <c:catAx>
        <c:axId val="209397831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600" b="1" i="0"/>
            </a:pPr>
            <a:endParaRPr lang="en-US"/>
          </a:p>
        </c:txPr>
        <c:crossAx val="2134065112"/>
        <c:crosses val="autoZero"/>
        <c:auto val="1"/>
        <c:lblAlgn val="ctr"/>
        <c:lblOffset val="100"/>
        <c:noMultiLvlLbl val="0"/>
      </c:catAx>
      <c:valAx>
        <c:axId val="2134065112"/>
        <c:scaling>
          <c:orientation val="minMax"/>
          <c:max val="3.5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Collagen (ug/mg</a:t>
                </a:r>
                <a:r>
                  <a:rPr lang="en-US" sz="1600" baseline="0"/>
                  <a:t> lung)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9397831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4023687664042"/>
          <c:y val="0.0033892644916267"/>
          <c:w val="0.195330271216098"/>
          <c:h val="0.207186471753401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177800</xdr:colOff>
      <xdr:row>4</xdr:row>
      <xdr:rowOff>107950</xdr:rowOff>
    </xdr:from>
    <xdr:to>
      <xdr:col>9</xdr:col>
      <xdr:colOff>622300</xdr:colOff>
      <xdr:row>18</xdr:row>
      <xdr:rowOff>184150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685800</xdr:colOff>
      <xdr:row>24</xdr:row>
      <xdr:rowOff>127000</xdr:rowOff>
    </xdr:from>
    <xdr:to>
      <xdr:col>10</xdr:col>
      <xdr:colOff>711200</xdr:colOff>
      <xdr:row>46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139700</xdr:colOff>
      <xdr:row>25</xdr:row>
      <xdr:rowOff>31750</xdr:rowOff>
    </xdr:from>
    <xdr:to>
      <xdr:col>14</xdr:col>
      <xdr:colOff>584200</xdr:colOff>
      <xdr:row>41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activeCell="H22" sqref="H22"/>
    </sheetView>
  </sheetViews>
  <sheetFormatPr baseColWidth="10" defaultRowHeight="15" x14ac:dyDescent="0"/>
  <sheetData>
    <row r="1" spans="1:4">
      <c r="C1" t="s">
        <v>8</v>
      </c>
    </row>
    <row r="3" spans="1:4">
      <c r="A3">
        <v>1.0159</v>
      </c>
      <c r="B3">
        <v>1.135</v>
      </c>
      <c r="C3">
        <f t="shared" ref="C3:C10" si="0">AVERAGE(A3:B3)</f>
        <v>1.07545</v>
      </c>
    </row>
    <row r="4" spans="1:4">
      <c r="A4">
        <v>0.70779999999999998</v>
      </c>
      <c r="B4">
        <v>0.80730000000000002</v>
      </c>
      <c r="C4">
        <f t="shared" si="0"/>
        <v>0.75754999999999995</v>
      </c>
    </row>
    <row r="5" spans="1:4">
      <c r="A5">
        <v>0.43369999999999997</v>
      </c>
      <c r="B5">
        <v>0.45639999999999997</v>
      </c>
      <c r="C5">
        <f t="shared" si="0"/>
        <v>0.44504999999999995</v>
      </c>
    </row>
    <row r="6" spans="1:4">
      <c r="A6">
        <v>0.2424</v>
      </c>
      <c r="B6">
        <v>0.24940000000000001</v>
      </c>
      <c r="C6">
        <f t="shared" si="0"/>
        <v>0.24590000000000001</v>
      </c>
    </row>
    <row r="7" spans="1:4">
      <c r="A7">
        <v>0.15459999999999999</v>
      </c>
      <c r="B7">
        <v>0.1507</v>
      </c>
      <c r="C7">
        <f t="shared" si="0"/>
        <v>0.15265000000000001</v>
      </c>
    </row>
    <row r="8" spans="1:4">
      <c r="A8">
        <v>9.6000000000000002E-2</v>
      </c>
      <c r="B8">
        <v>0.1021</v>
      </c>
      <c r="C8">
        <f t="shared" si="0"/>
        <v>9.9049999999999999E-2</v>
      </c>
    </row>
    <row r="9" spans="1:4">
      <c r="A9">
        <v>7.1800000000000003E-2</v>
      </c>
      <c r="B9">
        <v>7.4899999999999994E-2</v>
      </c>
      <c r="C9">
        <f t="shared" si="0"/>
        <v>7.3349999999999999E-2</v>
      </c>
    </row>
    <row r="10" spans="1:4">
      <c r="A10">
        <v>5.0299999999999997E-2</v>
      </c>
      <c r="B10">
        <v>4.8899999999999999E-2</v>
      </c>
      <c r="C10">
        <f t="shared" si="0"/>
        <v>4.9599999999999998E-2</v>
      </c>
    </row>
    <row r="13" spans="1:4">
      <c r="B13" t="s">
        <v>2</v>
      </c>
      <c r="C13" t="s">
        <v>9</v>
      </c>
      <c r="D13" t="s">
        <v>10</v>
      </c>
    </row>
    <row r="14" spans="1:4">
      <c r="B14">
        <v>1.07545</v>
      </c>
      <c r="C14">
        <v>300</v>
      </c>
    </row>
    <row r="15" spans="1:4">
      <c r="B15">
        <v>0.75754999999999995</v>
      </c>
      <c r="C15">
        <v>200</v>
      </c>
    </row>
    <row r="16" spans="1:4">
      <c r="B16">
        <v>0.44504999999999995</v>
      </c>
      <c r="C16">
        <v>100</v>
      </c>
    </row>
    <row r="17" spans="2:3">
      <c r="B17">
        <v>0.24590000000000001</v>
      </c>
      <c r="C17">
        <v>50</v>
      </c>
    </row>
    <row r="18" spans="2:3">
      <c r="B18">
        <v>0.15265000000000001</v>
      </c>
      <c r="C18">
        <v>25</v>
      </c>
    </row>
    <row r="19" spans="2:3">
      <c r="B19">
        <v>9.9049999999999999E-2</v>
      </c>
      <c r="C19">
        <v>12.5</v>
      </c>
    </row>
    <row r="20" spans="2:3">
      <c r="B20">
        <v>7.3349999999999999E-2</v>
      </c>
      <c r="C20">
        <v>6.25</v>
      </c>
    </row>
    <row r="21" spans="2:3">
      <c r="B21">
        <v>4.9599999999999998E-2</v>
      </c>
      <c r="C21">
        <v>0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"/>
  <sheetViews>
    <sheetView workbookViewId="0">
      <selection activeCell="L3" sqref="L3"/>
    </sheetView>
  </sheetViews>
  <sheetFormatPr baseColWidth="10" defaultRowHeight="15" x14ac:dyDescent="0"/>
  <sheetData>
    <row r="1" spans="1:18">
      <c r="A1" t="s">
        <v>3</v>
      </c>
      <c r="F1" t="s">
        <v>95</v>
      </c>
    </row>
    <row r="2" spans="1:18">
      <c r="A2" t="s">
        <v>4</v>
      </c>
    </row>
    <row r="3" spans="1:18">
      <c r="A3" t="s">
        <v>5</v>
      </c>
    </row>
    <row r="4" spans="1:18">
      <c r="A4" t="s">
        <v>6</v>
      </c>
    </row>
    <row r="5" spans="1:18">
      <c r="A5" t="s">
        <v>0</v>
      </c>
      <c r="B5" t="s">
        <v>1</v>
      </c>
    </row>
    <row r="6" spans="1:18">
      <c r="C6" t="s">
        <v>7</v>
      </c>
      <c r="D6" t="s">
        <v>7</v>
      </c>
    </row>
    <row r="7" spans="1:18">
      <c r="C7">
        <v>1</v>
      </c>
      <c r="D7">
        <v>2</v>
      </c>
      <c r="E7">
        <v>3</v>
      </c>
      <c r="F7">
        <v>4</v>
      </c>
      <c r="G7">
        <v>5</v>
      </c>
      <c r="H7">
        <v>6</v>
      </c>
      <c r="I7">
        <v>7</v>
      </c>
      <c r="J7">
        <v>8</v>
      </c>
      <c r="K7">
        <v>9</v>
      </c>
      <c r="L7">
        <v>10</v>
      </c>
      <c r="M7">
        <v>11</v>
      </c>
      <c r="N7">
        <v>12</v>
      </c>
    </row>
    <row r="8" spans="1:18">
      <c r="Q8" t="s">
        <v>12</v>
      </c>
    </row>
    <row r="9" spans="1:18">
      <c r="C9" s="1">
        <v>1.0159</v>
      </c>
      <c r="D9" s="1">
        <v>1.135</v>
      </c>
      <c r="E9" s="3">
        <v>0.96640000000000004</v>
      </c>
      <c r="F9" s="3">
        <v>0.97219999999999995</v>
      </c>
      <c r="G9" s="6">
        <v>1.0341</v>
      </c>
      <c r="H9" s="6">
        <v>0.95320000000000005</v>
      </c>
      <c r="I9" s="6">
        <v>1.0412999999999999</v>
      </c>
      <c r="J9" s="6">
        <v>0.94240000000000002</v>
      </c>
      <c r="K9" s="6">
        <v>1.1348</v>
      </c>
      <c r="L9" s="6">
        <v>1.0033000000000001</v>
      </c>
      <c r="M9" s="9">
        <v>1.0305</v>
      </c>
      <c r="N9" s="9">
        <v>0.83660000000000001</v>
      </c>
      <c r="P9" s="2"/>
      <c r="Q9" t="s">
        <v>11</v>
      </c>
    </row>
    <row r="10" spans="1:18">
      <c r="C10" s="1">
        <v>0.70779999999999998</v>
      </c>
      <c r="D10" s="1">
        <v>0.80730000000000002</v>
      </c>
      <c r="E10" s="3">
        <v>1.0134000000000001</v>
      </c>
      <c r="F10" s="3">
        <v>0.96150000000000002</v>
      </c>
      <c r="G10" s="6">
        <v>1.1397999999999999</v>
      </c>
      <c r="H10" s="6">
        <v>1.1368</v>
      </c>
      <c r="I10" s="6">
        <v>1.0642</v>
      </c>
      <c r="J10" s="6">
        <v>1.0995999999999999</v>
      </c>
      <c r="K10" s="11">
        <v>0.95130000000000003</v>
      </c>
      <c r="L10" s="11">
        <v>0.93140000000000001</v>
      </c>
      <c r="M10" s="9">
        <v>1.234</v>
      </c>
      <c r="N10" s="9">
        <v>0.14449999999999999</v>
      </c>
      <c r="P10" s="3"/>
      <c r="Q10">
        <v>1</v>
      </c>
      <c r="R10" t="s">
        <v>93</v>
      </c>
    </row>
    <row r="11" spans="1:18">
      <c r="C11" s="1">
        <v>0.43369999999999997</v>
      </c>
      <c r="D11" s="1">
        <v>0.45639999999999997</v>
      </c>
      <c r="E11" s="3">
        <v>1.0619000000000001</v>
      </c>
      <c r="F11" s="3">
        <v>1.0099</v>
      </c>
      <c r="G11" s="5">
        <v>1.1000000000000001</v>
      </c>
      <c r="H11" s="5">
        <v>1.1102000000000001</v>
      </c>
      <c r="I11" s="7">
        <v>1.1976</v>
      </c>
      <c r="J11" s="7">
        <v>1.2274</v>
      </c>
      <c r="K11" s="11">
        <v>1.2364999999999999</v>
      </c>
      <c r="L11" s="11">
        <v>1.2463</v>
      </c>
      <c r="M11" s="9">
        <v>1.1113999999999999</v>
      </c>
      <c r="N11" s="9">
        <v>0.18360000000000001</v>
      </c>
      <c r="P11" s="4"/>
      <c r="Q11">
        <v>2</v>
      </c>
    </row>
    <row r="12" spans="1:18">
      <c r="C12" s="1">
        <v>0.2424</v>
      </c>
      <c r="D12" s="1">
        <v>0.24940000000000001</v>
      </c>
      <c r="E12" s="3">
        <v>1.0933999999999999</v>
      </c>
      <c r="F12" s="3">
        <v>1.0445</v>
      </c>
      <c r="G12" s="5">
        <v>1.1704000000000001</v>
      </c>
      <c r="H12" s="5">
        <v>1.1917</v>
      </c>
      <c r="I12" s="7">
        <v>1.1593</v>
      </c>
      <c r="J12" s="7">
        <v>1.1921999999999999</v>
      </c>
      <c r="K12" s="11">
        <v>1.145</v>
      </c>
      <c r="L12" s="11">
        <v>1.1506000000000001</v>
      </c>
      <c r="M12" s="9">
        <v>0.88390000000000002</v>
      </c>
      <c r="N12" s="9">
        <v>0.22670000000000001</v>
      </c>
      <c r="P12" s="8"/>
      <c r="Q12">
        <v>3</v>
      </c>
    </row>
    <row r="13" spans="1:18">
      <c r="C13" s="1">
        <v>0.15459999999999999</v>
      </c>
      <c r="D13" s="1">
        <v>0.1507</v>
      </c>
      <c r="E13" s="3">
        <v>0.94669999999999999</v>
      </c>
      <c r="F13" s="3">
        <v>1.0638000000000001</v>
      </c>
      <c r="G13" s="5">
        <v>1.1264000000000001</v>
      </c>
      <c r="H13" s="5">
        <v>1.1086</v>
      </c>
      <c r="I13" s="7">
        <v>1.2205999999999999</v>
      </c>
      <c r="J13" s="7">
        <v>1.1373</v>
      </c>
      <c r="K13" s="11">
        <v>1.0821000000000001</v>
      </c>
      <c r="L13" s="11">
        <v>1.1252</v>
      </c>
      <c r="M13" s="9">
        <v>0.59389999999999998</v>
      </c>
      <c r="N13" s="9">
        <v>0.14960000000000001</v>
      </c>
      <c r="P13" s="5"/>
      <c r="Q13">
        <v>4</v>
      </c>
    </row>
    <row r="14" spans="1:18">
      <c r="C14" s="1">
        <v>9.6000000000000002E-2</v>
      </c>
      <c r="D14" s="1">
        <v>0.1021</v>
      </c>
      <c r="E14" s="4">
        <v>1.0663</v>
      </c>
      <c r="F14" s="4">
        <v>1.095</v>
      </c>
      <c r="G14" s="5">
        <v>1.089</v>
      </c>
      <c r="H14" s="5">
        <v>1.0489999999999999</v>
      </c>
      <c r="I14" s="7">
        <v>1.1200000000000001</v>
      </c>
      <c r="J14" s="7">
        <v>1.0632999999999999</v>
      </c>
      <c r="K14" s="11">
        <v>1.1028</v>
      </c>
      <c r="L14" s="11">
        <v>0.94679999999999997</v>
      </c>
      <c r="M14" s="15">
        <v>0.2636</v>
      </c>
      <c r="N14" s="15">
        <v>0.19270000000000001</v>
      </c>
      <c r="P14" s="7"/>
      <c r="Q14">
        <v>5</v>
      </c>
    </row>
    <row r="15" spans="1:18">
      <c r="C15" s="1">
        <v>7.1800000000000003E-2</v>
      </c>
      <c r="D15" s="1">
        <v>7.4899999999999994E-2</v>
      </c>
      <c r="E15" s="4">
        <v>1.0377000000000001</v>
      </c>
      <c r="F15" s="4">
        <v>1.1314</v>
      </c>
      <c r="G15" s="4">
        <v>1.2375</v>
      </c>
      <c r="H15" s="4">
        <v>1.2717000000000001</v>
      </c>
      <c r="I15" s="8">
        <v>1.1319999999999999</v>
      </c>
      <c r="J15" s="8">
        <v>1.1402000000000001</v>
      </c>
      <c r="K15" s="8">
        <v>1.1447000000000001</v>
      </c>
      <c r="L15" s="15">
        <v>1.0028999999999999</v>
      </c>
      <c r="M15" s="15">
        <v>1.0854999999999999</v>
      </c>
      <c r="N15" s="15">
        <v>0.1875</v>
      </c>
      <c r="P15" s="11"/>
      <c r="Q15">
        <v>6</v>
      </c>
    </row>
    <row r="16" spans="1:18">
      <c r="C16" s="1">
        <v>5.0299999999999997E-2</v>
      </c>
      <c r="D16" s="1">
        <v>4.8899999999999999E-2</v>
      </c>
      <c r="E16" s="4">
        <v>0.90759999999999996</v>
      </c>
      <c r="F16" s="4">
        <v>1.0483</v>
      </c>
      <c r="G16" s="4">
        <v>1.1282000000000001</v>
      </c>
      <c r="H16" s="4">
        <v>1.1557999999999999</v>
      </c>
      <c r="I16" s="8">
        <v>0.96530000000000005</v>
      </c>
      <c r="J16" s="8">
        <v>1.1341000000000001</v>
      </c>
      <c r="K16" s="8">
        <v>1.1195999999999999</v>
      </c>
      <c r="L16" s="15">
        <v>1.0748</v>
      </c>
      <c r="M16" s="15">
        <v>0.2031</v>
      </c>
      <c r="N16" s="15">
        <v>0.65659999999999996</v>
      </c>
      <c r="P16" s="6"/>
      <c r="Q16">
        <v>7</v>
      </c>
    </row>
    <row r="17" spans="3:17">
      <c r="P17" s="9"/>
      <c r="Q17">
        <v>8</v>
      </c>
    </row>
    <row r="18" spans="3:17">
      <c r="P18" s="15"/>
      <c r="Q18">
        <v>9</v>
      </c>
    </row>
    <row r="20" spans="3:17">
      <c r="F20" t="s">
        <v>92</v>
      </c>
    </row>
    <row r="21" spans="3:17">
      <c r="C21" s="2" t="s">
        <v>13</v>
      </c>
      <c r="D21" t="s">
        <v>14</v>
      </c>
      <c r="F21" s="12" t="s">
        <v>15</v>
      </c>
      <c r="G21" t="s">
        <v>16</v>
      </c>
      <c r="I21" s="4" t="s">
        <v>17</v>
      </c>
      <c r="J21" t="s">
        <v>18</v>
      </c>
      <c r="L21" s="8" t="s">
        <v>19</v>
      </c>
      <c r="M21" t="s">
        <v>18</v>
      </c>
      <c r="O21" s="5" t="s">
        <v>20</v>
      </c>
      <c r="P21" t="s">
        <v>18</v>
      </c>
    </row>
    <row r="22" spans="3:17">
      <c r="C22">
        <f t="shared" ref="C22:C29" si="0">AVERAGE(C9,D9)</f>
        <v>1.07545</v>
      </c>
      <c r="D22">
        <f t="shared" ref="D22:D29" si="1">290.99*C22-18.715</f>
        <v>294.23019550000004</v>
      </c>
      <c r="F22">
        <f>AVERAGE(E9,F9)</f>
        <v>0.96930000000000005</v>
      </c>
      <c r="G22">
        <f>290.99*F22-18.715</f>
        <v>263.34160700000007</v>
      </c>
      <c r="I22">
        <f>AVERAGE(E14,F14)</f>
        <v>1.0806499999999999</v>
      </c>
      <c r="J22">
        <f>290.99*I22-18.715</f>
        <v>295.74334349999998</v>
      </c>
      <c r="L22">
        <f>AVERAGE(I15,I17)</f>
        <v>1.1319999999999999</v>
      </c>
      <c r="M22">
        <f>290.99*L22-18.715</f>
        <v>310.68567999999999</v>
      </c>
      <c r="O22" s="13">
        <f>AVERAGE(G11,H11)</f>
        <v>1.1051000000000002</v>
      </c>
      <c r="P22">
        <f>290.99*O22-18.715</f>
        <v>302.85804900000011</v>
      </c>
    </row>
    <row r="23" spans="3:17">
      <c r="C23">
        <f t="shared" si="0"/>
        <v>0.75754999999999995</v>
      </c>
      <c r="D23">
        <f t="shared" si="1"/>
        <v>201.72447449999999</v>
      </c>
      <c r="F23">
        <f>AVERAGE(E10,F10)</f>
        <v>0.98745000000000005</v>
      </c>
      <c r="G23">
        <f>290.99*F23-18.715</f>
        <v>268.62307550000003</v>
      </c>
      <c r="I23">
        <f>AVERAGE(E15,F15)</f>
        <v>1.0845500000000001</v>
      </c>
      <c r="J23">
        <f>290.99*I23-18.715</f>
        <v>296.87820450000009</v>
      </c>
      <c r="L23">
        <f>AVERAGE(J15,J16)</f>
        <v>1.1371500000000001</v>
      </c>
      <c r="M23">
        <f>290.99*L23-18.715</f>
        <v>312.18427850000006</v>
      </c>
      <c r="O23">
        <f>AVERAGE(G12,H12)</f>
        <v>1.1810499999999999</v>
      </c>
      <c r="P23">
        <f>290.99*O23-18.715</f>
        <v>324.95873950000004</v>
      </c>
    </row>
    <row r="24" spans="3:17">
      <c r="C24">
        <f t="shared" si="0"/>
        <v>0.44504999999999995</v>
      </c>
      <c r="D24">
        <f t="shared" si="1"/>
        <v>110.7900995</v>
      </c>
      <c r="F24">
        <f>AVERAGE(E11,F11)</f>
        <v>1.0359</v>
      </c>
      <c r="G24">
        <f>290.99*F24-18.715</f>
        <v>282.72154100000006</v>
      </c>
      <c r="I24">
        <f>AVERAGE(E16,F16)</f>
        <v>0.97794999999999999</v>
      </c>
      <c r="J24">
        <f>290.99*I24-18.715</f>
        <v>265.85867050000002</v>
      </c>
      <c r="L24">
        <f>AVERAGE(K15,K16)</f>
        <v>1.13215</v>
      </c>
      <c r="M24">
        <f>290.99*L24-18.715</f>
        <v>310.72932850000001</v>
      </c>
      <c r="O24">
        <f>AVERAGE(G13,H13)</f>
        <v>1.1175000000000002</v>
      </c>
      <c r="P24">
        <f>290.99*O24-18.715</f>
        <v>306.4663250000001</v>
      </c>
    </row>
    <row r="25" spans="3:17">
      <c r="C25">
        <f t="shared" si="0"/>
        <v>0.24590000000000001</v>
      </c>
      <c r="D25">
        <f t="shared" si="1"/>
        <v>52.839441000000008</v>
      </c>
      <c r="F25">
        <f>AVERAGE(E12,F12)</f>
        <v>1.0689500000000001</v>
      </c>
      <c r="G25">
        <f>290.99*F25-18.715</f>
        <v>292.33876050000003</v>
      </c>
      <c r="I25">
        <f>AVERAGE(G15,H15)</f>
        <v>1.2545999999999999</v>
      </c>
      <c r="J25">
        <f>290.99*I25-18.715</f>
        <v>346.36105400000002</v>
      </c>
      <c r="O25">
        <f>AVERAGE(G14,H14)</f>
        <v>1.069</v>
      </c>
      <c r="P25">
        <f>290.99*O25-18.715</f>
        <v>292.35331000000002</v>
      </c>
    </row>
    <row r="26" spans="3:17">
      <c r="C26">
        <f t="shared" si="0"/>
        <v>0.15265000000000001</v>
      </c>
      <c r="D26">
        <f t="shared" si="1"/>
        <v>25.7046235</v>
      </c>
      <c r="F26">
        <f>AVERAGE(E13,F13)</f>
        <v>1.00525</v>
      </c>
      <c r="G26">
        <f>290.99*F26-18.715</f>
        <v>273.80269750000002</v>
      </c>
      <c r="I26">
        <f>AVERAGE(G16,H16)</f>
        <v>1.1419999999999999</v>
      </c>
      <c r="J26">
        <f>290.99*I26-8.715</f>
        <v>323.59557999999998</v>
      </c>
    </row>
    <row r="27" spans="3:17">
      <c r="C27">
        <f t="shared" si="0"/>
        <v>9.9049999999999999E-2</v>
      </c>
      <c r="D27">
        <f t="shared" si="1"/>
        <v>10.107559500000001</v>
      </c>
    </row>
    <row r="28" spans="3:17">
      <c r="C28">
        <f t="shared" si="0"/>
        <v>7.3349999999999999E-2</v>
      </c>
      <c r="D28">
        <f t="shared" si="1"/>
        <v>2.6291165000000021</v>
      </c>
    </row>
    <row r="29" spans="3:17">
      <c r="C29">
        <f t="shared" si="0"/>
        <v>4.9599999999999998E-2</v>
      </c>
      <c r="D29">
        <f t="shared" si="1"/>
        <v>-4.2818959999999997</v>
      </c>
    </row>
    <row r="31" spans="3:17">
      <c r="C31" s="7" t="s">
        <v>21</v>
      </c>
      <c r="D31" t="s">
        <v>22</v>
      </c>
      <c r="F31" s="11" t="s">
        <v>23</v>
      </c>
      <c r="G31" t="s">
        <v>22</v>
      </c>
      <c r="I31" s="6" t="s">
        <v>24</v>
      </c>
      <c r="J31" t="s">
        <v>22</v>
      </c>
      <c r="L31" s="9" t="s">
        <v>25</v>
      </c>
      <c r="M31" t="s">
        <v>22</v>
      </c>
      <c r="O31" s="15" t="s">
        <v>26</v>
      </c>
      <c r="P31" t="s">
        <v>22</v>
      </c>
    </row>
    <row r="32" spans="3:17">
      <c r="C32">
        <f>AVERAGE(I11,J11)</f>
        <v>1.2124999999999999</v>
      </c>
      <c r="D32">
        <f>290.99*C32-18.715</f>
        <v>334.11037500000003</v>
      </c>
      <c r="F32">
        <f>AVERAGE(K10,L10)</f>
        <v>0.94135000000000002</v>
      </c>
      <c r="G32">
        <f>290.99*F32-18.715</f>
        <v>255.20843650000003</v>
      </c>
      <c r="I32">
        <f>AVERAGE(G9,H9)</f>
        <v>0.99365000000000003</v>
      </c>
      <c r="J32">
        <f>290.99*I32-18.715</f>
        <v>270.42721350000005</v>
      </c>
      <c r="L32">
        <f>AVERAGE(M9,N9)</f>
        <v>0.93354999999999999</v>
      </c>
      <c r="M32">
        <f>290.99*L32-18.715</f>
        <v>252.93871449999997</v>
      </c>
      <c r="O32">
        <f>AVERAGE(M14,N14)</f>
        <v>0.22815000000000002</v>
      </c>
      <c r="P32">
        <f>290.99*O32-18.715</f>
        <v>47.6743685</v>
      </c>
    </row>
    <row r="33" spans="3:16">
      <c r="C33">
        <f>AVERAGE(I12,J12)</f>
        <v>1.1757499999999999</v>
      </c>
      <c r="D33">
        <f>290.99*C33-18.715</f>
        <v>323.4164925</v>
      </c>
      <c r="F33">
        <f>AVERAGE(K11,L11)</f>
        <v>1.2414000000000001</v>
      </c>
      <c r="G33">
        <f>290.99*F33-18.715</f>
        <v>342.51998600000007</v>
      </c>
      <c r="I33">
        <f>AVERAGE(G10,H10)</f>
        <v>1.1383000000000001</v>
      </c>
      <c r="J33">
        <f>290.99*I33-18.715</f>
        <v>312.51891700000004</v>
      </c>
      <c r="L33">
        <f>AVERAGE(M10,N10)</f>
        <v>0.68925000000000003</v>
      </c>
      <c r="M33">
        <f>290.99*L33-18.715</f>
        <v>181.84985750000001</v>
      </c>
      <c r="O33">
        <f>AVERAGE(M15,N15)</f>
        <v>0.63649999999999995</v>
      </c>
      <c r="P33">
        <f>290.99*O33-18.715</f>
        <v>166.500135</v>
      </c>
    </row>
    <row r="34" spans="3:16">
      <c r="C34">
        <f>AVERAGE(I13,J13)</f>
        <v>1.1789499999999999</v>
      </c>
      <c r="D34">
        <f>290.99*C34-18.715</f>
        <v>324.34766050000002</v>
      </c>
      <c r="F34">
        <f>AVERAGE(K12,L12)</f>
        <v>1.1478000000000002</v>
      </c>
      <c r="G34">
        <f>290.99*F34-18.715</f>
        <v>315.28332200000006</v>
      </c>
      <c r="I34">
        <f>AVERAGE(I9,J9)</f>
        <v>0.9918499999999999</v>
      </c>
      <c r="J34">
        <f>290.99*I34-18.715</f>
        <v>269.90343150000001</v>
      </c>
      <c r="L34">
        <f>AVERAGE(M11,N11)</f>
        <v>0.64749999999999996</v>
      </c>
      <c r="M34">
        <f>290.99*L34-18.715</f>
        <v>169.70102499999999</v>
      </c>
      <c r="O34">
        <f>AVERAGE(M16,N16)</f>
        <v>0.42984999999999995</v>
      </c>
      <c r="P34">
        <f>290.99*O34-18.715</f>
        <v>106.36705149999999</v>
      </c>
    </row>
    <row r="35" spans="3:16">
      <c r="C35">
        <f>AVERAGE(I14,J14)</f>
        <v>1.09165</v>
      </c>
      <c r="D35">
        <f>290.99*C35-18.715</f>
        <v>298.94423350000005</v>
      </c>
      <c r="F35">
        <f>AVERAGE(K13,L13)</f>
        <v>1.10365</v>
      </c>
      <c r="G35">
        <f>290.99*F35-18.715</f>
        <v>302.43611350000003</v>
      </c>
      <c r="I35">
        <f>AVERAGE(I10,J10)</f>
        <v>1.0819000000000001</v>
      </c>
      <c r="J35">
        <f>290.99*I35-18.715</f>
        <v>296.10708100000005</v>
      </c>
      <c r="L35">
        <f>AVERAGE(M12,N12)</f>
        <v>0.55530000000000002</v>
      </c>
      <c r="M35">
        <f>290.99*L35-18.715</f>
        <v>142.871747</v>
      </c>
      <c r="O35">
        <f>AVERAGE(L15,L16)</f>
        <v>1.0388500000000001</v>
      </c>
      <c r="P35">
        <f>290.99*O35-18.715</f>
        <v>283.57996150000002</v>
      </c>
    </row>
    <row r="36" spans="3:16">
      <c r="F36">
        <f>AVERAGE(K14,L14)</f>
        <v>1.0247999999999999</v>
      </c>
      <c r="G36">
        <f>290.99*F36-18.715</f>
        <v>279.49155200000001</v>
      </c>
      <c r="I36">
        <f>AVERAGE(K9,L9)</f>
        <v>1.0690500000000001</v>
      </c>
      <c r="J36">
        <f>290.99*I36-18.715</f>
        <v>292.36785950000007</v>
      </c>
      <c r="L36">
        <f>AVERAGE(M13,N13)</f>
        <v>0.37175000000000002</v>
      </c>
      <c r="M36">
        <f>290.99*L36-18.715</f>
        <v>89.460532500000014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27"/>
  <sheetViews>
    <sheetView topLeftCell="A8" zoomScale="110" zoomScaleNormal="110" zoomScalePageLayoutView="110" workbookViewId="0">
      <selection activeCell="F33" sqref="F33"/>
    </sheetView>
  </sheetViews>
  <sheetFormatPr baseColWidth="10" defaultRowHeight="15" x14ac:dyDescent="0"/>
  <cols>
    <col min="4" max="4" width="12.5" customWidth="1"/>
  </cols>
  <sheetData>
    <row r="2" spans="2:21">
      <c r="B2" s="2" t="s">
        <v>13</v>
      </c>
      <c r="C2" t="s">
        <v>14</v>
      </c>
      <c r="D2" s="12" t="s">
        <v>15</v>
      </c>
      <c r="E2" t="s">
        <v>16</v>
      </c>
      <c r="F2" s="4" t="s">
        <v>17</v>
      </c>
      <c r="G2" t="s">
        <v>18</v>
      </c>
      <c r="H2" s="8" t="s">
        <v>19</v>
      </c>
      <c r="I2" t="s">
        <v>18</v>
      </c>
      <c r="J2" s="5" t="s">
        <v>20</v>
      </c>
      <c r="K2" t="s">
        <v>18</v>
      </c>
      <c r="L2" s="17" t="s">
        <v>21</v>
      </c>
      <c r="M2" t="s">
        <v>22</v>
      </c>
      <c r="N2" s="11" t="s">
        <v>23</v>
      </c>
      <c r="O2" t="s">
        <v>22</v>
      </c>
      <c r="P2" s="6" t="s">
        <v>24</v>
      </c>
      <c r="Q2" t="s">
        <v>22</v>
      </c>
      <c r="R2" s="9" t="s">
        <v>25</v>
      </c>
      <c r="S2" t="s">
        <v>22</v>
      </c>
      <c r="T2" s="15" t="s">
        <v>26</v>
      </c>
      <c r="U2" t="s">
        <v>22</v>
      </c>
    </row>
    <row r="3" spans="2:21">
      <c r="B3">
        <v>1.07545</v>
      </c>
      <c r="C3">
        <v>294.23019550000004</v>
      </c>
      <c r="D3">
        <v>0.96930000000000005</v>
      </c>
      <c r="E3">
        <v>263.34160700000007</v>
      </c>
      <c r="F3">
        <v>1.0806499999999999</v>
      </c>
      <c r="G3">
        <v>295.74334349999998</v>
      </c>
      <c r="H3">
        <v>1.1319999999999999</v>
      </c>
      <c r="I3">
        <v>310.68567999999999</v>
      </c>
      <c r="J3" s="13">
        <v>1.1051000000000002</v>
      </c>
      <c r="K3">
        <v>302.85804900000011</v>
      </c>
      <c r="L3">
        <v>1.2124999999999999</v>
      </c>
      <c r="M3">
        <v>334.11037500000003</v>
      </c>
      <c r="N3">
        <v>0.94135000000000002</v>
      </c>
      <c r="O3">
        <v>255.20843650000003</v>
      </c>
      <c r="P3">
        <v>0.99365000000000003</v>
      </c>
      <c r="Q3">
        <v>270.42721350000005</v>
      </c>
      <c r="R3">
        <v>0.93354999999999999</v>
      </c>
      <c r="S3">
        <v>252.93871449999997</v>
      </c>
      <c r="T3">
        <v>0.22815000000000002</v>
      </c>
      <c r="U3">
        <v>47.6743685</v>
      </c>
    </row>
    <row r="4" spans="2:21">
      <c r="B4">
        <v>0.75754999999999995</v>
      </c>
      <c r="C4">
        <v>201.72447449999999</v>
      </c>
      <c r="D4">
        <v>0.98745000000000005</v>
      </c>
      <c r="E4">
        <v>268.62307550000003</v>
      </c>
      <c r="F4">
        <v>1.0845500000000001</v>
      </c>
      <c r="G4">
        <v>296.87820450000009</v>
      </c>
      <c r="H4">
        <v>1.1371500000000001</v>
      </c>
      <c r="I4">
        <v>312.18427850000006</v>
      </c>
      <c r="J4">
        <v>1.1810499999999999</v>
      </c>
      <c r="K4">
        <v>324.95873950000004</v>
      </c>
      <c r="L4">
        <v>1.1757499999999999</v>
      </c>
      <c r="M4">
        <v>323.4164925</v>
      </c>
      <c r="N4">
        <v>1.2414000000000001</v>
      </c>
      <c r="O4">
        <v>342.51998600000007</v>
      </c>
      <c r="P4">
        <v>1.1383000000000001</v>
      </c>
      <c r="Q4">
        <v>312.51891700000004</v>
      </c>
      <c r="R4">
        <v>0.68925000000000003</v>
      </c>
      <c r="S4">
        <v>181.84985750000001</v>
      </c>
      <c r="T4">
        <v>0.63649999999999995</v>
      </c>
      <c r="U4">
        <v>166.500135</v>
      </c>
    </row>
    <row r="5" spans="2:21">
      <c r="B5">
        <v>0.44504999999999995</v>
      </c>
      <c r="C5">
        <v>110.7900995</v>
      </c>
      <c r="D5">
        <v>1.0359</v>
      </c>
      <c r="E5">
        <v>282.72154100000006</v>
      </c>
      <c r="F5">
        <v>0.97794999999999999</v>
      </c>
      <c r="G5">
        <v>265.85867050000002</v>
      </c>
      <c r="H5">
        <v>1.13215</v>
      </c>
      <c r="I5">
        <v>310.72932850000001</v>
      </c>
      <c r="J5">
        <v>1.1175000000000002</v>
      </c>
      <c r="K5">
        <v>306.4663250000001</v>
      </c>
      <c r="L5">
        <v>1.1789499999999999</v>
      </c>
      <c r="M5">
        <v>324.34766050000002</v>
      </c>
      <c r="N5">
        <v>1.1478000000000002</v>
      </c>
      <c r="O5">
        <v>315.28332200000006</v>
      </c>
      <c r="P5">
        <v>0.9918499999999999</v>
      </c>
      <c r="Q5">
        <v>269.90343150000001</v>
      </c>
      <c r="R5">
        <v>0.64749999999999996</v>
      </c>
      <c r="S5">
        <v>169.70102499999999</v>
      </c>
      <c r="T5">
        <v>0.42984999999999995</v>
      </c>
      <c r="U5">
        <v>106.36705149999999</v>
      </c>
    </row>
    <row r="6" spans="2:21">
      <c r="B6">
        <v>0.24590000000000001</v>
      </c>
      <c r="C6">
        <v>52.839441000000008</v>
      </c>
      <c r="D6">
        <v>1.0689500000000001</v>
      </c>
      <c r="E6">
        <v>292.33876050000003</v>
      </c>
      <c r="F6">
        <v>1.2545999999999999</v>
      </c>
      <c r="G6">
        <v>346.36105400000002</v>
      </c>
      <c r="J6">
        <v>1.069</v>
      </c>
      <c r="K6">
        <v>292.35331000000002</v>
      </c>
      <c r="L6">
        <v>1.09165</v>
      </c>
      <c r="M6">
        <v>298.94423350000005</v>
      </c>
      <c r="N6">
        <v>1.10365</v>
      </c>
      <c r="O6">
        <v>302.43611350000003</v>
      </c>
      <c r="P6">
        <v>1.0819000000000001</v>
      </c>
      <c r="Q6">
        <v>296.10708100000005</v>
      </c>
      <c r="R6">
        <v>0.55530000000000002</v>
      </c>
      <c r="S6">
        <v>142.871747</v>
      </c>
      <c r="T6">
        <v>1.0388500000000001</v>
      </c>
      <c r="U6">
        <v>283.57996150000002</v>
      </c>
    </row>
    <row r="7" spans="2:21">
      <c r="B7">
        <v>0.15265000000000001</v>
      </c>
      <c r="C7">
        <v>25.7046235</v>
      </c>
      <c r="D7">
        <v>1.00525</v>
      </c>
      <c r="E7">
        <v>273.80269750000002</v>
      </c>
      <c r="F7">
        <v>1.1419999999999999</v>
      </c>
      <c r="G7">
        <v>323.59557999999998</v>
      </c>
      <c r="N7">
        <v>1.0247999999999999</v>
      </c>
      <c r="O7">
        <v>279.49155200000001</v>
      </c>
      <c r="P7">
        <v>1.0690500000000001</v>
      </c>
      <c r="Q7">
        <v>292.36785950000007</v>
      </c>
      <c r="R7">
        <v>0.37175000000000002</v>
      </c>
      <c r="S7">
        <v>89.460532500000014</v>
      </c>
    </row>
    <row r="8" spans="2:21">
      <c r="B8">
        <v>9.9049999999999999E-2</v>
      </c>
      <c r="C8">
        <v>10.107559500000001</v>
      </c>
    </row>
    <row r="9" spans="2:21">
      <c r="B9">
        <v>7.3349999999999999E-2</v>
      </c>
      <c r="C9">
        <v>2.6291165000000021</v>
      </c>
    </row>
    <row r="10" spans="2:21">
      <c r="B10">
        <v>4.9599999999999998E-2</v>
      </c>
      <c r="C10">
        <v>-4.2818959999999997</v>
      </c>
    </row>
    <row r="12" spans="2:21">
      <c r="C12" s="13"/>
      <c r="E12" s="14" t="s">
        <v>27</v>
      </c>
      <c r="G12" s="14" t="s">
        <v>27</v>
      </c>
      <c r="I12" s="14" t="s">
        <v>27</v>
      </c>
      <c r="K12" s="14" t="s">
        <v>27</v>
      </c>
      <c r="M12" s="14" t="s">
        <v>27</v>
      </c>
      <c r="O12" s="14" t="s">
        <v>27</v>
      </c>
      <c r="Q12" s="14" t="s">
        <v>27</v>
      </c>
      <c r="S12" s="14" t="s">
        <v>27</v>
      </c>
      <c r="U12" s="14" t="s">
        <v>27</v>
      </c>
    </row>
    <row r="13" spans="2:21">
      <c r="E13">
        <f>E3/95</f>
        <v>2.7720169157894743</v>
      </c>
      <c r="G13">
        <f>G3/132</f>
        <v>2.2404798749999997</v>
      </c>
      <c r="I13">
        <f>I3/124</f>
        <v>2.505529677419355</v>
      </c>
      <c r="K13">
        <f>K3/138</f>
        <v>2.1946235434782615</v>
      </c>
      <c r="M13">
        <f>M3/142</f>
        <v>2.3528899647887327</v>
      </c>
      <c r="O13">
        <f>O3/107</f>
        <v>2.3851255747663553</v>
      </c>
      <c r="Q13">
        <f>Q3/136</f>
        <v>1.9884353933823533</v>
      </c>
      <c r="S13">
        <f>S3/127</f>
        <v>1.9916434212598424</v>
      </c>
      <c r="U13">
        <f>U3/138</f>
        <v>0.3454664384057971</v>
      </c>
    </row>
    <row r="14" spans="2:21">
      <c r="E14">
        <f>E4/108</f>
        <v>2.4872506990740741</v>
      </c>
      <c r="G14">
        <f>G4/129</f>
        <v>2.301381430232559</v>
      </c>
      <c r="I14">
        <f>I4/141</f>
        <v>2.2140728971631209</v>
      </c>
      <c r="K14">
        <f>K4/149</f>
        <v>2.1809311375838929</v>
      </c>
      <c r="M14">
        <f>M4/126</f>
        <v>2.5667975595238097</v>
      </c>
      <c r="O14">
        <f>O4/123</f>
        <v>2.7847153333333341</v>
      </c>
      <c r="Q14">
        <f>Q4/127</f>
        <v>2.4607788740157486</v>
      </c>
      <c r="S14">
        <f>S4/141</f>
        <v>1.2897153014184397</v>
      </c>
      <c r="U14">
        <f>U4/160</f>
        <v>1.04062584375</v>
      </c>
    </row>
    <row r="15" spans="2:21">
      <c r="E15">
        <f>E5/112</f>
        <v>2.524299473214286</v>
      </c>
      <c r="G15">
        <f>G5/121</f>
        <v>2.1971790950413226</v>
      </c>
      <c r="I15">
        <f>I5/119</f>
        <v>2.6111708277310925</v>
      </c>
      <c r="K15">
        <f>K5/122</f>
        <v>2.5120190573770498</v>
      </c>
      <c r="M15">
        <f>M5/129</f>
        <v>2.5143229496124033</v>
      </c>
      <c r="O15">
        <f>O5/158</f>
        <v>1.9954640632911396</v>
      </c>
      <c r="Q15">
        <f>Q5/167</f>
        <v>1.6161882125748503</v>
      </c>
      <c r="S15">
        <f>S5/135</f>
        <v>1.2570446296296296</v>
      </c>
      <c r="U15">
        <f>U5/133</f>
        <v>0.79975226691729318</v>
      </c>
    </row>
    <row r="16" spans="2:21">
      <c r="E16">
        <f>E6/138</f>
        <v>2.1183968152173915</v>
      </c>
      <c r="G16">
        <f>G6/160</f>
        <v>2.1647565875000003</v>
      </c>
      <c r="K16">
        <f>K6/126</f>
        <v>2.3202643650793653</v>
      </c>
      <c r="M16">
        <f>M6/126</f>
        <v>2.3725732817460323</v>
      </c>
      <c r="O16">
        <f>O6/149</f>
        <v>2.0297725738255035</v>
      </c>
      <c r="Q16">
        <f>Q6/125</f>
        <v>2.3688566480000004</v>
      </c>
      <c r="S16">
        <f>S6/136</f>
        <v>1.0505275514705883</v>
      </c>
      <c r="U16">
        <f>U6/122</f>
        <v>2.3244259139344265</v>
      </c>
    </row>
    <row r="17" spans="3:21">
      <c r="E17">
        <f>E7/117</f>
        <v>2.3401939957264961</v>
      </c>
      <c r="G17">
        <f>G7/110</f>
        <v>2.9417779999999998</v>
      </c>
      <c r="O17">
        <f>O7/120</f>
        <v>2.3290962666666668</v>
      </c>
      <c r="Q17">
        <f>Q7/142</f>
        <v>2.0589285880281696</v>
      </c>
      <c r="S17">
        <f>S7/119</f>
        <v>0.75176918067226906</v>
      </c>
    </row>
    <row r="20" spans="3:21">
      <c r="D20" s="16" t="s">
        <v>28</v>
      </c>
      <c r="F20" s="4" t="s">
        <v>32</v>
      </c>
      <c r="H20" s="8" t="s">
        <v>28</v>
      </c>
      <c r="J20" s="5" t="s">
        <v>28</v>
      </c>
      <c r="L20" s="17" t="s">
        <v>28</v>
      </c>
      <c r="N20" s="11" t="s">
        <v>28</v>
      </c>
      <c r="P20" s="6" t="s">
        <v>28</v>
      </c>
      <c r="R20" s="9" t="s">
        <v>32</v>
      </c>
      <c r="T20" s="15" t="s">
        <v>28</v>
      </c>
    </row>
    <row r="21" spans="3:21">
      <c r="D21">
        <f>AVERAGE(D3:D7)</f>
        <v>1.0133700000000001</v>
      </c>
      <c r="F21">
        <f>AVERAGE(F3:F7)</f>
        <v>1.10795</v>
      </c>
      <c r="H21">
        <f>AVERAGE(H3:H5)</f>
        <v>1.1337666666666666</v>
      </c>
      <c r="J21">
        <f>AVERAGE(J3:J6)</f>
        <v>1.1181624999999999</v>
      </c>
      <c r="L21">
        <f>AVERAGE(L3:L6)</f>
        <v>1.1647124999999998</v>
      </c>
      <c r="N21">
        <f>AVERAGE(N3:N7)</f>
        <v>1.0918000000000001</v>
      </c>
      <c r="P21">
        <f>AVERAGE(P3:P7)</f>
        <v>1.0549500000000001</v>
      </c>
      <c r="R21">
        <f>AVERAGE(R3:R7)</f>
        <v>0.63946999999999998</v>
      </c>
      <c r="T21">
        <f>AVERAGE(T3:T6)</f>
        <v>0.58333749999999995</v>
      </c>
    </row>
    <row r="23" spans="3:21">
      <c r="C23" s="10" t="s">
        <v>29</v>
      </c>
      <c r="E23">
        <f>AVERAGE(E13:E17)</f>
        <v>2.4484315798043443</v>
      </c>
      <c r="G23">
        <f>AVERAGE(G13:G17)</f>
        <v>2.3691149975547758</v>
      </c>
      <c r="I23">
        <f>AVERAGE(I13:I15)</f>
        <v>2.4435911341045227</v>
      </c>
      <c r="K23">
        <f>AVERAGE(K13:K16)</f>
        <v>2.3019595258796426</v>
      </c>
      <c r="M23">
        <f>AVERAGE(M13:M16)</f>
        <v>2.4516459389177445</v>
      </c>
      <c r="O23">
        <f>AVERAGE(O13:O17)</f>
        <v>2.3048347623765997</v>
      </c>
      <c r="Q23">
        <f>AVERAGE(Q13:Q17)</f>
        <v>2.0986375432002244</v>
      </c>
      <c r="S23">
        <f>AVERAGE(S13:S17)</f>
        <v>1.2681400168901535</v>
      </c>
      <c r="U23">
        <f>AVERAGE(U13:U16)</f>
        <v>1.1275676157518792</v>
      </c>
    </row>
    <row r="24" spans="3:21">
      <c r="C24" s="10" t="s">
        <v>30</v>
      </c>
      <c r="E24">
        <f>STDEV(E13:E17)</f>
        <v>0.2411475955607498</v>
      </c>
      <c r="G24">
        <f>STDEV(G13:G17)</f>
        <v>0.32419209567773688</v>
      </c>
      <c r="I24">
        <f>STDEV(I13:I15)</f>
        <v>0.20566715580353101</v>
      </c>
      <c r="K24">
        <f>STDEV(K13:K16)</f>
        <v>0.15343723776903512</v>
      </c>
      <c r="M24">
        <f>STDEV(M13:M16)</f>
        <v>0.10518797608121494</v>
      </c>
      <c r="O24">
        <f>STDEV(O13:O17)</f>
        <v>0.31964434710687673</v>
      </c>
      <c r="Q24">
        <f>STDEV(Q13:Q17)</f>
        <v>0.33564988442193744</v>
      </c>
      <c r="S24">
        <f>STDEV(S13:S17)</f>
        <v>0.45772256942874445</v>
      </c>
      <c r="U24">
        <f>STDEV(U13:U16)</f>
        <v>0.84836584329028697</v>
      </c>
    </row>
    <row r="25" spans="3:21">
      <c r="C25" s="10" t="s">
        <v>31</v>
      </c>
      <c r="E25">
        <f>E24/SQRT(5)</f>
        <v>0.10784448325689261</v>
      </c>
      <c r="G25">
        <f>G24/SQRT(5)</f>
        <v>0.14498311274070708</v>
      </c>
      <c r="I25">
        <f>I24/SQRT(3)</f>
        <v>0.11874198776663333</v>
      </c>
      <c r="K25">
        <f>K24/SQRT(4)</f>
        <v>7.6718618884517559E-2</v>
      </c>
      <c r="M25">
        <f>M24/SQRT(4)</f>
        <v>5.259398804060747E-2</v>
      </c>
      <c r="O25">
        <f>O24/SQRT(5)</f>
        <v>0.1429492977509029</v>
      </c>
      <c r="Q25">
        <f>Q24/SQRT(5)</f>
        <v>0.15010719164147995</v>
      </c>
      <c r="S25">
        <f>S24/SQRT(5)</f>
        <v>0.20469975601570792</v>
      </c>
      <c r="U25">
        <f>U24/SQRT(4)</f>
        <v>0.42418292164514348</v>
      </c>
    </row>
    <row r="27" spans="3:21">
      <c r="D27" t="s">
        <v>94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4"/>
  <sheetViews>
    <sheetView tabSelected="1" topLeftCell="A4" workbookViewId="0">
      <selection activeCell="P36" sqref="P36"/>
    </sheetView>
  </sheetViews>
  <sheetFormatPr baseColWidth="10" defaultRowHeight="15" x14ac:dyDescent="0"/>
  <sheetData>
    <row r="1" spans="1:18">
      <c r="A1" t="s">
        <v>48</v>
      </c>
    </row>
    <row r="2" spans="1:18">
      <c r="A2" t="s">
        <v>33</v>
      </c>
      <c r="B2" t="s">
        <v>16</v>
      </c>
      <c r="C2" t="s">
        <v>34</v>
      </c>
      <c r="D2" t="s">
        <v>18</v>
      </c>
      <c r="E2" t="s">
        <v>35</v>
      </c>
      <c r="F2" t="s">
        <v>18</v>
      </c>
      <c r="G2" t="s">
        <v>36</v>
      </c>
      <c r="H2" t="s">
        <v>18</v>
      </c>
      <c r="I2" t="s">
        <v>37</v>
      </c>
      <c r="J2" t="s">
        <v>22</v>
      </c>
      <c r="K2" t="s">
        <v>38</v>
      </c>
      <c r="L2" t="s">
        <v>22</v>
      </c>
      <c r="M2" t="s">
        <v>39</v>
      </c>
      <c r="N2" t="s">
        <v>22</v>
      </c>
      <c r="O2" t="s">
        <v>40</v>
      </c>
      <c r="P2" t="s">
        <v>22</v>
      </c>
      <c r="Q2" t="s">
        <v>41</v>
      </c>
      <c r="R2" t="s">
        <v>22</v>
      </c>
    </row>
    <row r="3" spans="1:18">
      <c r="A3">
        <v>0.96930000000000005</v>
      </c>
      <c r="B3">
        <v>263.34160700000007</v>
      </c>
      <c r="C3">
        <v>1.0806499999999999</v>
      </c>
      <c r="D3">
        <v>295.74334349999998</v>
      </c>
      <c r="E3">
        <v>1.1319999999999999</v>
      </c>
      <c r="F3">
        <v>310.68567999999999</v>
      </c>
      <c r="G3">
        <v>1.1051000000000002</v>
      </c>
      <c r="H3">
        <v>302.85804900000011</v>
      </c>
      <c r="I3">
        <v>1.2124999999999999</v>
      </c>
      <c r="J3">
        <v>334.11037500000003</v>
      </c>
      <c r="K3">
        <v>0.94135000000000002</v>
      </c>
      <c r="L3">
        <v>255.20843650000003</v>
      </c>
      <c r="M3">
        <v>0.99365000000000003</v>
      </c>
      <c r="N3">
        <v>270.42721350000005</v>
      </c>
      <c r="O3">
        <v>0.93354999999999999</v>
      </c>
      <c r="P3">
        <v>252.93871449999997</v>
      </c>
      <c r="Q3">
        <v>0.22815000000000002</v>
      </c>
      <c r="R3">
        <v>47.6743685</v>
      </c>
    </row>
    <row r="4" spans="1:18">
      <c r="A4">
        <v>0.98745000000000005</v>
      </c>
      <c r="B4">
        <v>268.62307550000003</v>
      </c>
      <c r="C4">
        <v>1.0845500000000001</v>
      </c>
      <c r="D4">
        <v>296.87820450000009</v>
      </c>
      <c r="E4">
        <v>1.1371500000000001</v>
      </c>
      <c r="F4">
        <v>312.18427850000006</v>
      </c>
      <c r="G4">
        <v>1.1810499999999999</v>
      </c>
      <c r="H4">
        <v>324.95873950000004</v>
      </c>
      <c r="I4">
        <v>1.1757499999999999</v>
      </c>
      <c r="J4">
        <v>323.4164925</v>
      </c>
      <c r="K4">
        <v>1.2414000000000001</v>
      </c>
      <c r="L4">
        <v>342.51998600000007</v>
      </c>
      <c r="M4">
        <v>1.1383000000000001</v>
      </c>
      <c r="N4">
        <v>312.51891700000004</v>
      </c>
      <c r="O4">
        <v>0.68925000000000003</v>
      </c>
      <c r="P4">
        <v>181.84985750000001</v>
      </c>
      <c r="Q4">
        <v>0.63649999999999995</v>
      </c>
      <c r="R4">
        <v>166.500135</v>
      </c>
    </row>
    <row r="5" spans="1:18">
      <c r="A5">
        <v>1.0359</v>
      </c>
      <c r="B5">
        <v>282.72154100000006</v>
      </c>
      <c r="C5">
        <v>0.97794999999999999</v>
      </c>
      <c r="D5">
        <v>265.85867050000002</v>
      </c>
      <c r="E5">
        <v>1.13215</v>
      </c>
      <c r="F5">
        <v>310.72932850000001</v>
      </c>
      <c r="G5">
        <v>1.1175000000000002</v>
      </c>
      <c r="H5">
        <v>306.4663250000001</v>
      </c>
      <c r="I5">
        <v>1.1789499999999999</v>
      </c>
      <c r="J5">
        <v>324.34766050000002</v>
      </c>
      <c r="K5">
        <v>1.1478000000000002</v>
      </c>
      <c r="L5">
        <v>315.28332200000006</v>
      </c>
      <c r="M5">
        <v>0.9918499999999999</v>
      </c>
      <c r="N5">
        <v>269.90343150000001</v>
      </c>
      <c r="O5">
        <v>0.64749999999999996</v>
      </c>
      <c r="P5">
        <v>169.70102499999999</v>
      </c>
      <c r="Q5">
        <v>0.42984999999999995</v>
      </c>
      <c r="R5">
        <v>106.36705149999999</v>
      </c>
    </row>
    <row r="6" spans="1:18">
      <c r="A6">
        <v>1.0689500000000001</v>
      </c>
      <c r="B6">
        <v>292.33876050000003</v>
      </c>
      <c r="C6">
        <v>1.2545999999999999</v>
      </c>
      <c r="D6">
        <v>346.36105400000002</v>
      </c>
      <c r="G6">
        <v>1.069</v>
      </c>
      <c r="H6">
        <v>292.35331000000002</v>
      </c>
      <c r="I6">
        <v>1.09165</v>
      </c>
      <c r="J6">
        <v>298.94423350000005</v>
      </c>
      <c r="K6">
        <v>1.10365</v>
      </c>
      <c r="L6">
        <v>302.43611350000003</v>
      </c>
      <c r="M6">
        <v>1.0819000000000001</v>
      </c>
      <c r="N6">
        <v>296.10708100000005</v>
      </c>
      <c r="O6">
        <v>0.55530000000000002</v>
      </c>
      <c r="P6">
        <v>142.871747</v>
      </c>
      <c r="Q6">
        <v>1.0388500000000001</v>
      </c>
      <c r="R6">
        <v>283.57996150000002</v>
      </c>
    </row>
    <row r="7" spans="1:18">
      <c r="A7">
        <v>1.00525</v>
      </c>
      <c r="B7">
        <v>273.80269750000002</v>
      </c>
      <c r="C7">
        <v>1.1419999999999999</v>
      </c>
      <c r="D7">
        <v>323.59557999999998</v>
      </c>
      <c r="K7">
        <v>1.0247999999999999</v>
      </c>
      <c r="L7">
        <v>279.49155200000001</v>
      </c>
      <c r="M7">
        <v>1.0690500000000001</v>
      </c>
      <c r="N7">
        <v>292.36785950000007</v>
      </c>
      <c r="O7">
        <v>0.37175000000000002</v>
      </c>
      <c r="P7">
        <v>89.460532500000014</v>
      </c>
    </row>
    <row r="10" spans="1:18">
      <c r="A10" t="s">
        <v>49</v>
      </c>
    </row>
    <row r="11" spans="1:18">
      <c r="B11" t="s">
        <v>42</v>
      </c>
      <c r="D11" t="s">
        <v>42</v>
      </c>
      <c r="F11" t="s">
        <v>42</v>
      </c>
      <c r="H11" t="s">
        <v>42</v>
      </c>
      <c r="J11" t="s">
        <v>43</v>
      </c>
      <c r="L11" t="s">
        <v>43</v>
      </c>
      <c r="N11" t="s">
        <v>44</v>
      </c>
      <c r="P11" t="s">
        <v>44</v>
      </c>
      <c r="R11" t="s">
        <v>44</v>
      </c>
    </row>
    <row r="12" spans="1:18">
      <c r="B12" t="s">
        <v>27</v>
      </c>
      <c r="D12" t="s">
        <v>27</v>
      </c>
      <c r="F12" t="s">
        <v>27</v>
      </c>
      <c r="H12" t="s">
        <v>27</v>
      </c>
      <c r="J12" t="s">
        <v>27</v>
      </c>
      <c r="L12" t="s">
        <v>27</v>
      </c>
      <c r="N12" t="s">
        <v>27</v>
      </c>
      <c r="P12" t="s">
        <v>27</v>
      </c>
      <c r="R12" t="s">
        <v>27</v>
      </c>
    </row>
    <row r="13" spans="1:18">
      <c r="B13" s="34">
        <v>2.7720169157894743</v>
      </c>
      <c r="D13" s="3">
        <v>2.2404798749999997</v>
      </c>
      <c r="F13" s="3">
        <v>2.505529677419355</v>
      </c>
      <c r="H13" s="34">
        <v>2.1946235434782615</v>
      </c>
      <c r="J13" s="3">
        <v>2.3528899647887327</v>
      </c>
      <c r="L13" s="34">
        <v>2.3851255747663553</v>
      </c>
      <c r="N13" s="34">
        <v>1.9884353933823533</v>
      </c>
      <c r="P13" s="3">
        <v>1.9916434212598424</v>
      </c>
      <c r="R13">
        <v>0.3454664384057971</v>
      </c>
    </row>
    <row r="14" spans="1:18">
      <c r="B14" s="34">
        <v>2.4872506990740741</v>
      </c>
      <c r="D14" s="3">
        <v>2.301381430232559</v>
      </c>
      <c r="F14" s="3">
        <v>2.2140728971631209</v>
      </c>
      <c r="H14" s="34">
        <v>2.1809311375838929</v>
      </c>
      <c r="J14" s="3">
        <v>2.5667975595238097</v>
      </c>
      <c r="L14" s="34">
        <v>2.7847153333333341</v>
      </c>
      <c r="N14" s="34">
        <v>2.4607788740157486</v>
      </c>
      <c r="P14" s="3">
        <v>1.2897153014184397</v>
      </c>
      <c r="R14">
        <v>1.04062584375</v>
      </c>
    </row>
    <row r="15" spans="1:18">
      <c r="B15" s="34">
        <v>2.524299473214286</v>
      </c>
      <c r="D15" s="3">
        <v>2.1971790950413226</v>
      </c>
      <c r="F15" s="3">
        <v>2.6111708277310925</v>
      </c>
      <c r="H15" s="34">
        <v>2.5120190573770498</v>
      </c>
      <c r="J15" s="3">
        <v>2.5143229496124033</v>
      </c>
      <c r="L15" s="34">
        <v>1.9954640632911396</v>
      </c>
      <c r="N15" s="34">
        <v>1.6161882125748503</v>
      </c>
      <c r="P15" s="3">
        <v>1.2570446296296296</v>
      </c>
      <c r="R15">
        <v>0.79975226691729318</v>
      </c>
    </row>
    <row r="16" spans="1:18">
      <c r="B16" s="34">
        <v>2.1183968152173915</v>
      </c>
      <c r="D16" s="3">
        <v>2.1647565875000003</v>
      </c>
      <c r="H16" s="34">
        <v>2.3202643650793653</v>
      </c>
      <c r="J16" s="3">
        <v>2.3725732817460323</v>
      </c>
      <c r="L16" s="34">
        <v>2.0297725738255035</v>
      </c>
      <c r="N16" s="34">
        <v>2.3688566480000004</v>
      </c>
      <c r="P16" s="3">
        <v>1.0505275514705883</v>
      </c>
      <c r="R16">
        <v>2.3244259139344265</v>
      </c>
    </row>
    <row r="17" spans="1:16">
      <c r="B17" s="34">
        <v>2.3401939957264961</v>
      </c>
      <c r="D17" s="3">
        <v>2.9417779999999998</v>
      </c>
      <c r="L17" s="34">
        <v>2.3290962666666668</v>
      </c>
      <c r="N17" s="34">
        <v>2.0589285880281696</v>
      </c>
      <c r="P17" s="3">
        <v>0.75176918067226906</v>
      </c>
    </row>
    <row r="20" spans="1:16">
      <c r="A20" t="s">
        <v>45</v>
      </c>
    </row>
    <row r="21" spans="1:16">
      <c r="C21" t="s">
        <v>46</v>
      </c>
      <c r="D21" t="s">
        <v>47</v>
      </c>
      <c r="E21" t="s">
        <v>31</v>
      </c>
    </row>
    <row r="22" spans="1:16">
      <c r="B22" t="s">
        <v>44</v>
      </c>
      <c r="C22">
        <f>AVERAGE(N13:N17,P13:P17,R13:R16)</f>
        <v>1.5245827331042432</v>
      </c>
      <c r="D22">
        <f>STDEV(N13:N17,P13:P17,R13:R16)</f>
        <v>0.68246442376624938</v>
      </c>
      <c r="E22">
        <f>D22/SQRT(14)</f>
        <v>0.18239628945681488</v>
      </c>
    </row>
    <row r="23" spans="1:16">
      <c r="B23" t="s">
        <v>96</v>
      </c>
      <c r="C23">
        <f>AVERAGE(J13:J16,L13:L17)</f>
        <v>2.3700841741726646</v>
      </c>
      <c r="D23">
        <f>STDEV(J13:J16,L13:L17)</f>
        <v>0.24743187952891862</v>
      </c>
      <c r="E23">
        <f t="shared" ref="E23:E24" si="0">D23/SQRT(14)</f>
        <v>6.6128951411624171E-2</v>
      </c>
      <c r="M23" t="s">
        <v>90</v>
      </c>
    </row>
    <row r="24" spans="1:16">
      <c r="B24" t="s">
        <v>42</v>
      </c>
      <c r="C24">
        <f>AVERAGE(B13:B17,D13:D17,F13:F15,H13:H16)</f>
        <v>2.38978496427222</v>
      </c>
      <c r="D24">
        <f>STDEV(B13:B17,D13:D17,F13:F15,H13:H16)</f>
        <v>0.23279679096969935</v>
      </c>
      <c r="E24">
        <f t="shared" si="0"/>
        <v>6.221755946778891E-2</v>
      </c>
      <c r="M24" t="s">
        <v>91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45"/>
  <sheetViews>
    <sheetView workbookViewId="0">
      <selection activeCell="I32" sqref="I32:J34"/>
    </sheetView>
  </sheetViews>
  <sheetFormatPr baseColWidth="10" defaultRowHeight="15" x14ac:dyDescent="0"/>
  <cols>
    <col min="6" max="6" width="25.6640625" customWidth="1"/>
  </cols>
  <sheetData>
    <row r="1" spans="2:13">
      <c r="B1" t="s">
        <v>42</v>
      </c>
      <c r="C1" t="s">
        <v>43</v>
      </c>
      <c r="D1" t="s">
        <v>44</v>
      </c>
      <c r="F1" t="s">
        <v>89</v>
      </c>
    </row>
    <row r="2" spans="2:13" ht="16" thickBot="1">
      <c r="B2">
        <v>2.7720169157894743</v>
      </c>
      <c r="C2">
        <v>2.3528899647887327</v>
      </c>
      <c r="D2">
        <v>1.9884353933823533</v>
      </c>
      <c r="F2" s="43" t="s">
        <v>50</v>
      </c>
      <c r="G2" s="44"/>
      <c r="H2" s="44"/>
      <c r="I2" s="44"/>
      <c r="J2" s="44"/>
      <c r="K2" s="44"/>
      <c r="L2" s="44"/>
      <c r="M2" s="44"/>
    </row>
    <row r="3" spans="2:13">
      <c r="B3">
        <v>2.4872506990740741</v>
      </c>
      <c r="C3">
        <v>2.5667975595238097</v>
      </c>
      <c r="D3">
        <v>2.4607788740157486</v>
      </c>
    </row>
    <row r="4" spans="2:13" ht="16" thickBot="1">
      <c r="B4">
        <v>2.524299473214286</v>
      </c>
      <c r="C4">
        <v>2.5143229496124033</v>
      </c>
      <c r="D4">
        <v>1.6161882125748503</v>
      </c>
      <c r="F4" s="45" t="s">
        <v>51</v>
      </c>
      <c r="G4" s="44"/>
      <c r="H4" s="44"/>
      <c r="I4" s="44"/>
      <c r="J4" s="44"/>
      <c r="K4" s="46"/>
      <c r="L4" s="18"/>
      <c r="M4" s="18"/>
    </row>
    <row r="5" spans="2:13">
      <c r="B5">
        <v>2.1183968152173915</v>
      </c>
      <c r="C5">
        <v>2.3725732817460323</v>
      </c>
      <c r="D5">
        <v>2.3688566480000004</v>
      </c>
      <c r="F5" s="19" t="s">
        <v>52</v>
      </c>
      <c r="G5" s="19" t="s">
        <v>53</v>
      </c>
      <c r="H5" s="19" t="s">
        <v>54</v>
      </c>
      <c r="I5" s="19" t="s">
        <v>46</v>
      </c>
      <c r="J5" s="19" t="s">
        <v>55</v>
      </c>
      <c r="K5" s="20"/>
      <c r="L5" s="20"/>
      <c r="M5" s="20"/>
    </row>
    <row r="6" spans="2:13">
      <c r="B6">
        <v>2.3401939957264961</v>
      </c>
      <c r="C6">
        <v>2.3851255747663553</v>
      </c>
      <c r="D6">
        <v>2.0589285880281696</v>
      </c>
      <c r="F6" s="21" t="s">
        <v>42</v>
      </c>
      <c r="G6">
        <v>17</v>
      </c>
      <c r="H6" s="22">
        <v>40.626344392627743</v>
      </c>
      <c r="I6" s="22">
        <v>2.38978496427222</v>
      </c>
      <c r="J6" s="22">
        <v>97.955336517019404</v>
      </c>
    </row>
    <row r="7" spans="2:13">
      <c r="B7">
        <v>2.2404798749999997</v>
      </c>
      <c r="C7">
        <v>2.7847153333333341</v>
      </c>
      <c r="D7">
        <v>1.9916434212598424</v>
      </c>
      <c r="F7" s="21" t="s">
        <v>43</v>
      </c>
      <c r="G7">
        <v>9</v>
      </c>
      <c r="H7" s="22">
        <v>21.330757567553974</v>
      </c>
      <c r="I7" s="22">
        <v>2.3700841741726637</v>
      </c>
      <c r="J7" s="22">
        <v>51.045471214031146</v>
      </c>
    </row>
    <row r="8" spans="2:13">
      <c r="B8">
        <v>2.301381430232559</v>
      </c>
      <c r="C8">
        <v>1.9954640632911396</v>
      </c>
      <c r="D8">
        <v>1.2897153014184397</v>
      </c>
      <c r="F8" s="21" t="s">
        <v>44</v>
      </c>
      <c r="G8">
        <v>14</v>
      </c>
      <c r="H8" s="22">
        <v>21.344158263459388</v>
      </c>
      <c r="I8" s="22">
        <v>1.5245827331042421</v>
      </c>
      <c r="J8" s="22">
        <v>38.595785107300223</v>
      </c>
    </row>
    <row r="9" spans="2:13">
      <c r="B9">
        <v>2.1971790950413226</v>
      </c>
      <c r="C9">
        <v>2.0297725738255035</v>
      </c>
      <c r="D9">
        <v>1.2570446296296296</v>
      </c>
    </row>
    <row r="10" spans="2:13" ht="16" thickBot="1">
      <c r="B10">
        <v>2.1647565875000003</v>
      </c>
      <c r="C10">
        <v>2.3290962666666668</v>
      </c>
      <c r="D10">
        <v>1.0505275514705883</v>
      </c>
      <c r="F10" s="23" t="s">
        <v>56</v>
      </c>
      <c r="G10" s="18">
        <v>40</v>
      </c>
      <c r="H10" s="23" t="s">
        <v>57</v>
      </c>
      <c r="I10" s="24">
        <v>2.0825315055910276</v>
      </c>
      <c r="J10" s="24">
        <v>0.36202805044055186</v>
      </c>
      <c r="K10" s="18"/>
      <c r="L10" s="18"/>
      <c r="M10" s="18"/>
    </row>
    <row r="11" spans="2:13">
      <c r="B11">
        <v>2.9417779999999998</v>
      </c>
      <c r="D11">
        <v>0.75176918067226906</v>
      </c>
    </row>
    <row r="12" spans="2:13" ht="16" thickBot="1">
      <c r="B12">
        <v>2.505529677419355</v>
      </c>
      <c r="D12">
        <v>0.3454664384057971</v>
      </c>
      <c r="F12" s="45" t="s">
        <v>58</v>
      </c>
      <c r="G12" s="44"/>
      <c r="H12" s="44"/>
      <c r="I12" s="44"/>
      <c r="J12" s="44"/>
      <c r="K12" s="46"/>
      <c r="L12" s="18"/>
      <c r="M12" s="18"/>
    </row>
    <row r="13" spans="2:13">
      <c r="B13">
        <v>2.2140728971631209</v>
      </c>
      <c r="D13">
        <v>1.04062584375</v>
      </c>
      <c r="F13" s="19" t="s">
        <v>59</v>
      </c>
      <c r="G13" s="19" t="s">
        <v>60</v>
      </c>
      <c r="H13" s="19" t="s">
        <v>61</v>
      </c>
      <c r="I13" s="19" t="s">
        <v>62</v>
      </c>
      <c r="J13" s="19" t="s">
        <v>63</v>
      </c>
      <c r="K13" s="19" t="s">
        <v>64</v>
      </c>
      <c r="L13" s="19" t="s">
        <v>65</v>
      </c>
      <c r="M13" s="19" t="s">
        <v>66</v>
      </c>
    </row>
    <row r="14" spans="2:13">
      <c r="B14">
        <v>2.6111708277310925</v>
      </c>
      <c r="D14">
        <v>0.79975226691729318</v>
      </c>
      <c r="F14" s="21" t="s">
        <v>67</v>
      </c>
      <c r="G14">
        <v>2</v>
      </c>
      <c r="H14" s="22">
        <v>6.7073541867653965</v>
      </c>
      <c r="I14" s="22">
        <v>3.3536770933826983</v>
      </c>
      <c r="J14" s="22">
        <v>16.741825284129597</v>
      </c>
      <c r="K14" s="28">
        <v>6.6389086113005646E-6</v>
      </c>
      <c r="L14" s="22">
        <v>3.2519238463872226</v>
      </c>
      <c r="M14" s="22">
        <v>0.44043148773152951</v>
      </c>
    </row>
    <row r="15" spans="2:13">
      <c r="B15">
        <v>2.1946235434782615</v>
      </c>
      <c r="D15">
        <v>2.3244259139344265</v>
      </c>
      <c r="F15" s="21" t="s">
        <v>68</v>
      </c>
      <c r="G15">
        <v>37</v>
      </c>
      <c r="H15" s="22">
        <v>7.4117397804161254</v>
      </c>
      <c r="I15" s="22">
        <v>0.20031729136259799</v>
      </c>
    </row>
    <row r="16" spans="2:13">
      <c r="B16">
        <v>2.1809311375838929</v>
      </c>
    </row>
    <row r="17" spans="2:13" ht="16" thickBot="1">
      <c r="B17">
        <v>2.5120190573770498</v>
      </c>
      <c r="F17" s="23" t="s">
        <v>56</v>
      </c>
      <c r="G17" s="18">
        <v>39</v>
      </c>
      <c r="H17" s="24">
        <v>14.119093967181522</v>
      </c>
      <c r="I17" s="18"/>
      <c r="J17" s="18"/>
      <c r="K17" s="18"/>
      <c r="L17" s="18"/>
      <c r="M17" s="18"/>
    </row>
    <row r="18" spans="2:13">
      <c r="B18">
        <v>2.3202643650793653</v>
      </c>
    </row>
    <row r="19" spans="2:13">
      <c r="F19" s="21" t="s">
        <v>69</v>
      </c>
      <c r="G19" s="22">
        <v>8.5942118516970005</v>
      </c>
      <c r="H19" s="21" t="s">
        <v>70</v>
      </c>
      <c r="I19">
        <v>3</v>
      </c>
      <c r="J19">
        <v>16</v>
      </c>
    </row>
    <row r="20" spans="2:13">
      <c r="F20" s="21" t="s">
        <v>71</v>
      </c>
      <c r="G20" s="22">
        <v>0.80140755165195465</v>
      </c>
      <c r="H20" s="21" t="s">
        <v>70</v>
      </c>
      <c r="I20">
        <v>3</v>
      </c>
      <c r="J20">
        <v>16</v>
      </c>
    </row>
    <row r="21" spans="2:13" ht="16" thickBot="1">
      <c r="F21" s="23" t="s">
        <v>72</v>
      </c>
      <c r="G21" s="24">
        <v>18.695201993171857</v>
      </c>
      <c r="H21" s="23" t="s">
        <v>70</v>
      </c>
      <c r="I21" s="18">
        <v>2</v>
      </c>
      <c r="J21" s="23" t="s">
        <v>64</v>
      </c>
      <c r="K21" s="24">
        <v>8.717429988436276E-5</v>
      </c>
      <c r="L21" s="18"/>
      <c r="M21" s="18"/>
    </row>
    <row r="23" spans="2:13" ht="16" thickBot="1">
      <c r="F23" s="43" t="s">
        <v>73</v>
      </c>
      <c r="G23" s="44"/>
      <c r="H23" s="44"/>
      <c r="I23" s="44"/>
      <c r="J23" s="44"/>
      <c r="K23" s="44"/>
      <c r="L23" s="44"/>
      <c r="M23" s="44"/>
    </row>
    <row r="25" spans="2:13">
      <c r="F25" s="39" t="s">
        <v>74</v>
      </c>
      <c r="G25" s="40"/>
      <c r="H25" s="40"/>
      <c r="I25" s="40"/>
      <c r="J25" s="40"/>
      <c r="K25" s="40"/>
      <c r="L25" s="40"/>
      <c r="M25" s="41"/>
    </row>
    <row r="26" spans="2:13">
      <c r="F26" s="19" t="s">
        <v>75</v>
      </c>
      <c r="G26" s="19" t="s">
        <v>76</v>
      </c>
      <c r="H26" s="42" t="s">
        <v>77</v>
      </c>
      <c r="I26" s="42"/>
      <c r="J26" s="19" t="s">
        <v>78</v>
      </c>
      <c r="K26" s="19" t="s">
        <v>64</v>
      </c>
      <c r="L26" s="19"/>
      <c r="M26" s="19"/>
    </row>
    <row r="27" spans="2:13">
      <c r="F27" t="s">
        <v>79</v>
      </c>
      <c r="G27" s="22">
        <v>1.9700790099556435E-2</v>
      </c>
      <c r="H27" s="22">
        <v>-0.45082708745826849</v>
      </c>
      <c r="I27" s="22">
        <v>0.49022866765738138</v>
      </c>
      <c r="J27" s="22">
        <v>5.7008148432271246E-3</v>
      </c>
      <c r="K27" s="22">
        <v>0.99431627715400417</v>
      </c>
    </row>
    <row r="28" spans="2:13">
      <c r="F28" t="s">
        <v>80</v>
      </c>
      <c r="G28" s="22">
        <v>0.86520223116797823</v>
      </c>
      <c r="H28" s="22">
        <v>0.45325957101314285</v>
      </c>
      <c r="I28" s="22">
        <v>1.2771448913228136</v>
      </c>
      <c r="J28" s="22">
        <v>14.345050776680015</v>
      </c>
      <c r="K28" s="22">
        <v>2.4433356396014183E-5</v>
      </c>
    </row>
    <row r="29" spans="2:13">
      <c r="F29" s="20" t="s">
        <v>81</v>
      </c>
      <c r="G29" s="25">
        <v>0.84550144106842173</v>
      </c>
      <c r="H29" s="25">
        <v>0.35783480268037809</v>
      </c>
      <c r="I29" s="25">
        <v>1.3331680794564655</v>
      </c>
      <c r="J29" s="25">
        <v>9.7751398305294508</v>
      </c>
      <c r="K29" s="25">
        <v>3.9056101490797523E-4</v>
      </c>
      <c r="L29" s="20"/>
      <c r="M29" s="20"/>
    </row>
    <row r="30" spans="2:13">
      <c r="F30" s="39" t="s">
        <v>82</v>
      </c>
      <c r="G30" s="40"/>
      <c r="H30" s="40"/>
      <c r="I30" s="40"/>
      <c r="J30" s="40"/>
      <c r="K30" s="40"/>
      <c r="L30" s="40"/>
      <c r="M30" s="41"/>
    </row>
    <row r="31" spans="2:13">
      <c r="F31" s="19" t="s">
        <v>52</v>
      </c>
      <c r="G31" s="19" t="s">
        <v>76</v>
      </c>
      <c r="H31" s="19" t="s">
        <v>78</v>
      </c>
      <c r="I31" s="19" t="s">
        <v>64</v>
      </c>
      <c r="J31" s="19" t="s">
        <v>83</v>
      </c>
      <c r="K31" s="19"/>
      <c r="L31" s="19"/>
      <c r="M31" s="19"/>
    </row>
    <row r="32" spans="2:13">
      <c r="F32" s="29" t="s">
        <v>79</v>
      </c>
      <c r="G32" s="22">
        <v>1.9700790099556276E-2</v>
      </c>
      <c r="H32" s="22">
        <v>0.15100748118192067</v>
      </c>
      <c r="I32" s="28">
        <v>0.99381570854854717</v>
      </c>
      <c r="J32" s="32" t="s">
        <v>84</v>
      </c>
    </row>
    <row r="33" spans="6:13">
      <c r="F33" s="29" t="s">
        <v>80</v>
      </c>
      <c r="G33" s="22">
        <v>0.8652022311679779</v>
      </c>
      <c r="H33" s="22">
        <v>7.5749721522075584</v>
      </c>
      <c r="I33" s="28">
        <v>3.5764228661250286E-5</v>
      </c>
      <c r="J33" s="32" t="s">
        <v>85</v>
      </c>
    </row>
    <row r="34" spans="6:13">
      <c r="F34" s="30" t="s">
        <v>81</v>
      </c>
      <c r="G34" s="25">
        <v>0.84550144106842162</v>
      </c>
      <c r="H34" s="25">
        <v>6.253044004492355</v>
      </c>
      <c r="I34" s="31">
        <v>2.5250374718022162E-4</v>
      </c>
      <c r="J34" s="33" t="s">
        <v>85</v>
      </c>
      <c r="K34" s="20"/>
      <c r="L34" s="20"/>
      <c r="M34" s="20"/>
    </row>
    <row r="35" spans="6:13">
      <c r="F35" s="39" t="s">
        <v>86</v>
      </c>
      <c r="G35" s="40"/>
      <c r="H35" s="40"/>
      <c r="I35" s="40"/>
      <c r="J35" s="40"/>
      <c r="K35" s="40"/>
      <c r="L35" s="40"/>
      <c r="M35" s="41"/>
    </row>
    <row r="36" spans="6:13">
      <c r="F36" s="26" t="s">
        <v>87</v>
      </c>
      <c r="G36" s="25">
        <v>1.6666666666666666E-2</v>
      </c>
      <c r="H36" s="20"/>
      <c r="I36" s="20"/>
      <c r="J36" s="20"/>
      <c r="K36" s="20"/>
      <c r="L36" s="20"/>
      <c r="M36" s="20"/>
    </row>
    <row r="37" spans="6:13">
      <c r="F37" s="19" t="s">
        <v>75</v>
      </c>
      <c r="G37" s="19" t="s">
        <v>76</v>
      </c>
      <c r="H37" s="42" t="s">
        <v>77</v>
      </c>
      <c r="I37" s="42"/>
      <c r="J37" s="19" t="s">
        <v>78</v>
      </c>
      <c r="K37" s="19" t="s">
        <v>64</v>
      </c>
      <c r="L37" s="19"/>
      <c r="M37" s="19"/>
    </row>
    <row r="38" spans="6:13">
      <c r="F38" s="29" t="s">
        <v>79</v>
      </c>
      <c r="G38" s="22">
        <v>1.9700790099556435E-2</v>
      </c>
      <c r="H38" s="22">
        <v>-0.44298063265214838</v>
      </c>
      <c r="I38" s="22">
        <v>0.48238221285126126</v>
      </c>
      <c r="J38" s="22">
        <v>0.10677841395363695</v>
      </c>
      <c r="K38" s="28">
        <v>1</v>
      </c>
    </row>
    <row r="39" spans="6:13">
      <c r="F39" s="29" t="s">
        <v>80</v>
      </c>
      <c r="G39" s="22">
        <v>0.86520223116797823</v>
      </c>
      <c r="H39" s="22">
        <v>0.46012906721046559</v>
      </c>
      <c r="I39" s="22">
        <v>1.2702753951254908</v>
      </c>
      <c r="J39" s="22">
        <v>5.3563141761252231</v>
      </c>
      <c r="K39" s="28">
        <v>1.4012419689901634E-5</v>
      </c>
    </row>
    <row r="40" spans="6:13">
      <c r="F40" s="30" t="s">
        <v>81</v>
      </c>
      <c r="G40" s="25">
        <v>0.84550144106842173</v>
      </c>
      <c r="H40" s="25">
        <v>0.36596706098231913</v>
      </c>
      <c r="I40" s="25">
        <v>1.3250358211545243</v>
      </c>
      <c r="J40" s="25">
        <v>4.4215698186344294</v>
      </c>
      <c r="K40" s="31">
        <v>2.4847636983760246E-4</v>
      </c>
      <c r="L40" s="20"/>
      <c r="M40" s="20"/>
    </row>
    <row r="41" spans="6:13">
      <c r="F41" s="39" t="s">
        <v>88</v>
      </c>
      <c r="G41" s="40"/>
      <c r="H41" s="40"/>
      <c r="I41" s="40"/>
      <c r="J41" s="40"/>
      <c r="K41" s="40"/>
      <c r="L41" s="40"/>
      <c r="M41" s="41"/>
    </row>
    <row r="42" spans="6:13">
      <c r="F42" s="27" t="s">
        <v>75</v>
      </c>
      <c r="G42" s="27" t="s">
        <v>76</v>
      </c>
      <c r="H42" s="27" t="s">
        <v>78</v>
      </c>
      <c r="I42" s="27" t="s">
        <v>64</v>
      </c>
      <c r="J42" s="27" t="s">
        <v>83</v>
      </c>
      <c r="K42" s="27"/>
      <c r="L42" s="27"/>
      <c r="M42" s="27"/>
    </row>
    <row r="43" spans="6:13">
      <c r="F43" t="s">
        <v>79</v>
      </c>
      <c r="G43" s="22">
        <v>1.9700790099556276E-2</v>
      </c>
      <c r="H43" s="22">
        <v>0.10677841395363609</v>
      </c>
      <c r="I43" s="22">
        <v>0.91551216367009847</v>
      </c>
      <c r="J43" s="21" t="s">
        <v>84</v>
      </c>
    </row>
    <row r="44" spans="6:13">
      <c r="F44" t="s">
        <v>80</v>
      </c>
      <c r="G44" s="22">
        <v>0.8652022311679779</v>
      </c>
      <c r="H44" s="22">
        <v>5.3563141761252213</v>
      </c>
      <c r="I44" s="22">
        <v>4.0469586370939226E-6</v>
      </c>
      <c r="J44" s="21" t="s">
        <v>85</v>
      </c>
    </row>
    <row r="45" spans="6:13">
      <c r="F45" s="20" t="s">
        <v>81</v>
      </c>
      <c r="G45" s="25">
        <v>0.84550144106842162</v>
      </c>
      <c r="H45" s="25">
        <v>4.4215698186344286</v>
      </c>
      <c r="I45" s="25">
        <v>7.6145524819049015E-5</v>
      </c>
      <c r="J45" s="26" t="s">
        <v>85</v>
      </c>
      <c r="K45" s="20"/>
      <c r="L45" s="20"/>
      <c r="M45" s="20"/>
    </row>
  </sheetData>
  <mergeCells count="10">
    <mergeCell ref="F30:M30"/>
    <mergeCell ref="F35:M35"/>
    <mergeCell ref="H37:I37"/>
    <mergeCell ref="F41:M41"/>
    <mergeCell ref="F2:M2"/>
    <mergeCell ref="F4:K4"/>
    <mergeCell ref="F12:K12"/>
    <mergeCell ref="F23:M23"/>
    <mergeCell ref="F25:M25"/>
    <mergeCell ref="H26:I26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3"/>
  <sheetViews>
    <sheetView topLeftCell="C5" workbookViewId="0">
      <selection activeCell="U27" sqref="U27"/>
    </sheetView>
  </sheetViews>
  <sheetFormatPr baseColWidth="10" defaultRowHeight="15" x14ac:dyDescent="0"/>
  <sheetData>
    <row r="1" spans="1:23">
      <c r="A1" t="s">
        <v>97</v>
      </c>
    </row>
    <row r="4" spans="1:23">
      <c r="A4" s="35" t="s">
        <v>49</v>
      </c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</row>
    <row r="5" spans="1:23">
      <c r="A5" s="35"/>
      <c r="B5" s="35" t="s">
        <v>42</v>
      </c>
      <c r="C5" s="35"/>
      <c r="D5" s="35" t="s">
        <v>42</v>
      </c>
      <c r="E5" s="35"/>
      <c r="F5" s="35" t="s">
        <v>42</v>
      </c>
      <c r="G5" s="35"/>
      <c r="H5" s="35" t="s">
        <v>42</v>
      </c>
      <c r="I5" s="35"/>
      <c r="J5" s="35" t="s">
        <v>43</v>
      </c>
      <c r="K5" s="35"/>
      <c r="L5" s="35" t="s">
        <v>43</v>
      </c>
      <c r="M5" s="35"/>
      <c r="N5" s="35" t="s">
        <v>44</v>
      </c>
      <c r="O5" s="35"/>
      <c r="P5" s="35" t="s">
        <v>44</v>
      </c>
      <c r="Q5" s="35"/>
      <c r="R5" s="35" t="s">
        <v>44</v>
      </c>
      <c r="S5" s="35"/>
      <c r="U5" t="s">
        <v>44</v>
      </c>
    </row>
    <row r="6" spans="1:23">
      <c r="A6" s="35"/>
      <c r="B6" s="35" t="s">
        <v>27</v>
      </c>
      <c r="C6" s="35"/>
      <c r="D6" s="35" t="s">
        <v>27</v>
      </c>
      <c r="E6" s="35"/>
      <c r="F6" s="35" t="s">
        <v>27</v>
      </c>
      <c r="G6" s="35"/>
      <c r="H6" s="35" t="s">
        <v>27</v>
      </c>
      <c r="I6" s="35"/>
      <c r="J6" s="35" t="s">
        <v>101</v>
      </c>
      <c r="K6" s="35"/>
      <c r="L6" s="35" t="s">
        <v>102</v>
      </c>
      <c r="M6" s="35"/>
      <c r="N6" s="35" t="s">
        <v>27</v>
      </c>
      <c r="O6" s="35"/>
      <c r="P6" s="35" t="s">
        <v>27</v>
      </c>
      <c r="Q6" s="35"/>
      <c r="R6" s="35" t="s">
        <v>27</v>
      </c>
      <c r="S6" s="35"/>
      <c r="U6" t="s">
        <v>98</v>
      </c>
      <c r="V6" t="s">
        <v>99</v>
      </c>
      <c r="W6" t="s">
        <v>100</v>
      </c>
    </row>
    <row r="7" spans="1:23">
      <c r="A7" s="35"/>
      <c r="B7" s="36">
        <v>2.7720169160000001</v>
      </c>
      <c r="C7" s="35"/>
      <c r="D7" s="37">
        <v>2.2404798750000001</v>
      </c>
      <c r="E7" s="35"/>
      <c r="F7" s="37">
        <v>2.5055296770000002</v>
      </c>
      <c r="G7" s="35"/>
      <c r="H7" s="36">
        <v>2.1946235430000001</v>
      </c>
      <c r="I7" s="35"/>
      <c r="J7" s="37">
        <v>2.3528899650000001</v>
      </c>
      <c r="K7" s="35"/>
      <c r="L7" s="36">
        <v>2.385125575</v>
      </c>
      <c r="M7" s="35"/>
      <c r="N7" s="36">
        <v>1.9884353930000001</v>
      </c>
      <c r="O7" s="35"/>
      <c r="P7" s="37">
        <v>1.991643421</v>
      </c>
      <c r="Q7" s="35"/>
      <c r="R7" s="38">
        <v>0.34546643799999999</v>
      </c>
      <c r="S7" s="35"/>
      <c r="U7" s="37">
        <v>1.991643421</v>
      </c>
      <c r="V7" s="36">
        <v>1.9884353930000001</v>
      </c>
    </row>
    <row r="8" spans="1:23">
      <c r="A8" s="35"/>
      <c r="B8" s="36">
        <v>2.4872506990000001</v>
      </c>
      <c r="C8" s="35"/>
      <c r="D8" s="37">
        <v>2.3013814300000002</v>
      </c>
      <c r="E8" s="35"/>
      <c r="F8" s="37">
        <v>2.2140728969999999</v>
      </c>
      <c r="G8" s="35"/>
      <c r="H8" s="36">
        <v>2.180931138</v>
      </c>
      <c r="I8" s="35"/>
      <c r="J8" s="37">
        <v>2.5667975599999999</v>
      </c>
      <c r="K8" s="35"/>
      <c r="L8" s="36">
        <v>2.7847153329999998</v>
      </c>
      <c r="M8" s="35"/>
      <c r="N8" s="36">
        <v>2.4607788739999998</v>
      </c>
      <c r="O8" s="35"/>
      <c r="P8" s="37">
        <v>1.289715301</v>
      </c>
      <c r="Q8" s="35"/>
      <c r="R8" s="38">
        <v>1.040625844</v>
      </c>
      <c r="S8" s="35"/>
      <c r="U8" s="37">
        <v>1.289715301</v>
      </c>
      <c r="V8" s="36">
        <v>2.4607788739999998</v>
      </c>
    </row>
    <row r="9" spans="1:23">
      <c r="A9" s="35"/>
      <c r="B9" s="36">
        <v>2.5242994730000001</v>
      </c>
      <c r="C9" s="35"/>
      <c r="D9" s="37">
        <v>2.1971790950000001</v>
      </c>
      <c r="E9" s="35"/>
      <c r="F9" s="37">
        <v>2.6111708280000001</v>
      </c>
      <c r="G9" s="35"/>
      <c r="H9" s="36">
        <v>2.5120190569999998</v>
      </c>
      <c r="I9" s="35"/>
      <c r="J9" s="37">
        <v>2.5143229499999999</v>
      </c>
      <c r="K9" s="35"/>
      <c r="L9" s="36">
        <v>1.995464063</v>
      </c>
      <c r="M9" s="35"/>
      <c r="N9" s="36">
        <v>1.616188213</v>
      </c>
      <c r="O9" s="35"/>
      <c r="P9" s="37">
        <v>1.25704463</v>
      </c>
      <c r="Q9" s="35"/>
      <c r="R9" s="38">
        <v>0.79975226700000002</v>
      </c>
      <c r="S9" s="35"/>
      <c r="U9" s="37">
        <v>1.25704463</v>
      </c>
      <c r="V9" s="36">
        <v>1.616188213</v>
      </c>
    </row>
    <row r="10" spans="1:23">
      <c r="A10" s="35"/>
      <c r="B10" s="36">
        <v>2.1183968150000001</v>
      </c>
      <c r="C10" s="35"/>
      <c r="D10" s="37">
        <v>2.1647565879999999</v>
      </c>
      <c r="E10" s="35"/>
      <c r="F10" s="35"/>
      <c r="G10" s="35"/>
      <c r="H10" s="36">
        <v>2.3202643649999999</v>
      </c>
      <c r="I10" s="35"/>
      <c r="J10" s="37">
        <v>2.3725732819999998</v>
      </c>
      <c r="K10" s="35"/>
      <c r="L10" s="36">
        <v>2.0297725739999999</v>
      </c>
      <c r="M10" s="35"/>
      <c r="N10" s="36">
        <v>2.368856648</v>
      </c>
      <c r="O10" s="35"/>
      <c r="P10" s="37">
        <v>1.0505275510000001</v>
      </c>
      <c r="Q10" s="35"/>
      <c r="R10" s="38">
        <v>2.3244259139999999</v>
      </c>
      <c r="S10" s="35"/>
      <c r="U10" s="37">
        <v>1.0505275510000001</v>
      </c>
      <c r="V10" s="36">
        <v>2.368856648</v>
      </c>
    </row>
    <row r="11" spans="1:23">
      <c r="A11" s="35"/>
      <c r="B11" s="36">
        <v>2.340193996</v>
      </c>
      <c r="C11" s="35"/>
      <c r="D11" s="37">
        <v>2.9417779999999998</v>
      </c>
      <c r="E11" s="35"/>
      <c r="F11" s="35"/>
      <c r="G11" s="35"/>
      <c r="H11" s="35"/>
      <c r="I11" s="35"/>
      <c r="J11" s="35"/>
      <c r="K11" s="35"/>
      <c r="L11" s="36">
        <v>2.3290962670000002</v>
      </c>
      <c r="M11" s="35"/>
      <c r="N11" s="36">
        <v>2.0589285880000001</v>
      </c>
      <c r="O11" s="35"/>
      <c r="P11" s="37">
        <v>0.75176918100000001</v>
      </c>
      <c r="Q11" s="35"/>
      <c r="R11" s="35"/>
      <c r="S11" s="35"/>
      <c r="U11" s="37">
        <v>0.75176918100000001</v>
      </c>
      <c r="V11" s="36">
        <v>2.0589285880000001</v>
      </c>
    </row>
    <row r="12" spans="1:23">
      <c r="A12" s="35"/>
      <c r="B12" s="35"/>
      <c r="C12" s="35"/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U12" s="38">
        <v>0.34546643799999999</v>
      </c>
    </row>
    <row r="13" spans="1:23">
      <c r="A13" s="35"/>
      <c r="B13" s="35"/>
      <c r="C13" s="35"/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U13" s="38">
        <v>1.040625844</v>
      </c>
    </row>
    <row r="14" spans="1:23">
      <c r="C14" t="s">
        <v>108</v>
      </c>
      <c r="K14" t="s">
        <v>103</v>
      </c>
      <c r="U14" s="38">
        <v>0.79975226700000002</v>
      </c>
    </row>
    <row r="15" spans="1:23">
      <c r="U15" s="38">
        <v>2.3244259139999999</v>
      </c>
    </row>
    <row r="20" spans="3:17">
      <c r="K20" t="s">
        <v>98</v>
      </c>
      <c r="L20" t="s">
        <v>99</v>
      </c>
      <c r="N20" t="s">
        <v>104</v>
      </c>
      <c r="P20" t="s">
        <v>105</v>
      </c>
    </row>
    <row r="21" spans="3:17">
      <c r="J21" t="s">
        <v>44</v>
      </c>
      <c r="K21">
        <f>AVERAGE(P7:P11,R7:R10)</f>
        <v>1.205663394111111</v>
      </c>
      <c r="L21">
        <f>AVERAGE(N7:N11)</f>
        <v>2.0986375432000002</v>
      </c>
      <c r="N21">
        <f>STDEV(U7:U15)</f>
        <v>0.61655555902379799</v>
      </c>
      <c r="O21">
        <f>STDEV(V7:V11)</f>
        <v>0.335649884297132</v>
      </c>
      <c r="P21">
        <f>N21/SQRT(9)</f>
        <v>0.20551851967459933</v>
      </c>
      <c r="Q21">
        <f>O21/SQRT(5)</f>
        <v>0.15010719158566527</v>
      </c>
    </row>
    <row r="22" spans="3:17">
      <c r="C22" t="s">
        <v>106</v>
      </c>
      <c r="J22" t="s">
        <v>96</v>
      </c>
      <c r="K22">
        <f>AVERAGE(J7:J10)</f>
        <v>2.4516459392500001</v>
      </c>
      <c r="L22">
        <f>AVERAGE(L7:L11)</f>
        <v>2.3048347624000001</v>
      </c>
      <c r="N22">
        <f>STDEV(J7:J10)</f>
        <v>0.10518797620220995</v>
      </c>
      <c r="O22">
        <f>STDEV(L7:L11)</f>
        <v>0.31964434703567113</v>
      </c>
      <c r="P22">
        <f>N22/SQRT(4)</f>
        <v>5.2593988101104973E-2</v>
      </c>
      <c r="Q22">
        <f>O22/SQRT(5)</f>
        <v>0.14294929771905879</v>
      </c>
    </row>
    <row r="23" spans="3:17">
      <c r="C23" t="s">
        <v>107</v>
      </c>
      <c r="J23" t="s">
        <v>42</v>
      </c>
      <c r="K23">
        <f>AVERAGE(D7:D11,F7:F9)</f>
        <v>2.3970435487499997</v>
      </c>
      <c r="L23">
        <f>AVERAGE(B7:B11,H7:H10)</f>
        <v>2.3833328891111112</v>
      </c>
      <c r="N23">
        <f>STDEV(D7:D11,F7:F9)</f>
        <v>0.27134587059724768</v>
      </c>
      <c r="O23">
        <f>STDEV(B7:B11,H7:H10)</f>
        <v>0.20943773057589138</v>
      </c>
      <c r="P23">
        <f>N23/SQRT(8)</f>
        <v>9.5935252573140617E-2</v>
      </c>
      <c r="Q23">
        <f>O23/SQRT(9)</f>
        <v>6.981257685863046E-2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Std Curve</vt:lpstr>
      <vt:lpstr>Data</vt:lpstr>
      <vt:lpstr>ug per mg lung</vt:lpstr>
      <vt:lpstr>Treatments graphed</vt:lpstr>
      <vt:lpstr>Stats</vt:lpstr>
      <vt:lpstr>M vs F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 Pfau</dc:creator>
  <cp:lastModifiedBy>Jean Pfau</cp:lastModifiedBy>
  <dcterms:created xsi:type="dcterms:W3CDTF">2016-11-04T19:08:02Z</dcterms:created>
  <dcterms:modified xsi:type="dcterms:W3CDTF">2017-03-01T16:02:46Z</dcterms:modified>
</cp:coreProperties>
</file>