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ohamed Harith\Documents\IMPACT\uganda_jmmi\inputs\"/>
    </mc:Choice>
  </mc:AlternateContent>
  <bookViews>
    <workbookView xWindow="0" yWindow="0" windowWidth="28800" windowHeight="10230" tabRatio="688" activeTab="2"/>
  </bookViews>
  <sheets>
    <sheet name="Prices-March 2020" sheetId="65" r:id="rId1"/>
    <sheet name="CPI for NFIs" sheetId="19" r:id="rId2"/>
    <sheet name="Food" sheetId="66" r:id="rId3"/>
    <sheet name="Hygiene" sheetId="7" r:id="rId4"/>
    <sheet name="Water" sheetId="10" r:id="rId5"/>
    <sheet name="Education" sheetId="11" r:id="rId6"/>
    <sheet name="Energy &amp; Environment" sheetId="6" r:id="rId7"/>
    <sheet name="Transport" sheetId="12" r:id="rId8"/>
    <sheet name="Communication" sheetId="13" r:id="rId9"/>
    <sheet name="Clothing" sheetId="14" r:id="rId10"/>
    <sheet name="Health" sheetId="15" r:id="rId11"/>
    <sheet name="Other HHD items" sheetId="8" r:id="rId12"/>
    <sheet name="Livelihood" sheetId="16" r:id="rId13"/>
    <sheet name="MEB by settlement" sheetId="6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9" i="66" l="1"/>
  <c r="K18" i="66"/>
  <c r="J19" i="66"/>
  <c r="J18" i="66"/>
  <c r="I19" i="66"/>
  <c r="I18" i="66"/>
  <c r="L3" i="68" l="1"/>
  <c r="L4" i="68"/>
  <c r="L5" i="68"/>
  <c r="L6" i="68"/>
  <c r="L7" i="68"/>
  <c r="L8" i="68"/>
  <c r="L9" i="68"/>
  <c r="L10" i="68"/>
  <c r="L11" i="68"/>
  <c r="L12" i="68"/>
  <c r="L13" i="68"/>
  <c r="L14" i="68"/>
  <c r="L2" i="68"/>
  <c r="D3" i="68"/>
  <c r="D4" i="68"/>
  <c r="D5" i="68"/>
  <c r="D6" i="68"/>
  <c r="D7" i="68"/>
  <c r="D8" i="68"/>
  <c r="D9" i="68"/>
  <c r="D10" i="68"/>
  <c r="D11" i="68"/>
  <c r="D12" i="68"/>
  <c r="D13" i="68"/>
  <c r="D14" i="68"/>
  <c r="D2" i="68"/>
  <c r="G4" i="68"/>
  <c r="G5" i="68"/>
  <c r="G6" i="68"/>
  <c r="G7" i="68"/>
  <c r="G8" i="68"/>
  <c r="G9" i="68"/>
  <c r="G10" i="68"/>
  <c r="G11" i="68"/>
  <c r="G12" i="68"/>
  <c r="G13" i="68"/>
  <c r="G14" i="68"/>
  <c r="G3" i="68"/>
  <c r="G2" i="68"/>
  <c r="E3" i="68"/>
  <c r="E4" i="68"/>
  <c r="E5" i="68"/>
  <c r="E6" i="68"/>
  <c r="E7" i="68"/>
  <c r="E8" i="68"/>
  <c r="E9" i="68"/>
  <c r="E10" i="68"/>
  <c r="E11" i="68"/>
  <c r="E12" i="68"/>
  <c r="E13" i="68"/>
  <c r="E14" i="68"/>
  <c r="E2" i="68"/>
  <c r="F3" i="68"/>
  <c r="F4" i="68"/>
  <c r="F5" i="68"/>
  <c r="F6" i="68"/>
  <c r="F7" i="68"/>
  <c r="F8" i="68"/>
  <c r="F9" i="68"/>
  <c r="F10" i="68"/>
  <c r="F11" i="68"/>
  <c r="F12" i="68"/>
  <c r="F13" i="68"/>
  <c r="F14" i="68"/>
  <c r="F2" i="68"/>
  <c r="H3" i="68"/>
  <c r="H4" i="68"/>
  <c r="H5" i="68"/>
  <c r="H6" i="68"/>
  <c r="H7" i="68"/>
  <c r="H8" i="68"/>
  <c r="H9" i="68"/>
  <c r="H10" i="68"/>
  <c r="H11" i="68"/>
  <c r="H12" i="68"/>
  <c r="H13" i="68"/>
  <c r="H14" i="68"/>
  <c r="H2" i="68"/>
  <c r="H15" i="68" s="1"/>
  <c r="I3" i="68"/>
  <c r="I4" i="68"/>
  <c r="I5" i="68"/>
  <c r="I6" i="68"/>
  <c r="I7" i="68"/>
  <c r="I8" i="68"/>
  <c r="I9" i="68"/>
  <c r="I10" i="68"/>
  <c r="I11" i="68"/>
  <c r="I12" i="68"/>
  <c r="I13" i="68"/>
  <c r="I14" i="68"/>
  <c r="I2" i="68"/>
  <c r="K3" i="68"/>
  <c r="K4" i="68"/>
  <c r="K5" i="68"/>
  <c r="K6" i="68"/>
  <c r="K7" i="68"/>
  <c r="K8" i="68"/>
  <c r="K9" i="68"/>
  <c r="K10" i="68"/>
  <c r="K11" i="68"/>
  <c r="K12" i="68"/>
  <c r="K13" i="68"/>
  <c r="K14" i="68"/>
  <c r="K2" i="68"/>
  <c r="G15" i="68" l="1"/>
  <c r="E15" i="68"/>
  <c r="K15" i="68"/>
  <c r="F15" i="68"/>
  <c r="D15" i="68"/>
  <c r="L15" i="68"/>
  <c r="I15" i="68"/>
  <c r="E12" i="8" l="1"/>
  <c r="F9" i="6"/>
  <c r="G9" i="7"/>
  <c r="G11" i="7"/>
  <c r="K14" i="66"/>
  <c r="K15" i="66"/>
  <c r="K16" i="66"/>
  <c r="K17" i="66"/>
  <c r="K20" i="66"/>
  <c r="K21" i="66"/>
  <c r="K22" i="66"/>
  <c r="K23" i="66"/>
  <c r="K24" i="66"/>
  <c r="K25" i="66"/>
  <c r="K13" i="66"/>
  <c r="J14" i="66"/>
  <c r="J15" i="66"/>
  <c r="J16" i="66"/>
  <c r="J17" i="66"/>
  <c r="J20" i="66"/>
  <c r="J21" i="66"/>
  <c r="J22" i="66"/>
  <c r="J23" i="66"/>
  <c r="J24" i="66"/>
  <c r="J25" i="66"/>
  <c r="J13" i="66"/>
  <c r="I14" i="66"/>
  <c r="I15" i="66"/>
  <c r="I16" i="66"/>
  <c r="I17" i="66"/>
  <c r="I20" i="66"/>
  <c r="I21" i="66"/>
  <c r="I22" i="66"/>
  <c r="I23" i="66"/>
  <c r="I24" i="66"/>
  <c r="I25" i="66"/>
  <c r="I13" i="66"/>
  <c r="H14" i="66"/>
  <c r="H15" i="66"/>
  <c r="H16" i="66"/>
  <c r="H17" i="66"/>
  <c r="H18" i="66"/>
  <c r="H19" i="66"/>
  <c r="H20" i="66"/>
  <c r="H21" i="66"/>
  <c r="H22" i="66"/>
  <c r="H23" i="66"/>
  <c r="H24" i="66"/>
  <c r="H25" i="66"/>
  <c r="H13" i="66"/>
  <c r="G14" i="66"/>
  <c r="G15" i="66"/>
  <c r="G16" i="66"/>
  <c r="G17" i="66"/>
  <c r="G18" i="66"/>
  <c r="G19" i="66"/>
  <c r="G20" i="66"/>
  <c r="G21" i="66"/>
  <c r="G22" i="66"/>
  <c r="G23" i="66"/>
  <c r="G24" i="66"/>
  <c r="G25" i="66"/>
  <c r="G13" i="66"/>
  <c r="F14" i="66"/>
  <c r="F15" i="66"/>
  <c r="F16" i="66"/>
  <c r="F17" i="66"/>
  <c r="F18" i="66"/>
  <c r="F19" i="66"/>
  <c r="F20" i="66"/>
  <c r="F21" i="66"/>
  <c r="F22" i="66"/>
  <c r="F23" i="66"/>
  <c r="F24" i="66"/>
  <c r="F25" i="66"/>
  <c r="F13" i="66"/>
  <c r="E14" i="66"/>
  <c r="E15" i="66"/>
  <c r="E16" i="66"/>
  <c r="E17" i="66"/>
  <c r="E18" i="66"/>
  <c r="E19" i="66"/>
  <c r="E20" i="66"/>
  <c r="E21" i="66"/>
  <c r="E22" i="66"/>
  <c r="E23" i="66"/>
  <c r="E24" i="66"/>
  <c r="E25" i="66"/>
  <c r="E13" i="66"/>
  <c r="D14" i="66"/>
  <c r="D15" i="66"/>
  <c r="D16" i="66"/>
  <c r="D17" i="66"/>
  <c r="D18" i="66"/>
  <c r="D19" i="66"/>
  <c r="D20" i="66"/>
  <c r="D21" i="66"/>
  <c r="D22" i="66"/>
  <c r="D23" i="66"/>
  <c r="D24" i="66"/>
  <c r="D25" i="66"/>
  <c r="D13" i="66"/>
  <c r="D26" i="66" s="1"/>
  <c r="C14" i="66"/>
  <c r="C15" i="66"/>
  <c r="C16" i="66"/>
  <c r="C17" i="66"/>
  <c r="C18" i="66"/>
  <c r="C19" i="66"/>
  <c r="C20" i="66"/>
  <c r="C21" i="66"/>
  <c r="C22" i="66"/>
  <c r="C23" i="66"/>
  <c r="C24" i="66"/>
  <c r="C25" i="66"/>
  <c r="C13" i="66"/>
  <c r="H26" i="66" l="1"/>
  <c r="L24" i="66"/>
  <c r="B13" i="68" s="1"/>
  <c r="C13" i="68" s="1"/>
  <c r="L20" i="66"/>
  <c r="B9" i="68" s="1"/>
  <c r="C9" i="68" s="1"/>
  <c r="L25" i="66"/>
  <c r="B14" i="68" s="1"/>
  <c r="C14" i="68" s="1"/>
  <c r="E26" i="66"/>
  <c r="I26" i="66"/>
  <c r="L19" i="66"/>
  <c r="B8" i="68" s="1"/>
  <c r="C8" i="68" s="1"/>
  <c r="L15" i="66"/>
  <c r="B4" i="68" s="1"/>
  <c r="C4" i="68" s="1"/>
  <c r="L16" i="66"/>
  <c r="B5" i="68" s="1"/>
  <c r="C5" i="68" s="1"/>
  <c r="L21" i="66"/>
  <c r="B10" i="68" s="1"/>
  <c r="C10" i="68" s="1"/>
  <c r="L17" i="66"/>
  <c r="B6" i="68" s="1"/>
  <c r="C6" i="68" s="1"/>
  <c r="F26" i="66"/>
  <c r="J26" i="66"/>
  <c r="L23" i="66"/>
  <c r="B12" i="68" s="1"/>
  <c r="C12" i="68" s="1"/>
  <c r="L22" i="66"/>
  <c r="B11" i="68" s="1"/>
  <c r="C11" i="68" s="1"/>
  <c r="L18" i="66"/>
  <c r="B7" i="68" s="1"/>
  <c r="C7" i="68" s="1"/>
  <c r="L14" i="66"/>
  <c r="B3" i="68" s="1"/>
  <c r="C3" i="68" s="1"/>
  <c r="G26" i="66"/>
  <c r="K26" i="66"/>
  <c r="L13" i="66"/>
  <c r="C26" i="66"/>
  <c r="L26" i="66" l="1"/>
  <c r="B2" i="68"/>
  <c r="AJ15" i="65"/>
  <c r="AI15" i="65"/>
  <c r="AH15" i="65"/>
  <c r="AG15" i="65"/>
  <c r="AF15" i="65"/>
  <c r="AE15" i="65"/>
  <c r="AD15" i="65"/>
  <c r="AC15" i="65"/>
  <c r="F8" i="6" s="1"/>
  <c r="F10" i="6" s="1"/>
  <c r="AB15" i="65"/>
  <c r="AA15" i="65"/>
  <c r="Z15" i="65"/>
  <c r="Y15" i="65"/>
  <c r="X15" i="65"/>
  <c r="W15" i="65"/>
  <c r="V15" i="65"/>
  <c r="U15" i="65"/>
  <c r="T15" i="65"/>
  <c r="S15" i="65"/>
  <c r="R15" i="65"/>
  <c r="Q15" i="65"/>
  <c r="P15" i="65"/>
  <c r="O15" i="65"/>
  <c r="N15" i="65"/>
  <c r="M15" i="65"/>
  <c r="L15" i="65"/>
  <c r="K15" i="65"/>
  <c r="J15" i="65"/>
  <c r="I15" i="65"/>
  <c r="H15" i="65"/>
  <c r="G15" i="65"/>
  <c r="F15" i="65"/>
  <c r="E15" i="65"/>
  <c r="D15" i="65"/>
  <c r="C15" i="65"/>
  <c r="B15" i="65"/>
  <c r="D11" i="19" l="1"/>
  <c r="F10" i="8"/>
  <c r="D12" i="19"/>
  <c r="F11" i="8"/>
  <c r="G10" i="7"/>
  <c r="D7" i="19"/>
  <c r="F8" i="8"/>
  <c r="D9" i="19"/>
  <c r="G8" i="7"/>
  <c r="D5" i="19"/>
  <c r="D8" i="19"/>
  <c r="G12" i="7"/>
  <c r="D10" i="19"/>
  <c r="F9" i="8"/>
  <c r="C2" i="68"/>
  <c r="B15" i="68"/>
  <c r="U13" i="19"/>
  <c r="T14" i="19" s="1"/>
  <c r="T13" i="19"/>
  <c r="F12" i="8" l="1"/>
  <c r="G13" i="7"/>
  <c r="C15" i="68"/>
  <c r="D8" i="15"/>
  <c r="D8" i="10"/>
  <c r="D8" i="11"/>
  <c r="D8" i="12"/>
  <c r="D8" i="13"/>
  <c r="D13" i="19" l="1"/>
  <c r="C13" i="19" l="1"/>
  <c r="C14" i="19" s="1"/>
  <c r="C15" i="19" s="1"/>
  <c r="F6" i="14" l="1"/>
  <c r="E9" i="16"/>
  <c r="M5" i="68" l="1"/>
  <c r="M9" i="68"/>
  <c r="M13" i="68"/>
  <c r="M7" i="68"/>
  <c r="M8" i="68"/>
  <c r="M6" i="68"/>
  <c r="M10" i="68"/>
  <c r="M14" i="68"/>
  <c r="M11" i="68"/>
  <c r="M3" i="68"/>
  <c r="M4" i="68"/>
  <c r="M12" i="68"/>
  <c r="M2" i="68"/>
  <c r="J6" i="68"/>
  <c r="N6" i="68" s="1"/>
  <c r="J10" i="68"/>
  <c r="N10" i="68" s="1"/>
  <c r="J14" i="68"/>
  <c r="N14" i="68" s="1"/>
  <c r="J8" i="68"/>
  <c r="N8" i="68" s="1"/>
  <c r="J12" i="68"/>
  <c r="J9" i="68"/>
  <c r="N9" i="68" s="1"/>
  <c r="J3" i="68"/>
  <c r="N3" i="68" s="1"/>
  <c r="J7" i="68"/>
  <c r="J11" i="68"/>
  <c r="N11" i="68" s="1"/>
  <c r="J2" i="68"/>
  <c r="J4" i="68"/>
  <c r="N4" i="68" s="1"/>
  <c r="J5" i="68"/>
  <c r="N5" i="68" s="1"/>
  <c r="J13" i="68"/>
  <c r="F10" i="7"/>
  <c r="F11" i="7"/>
  <c r="F12" i="7"/>
  <c r="F9" i="7"/>
  <c r="E8" i="7"/>
  <c r="F8" i="7" s="1"/>
  <c r="N13" i="68" l="1"/>
  <c r="J15" i="68"/>
  <c r="N2" i="68"/>
  <c r="N12" i="68"/>
  <c r="N7" i="68"/>
  <c r="M15" i="68"/>
  <c r="F13" i="7"/>
  <c r="N15" i="68" l="1"/>
  <c r="E7" i="8"/>
  <c r="F7" i="8" s="1"/>
  <c r="E8" i="8"/>
  <c r="E9" i="8"/>
  <c r="E10" i="8"/>
  <c r="E11" i="8"/>
  <c r="E6" i="8"/>
  <c r="F6" i="8" s="1"/>
  <c r="E9" i="6" l="1"/>
  <c r="E8" i="6"/>
  <c r="E10" i="6" l="1"/>
</calcChain>
</file>

<file path=xl/sharedStrings.xml><?xml version="1.0" encoding="utf-8"?>
<sst xmlns="http://schemas.openxmlformats.org/spreadsheetml/2006/main" count="180" uniqueCount="108">
  <si>
    <t>Maize flour</t>
  </si>
  <si>
    <t>Sorghum grain</t>
  </si>
  <si>
    <t>Cassava fresh</t>
  </si>
  <si>
    <t>Leafy vegetable</t>
  </si>
  <si>
    <t>Milk</t>
  </si>
  <si>
    <t>Oil</t>
  </si>
  <si>
    <t>Salt</t>
  </si>
  <si>
    <t xml:space="preserve">Kyaka II </t>
  </si>
  <si>
    <t xml:space="preserve">Rwamwanja </t>
  </si>
  <si>
    <t xml:space="preserve">Kyangwali </t>
  </si>
  <si>
    <t xml:space="preserve">Kiryandongo </t>
  </si>
  <si>
    <t xml:space="preserve">Bidibidi </t>
  </si>
  <si>
    <t xml:space="preserve">Imvepi </t>
  </si>
  <si>
    <t xml:space="preserve">Palabek </t>
  </si>
  <si>
    <t xml:space="preserve">Palorinya </t>
  </si>
  <si>
    <t xml:space="preserve">Oruchinga </t>
  </si>
  <si>
    <t xml:space="preserve">Nakivale </t>
  </si>
  <si>
    <t>Average</t>
  </si>
  <si>
    <t>Water</t>
  </si>
  <si>
    <t>Energy &amp; Environment</t>
  </si>
  <si>
    <t>Transport</t>
  </si>
  <si>
    <t>Clothing</t>
  </si>
  <si>
    <t>Total MEB</t>
  </si>
  <si>
    <t>Item</t>
  </si>
  <si>
    <t xml:space="preserve">Unit price </t>
  </si>
  <si>
    <t>Firewood</t>
  </si>
  <si>
    <t>Lighting</t>
  </si>
  <si>
    <t xml:space="preserve">Item </t>
  </si>
  <si>
    <t>quantity</t>
  </si>
  <si>
    <t>Laundry soap</t>
  </si>
  <si>
    <t>Blanket</t>
  </si>
  <si>
    <t>Saucepans</t>
  </si>
  <si>
    <t>Plates</t>
  </si>
  <si>
    <t>Serving spoon</t>
  </si>
  <si>
    <t>Cups</t>
  </si>
  <si>
    <t>Mingle</t>
  </si>
  <si>
    <t>Basic quantity per household of 5</t>
  </si>
  <si>
    <t>Price-March 2019</t>
  </si>
  <si>
    <t>Total cost March 2019</t>
  </si>
  <si>
    <t>Total for HHD items</t>
  </si>
  <si>
    <t>Quantity needed for HH of 5</t>
  </si>
  <si>
    <t>Total for Energy</t>
  </si>
  <si>
    <t>Beans</t>
  </si>
  <si>
    <t>Fish-dried</t>
  </si>
  <si>
    <t>Monthly requirement (Kg) per person</t>
  </si>
  <si>
    <t>Reusable sanitary pads</t>
  </si>
  <si>
    <t>Total for water</t>
  </si>
  <si>
    <t>Total for education</t>
  </si>
  <si>
    <t>Total for transport</t>
  </si>
  <si>
    <t>Total for Communication</t>
  </si>
  <si>
    <t>Total for clothing</t>
  </si>
  <si>
    <t>Total for health</t>
  </si>
  <si>
    <t>Total for livelihood</t>
  </si>
  <si>
    <t>20l Jerrycan</t>
  </si>
  <si>
    <t>Bucket with a lid 15l</t>
  </si>
  <si>
    <t>5 l handwashing</t>
  </si>
  <si>
    <t>Total for Hygiene</t>
  </si>
  <si>
    <t xml:space="preserve">Rhino Camp </t>
  </si>
  <si>
    <t xml:space="preserve">Adjumani </t>
  </si>
  <si>
    <t xml:space="preserve">Lobule </t>
  </si>
  <si>
    <t>Food MEB</t>
  </si>
  <si>
    <t>Cost of NFI basket</t>
  </si>
  <si>
    <t>Inflation (%)</t>
  </si>
  <si>
    <t>Settlement/Item</t>
  </si>
  <si>
    <t>Maize grain</t>
  </si>
  <si>
    <t>Cassava-fresh</t>
  </si>
  <si>
    <t>Millet flour</t>
  </si>
  <si>
    <t>Vegetable Oil</t>
  </si>
  <si>
    <t>Leafy-Vegetables</t>
  </si>
  <si>
    <t>Laundry soap (Kg)</t>
  </si>
  <si>
    <t>Sanitary pads (packet)</t>
  </si>
  <si>
    <t>Pen (piece)</t>
  </si>
  <si>
    <t>Pencil (piece)</t>
  </si>
  <si>
    <t>Exercise book-48 pages (piece)</t>
  </si>
  <si>
    <t>Dry Cells (pair)</t>
  </si>
  <si>
    <t>Disposable Torch (piece)</t>
  </si>
  <si>
    <t>Jerry can plastic-size -20 litres (piece)</t>
  </si>
  <si>
    <t>Jerry can plastic-size -5 litres (piece)</t>
  </si>
  <si>
    <t>Plastic basin (piece)</t>
  </si>
  <si>
    <t>Sauce pan-about 5 liters capacity (piece)</t>
  </si>
  <si>
    <t>Plastic Plate (piece)</t>
  </si>
  <si>
    <t>Serving spoon (piece)</t>
  </si>
  <si>
    <t>Plastic mug (piece)</t>
  </si>
  <si>
    <t>Mingle (piece)</t>
  </si>
  <si>
    <t>Panga (piece)</t>
  </si>
  <si>
    <t>Hoe (piece)</t>
  </si>
  <si>
    <t>Nails (4 Inches) (Kg)</t>
  </si>
  <si>
    <t>Nylon rope- 1 metre</t>
  </si>
  <si>
    <t>Eucalyptus pole-Medium sized</t>
  </si>
  <si>
    <t>Unburnt Mud brick</t>
  </si>
  <si>
    <t>Grass thatch-Bundle</t>
  </si>
  <si>
    <t>Charcoal (Kg)</t>
  </si>
  <si>
    <t>Firewood (Kg)</t>
  </si>
  <si>
    <t>NA</t>
  </si>
  <si>
    <t>Hygiene</t>
  </si>
  <si>
    <t>Regular sanitary pads</t>
  </si>
  <si>
    <t>July-Sept</t>
  </si>
  <si>
    <t>Livelihood</t>
  </si>
  <si>
    <t>Oct</t>
  </si>
  <si>
    <t>Dec</t>
  </si>
  <si>
    <t>Cost</t>
  </si>
  <si>
    <t>Education</t>
  </si>
  <si>
    <t>Communication</t>
  </si>
  <si>
    <t>Health</t>
  </si>
  <si>
    <t>HHD items &amp; personal Expenditures</t>
  </si>
  <si>
    <t>CPI for Dec</t>
  </si>
  <si>
    <t>Settlement</t>
  </si>
  <si>
    <t>Food MEB-March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</si>
</sst>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_-;\-* #,##0_-;_-* &quot;-&quot;??_-;_-@_-"/>
    <numFmt numFmtId="165" formatCode="_-* #,##0.0_-;\-* #,##0.0_-;_-* &quot;-&quot;??_-;_-@_-"/>
    <numFmt numFmtId="166" formatCode="_-* #,##0.000_-;\-* #,##0.000_-;_-* &quot;-&quot;??_-;_-@_-"/>
    <numFmt numFmtId="167" formatCode="0.0%"/>
  </numFmts>
  <fonts count="13">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sz val="10.5"/>
      <color theme="1"/>
      <name val="Calibri"/>
      <family val="2"/>
      <scheme val="minor"/>
    </font>
    <font>
      <b/>
      <sz val="10.5"/>
      <color theme="1"/>
      <name val="Calibri"/>
      <family val="2"/>
      <scheme val="minor"/>
    </font>
    <font>
      <b/>
      <sz val="10"/>
      <color theme="1"/>
      <name val="Calibri"/>
      <family val="2"/>
      <scheme val="minor"/>
    </font>
    <font>
      <sz val="11"/>
      <color rgb="FF000000"/>
      <name val="Libre Franklin"/>
    </font>
    <font>
      <sz val="11"/>
      <color rgb="FF000000"/>
      <name val="Calibri"/>
      <family val="2"/>
    </font>
    <font>
      <b/>
      <sz val="11"/>
      <color rgb="FF000000"/>
      <name val="Libre Franklin"/>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17" fontId="0" fillId="0" borderId="0" xfId="0" applyNumberFormat="1"/>
    <xf numFmtId="164" fontId="0" fillId="0" borderId="0" xfId="1" applyNumberFormat="1" applyFont="1"/>
    <xf numFmtId="164" fontId="0" fillId="0" borderId="0" xfId="0" applyNumberFormat="1"/>
    <xf numFmtId="0" fontId="0" fillId="0" borderId="0" xfId="0" applyNumberFormat="1"/>
    <xf numFmtId="0" fontId="0" fillId="0" borderId="0" xfId="1" applyNumberFormat="1" applyFont="1"/>
    <xf numFmtId="0" fontId="2" fillId="0" borderId="0" xfId="0" applyFont="1"/>
    <xf numFmtId="0" fontId="2" fillId="0" borderId="0" xfId="0" applyNumberFormat="1" applyFont="1"/>
    <xf numFmtId="164" fontId="2" fillId="0" borderId="0" xfId="1" applyNumberFormat="1" applyFont="1"/>
    <xf numFmtId="0" fontId="2" fillId="0" borderId="0" xfId="1" applyNumberFormat="1" applyFont="1"/>
    <xf numFmtId="17" fontId="2" fillId="0" borderId="0" xfId="0" applyNumberFormat="1" applyFont="1"/>
    <xf numFmtId="17" fontId="0" fillId="0" borderId="0" xfId="1" applyNumberFormat="1" applyFont="1"/>
    <xf numFmtId="166" fontId="0" fillId="0" borderId="0" xfId="1" applyNumberFormat="1" applyFont="1"/>
    <xf numFmtId="43" fontId="2" fillId="0" borderId="0" xfId="1" applyNumberFormat="1" applyFont="1"/>
    <xf numFmtId="0" fontId="5" fillId="0" borderId="0" xfId="0" applyFont="1" applyFill="1" applyBorder="1"/>
    <xf numFmtId="164" fontId="0" fillId="0" borderId="0" xfId="1" applyNumberFormat="1" applyFont="1" applyFill="1" applyBorder="1"/>
    <xf numFmtId="0" fontId="0" fillId="0" borderId="0" xfId="0" applyFill="1" applyBorder="1"/>
    <xf numFmtId="0" fontId="0" fillId="0" borderId="0" xfId="0" applyFont="1"/>
    <xf numFmtId="0" fontId="6" fillId="2" borderId="1" xfId="0" applyFont="1" applyFill="1" applyBorder="1" applyAlignment="1">
      <alignment vertical="center"/>
    </xf>
    <xf numFmtId="0" fontId="7" fillId="2" borderId="1" xfId="0" applyFont="1" applyFill="1" applyBorder="1" applyAlignment="1">
      <alignment vertical="center" wrapText="1"/>
    </xf>
    <xf numFmtId="0" fontId="6" fillId="0" borderId="0" xfId="0" applyFont="1"/>
    <xf numFmtId="0" fontId="6" fillId="0" borderId="1" xfId="0" applyFont="1" applyBorder="1"/>
    <xf numFmtId="164" fontId="6" fillId="0" borderId="0" xfId="0" applyNumberFormat="1" applyFont="1"/>
    <xf numFmtId="164" fontId="6" fillId="0" borderId="0" xfId="1" applyNumberFormat="1" applyFont="1"/>
    <xf numFmtId="164" fontId="6" fillId="0" borderId="1" xfId="1" applyNumberFormat="1" applyFont="1" applyBorder="1"/>
    <xf numFmtId="0" fontId="7" fillId="0" borderId="2" xfId="0" applyFont="1" applyBorder="1"/>
    <xf numFmtId="164" fontId="7" fillId="0" borderId="0" xfId="0" applyNumberFormat="1" applyFont="1"/>
    <xf numFmtId="0" fontId="7" fillId="0" borderId="0" xfId="0" applyFont="1"/>
    <xf numFmtId="167" fontId="6" fillId="0" borderId="0" xfId="2" applyNumberFormat="1" applyFont="1"/>
    <xf numFmtId="165" fontId="2" fillId="0" borderId="0" xfId="1" applyNumberFormat="1" applyFont="1"/>
    <xf numFmtId="166" fontId="2" fillId="0" borderId="0" xfId="1" applyNumberFormat="1" applyFont="1"/>
    <xf numFmtId="0" fontId="4" fillId="0" borderId="0" xfId="0" applyFont="1" applyFill="1" applyBorder="1"/>
    <xf numFmtId="0" fontId="3" fillId="0" borderId="0" xfId="0" applyFont="1" applyFill="1" applyBorder="1"/>
    <xf numFmtId="0" fontId="0" fillId="0" borderId="0" xfId="0" applyFill="1"/>
    <xf numFmtId="164" fontId="0" fillId="0" borderId="0" xfId="1" applyNumberFormat="1" applyFont="1" applyFill="1"/>
    <xf numFmtId="164" fontId="2" fillId="0" borderId="0" xfId="1" applyNumberFormat="1" applyFont="1" applyFill="1"/>
    <xf numFmtId="0" fontId="2" fillId="0" borderId="0" xfId="0" applyFont="1" applyFill="1"/>
    <xf numFmtId="0" fontId="3" fillId="0" borderId="0" xfId="0" applyFont="1" applyFill="1" applyBorder="1" applyAlignment="1">
      <alignment wrapText="1"/>
    </xf>
    <xf numFmtId="164" fontId="5" fillId="0" borderId="0" xfId="1" applyNumberFormat="1" applyFont="1" applyFill="1" applyBorder="1"/>
    <xf numFmtId="0" fontId="8" fillId="0" borderId="0" xfId="0" applyFont="1" applyFill="1" applyBorder="1"/>
    <xf numFmtId="164" fontId="2" fillId="0" borderId="0" xfId="1" applyNumberFormat="1" applyFont="1" applyFill="1" applyBorder="1"/>
    <xf numFmtId="0" fontId="2" fillId="0" borderId="0" xfId="0" applyFont="1" applyFill="1" applyBorder="1"/>
    <xf numFmtId="0" fontId="0" fillId="0" borderId="0" xfId="0" applyFill="1" applyAlignment="1">
      <alignment wrapText="1"/>
    </xf>
    <xf numFmtId="17" fontId="0" fillId="0" borderId="0" xfId="0" applyNumberFormat="1" applyFill="1" applyAlignment="1">
      <alignment wrapText="1"/>
    </xf>
    <xf numFmtId="164" fontId="0" fillId="0" borderId="0" xfId="0" applyNumberFormat="1" applyFill="1"/>
    <xf numFmtId="17" fontId="0" fillId="0" borderId="0" xfId="0" applyNumberFormat="1" applyFill="1"/>
    <xf numFmtId="9" fontId="0" fillId="0" borderId="0" xfId="2" applyFont="1" applyFill="1"/>
    <xf numFmtId="17" fontId="0" fillId="0" borderId="0" xfId="0" applyNumberFormat="1" applyFont="1"/>
    <xf numFmtId="17" fontId="0" fillId="0" borderId="0" xfId="0" applyNumberFormat="1" applyFont="1" applyFill="1" applyBorder="1"/>
    <xf numFmtId="0" fontId="0" fillId="0" borderId="0" xfId="0" applyFont="1" applyFill="1" applyBorder="1"/>
    <xf numFmtId="0" fontId="9" fillId="0" borderId="0" xfId="0" applyFont="1" applyFill="1" applyBorder="1" applyAlignment="1">
      <alignment vertical="center"/>
    </xf>
    <xf numFmtId="0" fontId="9" fillId="0" borderId="0" xfId="0" applyFont="1" applyFill="1" applyBorder="1" applyAlignment="1">
      <alignment horizontal="right" vertical="center"/>
    </xf>
    <xf numFmtId="0" fontId="10" fillId="0" borderId="0" xfId="0" applyFont="1" applyFill="1" applyBorder="1" applyAlignment="1">
      <alignment horizontal="right" vertical="center"/>
    </xf>
    <xf numFmtId="0" fontId="11" fillId="0" borderId="0" xfId="0" applyFont="1" applyFill="1" applyBorder="1" applyAlignment="1">
      <alignment vertical="center"/>
    </xf>
    <xf numFmtId="0" fontId="5" fillId="0" borderId="1" xfId="0" applyFont="1" applyFill="1" applyBorder="1"/>
    <xf numFmtId="164" fontId="0" fillId="0" borderId="1" xfId="1" applyNumberFormat="1" applyFont="1" applyBorder="1"/>
    <xf numFmtId="164" fontId="0" fillId="0" borderId="1" xfId="1" applyNumberFormat="1" applyFont="1" applyBorder="1" applyAlignment="1"/>
    <xf numFmtId="164" fontId="5" fillId="0" borderId="1" xfId="1" applyNumberFormat="1" applyFont="1" applyFill="1" applyBorder="1"/>
    <xf numFmtId="0" fontId="8" fillId="0" borderId="1" xfId="0" applyFont="1" applyFill="1" applyBorder="1"/>
    <xf numFmtId="164" fontId="2" fillId="0" borderId="1" xfId="1" applyNumberFormat="1" applyFont="1" applyBorder="1"/>
    <xf numFmtId="164" fontId="2" fillId="0" borderId="1" xfId="1" applyNumberFormat="1" applyFont="1" applyBorder="1" applyAlignment="1"/>
    <xf numFmtId="0" fontId="2" fillId="0" borderId="1" xfId="0" applyFont="1" applyBorder="1"/>
    <xf numFmtId="0" fontId="2" fillId="0" borderId="1" xfId="0" applyFont="1" applyBorder="1" applyAlignment="1"/>
    <xf numFmtId="0" fontId="2" fillId="0" borderId="1" xfId="0" applyFont="1" applyBorder="1" applyAlignment="1">
      <alignment wrapText="1"/>
    </xf>
    <xf numFmtId="0" fontId="6" fillId="0" borderId="1" xfId="0" applyFont="1" applyFill="1" applyBorder="1"/>
    <xf numFmtId="164" fontId="6" fillId="0" borderId="0" xfId="0" applyNumberFormat="1" applyFont="1" applyFill="1"/>
    <xf numFmtId="164" fontId="6" fillId="0" borderId="0" xfId="1" applyNumberFormat="1" applyFont="1" applyFill="1"/>
    <xf numFmtId="0" fontId="6" fillId="0" borderId="0" xfId="0" applyFont="1"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349250</xdr:colOff>
      <xdr:row>1</xdr:row>
      <xdr:rowOff>0</xdr:rowOff>
    </xdr:from>
    <xdr:to>
      <xdr:col>11</xdr:col>
      <xdr:colOff>457200</xdr:colOff>
      <xdr:row>4</xdr:row>
      <xdr:rowOff>28575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49250" y="180975"/>
          <a:ext cx="7318375" cy="5715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Hygiene -450 grams per person laundry soap-and one-off package/12 (including Bucket  with a lid 15l,  JerryCan 20 litres, 5 l handwashing, reusable sanitary pads-2 Women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349250</xdr:colOff>
      <xdr:row>0</xdr:row>
      <xdr:rowOff>152400</xdr:rowOff>
    </xdr:from>
    <xdr:to>
      <xdr:col>16</xdr:col>
      <xdr:colOff>438150</xdr:colOff>
      <xdr:row>4</xdr:row>
      <xdr:rowOff>146050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349250" y="152400"/>
          <a:ext cx="8623300" cy="7302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10.73 USD per month.  Observations in expenditure and monetization of  Seeds, Vet Services/Vaccines/Drugs, Access to water, Hoe, Axe, Slasher, pruning knife/knife Fishing boats (during the last month recall), guided the monthly,seasonal and one off component (as a proxy). To be adjusted based on different types of livelihood. Refer to Livelihood Sector Working Group.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393700</xdr:colOff>
      <xdr:row>1</xdr:row>
      <xdr:rowOff>31750</xdr:rowOff>
    </xdr:from>
    <xdr:to>
      <xdr:col>8</xdr:col>
      <xdr:colOff>565150</xdr:colOff>
      <xdr:row>5</xdr:row>
      <xdr:rowOff>31750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93700" y="215900"/>
          <a:ext cx="5048250" cy="7366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Pro-poor tariffs as directed by Uganda Government and implemented by National Water and Sewerage Corporation(NWSC) reference 25UGX for a jerry can of 20 litres.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203200</xdr:colOff>
      <xdr:row>1</xdr:row>
      <xdr:rowOff>0</xdr:rowOff>
    </xdr:from>
    <xdr:to>
      <xdr:col>11</xdr:col>
      <xdr:colOff>241300</xdr:colOff>
      <xdr:row>4</xdr:row>
      <xdr:rowOff>146050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12800" y="184150"/>
          <a:ext cx="6134100" cy="6985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Data triangulation. FGD and National Statitistics and RIMA data. Yearly Cost. 22,000 UGX per primary enrolled child ( x 2) + 1 x 300,000 UGX per child enrolled in secondary school -1 )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0</xdr:row>
      <xdr:rowOff>69850</xdr:rowOff>
    </xdr:from>
    <xdr:to>
      <xdr:col>7</xdr:col>
      <xdr:colOff>368300</xdr:colOff>
      <xdr:row>5</xdr:row>
      <xdr:rowOff>95250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42900" y="69850"/>
          <a:ext cx="5562600" cy="9461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Triangulation Firewood. 1,1 kg per person per day x 30 days x 143 per kg = 4719 UGX x 5 members, 23,595 UGX per month and 1250 UGX per HH per week for lighting adds up to total of 28,595 UGX per HH per month. Assummes Cooking under controlled conditions and by use of improved cook technologies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0</xdr:row>
      <xdr:rowOff>88900</xdr:rowOff>
    </xdr:from>
    <xdr:to>
      <xdr:col>9</xdr:col>
      <xdr:colOff>120650</xdr:colOff>
      <xdr:row>4</xdr:row>
      <xdr:rowOff>76200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28600" y="88900"/>
          <a:ext cx="5378450" cy="7239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Triangulation. Expenditure based. 6.8%  (average out of national statistics spent in sub-region) X  Monthly expenditure of host communities (161,775 UGX per month)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133350</xdr:rowOff>
    </xdr:from>
    <xdr:to>
      <xdr:col>8</xdr:col>
      <xdr:colOff>495300</xdr:colOff>
      <xdr:row>3</xdr:row>
      <xdr:rowOff>57150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03250" y="133350"/>
          <a:ext cx="5378450" cy="4762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Triangulation. Cost of airtime. 2.6% of expenditure (161,775 UGX per month)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0</xdr:row>
      <xdr:rowOff>158750</xdr:rowOff>
    </xdr:from>
    <xdr:to>
      <xdr:col>8</xdr:col>
      <xdr:colOff>107950</xdr:colOff>
      <xdr:row>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533400" y="158750"/>
          <a:ext cx="5378450" cy="4254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Triangulation. 2.5% Expenditure based  (161,775 UGX per month).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184150</xdr:colOff>
      <xdr:row>0</xdr:row>
      <xdr:rowOff>171450</xdr:rowOff>
    </xdr:from>
    <xdr:to>
      <xdr:col>10</xdr:col>
      <xdr:colOff>76200</xdr:colOff>
      <xdr:row>5</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93750" y="171450"/>
          <a:ext cx="5829300" cy="7493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Triangulation. Health expenditure based on Sub regional Data (UBOS) and national surveys. Out of the pocket payment calculated as a maximum of 15% of health expenditures. Observation of actual expenditures.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44450</xdr:colOff>
      <xdr:row>0</xdr:row>
      <xdr:rowOff>50800</xdr:rowOff>
    </xdr:from>
    <xdr:to>
      <xdr:col>8</xdr:col>
      <xdr:colOff>311150</xdr:colOff>
      <xdr:row>2</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873250" y="50800"/>
          <a:ext cx="4864100" cy="3937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Blanket and  kitchen sets One off/12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zoomScale="90" zoomScaleNormal="90" workbookViewId="0">
      <pane ySplit="1" topLeftCell="A2" activePane="bottomLeft" state="frozen"/>
      <selection pane="bottomLeft" activeCell="J6" sqref="J6"/>
    </sheetView>
  </sheetViews>
  <sheetFormatPr defaultColWidth="8.7109375" defaultRowHeight="14.25"/>
  <cols>
    <col min="1" max="1" width="13.42578125" style="20" bestFit="1" customWidth="1"/>
    <col min="2" max="2" width="10.5703125" style="20" bestFit="1" customWidth="1"/>
    <col min="3" max="3" width="8.7109375" style="20"/>
    <col min="4" max="4" width="10.5703125" style="20" bestFit="1" customWidth="1"/>
    <col min="5" max="6" width="8.7109375" style="20"/>
    <col min="7" max="7" width="10" style="20" customWidth="1"/>
    <col min="8" max="9" width="8.7109375" style="20"/>
    <col min="10" max="10" width="10.28515625" style="20" customWidth="1"/>
    <col min="11" max="16384" width="8.7109375" style="20"/>
  </cols>
  <sheetData>
    <row r="1" spans="1:36" ht="41.1" customHeight="1">
      <c r="A1" s="18" t="s">
        <v>63</v>
      </c>
      <c r="B1" s="19" t="s">
        <v>64</v>
      </c>
      <c r="C1" s="19" t="s">
        <v>0</v>
      </c>
      <c r="D1" s="19" t="s">
        <v>66</v>
      </c>
      <c r="E1" s="19" t="s">
        <v>42</v>
      </c>
      <c r="F1" s="19" t="s">
        <v>1</v>
      </c>
      <c r="G1" s="19" t="s">
        <v>67</v>
      </c>
      <c r="H1" s="19" t="s">
        <v>65</v>
      </c>
      <c r="I1" s="19" t="s">
        <v>6</v>
      </c>
      <c r="J1" s="19" t="s">
        <v>68</v>
      </c>
      <c r="K1" s="19" t="s">
        <v>43</v>
      </c>
      <c r="L1" s="19" t="s">
        <v>4</v>
      </c>
      <c r="M1" s="19" t="s">
        <v>69</v>
      </c>
      <c r="N1" s="19" t="s">
        <v>70</v>
      </c>
      <c r="O1" s="19" t="s">
        <v>71</v>
      </c>
      <c r="P1" s="19" t="s">
        <v>72</v>
      </c>
      <c r="Q1" s="19" t="s">
        <v>73</v>
      </c>
      <c r="R1" s="19" t="s">
        <v>74</v>
      </c>
      <c r="S1" s="19" t="s">
        <v>75</v>
      </c>
      <c r="T1" s="19" t="s">
        <v>76</v>
      </c>
      <c r="U1" s="19" t="s">
        <v>77</v>
      </c>
      <c r="V1" s="19" t="s">
        <v>78</v>
      </c>
      <c r="W1" s="19" t="s">
        <v>79</v>
      </c>
      <c r="X1" s="19" t="s">
        <v>80</v>
      </c>
      <c r="Y1" s="19" t="s">
        <v>81</v>
      </c>
      <c r="Z1" s="19" t="s">
        <v>82</v>
      </c>
      <c r="AA1" s="19" t="s">
        <v>83</v>
      </c>
      <c r="AB1" s="19" t="s">
        <v>84</v>
      </c>
      <c r="AC1" s="19" t="s">
        <v>92</v>
      </c>
      <c r="AD1" s="19" t="s">
        <v>91</v>
      </c>
      <c r="AE1" s="19" t="s">
        <v>85</v>
      </c>
      <c r="AF1" s="19" t="s">
        <v>86</v>
      </c>
      <c r="AG1" s="19" t="s">
        <v>87</v>
      </c>
      <c r="AH1" s="19" t="s">
        <v>88</v>
      </c>
      <c r="AI1" s="19" t="s">
        <v>89</v>
      </c>
      <c r="AJ1" s="19" t="s">
        <v>90</v>
      </c>
    </row>
    <row r="2" spans="1:36">
      <c r="A2" s="21" t="s">
        <v>7</v>
      </c>
      <c r="B2" s="22">
        <v>950</v>
      </c>
      <c r="C2" s="22">
        <v>2325</v>
      </c>
      <c r="D2" s="22">
        <v>3000</v>
      </c>
      <c r="E2" s="22">
        <v>3366</v>
      </c>
      <c r="F2" s="22">
        <v>2000</v>
      </c>
      <c r="G2" s="22">
        <v>5625</v>
      </c>
      <c r="H2" s="22">
        <v>682</v>
      </c>
      <c r="I2" s="22">
        <v>2750</v>
      </c>
      <c r="J2" s="22">
        <v>1666</v>
      </c>
      <c r="K2" s="22">
        <v>19400</v>
      </c>
      <c r="L2" s="22">
        <v>1000</v>
      </c>
      <c r="M2" s="23">
        <v>3900</v>
      </c>
      <c r="N2" s="23">
        <v>3000</v>
      </c>
      <c r="O2" s="23">
        <v>500</v>
      </c>
      <c r="P2" s="23">
        <v>200</v>
      </c>
      <c r="Q2" s="23">
        <v>800</v>
      </c>
      <c r="R2" s="23">
        <v>2000</v>
      </c>
      <c r="S2" s="23">
        <v>1000</v>
      </c>
      <c r="T2" s="23">
        <v>6000</v>
      </c>
      <c r="U2" s="23">
        <v>2000</v>
      </c>
      <c r="V2" s="23">
        <v>5000</v>
      </c>
      <c r="W2" s="23">
        <v>7750</v>
      </c>
      <c r="X2" s="23">
        <v>500</v>
      </c>
      <c r="Y2" s="23">
        <v>2000</v>
      </c>
      <c r="Z2" s="23">
        <v>500</v>
      </c>
      <c r="AA2" s="23">
        <v>2000</v>
      </c>
      <c r="AB2" s="23">
        <v>7500</v>
      </c>
      <c r="AC2" s="23">
        <v>213</v>
      </c>
      <c r="AD2" s="23">
        <v>1986</v>
      </c>
      <c r="AE2" s="23">
        <v>9000</v>
      </c>
      <c r="AF2" s="23">
        <v>5500</v>
      </c>
      <c r="AG2" s="23">
        <v>1300</v>
      </c>
      <c r="AH2" s="23">
        <v>4000</v>
      </c>
      <c r="AI2" s="23">
        <v>200</v>
      </c>
      <c r="AJ2" s="23" t="s">
        <v>93</v>
      </c>
    </row>
    <row r="3" spans="1:36" ht="15">
      <c r="A3" s="21" t="s">
        <v>8</v>
      </c>
      <c r="B3" s="22">
        <v>925</v>
      </c>
      <c r="C3" s="22">
        <v>2000</v>
      </c>
      <c r="D3" s="22">
        <v>2250</v>
      </c>
      <c r="E3" s="22">
        <v>3250</v>
      </c>
      <c r="F3" s="22">
        <v>1667</v>
      </c>
      <c r="G3" s="22">
        <v>5625</v>
      </c>
      <c r="H3" s="22">
        <v>583</v>
      </c>
      <c r="I3" s="22">
        <v>2800</v>
      </c>
      <c r="J3" s="22">
        <v>1458</v>
      </c>
      <c r="K3" s="22">
        <v>20416</v>
      </c>
      <c r="L3" s="22">
        <v>1000</v>
      </c>
      <c r="M3" s="23">
        <v>4000</v>
      </c>
      <c r="N3" s="23">
        <v>3000</v>
      </c>
      <c r="O3" s="23">
        <v>500</v>
      </c>
      <c r="P3" s="23">
        <v>200</v>
      </c>
      <c r="Q3" s="23">
        <v>500</v>
      </c>
      <c r="R3" s="23">
        <v>2000</v>
      </c>
      <c r="S3" s="23">
        <v>1000</v>
      </c>
      <c r="T3" s="23">
        <v>6000</v>
      </c>
      <c r="U3" s="23">
        <v>2000</v>
      </c>
      <c r="V3" s="23">
        <v>4500</v>
      </c>
      <c r="W3" s="23">
        <v>15000</v>
      </c>
      <c r="X3" s="23">
        <v>700</v>
      </c>
      <c r="Y3" s="23">
        <v>1500</v>
      </c>
      <c r="Z3" s="23">
        <v>500</v>
      </c>
      <c r="AA3" s="23">
        <v>1000</v>
      </c>
      <c r="AB3" s="23">
        <v>7500</v>
      </c>
      <c r="AC3" s="23">
        <v>500</v>
      </c>
      <c r="AD3">
        <v>741</v>
      </c>
      <c r="AE3" s="23">
        <v>10000</v>
      </c>
      <c r="AF3" s="23">
        <v>6000</v>
      </c>
      <c r="AG3" s="23">
        <v>1000</v>
      </c>
      <c r="AH3" s="23">
        <v>8000</v>
      </c>
      <c r="AI3" s="23">
        <v>200</v>
      </c>
      <c r="AJ3" s="23">
        <v>6000</v>
      </c>
    </row>
    <row r="4" spans="1:36">
      <c r="A4" s="21" t="s">
        <v>9</v>
      </c>
      <c r="B4" s="22">
        <v>1100</v>
      </c>
      <c r="C4" s="22">
        <v>2308</v>
      </c>
      <c r="D4" s="22">
        <v>4067</v>
      </c>
      <c r="E4" s="22">
        <v>3000</v>
      </c>
      <c r="F4" s="22">
        <v>1300</v>
      </c>
      <c r="G4" s="22">
        <v>6000</v>
      </c>
      <c r="H4" s="22">
        <v>425</v>
      </c>
      <c r="I4" s="22">
        <v>2000</v>
      </c>
      <c r="J4" s="22">
        <v>1750</v>
      </c>
      <c r="K4" s="22">
        <v>19500</v>
      </c>
      <c r="L4" s="22">
        <v>2000</v>
      </c>
      <c r="M4" s="23">
        <v>4000</v>
      </c>
      <c r="N4" s="23">
        <v>3800</v>
      </c>
      <c r="O4" s="23">
        <v>500</v>
      </c>
      <c r="P4" s="23">
        <v>300</v>
      </c>
      <c r="Q4" s="23">
        <v>300</v>
      </c>
      <c r="R4" s="23">
        <v>2000</v>
      </c>
      <c r="S4" s="23">
        <v>1000</v>
      </c>
      <c r="T4" s="23">
        <v>6000</v>
      </c>
      <c r="U4" s="23">
        <v>2000</v>
      </c>
      <c r="V4" s="23">
        <v>5000</v>
      </c>
      <c r="W4" s="23">
        <v>14000</v>
      </c>
      <c r="X4" s="23">
        <v>800</v>
      </c>
      <c r="Y4" s="23">
        <v>2000</v>
      </c>
      <c r="Z4" s="23">
        <v>900</v>
      </c>
      <c r="AA4" s="23">
        <v>2000</v>
      </c>
      <c r="AB4" s="23">
        <v>7000</v>
      </c>
      <c r="AC4" s="23">
        <v>366</v>
      </c>
      <c r="AD4" s="23">
        <v>1050</v>
      </c>
      <c r="AE4" s="23">
        <v>11000</v>
      </c>
      <c r="AF4" s="23">
        <v>7000</v>
      </c>
      <c r="AG4" s="23">
        <v>1500</v>
      </c>
      <c r="AH4" s="23">
        <v>5000</v>
      </c>
      <c r="AI4" s="23">
        <v>60</v>
      </c>
      <c r="AJ4" s="23">
        <v>7000</v>
      </c>
    </row>
    <row r="5" spans="1:36">
      <c r="A5" s="21" t="s">
        <v>10</v>
      </c>
      <c r="B5" s="22">
        <v>1200</v>
      </c>
      <c r="C5" s="22">
        <v>2450</v>
      </c>
      <c r="D5" s="22">
        <v>5000</v>
      </c>
      <c r="E5" s="22">
        <v>4000</v>
      </c>
      <c r="F5" s="22">
        <v>1100</v>
      </c>
      <c r="G5" s="22">
        <v>6000</v>
      </c>
      <c r="H5" s="22">
        <v>430</v>
      </c>
      <c r="I5" s="22">
        <v>1400</v>
      </c>
      <c r="J5" s="22">
        <v>3333</v>
      </c>
      <c r="K5" s="22">
        <v>20000</v>
      </c>
      <c r="L5" s="22">
        <v>1600</v>
      </c>
      <c r="M5" s="23">
        <v>4000</v>
      </c>
      <c r="N5" s="23">
        <v>3500</v>
      </c>
      <c r="O5" s="23">
        <v>500</v>
      </c>
      <c r="P5" s="23">
        <v>200</v>
      </c>
      <c r="Q5" s="23">
        <v>500</v>
      </c>
      <c r="R5" s="23">
        <v>1500</v>
      </c>
      <c r="S5" s="23">
        <v>1500</v>
      </c>
      <c r="T5" s="23">
        <v>6000</v>
      </c>
      <c r="U5" s="23">
        <v>2000</v>
      </c>
      <c r="V5" s="23">
        <v>4500</v>
      </c>
      <c r="W5" s="23">
        <v>8000</v>
      </c>
      <c r="X5" s="23">
        <v>700</v>
      </c>
      <c r="Y5" s="23">
        <v>1000</v>
      </c>
      <c r="Z5" s="23">
        <v>600</v>
      </c>
      <c r="AA5" s="23">
        <v>1000</v>
      </c>
      <c r="AB5" s="23">
        <v>6000</v>
      </c>
      <c r="AC5" s="23">
        <v>333</v>
      </c>
      <c r="AD5" s="23">
        <v>5000</v>
      </c>
      <c r="AE5" s="23">
        <v>8000</v>
      </c>
      <c r="AF5" s="23">
        <v>5000</v>
      </c>
      <c r="AG5" s="23">
        <v>500</v>
      </c>
      <c r="AH5" s="23">
        <v>5000</v>
      </c>
      <c r="AI5" s="23">
        <v>300</v>
      </c>
      <c r="AJ5" s="23">
        <v>3000</v>
      </c>
    </row>
    <row r="6" spans="1:36">
      <c r="A6" s="21" t="s">
        <v>57</v>
      </c>
      <c r="B6" s="22">
        <v>1389</v>
      </c>
      <c r="C6" s="22">
        <v>2500</v>
      </c>
      <c r="D6" s="22">
        <v>5000</v>
      </c>
      <c r="E6" s="22">
        <v>3583</v>
      </c>
      <c r="F6" s="22">
        <v>1053</v>
      </c>
      <c r="G6" s="22">
        <v>6250</v>
      </c>
      <c r="H6" s="22">
        <v>393</v>
      </c>
      <c r="I6" s="22">
        <v>4666</v>
      </c>
      <c r="J6" s="22">
        <v>2000</v>
      </c>
      <c r="K6" s="22">
        <v>15000</v>
      </c>
      <c r="L6" s="22">
        <v>2500</v>
      </c>
      <c r="M6" s="23">
        <v>4000</v>
      </c>
      <c r="N6" s="23">
        <v>3000</v>
      </c>
      <c r="O6" s="23">
        <v>500</v>
      </c>
      <c r="P6" s="23">
        <v>200</v>
      </c>
      <c r="Q6" s="23">
        <v>500</v>
      </c>
      <c r="R6" s="23">
        <v>2000</v>
      </c>
      <c r="S6" s="23">
        <v>1000</v>
      </c>
      <c r="T6" s="23">
        <v>8000</v>
      </c>
      <c r="U6" s="23">
        <v>3000</v>
      </c>
      <c r="V6" s="23">
        <v>4500</v>
      </c>
      <c r="W6" s="23">
        <v>8000</v>
      </c>
      <c r="X6" s="23">
        <v>1500</v>
      </c>
      <c r="Y6" s="23">
        <v>1500</v>
      </c>
      <c r="Z6" s="23">
        <v>1000</v>
      </c>
      <c r="AA6" s="23">
        <v>500</v>
      </c>
      <c r="AB6" s="23">
        <v>5000</v>
      </c>
      <c r="AC6" s="23">
        <v>162</v>
      </c>
      <c r="AD6" s="23">
        <v>545</v>
      </c>
      <c r="AE6" s="23">
        <v>10000</v>
      </c>
      <c r="AF6" s="23">
        <v>6000</v>
      </c>
      <c r="AG6" s="23">
        <v>1000</v>
      </c>
      <c r="AH6" s="23" t="s">
        <v>93</v>
      </c>
      <c r="AI6" s="23">
        <v>75</v>
      </c>
      <c r="AJ6" s="23">
        <v>2000</v>
      </c>
    </row>
    <row r="7" spans="1:36" s="67" customFormat="1">
      <c r="A7" s="64" t="s">
        <v>58</v>
      </c>
      <c r="B7" s="65">
        <v>1500</v>
      </c>
      <c r="C7" s="65">
        <v>2800</v>
      </c>
      <c r="D7" s="65">
        <v>5000</v>
      </c>
      <c r="E7" s="65">
        <v>5000</v>
      </c>
      <c r="F7" s="65">
        <v>1500</v>
      </c>
      <c r="G7" s="65">
        <v>6000</v>
      </c>
      <c r="H7" s="65">
        <v>1150</v>
      </c>
      <c r="I7" s="65">
        <v>4000</v>
      </c>
      <c r="J7" s="67">
        <v>4500</v>
      </c>
      <c r="K7" s="67">
        <v>32000</v>
      </c>
      <c r="L7" s="67">
        <v>2500</v>
      </c>
      <c r="M7" s="66">
        <v>3500</v>
      </c>
      <c r="N7" s="66">
        <v>3500</v>
      </c>
      <c r="O7" s="66">
        <v>500</v>
      </c>
      <c r="P7" s="66">
        <v>200</v>
      </c>
      <c r="Q7" s="66">
        <v>500</v>
      </c>
      <c r="R7" s="66">
        <v>1500</v>
      </c>
      <c r="S7" s="66">
        <v>1000</v>
      </c>
      <c r="T7" s="66">
        <v>6000</v>
      </c>
      <c r="U7" s="66">
        <v>1000</v>
      </c>
      <c r="V7" s="66">
        <v>5000</v>
      </c>
      <c r="W7" s="66">
        <v>15000</v>
      </c>
      <c r="X7" s="66">
        <v>1000</v>
      </c>
      <c r="Y7" s="66">
        <v>3000</v>
      </c>
      <c r="Z7" s="66">
        <v>1000</v>
      </c>
      <c r="AA7" s="66">
        <v>1000</v>
      </c>
      <c r="AB7" s="66">
        <v>7000</v>
      </c>
      <c r="AC7" s="66">
        <v>296</v>
      </c>
      <c r="AD7" s="66">
        <v>775</v>
      </c>
      <c r="AE7" s="66">
        <v>10000</v>
      </c>
      <c r="AF7" s="66">
        <v>6000</v>
      </c>
      <c r="AG7" s="66">
        <v>500</v>
      </c>
      <c r="AH7" s="66">
        <v>8000</v>
      </c>
      <c r="AI7" s="66" t="s">
        <v>93</v>
      </c>
      <c r="AJ7" s="66" t="s">
        <v>93</v>
      </c>
    </row>
    <row r="8" spans="1:36">
      <c r="A8" s="21" t="s">
        <v>59</v>
      </c>
      <c r="B8" s="22">
        <v>1305</v>
      </c>
      <c r="C8" s="22">
        <v>3000</v>
      </c>
      <c r="D8" s="22">
        <v>3300</v>
      </c>
      <c r="E8" s="22">
        <v>4000</v>
      </c>
      <c r="F8" s="22">
        <v>1120</v>
      </c>
      <c r="G8" s="22">
        <v>5500</v>
      </c>
      <c r="H8" s="22">
        <v>1435</v>
      </c>
      <c r="I8" s="22">
        <v>1600</v>
      </c>
      <c r="J8" s="22">
        <v>1500</v>
      </c>
      <c r="K8" s="22">
        <v>15833</v>
      </c>
      <c r="L8" s="22">
        <v>2000</v>
      </c>
      <c r="M8" s="23">
        <v>4000</v>
      </c>
      <c r="N8" s="23">
        <v>3000</v>
      </c>
      <c r="O8" s="23">
        <v>500</v>
      </c>
      <c r="P8" s="23">
        <v>200</v>
      </c>
      <c r="Q8" s="23">
        <v>500</v>
      </c>
      <c r="R8" s="23">
        <v>1500</v>
      </c>
      <c r="S8" s="23">
        <v>1000</v>
      </c>
      <c r="T8" s="23">
        <v>8000</v>
      </c>
      <c r="U8" s="23">
        <v>3000</v>
      </c>
      <c r="V8" s="23">
        <v>4000</v>
      </c>
      <c r="W8" s="23">
        <v>8000</v>
      </c>
      <c r="X8" s="23">
        <v>1000</v>
      </c>
      <c r="Y8" s="23">
        <v>1500</v>
      </c>
      <c r="Z8" s="23">
        <v>500</v>
      </c>
      <c r="AA8" s="23">
        <v>1000</v>
      </c>
      <c r="AB8" s="23">
        <v>7000</v>
      </c>
      <c r="AC8" s="23">
        <v>164</v>
      </c>
      <c r="AD8" s="23">
        <v>571</v>
      </c>
      <c r="AE8" s="23">
        <v>9000</v>
      </c>
      <c r="AF8" s="23">
        <v>6000</v>
      </c>
      <c r="AG8" s="23">
        <v>500</v>
      </c>
      <c r="AH8" s="23">
        <v>8000</v>
      </c>
      <c r="AI8" s="23" t="s">
        <v>93</v>
      </c>
      <c r="AJ8" s="23" t="s">
        <v>93</v>
      </c>
    </row>
    <row r="9" spans="1:36">
      <c r="A9" s="21" t="s">
        <v>11</v>
      </c>
      <c r="B9" s="22">
        <v>1100</v>
      </c>
      <c r="C9" s="22">
        <v>3212</v>
      </c>
      <c r="D9" s="22">
        <v>4375</v>
      </c>
      <c r="E9" s="22">
        <v>3333</v>
      </c>
      <c r="F9" s="22">
        <v>968</v>
      </c>
      <c r="G9" s="22">
        <v>5312</v>
      </c>
      <c r="H9" s="22">
        <v>443</v>
      </c>
      <c r="I9" s="22">
        <v>2425</v>
      </c>
      <c r="J9" s="22">
        <v>3333</v>
      </c>
      <c r="K9" s="22">
        <v>15278</v>
      </c>
      <c r="L9" s="22">
        <v>1000</v>
      </c>
      <c r="M9" s="23">
        <v>4000</v>
      </c>
      <c r="N9" s="23">
        <v>3000</v>
      </c>
      <c r="O9" s="23">
        <v>500</v>
      </c>
      <c r="P9" s="23">
        <v>100</v>
      </c>
      <c r="Q9" s="23">
        <v>500</v>
      </c>
      <c r="R9" s="23">
        <v>1500</v>
      </c>
      <c r="S9" s="23">
        <v>1000</v>
      </c>
      <c r="T9" s="23">
        <v>5000</v>
      </c>
      <c r="U9" s="23">
        <v>1000</v>
      </c>
      <c r="V9" s="23">
        <v>5000</v>
      </c>
      <c r="W9" s="23">
        <v>8000</v>
      </c>
      <c r="X9" s="23">
        <v>1000</v>
      </c>
      <c r="Y9" s="23">
        <v>3000</v>
      </c>
      <c r="Z9" s="23">
        <v>1000</v>
      </c>
      <c r="AA9" s="23">
        <v>1000</v>
      </c>
      <c r="AB9" s="23">
        <v>6000</v>
      </c>
      <c r="AC9" s="23">
        <v>587</v>
      </c>
      <c r="AD9" s="23">
        <v>714</v>
      </c>
      <c r="AE9" s="23">
        <v>8000</v>
      </c>
      <c r="AF9" s="23">
        <v>6000</v>
      </c>
      <c r="AG9" s="23">
        <v>500</v>
      </c>
      <c r="AH9" s="23">
        <v>10000</v>
      </c>
      <c r="AI9" s="23" t="s">
        <v>93</v>
      </c>
      <c r="AJ9" s="23">
        <v>3000</v>
      </c>
    </row>
    <row r="10" spans="1:36" s="67" customFormat="1">
      <c r="A10" s="64" t="s">
        <v>12</v>
      </c>
      <c r="B10" s="65">
        <v>1000</v>
      </c>
      <c r="C10" s="65">
        <v>1500</v>
      </c>
      <c r="D10" s="65">
        <v>3428</v>
      </c>
      <c r="E10" s="65">
        <v>4000</v>
      </c>
      <c r="F10" s="65">
        <v>950</v>
      </c>
      <c r="G10" s="65">
        <v>7937</v>
      </c>
      <c r="H10" s="65">
        <v>950</v>
      </c>
      <c r="I10" s="65">
        <v>2600</v>
      </c>
      <c r="J10" s="65">
        <v>2000</v>
      </c>
      <c r="K10" s="65">
        <v>14000</v>
      </c>
      <c r="L10" s="65">
        <v>2000</v>
      </c>
      <c r="M10" s="66">
        <v>3000</v>
      </c>
      <c r="N10" s="66">
        <v>3000</v>
      </c>
      <c r="O10" s="66">
        <v>500</v>
      </c>
      <c r="P10" s="66">
        <v>200</v>
      </c>
      <c r="Q10" s="66">
        <v>400</v>
      </c>
      <c r="R10" s="66">
        <v>2000</v>
      </c>
      <c r="S10" s="66">
        <v>1000</v>
      </c>
      <c r="T10" s="66">
        <v>7000</v>
      </c>
      <c r="U10" s="66">
        <v>2500</v>
      </c>
      <c r="V10" s="66">
        <v>5000</v>
      </c>
      <c r="W10" s="66">
        <v>9000</v>
      </c>
      <c r="X10" s="66">
        <v>1000</v>
      </c>
      <c r="Y10" s="66">
        <v>1500</v>
      </c>
      <c r="Z10" s="66">
        <v>660</v>
      </c>
      <c r="AA10" s="66">
        <v>800</v>
      </c>
      <c r="AB10" s="66">
        <v>8000</v>
      </c>
      <c r="AC10" s="66">
        <v>300</v>
      </c>
      <c r="AD10" s="66">
        <v>250</v>
      </c>
      <c r="AE10" s="66">
        <v>10000</v>
      </c>
      <c r="AF10" s="66">
        <v>6000</v>
      </c>
      <c r="AG10" s="66">
        <v>1500</v>
      </c>
      <c r="AH10" s="66">
        <v>5000</v>
      </c>
      <c r="AI10" s="66" t="s">
        <v>93</v>
      </c>
      <c r="AJ10" s="66" t="s">
        <v>93</v>
      </c>
    </row>
    <row r="11" spans="1:36" s="67" customFormat="1">
      <c r="A11" s="64" t="s">
        <v>13</v>
      </c>
      <c r="B11" s="65">
        <v>1000</v>
      </c>
      <c r="C11" s="65">
        <v>3750</v>
      </c>
      <c r="D11" s="65">
        <v>3500</v>
      </c>
      <c r="E11" s="65">
        <v>2500</v>
      </c>
      <c r="F11" s="65">
        <v>1000</v>
      </c>
      <c r="G11" s="65">
        <v>5000</v>
      </c>
      <c r="H11" s="65">
        <v>378</v>
      </c>
      <c r="I11" s="65">
        <v>5000</v>
      </c>
      <c r="J11" s="65">
        <v>2611</v>
      </c>
      <c r="K11" s="65">
        <v>20000</v>
      </c>
      <c r="L11" s="65">
        <v>1200</v>
      </c>
      <c r="M11" s="66">
        <v>4000</v>
      </c>
      <c r="N11" s="66">
        <v>3500</v>
      </c>
      <c r="O11" s="66">
        <v>500</v>
      </c>
      <c r="P11" s="66">
        <v>200</v>
      </c>
      <c r="Q11" s="66">
        <v>300</v>
      </c>
      <c r="R11" s="66">
        <v>1500</v>
      </c>
      <c r="S11" s="66">
        <v>1000</v>
      </c>
      <c r="T11" s="66">
        <v>8000</v>
      </c>
      <c r="U11" s="66">
        <v>5000</v>
      </c>
      <c r="V11" s="66">
        <v>5000</v>
      </c>
      <c r="W11" s="66">
        <v>8000</v>
      </c>
      <c r="X11" s="66">
        <v>1500</v>
      </c>
      <c r="Y11" s="66">
        <v>1500</v>
      </c>
      <c r="Z11" s="66">
        <v>1000</v>
      </c>
      <c r="AA11" s="66">
        <v>2000</v>
      </c>
      <c r="AB11" s="66">
        <v>7000</v>
      </c>
      <c r="AC11" s="66">
        <v>198</v>
      </c>
      <c r="AD11" s="66">
        <v>666</v>
      </c>
      <c r="AE11" s="66">
        <v>10000</v>
      </c>
      <c r="AF11" s="66">
        <v>8000</v>
      </c>
      <c r="AG11" s="66">
        <v>2000</v>
      </c>
      <c r="AH11" s="66">
        <v>7000</v>
      </c>
      <c r="AI11" s="66">
        <v>200</v>
      </c>
      <c r="AJ11" s="66">
        <v>3000</v>
      </c>
    </row>
    <row r="12" spans="1:36">
      <c r="A12" s="21" t="s">
        <v>14</v>
      </c>
      <c r="B12" s="22">
        <v>1277</v>
      </c>
      <c r="C12" s="22">
        <v>3200</v>
      </c>
      <c r="D12" s="22">
        <v>3800</v>
      </c>
      <c r="E12" s="22">
        <v>2800</v>
      </c>
      <c r="F12" s="22">
        <v>935</v>
      </c>
      <c r="G12" s="22">
        <v>5171</v>
      </c>
      <c r="H12" s="22">
        <v>607</v>
      </c>
      <c r="I12" s="22">
        <v>2400</v>
      </c>
      <c r="J12" s="22">
        <v>3420</v>
      </c>
      <c r="K12" s="22">
        <v>12500</v>
      </c>
      <c r="L12" s="22">
        <v>2000</v>
      </c>
      <c r="M12" s="23">
        <v>4000</v>
      </c>
      <c r="N12" s="23">
        <v>3000</v>
      </c>
      <c r="O12" s="23">
        <v>500</v>
      </c>
      <c r="P12" s="23">
        <v>200</v>
      </c>
      <c r="Q12" s="23">
        <v>500</v>
      </c>
      <c r="R12" s="23">
        <v>1500</v>
      </c>
      <c r="S12" s="23">
        <v>1000</v>
      </c>
      <c r="T12" s="23">
        <v>6000</v>
      </c>
      <c r="U12" s="23">
        <v>4000</v>
      </c>
      <c r="V12" s="23">
        <v>5500</v>
      </c>
      <c r="W12" s="23">
        <v>6000</v>
      </c>
      <c r="X12" s="23">
        <v>1000</v>
      </c>
      <c r="Y12" s="23">
        <v>1000</v>
      </c>
      <c r="Z12" s="23">
        <v>700</v>
      </c>
      <c r="AA12" s="23">
        <v>1000</v>
      </c>
      <c r="AB12" s="23">
        <v>8000</v>
      </c>
      <c r="AC12" s="23">
        <v>500</v>
      </c>
      <c r="AD12" s="23">
        <v>5000</v>
      </c>
      <c r="AE12" s="23">
        <v>9000</v>
      </c>
      <c r="AF12" s="23">
        <v>6000</v>
      </c>
      <c r="AG12" s="23">
        <v>500</v>
      </c>
      <c r="AH12" s="23">
        <v>5000</v>
      </c>
      <c r="AI12" s="23">
        <v>150</v>
      </c>
      <c r="AJ12" s="23">
        <v>3000</v>
      </c>
    </row>
    <row r="13" spans="1:36">
      <c r="A13" s="21" t="s">
        <v>15</v>
      </c>
      <c r="B13" s="22">
        <v>800</v>
      </c>
      <c r="C13" s="22">
        <v>1933</v>
      </c>
      <c r="D13" s="22">
        <v>4000</v>
      </c>
      <c r="E13" s="22">
        <v>3100</v>
      </c>
      <c r="F13" s="22">
        <v>1488</v>
      </c>
      <c r="G13" s="22">
        <v>6000</v>
      </c>
      <c r="H13" s="22">
        <v>800</v>
      </c>
      <c r="I13" s="22">
        <v>1867</v>
      </c>
      <c r="J13" s="22">
        <v>1433</v>
      </c>
      <c r="K13" s="22">
        <v>21071</v>
      </c>
      <c r="L13" s="22">
        <v>1000</v>
      </c>
      <c r="M13" s="23">
        <v>3500</v>
      </c>
      <c r="N13" s="23">
        <v>3000</v>
      </c>
      <c r="O13" s="23">
        <v>500</v>
      </c>
      <c r="P13" s="23">
        <v>200</v>
      </c>
      <c r="Q13" s="23">
        <v>600</v>
      </c>
      <c r="R13" s="23">
        <v>1500</v>
      </c>
      <c r="S13" s="23">
        <v>1000</v>
      </c>
      <c r="T13" s="23">
        <v>7000</v>
      </c>
      <c r="U13" s="23">
        <v>2500</v>
      </c>
      <c r="V13" s="23">
        <v>6000</v>
      </c>
      <c r="W13" s="23">
        <v>8000</v>
      </c>
      <c r="X13" s="23">
        <v>1000</v>
      </c>
      <c r="Y13" s="23">
        <v>1500</v>
      </c>
      <c r="Z13" s="23">
        <v>1000</v>
      </c>
      <c r="AA13" s="23">
        <v>1500</v>
      </c>
      <c r="AB13" s="23">
        <v>6000</v>
      </c>
      <c r="AC13" s="23">
        <v>200</v>
      </c>
      <c r="AD13" s="23">
        <v>1043</v>
      </c>
      <c r="AE13" s="23">
        <v>10000</v>
      </c>
      <c r="AF13" s="23">
        <v>6000</v>
      </c>
      <c r="AG13" s="23">
        <v>1000</v>
      </c>
      <c r="AH13" s="23">
        <v>10000</v>
      </c>
      <c r="AI13" s="23">
        <v>120</v>
      </c>
      <c r="AJ13" s="23" t="s">
        <v>93</v>
      </c>
    </row>
    <row r="14" spans="1:36">
      <c r="A14" s="24" t="s">
        <v>16</v>
      </c>
      <c r="B14" s="22">
        <v>817</v>
      </c>
      <c r="C14" s="22">
        <v>1933</v>
      </c>
      <c r="D14" s="22">
        <v>3600</v>
      </c>
      <c r="E14" s="22">
        <v>3167</v>
      </c>
      <c r="F14" s="22">
        <v>1533</v>
      </c>
      <c r="G14" s="22">
        <v>5600</v>
      </c>
      <c r="H14" s="22">
        <v>2000</v>
      </c>
      <c r="I14" s="22">
        <v>3800</v>
      </c>
      <c r="J14" s="22">
        <v>2000</v>
      </c>
      <c r="K14" s="22">
        <v>16000</v>
      </c>
      <c r="L14" s="22">
        <v>1000</v>
      </c>
      <c r="M14" s="23">
        <v>3500</v>
      </c>
      <c r="N14" s="23">
        <v>3000</v>
      </c>
      <c r="O14" s="23">
        <v>500</v>
      </c>
      <c r="P14" s="23">
        <v>200</v>
      </c>
      <c r="Q14" s="23">
        <v>500</v>
      </c>
      <c r="R14" s="23">
        <v>2000</v>
      </c>
      <c r="S14" s="23">
        <v>1000</v>
      </c>
      <c r="T14" s="23">
        <v>6000</v>
      </c>
      <c r="U14" s="23">
        <v>2500</v>
      </c>
      <c r="V14" s="23">
        <v>5000</v>
      </c>
      <c r="W14" s="23">
        <v>11000</v>
      </c>
      <c r="X14" s="23">
        <v>1000</v>
      </c>
      <c r="Y14" s="23">
        <v>2000</v>
      </c>
      <c r="Z14" s="23">
        <v>1000</v>
      </c>
      <c r="AA14" s="23">
        <v>1000</v>
      </c>
      <c r="AB14" s="23">
        <v>6000</v>
      </c>
      <c r="AC14" s="23">
        <v>200</v>
      </c>
      <c r="AD14" s="23">
        <v>2000</v>
      </c>
      <c r="AE14" s="23">
        <v>10000</v>
      </c>
      <c r="AF14" s="23">
        <v>5000</v>
      </c>
      <c r="AG14" s="23">
        <v>1000</v>
      </c>
      <c r="AH14" s="23">
        <v>5000</v>
      </c>
      <c r="AI14" s="23">
        <v>100</v>
      </c>
      <c r="AJ14" s="23" t="s">
        <v>93</v>
      </c>
    </row>
    <row r="15" spans="1:36" s="27" customFormat="1">
      <c r="A15" s="25" t="s">
        <v>17</v>
      </c>
      <c r="B15" s="26">
        <f>AVERAGE(B2:B14)</f>
        <v>1104.8461538461538</v>
      </c>
      <c r="C15" s="26">
        <f t="shared" ref="C15:AJ15" si="0">AVERAGE(C2:C14)</f>
        <v>2531.6153846153848</v>
      </c>
      <c r="D15" s="26">
        <f t="shared" si="0"/>
        <v>3870.7692307692309</v>
      </c>
      <c r="E15" s="26">
        <f t="shared" si="0"/>
        <v>3469.1538461538462</v>
      </c>
      <c r="F15" s="26">
        <f t="shared" si="0"/>
        <v>1278</v>
      </c>
      <c r="G15" s="26">
        <f t="shared" si="0"/>
        <v>5847.6923076923076</v>
      </c>
      <c r="H15" s="26">
        <f t="shared" si="0"/>
        <v>790.46153846153845</v>
      </c>
      <c r="I15" s="26">
        <f t="shared" si="0"/>
        <v>2869.8461538461538</v>
      </c>
      <c r="J15" s="26">
        <f t="shared" si="0"/>
        <v>2384.9230769230771</v>
      </c>
      <c r="K15" s="26">
        <f t="shared" si="0"/>
        <v>18538.307692307691</v>
      </c>
      <c r="L15" s="26">
        <f t="shared" si="0"/>
        <v>1600</v>
      </c>
      <c r="M15" s="26">
        <f t="shared" si="0"/>
        <v>3800</v>
      </c>
      <c r="N15" s="26">
        <f t="shared" si="0"/>
        <v>3176.9230769230771</v>
      </c>
      <c r="O15" s="26">
        <f t="shared" si="0"/>
        <v>500</v>
      </c>
      <c r="P15" s="26">
        <f t="shared" si="0"/>
        <v>200</v>
      </c>
      <c r="Q15" s="26">
        <f t="shared" si="0"/>
        <v>492.30769230769232</v>
      </c>
      <c r="R15" s="26">
        <f t="shared" si="0"/>
        <v>1730.7692307692307</v>
      </c>
      <c r="S15" s="26">
        <f t="shared" si="0"/>
        <v>1038.4615384615386</v>
      </c>
      <c r="T15" s="26">
        <f t="shared" si="0"/>
        <v>6538.4615384615381</v>
      </c>
      <c r="U15" s="26">
        <f t="shared" si="0"/>
        <v>2500</v>
      </c>
      <c r="V15" s="26">
        <f t="shared" si="0"/>
        <v>4923.0769230769229</v>
      </c>
      <c r="W15" s="26">
        <f t="shared" si="0"/>
        <v>9673.0769230769238</v>
      </c>
      <c r="X15" s="26">
        <f t="shared" si="0"/>
        <v>976.92307692307691</v>
      </c>
      <c r="Y15" s="26">
        <f t="shared" si="0"/>
        <v>1769.2307692307693</v>
      </c>
      <c r="Z15" s="26">
        <f t="shared" si="0"/>
        <v>796.92307692307691</v>
      </c>
      <c r="AA15" s="26">
        <f t="shared" si="0"/>
        <v>1215.3846153846155</v>
      </c>
      <c r="AB15" s="26">
        <f t="shared" si="0"/>
        <v>6769.2307692307695</v>
      </c>
      <c r="AC15" s="26">
        <f t="shared" si="0"/>
        <v>309.15384615384613</v>
      </c>
      <c r="AD15" s="26">
        <f t="shared" si="0"/>
        <v>1564.6923076923076</v>
      </c>
      <c r="AE15" s="26">
        <f t="shared" si="0"/>
        <v>9538.461538461539</v>
      </c>
      <c r="AF15" s="26">
        <f t="shared" si="0"/>
        <v>6038.4615384615381</v>
      </c>
      <c r="AG15" s="26">
        <f t="shared" si="0"/>
        <v>984.61538461538464</v>
      </c>
      <c r="AH15" s="26">
        <f t="shared" si="0"/>
        <v>6666.666666666667</v>
      </c>
      <c r="AI15" s="26">
        <f t="shared" si="0"/>
        <v>156.11111111111111</v>
      </c>
      <c r="AJ15" s="26">
        <f t="shared" si="0"/>
        <v>3857.1428571428573</v>
      </c>
    </row>
    <row r="20" spans="12:13">
      <c r="L20" s="22"/>
    </row>
    <row r="21" spans="12:13">
      <c r="L21" s="22"/>
    </row>
    <row r="22" spans="12:13">
      <c r="L22" s="22"/>
    </row>
    <row r="23" spans="12:13">
      <c r="L23" s="22"/>
      <c r="M23" s="28"/>
    </row>
    <row r="24" spans="12:13">
      <c r="L24" s="22"/>
    </row>
    <row r="25" spans="12:13">
      <c r="L25" s="22"/>
    </row>
    <row r="26" spans="12:13">
      <c r="L26" s="22"/>
    </row>
    <row r="27" spans="12:13">
      <c r="L27" s="22"/>
    </row>
    <row r="28" spans="12:13">
      <c r="L28"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S6"/>
  <sheetViews>
    <sheetView topLeftCell="C1" workbookViewId="0">
      <selection activeCell="F5" sqref="F5"/>
    </sheetView>
  </sheetViews>
  <sheetFormatPr defaultRowHeight="15"/>
  <cols>
    <col min="4" max="4" width="22" bestFit="1" customWidth="1"/>
    <col min="6" max="6" width="9.5703125" bestFit="1" customWidth="1"/>
  </cols>
  <sheetData>
    <row r="5" spans="4:19">
      <c r="E5" s="1">
        <v>43525</v>
      </c>
      <c r="F5" s="1">
        <v>43891</v>
      </c>
      <c r="G5" s="1"/>
      <c r="H5" s="1"/>
      <c r="I5" s="1"/>
      <c r="J5" s="1"/>
      <c r="K5" s="1"/>
      <c r="L5" s="1"/>
      <c r="M5" s="1"/>
      <c r="N5" s="1"/>
      <c r="O5" s="1"/>
      <c r="P5" s="1"/>
      <c r="Q5" s="1"/>
      <c r="R5" s="1"/>
      <c r="S5" s="1"/>
    </row>
    <row r="6" spans="4:19">
      <c r="D6" s="6" t="s">
        <v>50</v>
      </c>
      <c r="E6" s="8">
        <v>4044</v>
      </c>
      <c r="F6" s="13">
        <f>E6+(E6*'CPI for NFIs'!C15/100)</f>
        <v>3806.2969013537272</v>
      </c>
      <c r="G6" s="8"/>
      <c r="H6" s="8"/>
      <c r="I6" s="8"/>
      <c r="J6" s="8"/>
      <c r="K6" s="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8"/>
  <sheetViews>
    <sheetView workbookViewId="0">
      <selection activeCell="D7" sqref="D7"/>
    </sheetView>
  </sheetViews>
  <sheetFormatPr defaultRowHeight="15"/>
  <cols>
    <col min="2" max="2" width="15.140625" bestFit="1" customWidth="1"/>
    <col min="4" max="4" width="9.5703125" bestFit="1" customWidth="1"/>
  </cols>
  <sheetData>
    <row r="7" spans="2:17">
      <c r="C7" s="1">
        <v>43525</v>
      </c>
      <c r="D7" s="1">
        <v>43891</v>
      </c>
      <c r="E7" s="1"/>
      <c r="F7" s="1"/>
      <c r="G7" s="1"/>
      <c r="H7" s="1"/>
      <c r="I7" s="1"/>
      <c r="J7" s="1"/>
      <c r="K7" s="1"/>
      <c r="L7" s="1"/>
      <c r="M7" s="1"/>
      <c r="N7" s="1"/>
      <c r="O7" s="1"/>
      <c r="P7" s="1"/>
      <c r="Q7" s="1"/>
    </row>
    <row r="8" spans="2:17">
      <c r="B8" s="6" t="s">
        <v>51</v>
      </c>
      <c r="C8" s="8">
        <v>2669</v>
      </c>
      <c r="D8" s="8">
        <f>C8</f>
        <v>2669</v>
      </c>
      <c r="E8" s="8"/>
      <c r="F8" s="8"/>
      <c r="G8" s="8"/>
      <c r="H8" s="8"/>
      <c r="I8" s="8"/>
      <c r="J8" s="8"/>
      <c r="K8" s="8"/>
      <c r="L8" s="8"/>
      <c r="M8" s="8"/>
      <c r="N8" s="8"/>
      <c r="O8" s="8"/>
      <c r="P8" s="8"/>
      <c r="Q8" s="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S27"/>
  <sheetViews>
    <sheetView workbookViewId="0">
      <selection activeCell="F5" sqref="F5"/>
    </sheetView>
  </sheetViews>
  <sheetFormatPr defaultColWidth="8.7109375" defaultRowHeight="15"/>
  <cols>
    <col min="1" max="1" width="8.7109375" style="33"/>
    <col min="2" max="2" width="17.42578125" style="33" bestFit="1" customWidth="1"/>
    <col min="3" max="3" width="17.85546875" style="33" customWidth="1"/>
    <col min="4" max="4" width="11.140625" style="33" customWidth="1"/>
    <col min="5" max="5" width="10.85546875" style="33" customWidth="1"/>
    <col min="6" max="6" width="10.140625" style="33" bestFit="1" customWidth="1"/>
    <col min="7" max="7" width="8.7109375" style="33"/>
    <col min="8" max="8" width="7.5703125" style="33" bestFit="1" customWidth="1"/>
    <col min="9" max="16384" width="8.7109375" style="33"/>
  </cols>
  <sheetData>
    <row r="5" spans="2:19" s="42" customFormat="1" ht="30">
      <c r="C5" s="42" t="s">
        <v>36</v>
      </c>
      <c r="D5" s="42" t="s">
        <v>37</v>
      </c>
      <c r="E5" s="42" t="s">
        <v>38</v>
      </c>
      <c r="F5" s="1">
        <v>43891</v>
      </c>
      <c r="G5" s="43"/>
      <c r="H5" s="43"/>
      <c r="I5" s="43"/>
      <c r="J5" s="43"/>
      <c r="K5" s="43"/>
      <c r="L5" s="43"/>
      <c r="M5" s="43"/>
      <c r="N5" s="43"/>
      <c r="O5" s="43"/>
      <c r="P5" s="43"/>
      <c r="Q5" s="43"/>
      <c r="R5" s="43"/>
      <c r="S5" s="43"/>
    </row>
    <row r="6" spans="2:19">
      <c r="B6" s="33" t="s">
        <v>30</v>
      </c>
      <c r="C6" s="33">
        <v>5</v>
      </c>
      <c r="D6" s="34">
        <v>9000</v>
      </c>
      <c r="E6" s="34">
        <f>C6*D6</f>
        <v>45000</v>
      </c>
      <c r="F6" s="34">
        <f>E6</f>
        <v>45000</v>
      </c>
      <c r="G6" s="44"/>
      <c r="H6" s="44"/>
      <c r="I6" s="44"/>
      <c r="J6" s="44"/>
      <c r="K6" s="44"/>
    </row>
    <row r="7" spans="2:19">
      <c r="B7" s="33" t="s">
        <v>31</v>
      </c>
      <c r="C7" s="33">
        <v>3</v>
      </c>
      <c r="D7" s="34">
        <v>4375</v>
      </c>
      <c r="E7" s="34">
        <f t="shared" ref="E7:E11" si="0">C7*D7</f>
        <v>13125</v>
      </c>
      <c r="F7" s="34">
        <f>E7</f>
        <v>13125</v>
      </c>
      <c r="G7" s="44"/>
      <c r="H7" s="44"/>
      <c r="I7" s="44"/>
      <c r="J7" s="44"/>
      <c r="K7" s="44"/>
    </row>
    <row r="8" spans="2:19">
      <c r="B8" s="33" t="s">
        <v>32</v>
      </c>
      <c r="C8" s="33">
        <v>5</v>
      </c>
      <c r="D8" s="34">
        <v>1000</v>
      </c>
      <c r="E8" s="34">
        <f t="shared" si="0"/>
        <v>5000</v>
      </c>
      <c r="F8" s="34">
        <f>C8*'Prices-March 2020'!X15</f>
        <v>4884.6153846153848</v>
      </c>
      <c r="G8" s="44"/>
      <c r="H8" s="44"/>
    </row>
    <row r="9" spans="2:19">
      <c r="B9" s="33" t="s">
        <v>33</v>
      </c>
      <c r="C9" s="33">
        <v>2</v>
      </c>
      <c r="D9" s="34">
        <v>1500</v>
      </c>
      <c r="E9" s="34">
        <f t="shared" si="0"/>
        <v>3000</v>
      </c>
      <c r="F9" s="34">
        <f>C9*'Prices-March 2020'!Y15</f>
        <v>3538.4615384615386</v>
      </c>
      <c r="G9" s="44"/>
      <c r="H9" s="44"/>
    </row>
    <row r="10" spans="2:19">
      <c r="B10" s="33" t="s">
        <v>34</v>
      </c>
      <c r="C10" s="33">
        <v>5</v>
      </c>
      <c r="D10" s="34">
        <v>750</v>
      </c>
      <c r="E10" s="34">
        <f t="shared" si="0"/>
        <v>3750</v>
      </c>
      <c r="F10" s="34">
        <f>C10*'Prices-March 2020'!Z15</f>
        <v>3984.6153846153848</v>
      </c>
      <c r="G10" s="44"/>
      <c r="H10" s="44"/>
    </row>
    <row r="11" spans="2:19">
      <c r="B11" s="33" t="s">
        <v>35</v>
      </c>
      <c r="C11" s="33">
        <v>2</v>
      </c>
      <c r="D11" s="34">
        <v>1000</v>
      </c>
      <c r="E11" s="34">
        <f t="shared" si="0"/>
        <v>2000</v>
      </c>
      <c r="F11" s="34">
        <f>C11*'Prices-March 2020'!AA15</f>
        <v>2430.7692307692309</v>
      </c>
      <c r="G11" s="44"/>
      <c r="H11" s="44"/>
    </row>
    <row r="12" spans="2:19">
      <c r="B12" s="36" t="s">
        <v>39</v>
      </c>
      <c r="C12" s="36"/>
      <c r="D12" s="35"/>
      <c r="E12" s="35">
        <f>SUM(E6:E11)/12</f>
        <v>5989.583333333333</v>
      </c>
      <c r="F12" s="35">
        <f>SUM(F6:F11)/12</f>
        <v>6080.2884615384619</v>
      </c>
      <c r="G12" s="35"/>
      <c r="H12" s="35"/>
    </row>
    <row r="14" spans="2:19">
      <c r="E14" s="44"/>
    </row>
    <row r="16" spans="2:19">
      <c r="E16" s="45"/>
      <c r="F16" s="45"/>
      <c r="G16" s="45"/>
      <c r="H16" s="45"/>
      <c r="I16" s="45"/>
      <c r="J16" s="45"/>
      <c r="K16" s="45"/>
    </row>
    <row r="17" spans="3:11">
      <c r="E17" s="34"/>
      <c r="F17" s="34"/>
      <c r="G17" s="34"/>
      <c r="H17" s="34"/>
      <c r="I17" s="34"/>
      <c r="J17" s="34"/>
      <c r="K17" s="34"/>
    </row>
    <row r="21" spans="3:11">
      <c r="C21" s="34"/>
      <c r="D21" s="34"/>
      <c r="E21" s="46"/>
      <c r="I21" s="46"/>
    </row>
    <row r="22" spans="3:11">
      <c r="C22" s="34"/>
      <c r="D22" s="34"/>
      <c r="E22" s="46"/>
      <c r="I22" s="46"/>
    </row>
    <row r="23" spans="3:11">
      <c r="C23" s="34"/>
      <c r="D23" s="34"/>
      <c r="E23" s="46"/>
      <c r="I23" s="46"/>
    </row>
    <row r="24" spans="3:11">
      <c r="C24" s="34"/>
      <c r="D24" s="34"/>
      <c r="E24" s="46"/>
      <c r="I24" s="46"/>
    </row>
    <row r="25" spans="3:11">
      <c r="C25" s="34"/>
      <c r="D25" s="34"/>
      <c r="E25" s="46"/>
      <c r="I25" s="46"/>
    </row>
    <row r="26" spans="3:11">
      <c r="C26" s="34"/>
      <c r="D26" s="34"/>
      <c r="E26" s="46"/>
      <c r="I26" s="46"/>
    </row>
    <row r="27" spans="3:11">
      <c r="C27" s="44"/>
      <c r="D27" s="44"/>
      <c r="E27" s="46"/>
      <c r="I27" s="46"/>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Q9"/>
  <sheetViews>
    <sheetView workbookViewId="0">
      <selection activeCell="E8" sqref="E8"/>
    </sheetView>
  </sheetViews>
  <sheetFormatPr defaultRowHeight="15"/>
  <cols>
    <col min="3" max="3" width="22" bestFit="1" customWidth="1"/>
    <col min="4" max="4" width="10.140625" bestFit="1" customWidth="1"/>
    <col min="5" max="5" width="10.5703125" bestFit="1" customWidth="1"/>
  </cols>
  <sheetData>
    <row r="8" spans="3:17">
      <c r="D8" s="1">
        <v>43525</v>
      </c>
      <c r="E8" s="1">
        <v>43891</v>
      </c>
      <c r="F8" s="1"/>
      <c r="G8" s="1"/>
      <c r="H8" s="1"/>
      <c r="I8" s="1"/>
      <c r="J8" s="1"/>
      <c r="K8" s="1"/>
      <c r="L8" s="1"/>
      <c r="M8" s="1"/>
      <c r="N8" s="1"/>
      <c r="O8" s="1"/>
      <c r="P8" s="1"/>
      <c r="Q8" s="1"/>
    </row>
    <row r="9" spans="3:17">
      <c r="C9" s="6" t="s">
        <v>52</v>
      </c>
      <c r="D9" s="8">
        <v>40060</v>
      </c>
      <c r="E9" s="8">
        <f>D9+(D9*'CPI for NFIs'!C15/100)</f>
        <v>37705.305110838359</v>
      </c>
      <c r="F9" s="8"/>
      <c r="G9" s="8"/>
      <c r="H9" s="8"/>
      <c r="I9" s="8"/>
      <c r="J9" s="8"/>
      <c r="K9" s="8"/>
      <c r="L9" s="8"/>
      <c r="M9" s="8"/>
      <c r="N9" s="8"/>
      <c r="O9" s="8"/>
      <c r="P9" s="8"/>
      <c r="Q9" s="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C1" workbookViewId="0">
      <selection activeCell="C17" sqref="A17:XFD29"/>
    </sheetView>
  </sheetViews>
  <sheetFormatPr defaultRowHeight="15"/>
  <cols>
    <col min="1" max="1" width="10.85546875" bestFit="1" customWidth="1"/>
    <col min="2" max="2" width="17.85546875" customWidth="1"/>
    <col min="3" max="3" width="17.5703125" bestFit="1" customWidth="1"/>
    <col min="7" max="7" width="12.28515625" customWidth="1"/>
    <col min="9" max="9" width="14.140625" bestFit="1" customWidth="1"/>
    <col min="12" max="12" width="19.85546875" customWidth="1"/>
    <col min="13" max="13" width="9.85546875" customWidth="1"/>
    <col min="14" max="14" width="10.140625" customWidth="1"/>
  </cols>
  <sheetData>
    <row r="1" spans="1:14" s="6" customFormat="1" ht="45">
      <c r="A1" s="61" t="s">
        <v>106</v>
      </c>
      <c r="B1" s="61" t="s">
        <v>107</v>
      </c>
      <c r="C1" s="61" t="s">
        <v>107</v>
      </c>
      <c r="D1" s="62" t="s">
        <v>94</v>
      </c>
      <c r="E1" s="62" t="s">
        <v>18</v>
      </c>
      <c r="F1" s="62" t="s">
        <v>101</v>
      </c>
      <c r="G1" s="63" t="s">
        <v>19</v>
      </c>
      <c r="H1" s="62" t="s">
        <v>20</v>
      </c>
      <c r="I1" s="62" t="s">
        <v>102</v>
      </c>
      <c r="J1" s="62" t="s">
        <v>21</v>
      </c>
      <c r="K1" s="62" t="s">
        <v>103</v>
      </c>
      <c r="L1" s="63" t="s">
        <v>104</v>
      </c>
      <c r="M1" s="62" t="s">
        <v>97</v>
      </c>
      <c r="N1" s="62" t="s">
        <v>22</v>
      </c>
    </row>
    <row r="2" spans="1:14">
      <c r="A2" s="54" t="s">
        <v>7</v>
      </c>
      <c r="B2" s="55">
        <f>Food!L13</f>
        <v>63382.35</v>
      </c>
      <c r="C2" s="55">
        <f>B2*5</f>
        <v>316911.75</v>
      </c>
      <c r="D2" s="56">
        <f>((0.45*5*'Prices-March 2020'!M2)+4667+((2*'Prices-March 2020'!T2)/12)+632+('Prices-March 2020'!U2/12))</f>
        <v>15240.666666666666</v>
      </c>
      <c r="E2" s="56">
        <f>Water!$D$8</f>
        <v>3750</v>
      </c>
      <c r="F2" s="56">
        <f>Education!$D$8</f>
        <v>28667</v>
      </c>
      <c r="G2" s="56">
        <f>(1.1*30*5*'Prices-March 2020'!AC2)+5000</f>
        <v>40145</v>
      </c>
      <c r="H2" s="56">
        <f>Transport!$D$8</f>
        <v>11001</v>
      </c>
      <c r="I2" s="56">
        <f>Communication!$D$8</f>
        <v>4256</v>
      </c>
      <c r="J2" s="56">
        <f>Clothing!$F$6</f>
        <v>3806.2969013537272</v>
      </c>
      <c r="K2" s="56">
        <f>Health!$D$8</f>
        <v>2669</v>
      </c>
      <c r="L2" s="56">
        <f>((45000+13125+(5*'Prices-March 2020'!X2)+(2*'Prices-March 2020'!Y2)+(5*'Prices-March 2020'!Z2)+(2*'Prices-March 2020'!AA2))/12)</f>
        <v>5927.083333333333</v>
      </c>
      <c r="M2" s="56">
        <f>Livelihood!$E$9</f>
        <v>37705.305110838359</v>
      </c>
      <c r="N2" s="56">
        <f>SUM(C2:M2)</f>
        <v>470079.10201219213</v>
      </c>
    </row>
    <row r="3" spans="1:14">
      <c r="A3" s="54" t="s">
        <v>8</v>
      </c>
      <c r="B3" s="55">
        <f>Food!L14</f>
        <v>59362.65</v>
      </c>
      <c r="C3" s="55">
        <f t="shared" ref="C3:C14" si="0">B3*5</f>
        <v>296813.25</v>
      </c>
      <c r="D3" s="56">
        <f>((0.45*5*'Prices-March 2020'!M3)+4667+((2*'Prices-March 2020'!T3)/12)+632+('Prices-March 2020'!U3/12))</f>
        <v>15465.666666666666</v>
      </c>
      <c r="E3" s="56">
        <f>Water!$D$8</f>
        <v>3750</v>
      </c>
      <c r="F3" s="56">
        <f>Education!$D$8</f>
        <v>28667</v>
      </c>
      <c r="G3" s="56">
        <f>(1.1*30*5*'Prices-March 2020'!AC3)+5000</f>
        <v>87500</v>
      </c>
      <c r="H3" s="56">
        <f>Transport!$D$8</f>
        <v>11001</v>
      </c>
      <c r="I3" s="56">
        <f>Communication!$D$8</f>
        <v>4256</v>
      </c>
      <c r="J3" s="56">
        <f>Clothing!$F$6</f>
        <v>3806.2969013537272</v>
      </c>
      <c r="K3" s="56">
        <f>Health!$D$8</f>
        <v>2669</v>
      </c>
      <c r="L3" s="56">
        <f>((45000+13125+(5*'Prices-March 2020'!X3)+(2*'Prices-March 2020'!Y3)+(5*'Prices-March 2020'!Z3)+(2*'Prices-March 2020'!AA3))/12)</f>
        <v>5760.416666666667</v>
      </c>
      <c r="M3" s="56">
        <f>Livelihood!$E$9</f>
        <v>37705.305110838359</v>
      </c>
      <c r="N3" s="56">
        <f t="shared" ref="N3:N14" si="1">SUM(C3:M3)</f>
        <v>497393.9353455255</v>
      </c>
    </row>
    <row r="4" spans="1:14">
      <c r="A4" s="54" t="s">
        <v>9</v>
      </c>
      <c r="B4" s="55">
        <f>Food!L15</f>
        <v>60834.6</v>
      </c>
      <c r="C4" s="55">
        <f t="shared" si="0"/>
        <v>304173</v>
      </c>
      <c r="D4" s="56">
        <f>((0.45*5*'Prices-March 2020'!M4)+4667+((2*'Prices-March 2020'!T4)/12)+632+('Prices-March 2020'!U4/12))</f>
        <v>15465.666666666666</v>
      </c>
      <c r="E4" s="56">
        <f>Water!$D$8</f>
        <v>3750</v>
      </c>
      <c r="F4" s="56">
        <f>Education!$D$8</f>
        <v>28667</v>
      </c>
      <c r="G4" s="56">
        <f>(1.1*30*5*'Prices-March 2020'!AC4)+5000</f>
        <v>65390</v>
      </c>
      <c r="H4" s="56">
        <f>Transport!$D$8</f>
        <v>11001</v>
      </c>
      <c r="I4" s="56">
        <f>Communication!$D$8</f>
        <v>4256</v>
      </c>
      <c r="J4" s="56">
        <f>Clothing!$F$6</f>
        <v>3806.2969013537272</v>
      </c>
      <c r="K4" s="56">
        <f>Health!$D$8</f>
        <v>2669</v>
      </c>
      <c r="L4" s="56">
        <f>((45000+13125+(5*'Prices-March 2020'!X4)+(2*'Prices-March 2020'!Y4)+(5*'Prices-March 2020'!Z4)+(2*'Prices-March 2020'!AA4))/12)</f>
        <v>6218.75</v>
      </c>
      <c r="M4" s="56">
        <f>Livelihood!$E$9</f>
        <v>37705.305110838359</v>
      </c>
      <c r="N4" s="56">
        <f t="shared" si="1"/>
        <v>483102.01867885882</v>
      </c>
    </row>
    <row r="5" spans="1:14">
      <c r="A5" s="54" t="s">
        <v>10</v>
      </c>
      <c r="B5" s="55">
        <f>Food!L16</f>
        <v>72012</v>
      </c>
      <c r="C5" s="55">
        <f t="shared" si="0"/>
        <v>360060</v>
      </c>
      <c r="D5" s="56">
        <f>((0.45*5*'Prices-March 2020'!M5)+4667+((2*'Prices-March 2020'!T5)/12)+632+('Prices-March 2020'!U5/12))</f>
        <v>15465.666666666666</v>
      </c>
      <c r="E5" s="56">
        <f>Water!$D$8</f>
        <v>3750</v>
      </c>
      <c r="F5" s="56">
        <f>Education!$D$8</f>
        <v>28667</v>
      </c>
      <c r="G5" s="56">
        <f>(1.1*30*5*'Prices-March 2020'!AC5)+5000</f>
        <v>59945</v>
      </c>
      <c r="H5" s="56">
        <f>Transport!$D$8</f>
        <v>11001</v>
      </c>
      <c r="I5" s="56">
        <f>Communication!$D$8</f>
        <v>4256</v>
      </c>
      <c r="J5" s="56">
        <f>Clothing!$F$6</f>
        <v>3806.2969013537272</v>
      </c>
      <c r="K5" s="56">
        <f>Health!$D$8</f>
        <v>2669</v>
      </c>
      <c r="L5" s="56">
        <f>((45000+13125+(5*'Prices-March 2020'!X5)+(2*'Prices-March 2020'!Y5)+(5*'Prices-March 2020'!Z5)+(2*'Prices-March 2020'!AA5))/12)</f>
        <v>5718.75</v>
      </c>
      <c r="M5" s="56">
        <f>Livelihood!$E$9</f>
        <v>37705.305110838359</v>
      </c>
      <c r="N5" s="56">
        <f t="shared" si="1"/>
        <v>533044.01867885876</v>
      </c>
    </row>
    <row r="6" spans="1:14">
      <c r="A6" s="54" t="s">
        <v>57</v>
      </c>
      <c r="B6" s="55">
        <f>Food!L17</f>
        <v>64050.9</v>
      </c>
      <c r="C6" s="55">
        <f t="shared" si="0"/>
        <v>320254.5</v>
      </c>
      <c r="D6" s="56">
        <f>((0.45*5*'Prices-March 2020'!M6)+4667+((2*'Prices-March 2020'!T6)/12)+632+('Prices-March 2020'!U6/12))</f>
        <v>15882.333333333334</v>
      </c>
      <c r="E6" s="56">
        <f>Water!$D$8</f>
        <v>3750</v>
      </c>
      <c r="F6" s="56">
        <f>Education!$D$8</f>
        <v>28667</v>
      </c>
      <c r="G6" s="56">
        <f>(1.1*30*5*'Prices-March 2020'!AC6)+5000</f>
        <v>31730</v>
      </c>
      <c r="H6" s="56">
        <f>Transport!$D$8</f>
        <v>11001</v>
      </c>
      <c r="I6" s="56">
        <f>Communication!$D$8</f>
        <v>4256</v>
      </c>
      <c r="J6" s="56">
        <f>Clothing!$F$6</f>
        <v>3806.2969013537272</v>
      </c>
      <c r="K6" s="56">
        <f>Health!$D$8</f>
        <v>2669</v>
      </c>
      <c r="L6" s="56">
        <f>((45000+13125+(5*'Prices-March 2020'!X6)+(2*'Prices-March 2020'!Y6)+(5*'Prices-March 2020'!Z6)+(2*'Prices-March 2020'!AA6))/12)</f>
        <v>6218.75</v>
      </c>
      <c r="M6" s="56">
        <f>Livelihood!$E$9</f>
        <v>37705.305110838359</v>
      </c>
      <c r="N6" s="56">
        <f t="shared" si="1"/>
        <v>465940.18534552545</v>
      </c>
    </row>
    <row r="7" spans="1:14">
      <c r="A7" s="54" t="s">
        <v>58</v>
      </c>
      <c r="B7" s="55">
        <f>Food!L18</f>
        <v>92850</v>
      </c>
      <c r="C7" s="55">
        <f t="shared" si="0"/>
        <v>464250</v>
      </c>
      <c r="D7" s="56">
        <f>((0.45*5*'Prices-March 2020'!M7)+4667+((2*'Prices-March 2020'!T7)/12)+632+('Prices-March 2020'!U7/12))</f>
        <v>14257.333333333334</v>
      </c>
      <c r="E7" s="56">
        <f>Water!$D$8</f>
        <v>3750</v>
      </c>
      <c r="F7" s="56">
        <f>Education!$D$8</f>
        <v>28667</v>
      </c>
      <c r="G7" s="56">
        <f>(1.1*30*5*'Prices-March 2020'!AC7)+5000</f>
        <v>53840</v>
      </c>
      <c r="H7" s="56">
        <f>Transport!$D$8</f>
        <v>11001</v>
      </c>
      <c r="I7" s="56">
        <f>Communication!$D$8</f>
        <v>4256</v>
      </c>
      <c r="J7" s="56">
        <f>Clothing!$F$6</f>
        <v>3806.2969013537272</v>
      </c>
      <c r="K7" s="56">
        <f>Health!$D$8</f>
        <v>2669</v>
      </c>
      <c r="L7" s="56">
        <f>((45000+13125+(5*'Prices-March 2020'!X7)+(2*'Prices-March 2020'!Y7)+(5*'Prices-March 2020'!Z7)+(2*'Prices-March 2020'!AA7))/12)</f>
        <v>6343.75</v>
      </c>
      <c r="M7" s="56">
        <f>Livelihood!$E$9</f>
        <v>37705.305110838359</v>
      </c>
      <c r="N7" s="56">
        <f t="shared" si="1"/>
        <v>630545.68534552539</v>
      </c>
    </row>
    <row r="8" spans="1:14">
      <c r="A8" s="54" t="s">
        <v>59</v>
      </c>
      <c r="B8" s="55">
        <f>Food!L19</f>
        <v>69205.8</v>
      </c>
      <c r="C8" s="55">
        <f t="shared" si="0"/>
        <v>346029</v>
      </c>
      <c r="D8" s="56">
        <f>((0.45*5*'Prices-March 2020'!M8)+4667+((2*'Prices-March 2020'!T8)/12)+632+('Prices-March 2020'!U8/12))</f>
        <v>15882.333333333334</v>
      </c>
      <c r="E8" s="56">
        <f>Water!$D$8</f>
        <v>3750</v>
      </c>
      <c r="F8" s="56">
        <f>Education!$D$8</f>
        <v>28667</v>
      </c>
      <c r="G8" s="56">
        <f>(1.1*30*5*'Prices-March 2020'!AC8)+5000</f>
        <v>32060</v>
      </c>
      <c r="H8" s="56">
        <f>Transport!$D$8</f>
        <v>11001</v>
      </c>
      <c r="I8" s="56">
        <f>Communication!$D$8</f>
        <v>4256</v>
      </c>
      <c r="J8" s="56">
        <f>Clothing!$F$6</f>
        <v>3806.2969013537272</v>
      </c>
      <c r="K8" s="56">
        <f>Health!$D$8</f>
        <v>2669</v>
      </c>
      <c r="L8" s="56">
        <f>((45000+13125+(5*'Prices-March 2020'!X8)+(2*'Prices-March 2020'!Y8)+(5*'Prices-March 2020'!Z8)+(2*'Prices-March 2020'!AA8))/12)</f>
        <v>5885.416666666667</v>
      </c>
      <c r="M8" s="56">
        <f>Livelihood!$E$9</f>
        <v>37705.305110838359</v>
      </c>
      <c r="N8" s="56">
        <f t="shared" si="1"/>
        <v>491711.35201219213</v>
      </c>
    </row>
    <row r="9" spans="1:14">
      <c r="A9" s="54" t="s">
        <v>11</v>
      </c>
      <c r="B9" s="55">
        <f>Food!L20</f>
        <v>71473.95</v>
      </c>
      <c r="C9" s="55">
        <f t="shared" si="0"/>
        <v>357369.75</v>
      </c>
      <c r="D9" s="56">
        <f>((0.45*5*'Prices-March 2020'!M9)+4667+((2*'Prices-March 2020'!T9)/12)+632+('Prices-March 2020'!U9/12))</f>
        <v>15215.666666666668</v>
      </c>
      <c r="E9" s="56">
        <f>Water!$D$8</f>
        <v>3750</v>
      </c>
      <c r="F9" s="56">
        <f>Education!$D$8</f>
        <v>28667</v>
      </c>
      <c r="G9" s="56">
        <f>(1.1*30*5*'Prices-March 2020'!AC9)+5000</f>
        <v>101855</v>
      </c>
      <c r="H9" s="56">
        <f>Transport!$D$8</f>
        <v>11001</v>
      </c>
      <c r="I9" s="56">
        <f>Communication!$D$8</f>
        <v>4256</v>
      </c>
      <c r="J9" s="56">
        <f>Clothing!$F$6</f>
        <v>3806.2969013537272</v>
      </c>
      <c r="K9" s="56">
        <f>Health!$D$8</f>
        <v>2669</v>
      </c>
      <c r="L9" s="56">
        <f>((45000+13125+(5*'Prices-March 2020'!X9)+(2*'Prices-March 2020'!Y9)+(5*'Prices-March 2020'!Z9)+(2*'Prices-March 2020'!AA9))/12)</f>
        <v>6343.75</v>
      </c>
      <c r="M9" s="56">
        <f>Livelihood!$E$9</f>
        <v>37705.305110838359</v>
      </c>
      <c r="N9" s="56">
        <f t="shared" si="1"/>
        <v>572638.76867885876</v>
      </c>
    </row>
    <row r="10" spans="1:14">
      <c r="A10" s="54" t="s">
        <v>12</v>
      </c>
      <c r="B10" s="55">
        <f>Food!L21</f>
        <v>57987.75</v>
      </c>
      <c r="C10" s="55">
        <f t="shared" si="0"/>
        <v>289938.75</v>
      </c>
      <c r="D10" s="56">
        <f>((0.45*5*'Prices-March 2020'!M10)+4667+((2*'Prices-March 2020'!T10)/12)+632+('Prices-March 2020'!U10/12))</f>
        <v>13424</v>
      </c>
      <c r="E10" s="56">
        <f>Water!$D$8</f>
        <v>3750</v>
      </c>
      <c r="F10" s="56">
        <f>Education!$D$8</f>
        <v>28667</v>
      </c>
      <c r="G10" s="56">
        <f>(1.1*30*5*'Prices-March 2020'!AC10)+5000</f>
        <v>54500</v>
      </c>
      <c r="H10" s="56">
        <f>Transport!$D$8</f>
        <v>11001</v>
      </c>
      <c r="I10" s="56">
        <f>Communication!$D$8</f>
        <v>4256</v>
      </c>
      <c r="J10" s="56">
        <f>Clothing!$F$6</f>
        <v>3806.2969013537272</v>
      </c>
      <c r="K10" s="56">
        <f>Health!$D$8</f>
        <v>2669</v>
      </c>
      <c r="L10" s="56">
        <f>((45000+13125+(5*'Prices-March 2020'!X10)+(2*'Prices-March 2020'!Y10)+(5*'Prices-March 2020'!Z10)+(2*'Prices-March 2020'!AA10))/12)</f>
        <v>5918.75</v>
      </c>
      <c r="M10" s="56">
        <f>Livelihood!$E$9</f>
        <v>37705.305110838359</v>
      </c>
      <c r="N10" s="56">
        <f t="shared" si="1"/>
        <v>455636.10201219213</v>
      </c>
    </row>
    <row r="11" spans="1:14">
      <c r="A11" s="54" t="s">
        <v>13</v>
      </c>
      <c r="B11" s="55">
        <f>Food!L22</f>
        <v>72544.800000000003</v>
      </c>
      <c r="C11" s="55">
        <f t="shared" si="0"/>
        <v>362724</v>
      </c>
      <c r="D11" s="56">
        <f>((0.45*5*'Prices-March 2020'!M11)+4667+((2*'Prices-March 2020'!T11)/12)+632+('Prices-March 2020'!U11/12))</f>
        <v>16049</v>
      </c>
      <c r="E11" s="56">
        <f>Water!$D$8</f>
        <v>3750</v>
      </c>
      <c r="F11" s="56">
        <f>Education!$D$8</f>
        <v>28667</v>
      </c>
      <c r="G11" s="56">
        <f>(1.1*30*5*'Prices-March 2020'!AC11)+5000</f>
        <v>37670</v>
      </c>
      <c r="H11" s="56">
        <f>Transport!$D$8</f>
        <v>11001</v>
      </c>
      <c r="I11" s="56">
        <f>Communication!$D$8</f>
        <v>4256</v>
      </c>
      <c r="J11" s="56">
        <f>Clothing!$F$6</f>
        <v>3806.2969013537272</v>
      </c>
      <c r="K11" s="56">
        <f>Health!$D$8</f>
        <v>2669</v>
      </c>
      <c r="L11" s="56">
        <f>((45000+13125+(5*'Prices-March 2020'!X11)+(2*'Prices-March 2020'!Y11)+(5*'Prices-March 2020'!Z11)+(2*'Prices-March 2020'!AA11))/12)</f>
        <v>6468.75</v>
      </c>
      <c r="M11" s="56">
        <f>Livelihood!$E$9</f>
        <v>37705.305110838359</v>
      </c>
      <c r="N11" s="56">
        <f t="shared" si="1"/>
        <v>514766.35201219213</v>
      </c>
    </row>
    <row r="12" spans="1:14">
      <c r="A12" s="54" t="s">
        <v>14</v>
      </c>
      <c r="B12" s="55">
        <f>Food!L23</f>
        <v>67324.95</v>
      </c>
      <c r="C12" s="55">
        <f t="shared" si="0"/>
        <v>336624.75</v>
      </c>
      <c r="D12" s="56">
        <f>((0.45*5*'Prices-March 2020'!M12)+4667+((2*'Prices-March 2020'!T12)/12)+632+('Prices-March 2020'!U12/12))</f>
        <v>15632.333333333334</v>
      </c>
      <c r="E12" s="56">
        <f>Water!$D$8</f>
        <v>3750</v>
      </c>
      <c r="F12" s="56">
        <f>Education!$D$8</f>
        <v>28667</v>
      </c>
      <c r="G12" s="56">
        <f>(1.1*30*5*'Prices-March 2020'!AC12)+5000</f>
        <v>87500</v>
      </c>
      <c r="H12" s="56">
        <f>Transport!$D$8</f>
        <v>11001</v>
      </c>
      <c r="I12" s="56">
        <f>Communication!$D$8</f>
        <v>4256</v>
      </c>
      <c r="J12" s="56">
        <f>Clothing!$F$6</f>
        <v>3806.2969013537272</v>
      </c>
      <c r="K12" s="56">
        <f>Health!$D$8</f>
        <v>2669</v>
      </c>
      <c r="L12" s="56">
        <f>((45000+13125+(5*'Prices-March 2020'!X12)+(2*'Prices-March 2020'!Y12)+(5*'Prices-March 2020'!Z12)+(2*'Prices-March 2020'!AA12))/12)</f>
        <v>5885.416666666667</v>
      </c>
      <c r="M12" s="56">
        <f>Livelihood!$E$9</f>
        <v>37705.305110838359</v>
      </c>
      <c r="N12" s="56">
        <f t="shared" si="1"/>
        <v>537497.10201219213</v>
      </c>
    </row>
    <row r="13" spans="1:14">
      <c r="A13" s="54" t="s">
        <v>15</v>
      </c>
      <c r="B13" s="55">
        <f>Food!L24</f>
        <v>58290.75</v>
      </c>
      <c r="C13" s="55">
        <f t="shared" si="0"/>
        <v>291453.75</v>
      </c>
      <c r="D13" s="56">
        <f>((0.45*5*'Prices-March 2020'!M13)+4667+((2*'Prices-March 2020'!T13)/12)+632+('Prices-March 2020'!U13/12))</f>
        <v>14549</v>
      </c>
      <c r="E13" s="56">
        <f>Water!$D$8</f>
        <v>3750</v>
      </c>
      <c r="F13" s="56">
        <f>Education!$D$8</f>
        <v>28667</v>
      </c>
      <c r="G13" s="56">
        <f>(1.1*30*5*'Prices-March 2020'!AC13)+5000</f>
        <v>38000</v>
      </c>
      <c r="H13" s="56">
        <f>Transport!$D$8</f>
        <v>11001</v>
      </c>
      <c r="I13" s="56">
        <f>Communication!$D$8</f>
        <v>4256</v>
      </c>
      <c r="J13" s="56">
        <f>Clothing!$F$6</f>
        <v>3806.2969013537272</v>
      </c>
      <c r="K13" s="56">
        <f>Health!$D$8</f>
        <v>2669</v>
      </c>
      <c r="L13" s="56">
        <f>((45000+13125+(5*'Prices-March 2020'!X13)+(2*'Prices-March 2020'!Y13)+(5*'Prices-March 2020'!Z13)+(2*'Prices-March 2020'!AA13))/12)</f>
        <v>6177.083333333333</v>
      </c>
      <c r="M13" s="56">
        <f>Livelihood!$E$9</f>
        <v>37705.305110838359</v>
      </c>
      <c r="N13" s="56">
        <f t="shared" si="1"/>
        <v>442034.43534552545</v>
      </c>
    </row>
    <row r="14" spans="1:14">
      <c r="A14" s="57" t="s">
        <v>16</v>
      </c>
      <c r="B14" s="55">
        <f>Food!L25</f>
        <v>58088.4</v>
      </c>
      <c r="C14" s="55">
        <f t="shared" si="0"/>
        <v>290442</v>
      </c>
      <c r="D14" s="56">
        <f>((0.45*5*'Prices-March 2020'!M14)+4667+((2*'Prices-March 2020'!T14)/12)+632+('Prices-March 2020'!U14/12))</f>
        <v>14382.333333333334</v>
      </c>
      <c r="E14" s="56">
        <f>Water!$D$8</f>
        <v>3750</v>
      </c>
      <c r="F14" s="56">
        <f>Education!$D$8</f>
        <v>28667</v>
      </c>
      <c r="G14" s="56">
        <f>(1.1*30*5*'Prices-March 2020'!AC14)+5000</f>
        <v>38000</v>
      </c>
      <c r="H14" s="56">
        <f>Transport!$D$8</f>
        <v>11001</v>
      </c>
      <c r="I14" s="56">
        <f>Communication!$D$8</f>
        <v>4256</v>
      </c>
      <c r="J14" s="56">
        <f>Clothing!$F$6</f>
        <v>3806.2969013537272</v>
      </c>
      <c r="K14" s="56">
        <f>Health!$D$8</f>
        <v>2669</v>
      </c>
      <c r="L14" s="56">
        <f>((45000+13125+(5*'Prices-March 2020'!X14)+(2*'Prices-March 2020'!Y14)+(5*'Prices-March 2020'!Z14)+(2*'Prices-March 2020'!AA14))/12)</f>
        <v>6177.083333333333</v>
      </c>
      <c r="M14" s="56">
        <f>Livelihood!$E$9</f>
        <v>37705.305110838359</v>
      </c>
      <c r="N14" s="56">
        <f t="shared" si="1"/>
        <v>440856.01867885876</v>
      </c>
    </row>
    <row r="15" spans="1:14" s="6" customFormat="1">
      <c r="A15" s="58" t="s">
        <v>17</v>
      </c>
      <c r="B15" s="59">
        <f>AVERAGE(B2:B14)</f>
        <v>66723.761538461535</v>
      </c>
      <c r="C15" s="59">
        <f>AVERAGE(C2:C14)</f>
        <v>333618.80769230769</v>
      </c>
      <c r="D15" s="60">
        <f t="shared" ref="D15:N15" si="2">AVERAGE(D2:D14)</f>
        <v>15147.076923076924</v>
      </c>
      <c r="E15" s="60">
        <f t="shared" si="2"/>
        <v>3750</v>
      </c>
      <c r="F15" s="60">
        <f t="shared" si="2"/>
        <v>28667</v>
      </c>
      <c r="G15" s="60">
        <f t="shared" si="2"/>
        <v>56010.384615384617</v>
      </c>
      <c r="H15" s="60">
        <f t="shared" si="2"/>
        <v>11001</v>
      </c>
      <c r="I15" s="60">
        <f t="shared" si="2"/>
        <v>4256</v>
      </c>
      <c r="J15" s="60">
        <f t="shared" si="2"/>
        <v>3806.2969013537277</v>
      </c>
      <c r="K15" s="60">
        <f t="shared" si="2"/>
        <v>2669</v>
      </c>
      <c r="L15" s="60">
        <f t="shared" si="2"/>
        <v>6080.2884615384601</v>
      </c>
      <c r="M15" s="60">
        <f t="shared" si="2"/>
        <v>37705.305110838366</v>
      </c>
      <c r="N15" s="60">
        <f t="shared" si="2"/>
        <v>502711.15970449982</v>
      </c>
    </row>
  </sheetData>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17"/>
  <sheetViews>
    <sheetView workbookViewId="0">
      <selection activeCell="D5" sqref="D5"/>
    </sheetView>
  </sheetViews>
  <sheetFormatPr defaultColWidth="8.7109375" defaultRowHeight="15"/>
  <cols>
    <col min="1" max="1" width="8.85546875" style="2" bestFit="1" customWidth="1"/>
    <col min="2" max="2" width="20.140625" style="2" bestFit="1" customWidth="1"/>
    <col min="3" max="4" width="10.140625" style="2" bestFit="1" customWidth="1"/>
    <col min="5" max="5" width="6.42578125" style="2" customWidth="1"/>
    <col min="6" max="18" width="8.7109375" style="2"/>
    <col min="19" max="19" width="21.85546875" style="2" bestFit="1" customWidth="1"/>
    <col min="20" max="20" width="10.140625" style="2" bestFit="1" customWidth="1"/>
    <col min="21" max="16384" width="8.7109375" style="2"/>
  </cols>
  <sheetData>
    <row r="3" spans="1:22">
      <c r="T3" s="2" t="s">
        <v>96</v>
      </c>
      <c r="U3" s="2" t="s">
        <v>98</v>
      </c>
      <c r="V3" s="2" t="s">
        <v>99</v>
      </c>
    </row>
    <row r="4" spans="1:22">
      <c r="C4" s="11">
        <v>43525</v>
      </c>
      <c r="D4" s="11">
        <v>43891</v>
      </c>
      <c r="E4" s="11"/>
      <c r="F4" s="11"/>
      <c r="G4" s="11"/>
      <c r="H4" s="11"/>
      <c r="I4" s="11"/>
      <c r="J4" s="11"/>
      <c r="K4" s="11"/>
      <c r="L4" s="11"/>
      <c r="M4" s="11"/>
      <c r="N4" s="11"/>
      <c r="O4" s="11"/>
      <c r="P4" s="11"/>
      <c r="Q4" s="11"/>
      <c r="S4" s="2" t="s">
        <v>29</v>
      </c>
      <c r="T4" s="2">
        <v>3908</v>
      </c>
      <c r="U4" s="2">
        <v>3815.3846153846152</v>
      </c>
    </row>
    <row r="5" spans="1:22">
      <c r="A5" s="2">
        <v>1</v>
      </c>
      <c r="B5" s="2" t="s">
        <v>29</v>
      </c>
      <c r="C5" s="2">
        <v>3964</v>
      </c>
      <c r="D5" s="2">
        <f>'Prices-March 2020'!M15</f>
        <v>3800</v>
      </c>
      <c r="S5" s="2" t="s">
        <v>95</v>
      </c>
      <c r="T5" s="2">
        <v>3308</v>
      </c>
      <c r="U5" s="2">
        <v>3230.7692307692309</v>
      </c>
    </row>
    <row r="6" spans="1:22">
      <c r="A6" s="2">
        <v>2</v>
      </c>
      <c r="B6" s="2" t="s">
        <v>45</v>
      </c>
      <c r="C6" s="2">
        <v>7000</v>
      </c>
      <c r="D6" s="2">
        <v>7000</v>
      </c>
      <c r="S6" s="2" t="s">
        <v>53</v>
      </c>
      <c r="T6" s="2">
        <v>6962</v>
      </c>
      <c r="U6" s="2">
        <v>6461.5384615384619</v>
      </c>
    </row>
    <row r="7" spans="1:22">
      <c r="A7" s="2">
        <v>3</v>
      </c>
      <c r="B7" s="2" t="s">
        <v>53</v>
      </c>
      <c r="C7" s="2">
        <v>7457</v>
      </c>
      <c r="D7" s="2">
        <f>'Prices-March 2020'!T15</f>
        <v>6538.4615384615381</v>
      </c>
      <c r="S7" s="2" t="s">
        <v>55</v>
      </c>
      <c r="T7" s="2">
        <v>2462</v>
      </c>
      <c r="U7" s="2">
        <v>2423.0769230769229</v>
      </c>
    </row>
    <row r="8" spans="1:22">
      <c r="A8" s="2">
        <v>4</v>
      </c>
      <c r="B8" s="2" t="s">
        <v>55</v>
      </c>
      <c r="C8" s="2">
        <v>3462</v>
      </c>
      <c r="D8" s="2">
        <f>'Prices-March 2020'!U15</f>
        <v>2500</v>
      </c>
      <c r="S8" s="2" t="s">
        <v>32</v>
      </c>
      <c r="T8" s="2">
        <v>1000</v>
      </c>
      <c r="U8" s="2">
        <v>938.46153846153845</v>
      </c>
    </row>
    <row r="9" spans="1:22">
      <c r="A9" s="2">
        <v>5</v>
      </c>
      <c r="B9" s="2" t="s">
        <v>32</v>
      </c>
      <c r="C9" s="2">
        <v>1000</v>
      </c>
      <c r="D9" s="2">
        <f>'Prices-March 2020'!X15</f>
        <v>976.92307692307691</v>
      </c>
      <c r="S9" s="2" t="s">
        <v>33</v>
      </c>
      <c r="T9" s="2">
        <v>1923</v>
      </c>
      <c r="U9" s="2">
        <v>2000</v>
      </c>
    </row>
    <row r="10" spans="1:22">
      <c r="A10" s="2">
        <v>6</v>
      </c>
      <c r="B10" s="2" t="s">
        <v>33</v>
      </c>
      <c r="C10" s="2">
        <v>1500</v>
      </c>
      <c r="D10" s="2">
        <f>'Prices-March 2020'!Y15</f>
        <v>1769.2307692307693</v>
      </c>
      <c r="S10" s="2" t="s">
        <v>34</v>
      </c>
      <c r="T10" s="2">
        <v>708</v>
      </c>
      <c r="U10" s="2">
        <v>723.07692307692309</v>
      </c>
    </row>
    <row r="11" spans="1:22">
      <c r="A11" s="2">
        <v>7</v>
      </c>
      <c r="B11" s="2" t="s">
        <v>34</v>
      </c>
      <c r="C11" s="2">
        <v>750</v>
      </c>
      <c r="D11" s="2">
        <f>'Prices-March 2020'!Z15</f>
        <v>796.92307692307691</v>
      </c>
      <c r="S11" s="2" t="s">
        <v>35</v>
      </c>
      <c r="T11" s="2">
        <v>1038</v>
      </c>
      <c r="U11" s="2">
        <v>1176.9230769230769</v>
      </c>
    </row>
    <row r="12" spans="1:22">
      <c r="A12" s="2">
        <v>8</v>
      </c>
      <c r="B12" s="2" t="s">
        <v>35</v>
      </c>
      <c r="C12" s="2">
        <v>1000</v>
      </c>
      <c r="D12" s="2">
        <f>'Prices-March 2020'!AA15</f>
        <v>1215.3846153846155</v>
      </c>
      <c r="S12" s="2" t="s">
        <v>25</v>
      </c>
      <c r="T12" s="2">
        <v>143</v>
      </c>
      <c r="U12" s="2">
        <v>192.76923076923077</v>
      </c>
    </row>
    <row r="13" spans="1:22" s="8" customFormat="1">
      <c r="B13" s="8" t="s">
        <v>61</v>
      </c>
      <c r="C13" s="8">
        <f>SUM(C5:C12)</f>
        <v>26133</v>
      </c>
      <c r="D13" s="8">
        <f>SUM(D5:D12)</f>
        <v>24596.923076923082</v>
      </c>
      <c r="T13" s="8">
        <f>SUM(T4:T12)</f>
        <v>21452</v>
      </c>
      <c r="U13" s="8">
        <f>SUM(U4:U12)</f>
        <v>20962</v>
      </c>
    </row>
    <row r="14" spans="1:22" s="8" customFormat="1">
      <c r="B14" s="8" t="s">
        <v>105</v>
      </c>
      <c r="C14" s="29">
        <f>D13/C13*100</f>
        <v>94.122079657609476</v>
      </c>
      <c r="D14" s="30"/>
      <c r="S14" s="8" t="s">
        <v>62</v>
      </c>
      <c r="T14" s="13" t="e">
        <f>#REF!-100</f>
        <v>#REF!</v>
      </c>
    </row>
    <row r="15" spans="1:22" s="8" customFormat="1">
      <c r="B15" s="8" t="s">
        <v>62</v>
      </c>
      <c r="C15" s="13">
        <f>C14-100</f>
        <v>-5.8779203423905244</v>
      </c>
      <c r="D15" s="30"/>
    </row>
    <row r="16" spans="1:22">
      <c r="C16" s="12"/>
      <c r="D16" s="12"/>
    </row>
    <row r="17" spans="3:4">
      <c r="C17" s="12"/>
      <c r="D17"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topLeftCell="A10" workbookViewId="0">
      <selection activeCell="M16" sqref="M16"/>
    </sheetView>
  </sheetViews>
  <sheetFormatPr defaultColWidth="8.7109375" defaultRowHeight="15"/>
  <cols>
    <col min="1" max="1" width="14.85546875" style="16" customWidth="1"/>
    <col min="2" max="2" width="20.85546875" style="16" customWidth="1"/>
    <col min="3" max="3" width="11" style="16" bestFit="1" customWidth="1"/>
    <col min="4" max="4" width="9.140625" style="16" bestFit="1" customWidth="1"/>
    <col min="5" max="5" width="13.85546875" style="16" bestFit="1" customWidth="1"/>
    <col min="6" max="6" width="9.140625" style="16" bestFit="1" customWidth="1"/>
    <col min="7" max="7" width="7.140625" style="16" customWidth="1"/>
    <col min="8" max="8" width="9.140625" style="16" bestFit="1" customWidth="1"/>
    <col min="9" max="9" width="6.7109375" style="16" customWidth="1"/>
    <col min="10" max="10" width="9.7109375" style="16" bestFit="1" customWidth="1"/>
    <col min="11" max="11" width="7" style="16" bestFit="1" customWidth="1"/>
    <col min="12" max="12" width="10.140625" style="16" bestFit="1" customWidth="1"/>
    <col min="13" max="16384" width="8.7109375" style="16"/>
  </cols>
  <sheetData>
    <row r="1" spans="1:16" ht="47.25">
      <c r="A1" s="32" t="s">
        <v>23</v>
      </c>
      <c r="B1" s="37" t="s">
        <v>44</v>
      </c>
      <c r="C1" s="14"/>
      <c r="D1" s="14"/>
      <c r="E1" s="14"/>
      <c r="F1" s="14"/>
      <c r="G1" s="14"/>
      <c r="H1" s="14"/>
      <c r="I1" s="14"/>
      <c r="J1" s="14"/>
      <c r="K1" s="14"/>
      <c r="L1" s="14"/>
      <c r="M1" s="14"/>
      <c r="N1" s="14"/>
      <c r="O1" s="38"/>
      <c r="P1" s="14"/>
    </row>
    <row r="2" spans="1:16" ht="15.75">
      <c r="A2" s="31" t="s">
        <v>0</v>
      </c>
      <c r="B2" s="31">
        <v>8.6999999999999993</v>
      </c>
      <c r="C2" s="15"/>
      <c r="D2" s="15"/>
      <c r="E2" s="15"/>
      <c r="F2" s="15"/>
      <c r="G2" s="15"/>
      <c r="H2" s="15"/>
      <c r="I2" s="15"/>
      <c r="J2" s="15"/>
      <c r="K2" s="15"/>
      <c r="L2" s="15"/>
      <c r="M2" s="15"/>
      <c r="N2" s="15"/>
      <c r="O2" s="15"/>
      <c r="P2" s="15"/>
    </row>
    <row r="3" spans="1:16" ht="15.75">
      <c r="A3" s="31" t="s">
        <v>42</v>
      </c>
      <c r="B3" s="31">
        <v>5.4</v>
      </c>
      <c r="C3" s="15"/>
      <c r="D3" s="15"/>
      <c r="E3" s="15"/>
      <c r="F3" s="15"/>
      <c r="G3" s="15"/>
      <c r="H3" s="15"/>
      <c r="I3" s="15"/>
      <c r="J3" s="15"/>
      <c r="K3" s="15"/>
      <c r="L3" s="15"/>
      <c r="M3" s="15"/>
      <c r="N3" s="15"/>
      <c r="O3" s="15"/>
      <c r="P3" s="15"/>
    </row>
    <row r="4" spans="1:16" ht="15.75">
      <c r="A4" s="31" t="s">
        <v>1</v>
      </c>
      <c r="B4" s="31">
        <v>1.5</v>
      </c>
      <c r="C4" s="15"/>
      <c r="D4" s="15"/>
      <c r="E4" s="15"/>
      <c r="F4" s="15"/>
      <c r="G4" s="15"/>
      <c r="H4" s="15"/>
      <c r="I4" s="15"/>
      <c r="J4" s="15"/>
      <c r="K4" s="15"/>
      <c r="L4" s="15"/>
      <c r="M4" s="15"/>
      <c r="N4" s="15"/>
      <c r="O4" s="15"/>
      <c r="P4" s="15"/>
    </row>
    <row r="5" spans="1:16" ht="15.75">
      <c r="A5" s="31" t="s">
        <v>5</v>
      </c>
      <c r="B5" s="31">
        <v>0.75</v>
      </c>
      <c r="C5" s="15"/>
      <c r="D5" s="15"/>
      <c r="E5" s="15"/>
      <c r="F5" s="15"/>
      <c r="G5" s="15"/>
      <c r="H5" s="15"/>
      <c r="I5" s="15"/>
      <c r="J5" s="15"/>
      <c r="K5" s="15"/>
      <c r="L5" s="15"/>
      <c r="M5" s="15"/>
      <c r="N5" s="15"/>
      <c r="O5" s="15"/>
      <c r="P5" s="15"/>
    </row>
    <row r="6" spans="1:16" ht="15.75">
      <c r="A6" s="31" t="s">
        <v>2</v>
      </c>
      <c r="B6" s="31">
        <v>0.6</v>
      </c>
      <c r="C6" s="15"/>
      <c r="D6" s="15"/>
      <c r="E6" s="15"/>
      <c r="F6" s="15"/>
      <c r="G6" s="15"/>
      <c r="H6" s="15"/>
      <c r="I6" s="15"/>
      <c r="J6" s="15"/>
      <c r="K6" s="15"/>
      <c r="L6" s="15"/>
      <c r="M6" s="15"/>
      <c r="N6" s="15"/>
      <c r="O6" s="15"/>
      <c r="P6" s="15"/>
    </row>
    <row r="7" spans="1:16" ht="15.75">
      <c r="A7" s="31" t="s">
        <v>6</v>
      </c>
      <c r="B7" s="31">
        <v>0.15</v>
      </c>
      <c r="C7" s="15"/>
      <c r="D7" s="15"/>
      <c r="E7" s="15"/>
      <c r="F7" s="15"/>
      <c r="G7" s="15"/>
      <c r="H7" s="15"/>
      <c r="I7" s="15"/>
      <c r="J7" s="15"/>
      <c r="K7" s="15"/>
      <c r="L7" s="15"/>
      <c r="M7" s="15"/>
      <c r="N7" s="15"/>
      <c r="O7" s="15"/>
      <c r="P7" s="15"/>
    </row>
    <row r="8" spans="1:16" ht="15.75">
      <c r="A8" s="31" t="s">
        <v>3</v>
      </c>
      <c r="B8" s="31">
        <v>3</v>
      </c>
      <c r="C8" s="15"/>
      <c r="D8" s="15"/>
      <c r="E8" s="15"/>
      <c r="F8" s="15"/>
      <c r="G8" s="15"/>
      <c r="H8" s="15"/>
      <c r="I8" s="15"/>
      <c r="J8" s="15"/>
      <c r="K8" s="15"/>
      <c r="L8" s="15"/>
      <c r="M8" s="15"/>
      <c r="N8" s="15"/>
      <c r="O8" s="15"/>
      <c r="P8" s="15"/>
    </row>
    <row r="9" spans="1:16" ht="15.75">
      <c r="A9" s="31" t="s">
        <v>43</v>
      </c>
      <c r="B9" s="31">
        <v>0.6</v>
      </c>
      <c r="C9" s="15"/>
      <c r="D9" s="15"/>
      <c r="E9" s="15"/>
      <c r="F9" s="15"/>
      <c r="G9" s="15"/>
      <c r="H9" s="15"/>
      <c r="I9" s="15"/>
      <c r="J9" s="15"/>
      <c r="K9" s="15"/>
      <c r="L9" s="15"/>
      <c r="M9" s="15"/>
      <c r="N9" s="15"/>
      <c r="O9" s="15"/>
      <c r="P9" s="15"/>
    </row>
    <row r="10" spans="1:16" ht="15.75">
      <c r="A10" s="31" t="s">
        <v>4</v>
      </c>
      <c r="B10" s="31">
        <v>0.3</v>
      </c>
      <c r="C10" s="15"/>
      <c r="D10" s="15"/>
      <c r="E10" s="15"/>
      <c r="F10" s="15"/>
      <c r="G10" s="15"/>
      <c r="H10" s="15"/>
      <c r="I10" s="15"/>
      <c r="J10" s="15"/>
      <c r="K10" s="15"/>
      <c r="L10" s="15"/>
      <c r="M10" s="15"/>
      <c r="N10" s="15"/>
      <c r="O10" s="15"/>
      <c r="P10" s="15"/>
    </row>
    <row r="12" spans="1:16" ht="15.75">
      <c r="C12" s="31" t="s">
        <v>0</v>
      </c>
      <c r="D12" s="31" t="s">
        <v>42</v>
      </c>
      <c r="E12" s="31" t="s">
        <v>1</v>
      </c>
      <c r="F12" s="31" t="s">
        <v>5</v>
      </c>
      <c r="G12" s="31" t="s">
        <v>2</v>
      </c>
      <c r="H12" s="31" t="s">
        <v>6</v>
      </c>
      <c r="I12" s="31" t="s">
        <v>3</v>
      </c>
      <c r="J12" s="31" t="s">
        <v>43</v>
      </c>
      <c r="K12" s="31" t="s">
        <v>4</v>
      </c>
      <c r="L12" s="31" t="s">
        <v>60</v>
      </c>
    </row>
    <row r="13" spans="1:16">
      <c r="B13" s="14" t="s">
        <v>7</v>
      </c>
      <c r="C13" s="15">
        <f>'Prices-March 2020'!C2</f>
        <v>2325</v>
      </c>
      <c r="D13" s="15">
        <f>'Prices-March 2020'!E2</f>
        <v>3366</v>
      </c>
      <c r="E13" s="15">
        <f>'Prices-March 2020'!F2</f>
        <v>2000</v>
      </c>
      <c r="F13" s="15">
        <f>'Prices-March 2020'!G2</f>
        <v>5625</v>
      </c>
      <c r="G13" s="15">
        <f>'Prices-March 2020'!H2</f>
        <v>682</v>
      </c>
      <c r="H13" s="15">
        <f>'Prices-March 2020'!I2</f>
        <v>2750</v>
      </c>
      <c r="I13" s="15">
        <f>'Prices-March 2020'!J2</f>
        <v>1666</v>
      </c>
      <c r="J13" s="15">
        <f>'Prices-March 2020'!K2</f>
        <v>19400</v>
      </c>
      <c r="K13" s="15">
        <f>'Prices-March 2020'!L2</f>
        <v>1000</v>
      </c>
      <c r="L13" s="15">
        <f>((C13*$B$2)+(D13*$B$3)+(E13*$B$4)+(F13*$B$5)+(G13*$B$6)+(H13*$B$7)+(I13*$B$8)+(J13*$B$9)+(K13*$B$10))</f>
        <v>63382.35</v>
      </c>
    </row>
    <row r="14" spans="1:16">
      <c r="B14" s="14" t="s">
        <v>8</v>
      </c>
      <c r="C14" s="15">
        <f>'Prices-March 2020'!C3</f>
        <v>2000</v>
      </c>
      <c r="D14" s="15">
        <f>'Prices-March 2020'!E3</f>
        <v>3250</v>
      </c>
      <c r="E14" s="15">
        <f>'Prices-March 2020'!F3</f>
        <v>1667</v>
      </c>
      <c r="F14" s="15">
        <f>'Prices-March 2020'!G3</f>
        <v>5625</v>
      </c>
      <c r="G14" s="15">
        <f>'Prices-March 2020'!H3</f>
        <v>583</v>
      </c>
      <c r="H14" s="15">
        <f>'Prices-March 2020'!I3</f>
        <v>2800</v>
      </c>
      <c r="I14" s="15">
        <f>'Prices-March 2020'!J3</f>
        <v>1458</v>
      </c>
      <c r="J14" s="15">
        <f>'Prices-March 2020'!K3</f>
        <v>20416</v>
      </c>
      <c r="K14" s="15">
        <f>'Prices-March 2020'!L3</f>
        <v>1000</v>
      </c>
      <c r="L14" s="15">
        <f>((C14*$B$2)+(D14*$B$3)+(E14*$B$4)+(F14*$B$5)+(G14*$B$6)+(H14*$B$7)+(I14*$B$8)+(J14*$B$9)+(K14*$B$10))</f>
        <v>59362.65</v>
      </c>
    </row>
    <row r="15" spans="1:16">
      <c r="B15" s="14" t="s">
        <v>9</v>
      </c>
      <c r="C15" s="15">
        <f>'Prices-March 2020'!C4</f>
        <v>2308</v>
      </c>
      <c r="D15" s="15">
        <f>'Prices-March 2020'!E4</f>
        <v>3000</v>
      </c>
      <c r="E15" s="15">
        <f>'Prices-March 2020'!F4</f>
        <v>1300</v>
      </c>
      <c r="F15" s="15">
        <f>'Prices-March 2020'!G4</f>
        <v>6000</v>
      </c>
      <c r="G15" s="15">
        <f>'Prices-March 2020'!H4</f>
        <v>425</v>
      </c>
      <c r="H15" s="15">
        <f>'Prices-March 2020'!I4</f>
        <v>2000</v>
      </c>
      <c r="I15" s="15">
        <f>'Prices-March 2020'!J4</f>
        <v>1750</v>
      </c>
      <c r="J15" s="15">
        <f>'Prices-March 2020'!K4</f>
        <v>19500</v>
      </c>
      <c r="K15" s="15">
        <f>'Prices-March 2020'!L4</f>
        <v>2000</v>
      </c>
      <c r="L15" s="15">
        <f t="shared" ref="L15:L25" si="0">((C15*$B$2)+(D15*$B$3)+(E15*$B$4)+(F15*$B$5)+(G15*$B$6)+(H15*$B$7)+(I15*$B$8)+(J15*$B$9)+(K15*$B$10))</f>
        <v>60834.6</v>
      </c>
    </row>
    <row r="16" spans="1:16">
      <c r="B16" s="14" t="s">
        <v>10</v>
      </c>
      <c r="C16" s="15">
        <f>'Prices-March 2020'!C5</f>
        <v>2450</v>
      </c>
      <c r="D16" s="15">
        <f>'Prices-March 2020'!E5</f>
        <v>4000</v>
      </c>
      <c r="E16" s="15">
        <f>'Prices-March 2020'!F5</f>
        <v>1100</v>
      </c>
      <c r="F16" s="15">
        <f>'Prices-March 2020'!G5</f>
        <v>6000</v>
      </c>
      <c r="G16" s="15">
        <f>'Prices-March 2020'!H5</f>
        <v>430</v>
      </c>
      <c r="H16" s="15">
        <f>'Prices-March 2020'!I5</f>
        <v>1400</v>
      </c>
      <c r="I16" s="15">
        <f>'Prices-March 2020'!J5</f>
        <v>3333</v>
      </c>
      <c r="J16" s="15">
        <f>'Prices-March 2020'!K5</f>
        <v>20000</v>
      </c>
      <c r="K16" s="15">
        <f>'Prices-March 2020'!L5</f>
        <v>1600</v>
      </c>
      <c r="L16" s="15">
        <f t="shared" si="0"/>
        <v>72012</v>
      </c>
    </row>
    <row r="17" spans="2:12">
      <c r="B17" s="14" t="s">
        <v>57</v>
      </c>
      <c r="C17" s="15">
        <f>'Prices-March 2020'!C6</f>
        <v>2500</v>
      </c>
      <c r="D17" s="15">
        <f>'Prices-March 2020'!E6</f>
        <v>3583</v>
      </c>
      <c r="E17" s="15">
        <f>'Prices-March 2020'!F6</f>
        <v>1053</v>
      </c>
      <c r="F17" s="15">
        <f>'Prices-March 2020'!G6</f>
        <v>6250</v>
      </c>
      <c r="G17" s="15">
        <f>'Prices-March 2020'!H6</f>
        <v>393</v>
      </c>
      <c r="H17" s="15">
        <f>'Prices-March 2020'!I6</f>
        <v>4666</v>
      </c>
      <c r="I17" s="15">
        <f>'Prices-March 2020'!J6</f>
        <v>2000</v>
      </c>
      <c r="J17" s="15">
        <f>'Prices-March 2020'!K6</f>
        <v>15000</v>
      </c>
      <c r="K17" s="15">
        <f>'Prices-March 2020'!L6</f>
        <v>2500</v>
      </c>
      <c r="L17" s="15">
        <f t="shared" si="0"/>
        <v>64050.9</v>
      </c>
    </row>
    <row r="18" spans="2:12">
      <c r="B18" s="14" t="s">
        <v>58</v>
      </c>
      <c r="C18" s="15">
        <f>'Prices-March 2020'!C7</f>
        <v>2800</v>
      </c>
      <c r="D18" s="15">
        <f>'Prices-March 2020'!E7</f>
        <v>5000</v>
      </c>
      <c r="E18" s="15">
        <f>'Prices-March 2020'!F7</f>
        <v>1500</v>
      </c>
      <c r="F18" s="15">
        <f>'Prices-March 2020'!G7</f>
        <v>6000</v>
      </c>
      <c r="G18" s="15">
        <f>'Prices-March 2020'!H7</f>
        <v>1150</v>
      </c>
      <c r="H18" s="15">
        <f>'Prices-March 2020'!I7</f>
        <v>4000</v>
      </c>
      <c r="I18" s="15">
        <f>'Prices-March 2020'!J7</f>
        <v>4500</v>
      </c>
      <c r="J18" s="15">
        <f>'Prices-March 2020'!K7</f>
        <v>32000</v>
      </c>
      <c r="K18" s="15">
        <f>'Prices-March 2020'!L7</f>
        <v>2500</v>
      </c>
      <c r="L18" s="15">
        <f t="shared" si="0"/>
        <v>92850</v>
      </c>
    </row>
    <row r="19" spans="2:12">
      <c r="B19" s="14" t="s">
        <v>59</v>
      </c>
      <c r="C19" s="15">
        <f>'Prices-March 2020'!C8</f>
        <v>3000</v>
      </c>
      <c r="D19" s="15">
        <f>'Prices-March 2020'!E8</f>
        <v>4000</v>
      </c>
      <c r="E19" s="15">
        <f>'Prices-March 2020'!F8</f>
        <v>1120</v>
      </c>
      <c r="F19" s="15">
        <f>'Prices-March 2020'!G8</f>
        <v>5500</v>
      </c>
      <c r="G19" s="15">
        <f>'Prices-March 2020'!H8</f>
        <v>1435</v>
      </c>
      <c r="H19" s="15">
        <f>'Prices-March 2020'!I8</f>
        <v>1600</v>
      </c>
      <c r="I19" s="15">
        <f>'Prices-March 2020'!J8</f>
        <v>1500</v>
      </c>
      <c r="J19" s="15">
        <f>'Prices-March 2020'!K8</f>
        <v>15833</v>
      </c>
      <c r="K19" s="15">
        <f>'Prices-March 2020'!L8</f>
        <v>2000</v>
      </c>
      <c r="L19" s="15">
        <f t="shared" si="0"/>
        <v>69205.8</v>
      </c>
    </row>
    <row r="20" spans="2:12">
      <c r="B20" s="14" t="s">
        <v>11</v>
      </c>
      <c r="C20" s="15">
        <f>'Prices-March 2020'!C9</f>
        <v>3212</v>
      </c>
      <c r="D20" s="15">
        <f>'Prices-March 2020'!E9</f>
        <v>3333</v>
      </c>
      <c r="E20" s="15">
        <f>'Prices-March 2020'!F9</f>
        <v>968</v>
      </c>
      <c r="F20" s="15">
        <f>'Prices-March 2020'!G9</f>
        <v>5312</v>
      </c>
      <c r="G20" s="15">
        <f>'Prices-March 2020'!H9</f>
        <v>443</v>
      </c>
      <c r="H20" s="15">
        <f>'Prices-March 2020'!I9</f>
        <v>2425</v>
      </c>
      <c r="I20" s="15">
        <f>'Prices-March 2020'!J9</f>
        <v>3333</v>
      </c>
      <c r="J20" s="15">
        <f>'Prices-March 2020'!K9</f>
        <v>15278</v>
      </c>
      <c r="K20" s="15">
        <f>'Prices-March 2020'!L9</f>
        <v>1000</v>
      </c>
      <c r="L20" s="15">
        <f t="shared" si="0"/>
        <v>71473.95</v>
      </c>
    </row>
    <row r="21" spans="2:12">
      <c r="B21" s="14" t="s">
        <v>12</v>
      </c>
      <c r="C21" s="15">
        <f>'Prices-March 2020'!C10</f>
        <v>1500</v>
      </c>
      <c r="D21" s="15">
        <f>'Prices-March 2020'!E10</f>
        <v>4000</v>
      </c>
      <c r="E21" s="15">
        <f>'Prices-March 2020'!F10</f>
        <v>950</v>
      </c>
      <c r="F21" s="15">
        <f>'Prices-March 2020'!G10</f>
        <v>7937</v>
      </c>
      <c r="G21" s="15">
        <f>'Prices-March 2020'!H10</f>
        <v>950</v>
      </c>
      <c r="H21" s="15">
        <f>'Prices-March 2020'!I10</f>
        <v>2600</v>
      </c>
      <c r="I21" s="15">
        <f>'Prices-March 2020'!J10</f>
        <v>2000</v>
      </c>
      <c r="J21" s="15">
        <f>'Prices-March 2020'!K10</f>
        <v>14000</v>
      </c>
      <c r="K21" s="15">
        <f>'Prices-March 2020'!L10</f>
        <v>2000</v>
      </c>
      <c r="L21" s="15">
        <f t="shared" si="0"/>
        <v>57987.75</v>
      </c>
    </row>
    <row r="22" spans="2:12">
      <c r="B22" s="14" t="s">
        <v>13</v>
      </c>
      <c r="C22" s="15">
        <f>'Prices-March 2020'!C11</f>
        <v>3750</v>
      </c>
      <c r="D22" s="15">
        <f>'Prices-March 2020'!E11</f>
        <v>2500</v>
      </c>
      <c r="E22" s="15">
        <f>'Prices-March 2020'!F11</f>
        <v>1000</v>
      </c>
      <c r="F22" s="15">
        <f>'Prices-March 2020'!G11</f>
        <v>5000</v>
      </c>
      <c r="G22" s="15">
        <f>'Prices-March 2020'!H11</f>
        <v>378</v>
      </c>
      <c r="H22" s="15">
        <f>'Prices-March 2020'!I11</f>
        <v>5000</v>
      </c>
      <c r="I22" s="15">
        <f>'Prices-March 2020'!J11</f>
        <v>2611</v>
      </c>
      <c r="J22" s="15">
        <f>'Prices-March 2020'!K11</f>
        <v>20000</v>
      </c>
      <c r="K22" s="15">
        <f>'Prices-March 2020'!L11</f>
        <v>1200</v>
      </c>
      <c r="L22" s="15">
        <f t="shared" si="0"/>
        <v>72544.800000000003</v>
      </c>
    </row>
    <row r="23" spans="2:12">
      <c r="B23" s="14" t="s">
        <v>14</v>
      </c>
      <c r="C23" s="15">
        <f>'Prices-March 2020'!C12</f>
        <v>3200</v>
      </c>
      <c r="D23" s="15">
        <f>'Prices-March 2020'!E12</f>
        <v>2800</v>
      </c>
      <c r="E23" s="15">
        <f>'Prices-March 2020'!F12</f>
        <v>935</v>
      </c>
      <c r="F23" s="15">
        <f>'Prices-March 2020'!G12</f>
        <v>5171</v>
      </c>
      <c r="G23" s="15">
        <f>'Prices-March 2020'!H12</f>
        <v>607</v>
      </c>
      <c r="H23" s="15">
        <f>'Prices-March 2020'!I12</f>
        <v>2400</v>
      </c>
      <c r="I23" s="15">
        <f>'Prices-March 2020'!J12</f>
        <v>3420</v>
      </c>
      <c r="J23" s="15">
        <f>'Prices-March 2020'!K12</f>
        <v>12500</v>
      </c>
      <c r="K23" s="15">
        <f>'Prices-March 2020'!L12</f>
        <v>2000</v>
      </c>
      <c r="L23" s="15">
        <f t="shared" si="0"/>
        <v>67324.95</v>
      </c>
    </row>
    <row r="24" spans="2:12">
      <c r="B24" s="14" t="s">
        <v>15</v>
      </c>
      <c r="C24" s="15">
        <f>'Prices-March 2020'!C13</f>
        <v>1933</v>
      </c>
      <c r="D24" s="15">
        <f>'Prices-March 2020'!E13</f>
        <v>3100</v>
      </c>
      <c r="E24" s="15">
        <f>'Prices-March 2020'!F13</f>
        <v>1488</v>
      </c>
      <c r="F24" s="15">
        <f>'Prices-March 2020'!G13</f>
        <v>6000</v>
      </c>
      <c r="G24" s="15">
        <f>'Prices-March 2020'!H13</f>
        <v>800</v>
      </c>
      <c r="H24" s="15">
        <f>'Prices-March 2020'!I13</f>
        <v>1867</v>
      </c>
      <c r="I24" s="15">
        <f>'Prices-March 2020'!J13</f>
        <v>1433</v>
      </c>
      <c r="J24" s="15">
        <f>'Prices-March 2020'!K13</f>
        <v>21071</v>
      </c>
      <c r="K24" s="15">
        <f>'Prices-March 2020'!L13</f>
        <v>1000</v>
      </c>
      <c r="L24" s="15">
        <f t="shared" si="0"/>
        <v>58290.75</v>
      </c>
    </row>
    <row r="25" spans="2:12">
      <c r="B25" s="38" t="s">
        <v>16</v>
      </c>
      <c r="C25" s="15">
        <f>'Prices-March 2020'!C14</f>
        <v>1933</v>
      </c>
      <c r="D25" s="15">
        <f>'Prices-March 2020'!E14</f>
        <v>3167</v>
      </c>
      <c r="E25" s="15">
        <f>'Prices-March 2020'!F14</f>
        <v>1533</v>
      </c>
      <c r="F25" s="15">
        <f>'Prices-March 2020'!G14</f>
        <v>5600</v>
      </c>
      <c r="G25" s="15">
        <f>'Prices-March 2020'!H14</f>
        <v>2000</v>
      </c>
      <c r="H25" s="15">
        <f>'Prices-March 2020'!I14</f>
        <v>3800</v>
      </c>
      <c r="I25" s="15">
        <f>'Prices-March 2020'!J14</f>
        <v>2000</v>
      </c>
      <c r="J25" s="15">
        <f>'Prices-March 2020'!K14</f>
        <v>16000</v>
      </c>
      <c r="K25" s="15">
        <f>'Prices-March 2020'!L14</f>
        <v>1000</v>
      </c>
      <c r="L25" s="15">
        <f t="shared" si="0"/>
        <v>58088.4</v>
      </c>
    </row>
    <row r="26" spans="2:12" s="41" customFormat="1">
      <c r="B26" s="39" t="s">
        <v>17</v>
      </c>
      <c r="C26" s="40">
        <f>AVERAGE(C13:C25)</f>
        <v>2531.6153846153848</v>
      </c>
      <c r="D26" s="40">
        <f t="shared" ref="D26:L26" si="1">AVERAGE(D13:D25)</f>
        <v>3469.1538461538462</v>
      </c>
      <c r="E26" s="40">
        <f t="shared" si="1"/>
        <v>1278</v>
      </c>
      <c r="F26" s="40">
        <f t="shared" si="1"/>
        <v>5847.6923076923076</v>
      </c>
      <c r="G26" s="40">
        <f t="shared" si="1"/>
        <v>790.46153846153845</v>
      </c>
      <c r="H26" s="40">
        <f t="shared" si="1"/>
        <v>2869.8461538461538</v>
      </c>
      <c r="I26" s="40">
        <f t="shared" si="1"/>
        <v>2384.9230769230771</v>
      </c>
      <c r="J26" s="40">
        <f t="shared" si="1"/>
        <v>18538.307692307691</v>
      </c>
      <c r="K26" s="40">
        <f t="shared" si="1"/>
        <v>1600</v>
      </c>
      <c r="L26" s="40">
        <f t="shared" si="1"/>
        <v>66723.761538461535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T13"/>
  <sheetViews>
    <sheetView workbookViewId="0">
      <selection activeCell="G8" sqref="G8"/>
    </sheetView>
  </sheetViews>
  <sheetFormatPr defaultColWidth="8.7109375" defaultRowHeight="15"/>
  <cols>
    <col min="1" max="2" width="8.7109375" style="49"/>
    <col min="3" max="3" width="24.28515625" style="49" bestFit="1" customWidth="1"/>
    <col min="4" max="4" width="9" style="49" customWidth="1"/>
    <col min="5" max="5" width="8.7109375" style="49"/>
    <col min="6" max="6" width="12" style="49" bestFit="1" customWidth="1"/>
    <col min="7" max="9" width="10.5703125" style="49" bestFit="1" customWidth="1"/>
    <col min="10" max="13" width="8.7109375" style="49"/>
    <col min="14" max="14" width="9.42578125" style="49" customWidth="1"/>
    <col min="15" max="16384" width="8.7109375" style="49"/>
  </cols>
  <sheetData>
    <row r="7" spans="3:20">
      <c r="C7" s="41" t="s">
        <v>27</v>
      </c>
      <c r="D7" s="41" t="s">
        <v>28</v>
      </c>
      <c r="E7" s="41" t="s">
        <v>100</v>
      </c>
      <c r="F7" s="48">
        <v>43525</v>
      </c>
      <c r="G7" s="48">
        <v>43891</v>
      </c>
      <c r="H7" s="48"/>
      <c r="I7" s="48"/>
      <c r="J7" s="48"/>
      <c r="K7" s="48"/>
      <c r="L7" s="48"/>
      <c r="M7" s="48"/>
      <c r="N7" s="48"/>
      <c r="O7" s="48"/>
      <c r="P7" s="48"/>
      <c r="Q7" s="48"/>
      <c r="R7" s="48"/>
      <c r="S7" s="48"/>
      <c r="T7" s="48"/>
    </row>
    <row r="8" spans="3:20">
      <c r="C8" s="50" t="s">
        <v>29</v>
      </c>
      <c r="D8" s="49">
        <v>0.45</v>
      </c>
      <c r="E8" s="49">
        <f>3964*5</f>
        <v>19820</v>
      </c>
      <c r="F8" s="15">
        <f>D8*E8</f>
        <v>8919</v>
      </c>
      <c r="G8" s="15">
        <f>D8*5*'Prices-March 2020'!M15</f>
        <v>8550</v>
      </c>
      <c r="H8" s="15"/>
      <c r="I8" s="15"/>
    </row>
    <row r="9" spans="3:20">
      <c r="C9" s="50" t="s">
        <v>45</v>
      </c>
      <c r="D9" s="51">
        <v>8</v>
      </c>
      <c r="E9" s="52">
        <v>7000</v>
      </c>
      <c r="F9" s="15">
        <f>D9*E9/12</f>
        <v>4666.666666666667</v>
      </c>
      <c r="G9" s="15">
        <f>F9</f>
        <v>4666.666666666667</v>
      </c>
      <c r="H9" s="15"/>
      <c r="I9" s="15"/>
      <c r="J9" s="15"/>
      <c r="K9" s="15"/>
      <c r="L9" s="15"/>
    </row>
    <row r="10" spans="3:20">
      <c r="C10" s="50" t="s">
        <v>53</v>
      </c>
      <c r="D10" s="51">
        <v>2</v>
      </c>
      <c r="E10" s="52">
        <v>7457</v>
      </c>
      <c r="F10" s="15">
        <f>D10*E10/12</f>
        <v>1242.8333333333333</v>
      </c>
      <c r="G10" s="15">
        <f>(D10*'Prices-March 2020'!T15)/12</f>
        <v>1089.7435897435896</v>
      </c>
      <c r="H10" s="15"/>
      <c r="I10" s="15"/>
    </row>
    <row r="11" spans="3:20">
      <c r="C11" s="50" t="s">
        <v>54</v>
      </c>
      <c r="D11" s="51">
        <v>1</v>
      </c>
      <c r="E11" s="52">
        <v>7581</v>
      </c>
      <c r="F11" s="15">
        <f t="shared" ref="F11:F12" si="0">D11*E11/12</f>
        <v>631.75</v>
      </c>
      <c r="G11" s="15">
        <f>F11</f>
        <v>631.75</v>
      </c>
      <c r="H11" s="15"/>
      <c r="I11" s="15"/>
      <c r="J11" s="15"/>
      <c r="K11" s="15"/>
      <c r="L11" s="15"/>
      <c r="M11" s="15"/>
      <c r="N11" s="15"/>
      <c r="O11" s="15"/>
      <c r="P11" s="15"/>
      <c r="Q11" s="15"/>
      <c r="R11" s="15"/>
      <c r="S11" s="15"/>
      <c r="T11" s="15"/>
    </row>
    <row r="12" spans="3:20">
      <c r="C12" s="50" t="s">
        <v>55</v>
      </c>
      <c r="D12" s="51">
        <v>1</v>
      </c>
      <c r="E12" s="52">
        <v>3462</v>
      </c>
      <c r="F12" s="15">
        <f t="shared" si="0"/>
        <v>288.5</v>
      </c>
      <c r="G12" s="15">
        <f>D12*'Prices-March 2020'!U15/12</f>
        <v>208.33333333333334</v>
      </c>
      <c r="H12" s="15"/>
      <c r="I12" s="15"/>
    </row>
    <row r="13" spans="3:20" s="41" customFormat="1">
      <c r="C13" s="53" t="s">
        <v>56</v>
      </c>
      <c r="F13" s="40">
        <f>SUM(F8:F12)</f>
        <v>15748.750000000002</v>
      </c>
      <c r="G13" s="40">
        <f>SUM(G8:G12)</f>
        <v>15146.493589743592</v>
      </c>
      <c r="H13" s="40"/>
      <c r="I13" s="40"/>
      <c r="J13" s="40"/>
      <c r="K13" s="40"/>
      <c r="L13" s="40"/>
      <c r="M13" s="40"/>
      <c r="N13" s="40"/>
      <c r="O13" s="40"/>
      <c r="P13" s="40"/>
      <c r="Q13" s="40"/>
      <c r="R13" s="40"/>
      <c r="S13" s="40"/>
      <c r="T13" s="4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8"/>
  <sheetViews>
    <sheetView workbookViewId="0">
      <selection activeCell="D7" sqref="D7"/>
    </sheetView>
  </sheetViews>
  <sheetFormatPr defaultRowHeight="15"/>
  <cols>
    <col min="2" max="2" width="13.28515625" bestFit="1" customWidth="1"/>
    <col min="3" max="3" width="9.140625" bestFit="1" customWidth="1"/>
    <col min="4" max="4" width="9.5703125" bestFit="1" customWidth="1"/>
    <col min="5" max="6" width="9.140625" bestFit="1" customWidth="1"/>
  </cols>
  <sheetData>
    <row r="7" spans="2:17">
      <c r="C7" s="1">
        <v>43525</v>
      </c>
      <c r="D7" s="1">
        <v>43891</v>
      </c>
      <c r="E7" s="1"/>
      <c r="F7" s="1"/>
      <c r="G7" s="1"/>
      <c r="H7" s="1"/>
      <c r="I7" s="1"/>
      <c r="J7" s="1"/>
      <c r="K7" s="1"/>
      <c r="L7" s="1"/>
      <c r="M7" s="1"/>
      <c r="N7" s="1"/>
      <c r="O7" s="1"/>
      <c r="P7" s="1"/>
      <c r="Q7" s="1"/>
    </row>
    <row r="8" spans="2:17">
      <c r="B8" t="s">
        <v>46</v>
      </c>
      <c r="C8" s="2">
        <v>3750</v>
      </c>
      <c r="D8" s="2">
        <f>C8</f>
        <v>3750</v>
      </c>
      <c r="E8" s="2"/>
      <c r="F8" s="2"/>
      <c r="G8" s="2"/>
      <c r="H8" s="2"/>
      <c r="I8" s="2"/>
      <c r="J8" s="2"/>
      <c r="K8" s="2"/>
      <c r="L8" s="2"/>
      <c r="M8" s="2"/>
      <c r="N8" s="2"/>
      <c r="O8" s="2"/>
      <c r="P8" s="2"/>
      <c r="Q8"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8"/>
  <sheetViews>
    <sheetView zoomScale="110" zoomScaleNormal="110" workbookViewId="0">
      <selection activeCell="D7" sqref="D7"/>
    </sheetView>
  </sheetViews>
  <sheetFormatPr defaultColWidth="8.7109375" defaultRowHeight="15"/>
  <cols>
    <col min="1" max="1" width="8.7109375" style="17"/>
    <col min="2" max="2" width="16.7109375" style="17" bestFit="1" customWidth="1"/>
    <col min="3" max="3" width="10.5703125" style="17" bestFit="1" customWidth="1"/>
    <col min="4" max="4" width="11.140625" style="17" bestFit="1" customWidth="1"/>
    <col min="5" max="6" width="10.5703125" style="17" bestFit="1" customWidth="1"/>
    <col min="7" max="16384" width="8.7109375" style="17"/>
  </cols>
  <sheetData>
    <row r="7" spans="2:17">
      <c r="C7" s="47">
        <v>43525</v>
      </c>
      <c r="D7" s="1">
        <v>43891</v>
      </c>
      <c r="E7" s="47"/>
      <c r="F7" s="47"/>
      <c r="G7" s="47"/>
      <c r="H7" s="47"/>
      <c r="I7" s="47"/>
      <c r="J7" s="47"/>
      <c r="K7" s="47"/>
      <c r="L7" s="47"/>
      <c r="M7" s="47"/>
      <c r="N7" s="47"/>
      <c r="O7" s="47"/>
      <c r="P7" s="47"/>
      <c r="Q7" s="47"/>
    </row>
    <row r="8" spans="2:17">
      <c r="B8" s="17" t="s">
        <v>47</v>
      </c>
      <c r="C8" s="2">
        <v>28667</v>
      </c>
      <c r="D8" s="2">
        <f>C8</f>
        <v>28667</v>
      </c>
      <c r="E8" s="2"/>
      <c r="F8" s="2"/>
      <c r="G8" s="2"/>
      <c r="H8" s="2"/>
      <c r="I8" s="2"/>
      <c r="J8" s="2"/>
      <c r="K8" s="2"/>
      <c r="L8" s="2"/>
      <c r="M8" s="2"/>
      <c r="N8" s="2"/>
      <c r="O8" s="2"/>
      <c r="P8" s="2"/>
      <c r="Q8" s="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S28"/>
  <sheetViews>
    <sheetView workbookViewId="0">
      <selection activeCell="F7" sqref="F7"/>
    </sheetView>
  </sheetViews>
  <sheetFormatPr defaultColWidth="9.140625" defaultRowHeight="15"/>
  <cols>
    <col min="1" max="1" width="9.140625" style="4"/>
    <col min="2" max="2" width="17.7109375" style="4" bestFit="1" customWidth="1"/>
    <col min="3" max="3" width="13.42578125" style="4" customWidth="1"/>
    <col min="4" max="6" width="10.5703125" style="4" bestFit="1" customWidth="1"/>
    <col min="7" max="10" width="10.140625" style="4" bestFit="1" customWidth="1"/>
    <col min="11" max="16384" width="9.140625" style="4"/>
  </cols>
  <sheetData>
    <row r="7" spans="2:19">
      <c r="B7" s="7" t="s">
        <v>23</v>
      </c>
      <c r="C7" s="7" t="s">
        <v>40</v>
      </c>
      <c r="D7" s="7" t="s">
        <v>24</v>
      </c>
      <c r="E7" s="10">
        <v>43525</v>
      </c>
      <c r="F7" s="1">
        <v>43891</v>
      </c>
      <c r="G7" s="10"/>
      <c r="H7" s="10"/>
      <c r="I7" s="10"/>
      <c r="J7" s="10"/>
      <c r="K7" s="10"/>
      <c r="L7" s="10"/>
      <c r="M7" s="10"/>
      <c r="N7" s="10"/>
      <c r="O7" s="10"/>
      <c r="P7" s="10"/>
      <c r="Q7" s="10"/>
      <c r="R7" s="10"/>
      <c r="S7" s="10"/>
    </row>
    <row r="8" spans="2:19">
      <c r="B8" s="4" t="s">
        <v>25</v>
      </c>
      <c r="C8" s="4">
        <v>1.1000000000000001</v>
      </c>
      <c r="D8" s="2">
        <v>143</v>
      </c>
      <c r="E8" s="2">
        <f>D8*C8*30*5</f>
        <v>23595</v>
      </c>
      <c r="F8" s="2">
        <f>C8*5*30*'Prices-March 2020'!AC15</f>
        <v>51010.38461538461</v>
      </c>
      <c r="G8" s="3"/>
      <c r="H8" s="3"/>
      <c r="I8" s="3"/>
      <c r="J8" s="3"/>
    </row>
    <row r="9" spans="2:19">
      <c r="B9" s="4" t="s">
        <v>26</v>
      </c>
      <c r="C9" s="4">
        <v>1</v>
      </c>
      <c r="D9" s="2">
        <v>1250</v>
      </c>
      <c r="E9" s="2">
        <f>4*D9</f>
        <v>5000</v>
      </c>
      <c r="F9" s="2">
        <f>E9</f>
        <v>5000</v>
      </c>
      <c r="G9" s="2"/>
      <c r="H9" s="2"/>
      <c r="I9" s="2"/>
      <c r="J9" s="2"/>
      <c r="K9" s="2"/>
      <c r="L9" s="2"/>
      <c r="M9" s="2"/>
      <c r="N9" s="2"/>
    </row>
    <row r="10" spans="2:19">
      <c r="B10" s="7" t="s">
        <v>41</v>
      </c>
      <c r="C10" s="9"/>
      <c r="D10" s="8"/>
      <c r="E10" s="8">
        <f>SUM(E8:E9)</f>
        <v>28595</v>
      </c>
      <c r="F10" s="8">
        <f>SUM(F8:F9)</f>
        <v>56010.38461538461</v>
      </c>
      <c r="G10" s="8"/>
      <c r="H10" s="8"/>
      <c r="I10" s="8"/>
      <c r="J10" s="8"/>
      <c r="K10" s="8"/>
      <c r="L10" s="8"/>
      <c r="M10" s="8"/>
      <c r="N10" s="8"/>
    </row>
    <row r="11" spans="2:19">
      <c r="C11" s="5"/>
      <c r="D11" s="5"/>
      <c r="E11" s="5"/>
      <c r="F11" s="5"/>
    </row>
    <row r="12" spans="2:19">
      <c r="C12" s="5"/>
      <c r="D12" s="5"/>
      <c r="E12" s="5"/>
      <c r="F12" s="5"/>
    </row>
    <row r="13" spans="2:19">
      <c r="C13" s="5"/>
      <c r="D13" s="5"/>
      <c r="E13" s="5"/>
      <c r="F13" s="5"/>
    </row>
    <row r="14" spans="2:19">
      <c r="C14" s="5"/>
      <c r="D14" s="5"/>
      <c r="E14" s="5"/>
      <c r="F14" s="5"/>
    </row>
    <row r="15" spans="2:19">
      <c r="C15" s="5"/>
      <c r="D15" s="5"/>
      <c r="E15" s="5"/>
      <c r="F15" s="5"/>
      <c r="G15" s="5"/>
      <c r="H15" s="5"/>
      <c r="I15" s="5"/>
      <c r="J15" s="5"/>
    </row>
    <row r="16" spans="2:19">
      <c r="C16" s="5"/>
      <c r="D16" s="5"/>
      <c r="E16" s="5"/>
      <c r="F16" s="5"/>
      <c r="G16" s="5"/>
      <c r="H16" s="5"/>
      <c r="I16" s="5"/>
      <c r="J16" s="5"/>
    </row>
    <row r="17" spans="3:10">
      <c r="C17" s="5"/>
      <c r="D17" s="5"/>
      <c r="E17" s="5"/>
      <c r="F17" s="5"/>
      <c r="G17" s="5"/>
      <c r="H17" s="5"/>
      <c r="I17" s="5"/>
      <c r="J17" s="5"/>
    </row>
    <row r="18" spans="3:10">
      <c r="C18" s="5"/>
      <c r="D18" s="5"/>
      <c r="E18" s="5"/>
      <c r="F18" s="5"/>
      <c r="G18" s="5"/>
      <c r="H18" s="5"/>
      <c r="I18" s="5"/>
      <c r="J18" s="5"/>
    </row>
    <row r="19" spans="3:10">
      <c r="C19" s="5"/>
      <c r="D19" s="5"/>
      <c r="E19" s="5"/>
      <c r="F19" s="5"/>
      <c r="G19" s="5"/>
      <c r="H19" s="5"/>
      <c r="I19" s="5"/>
      <c r="J19" s="5"/>
    </row>
    <row r="20" spans="3:10">
      <c r="C20" s="5"/>
      <c r="D20" s="5"/>
      <c r="E20" s="5"/>
      <c r="F20" s="5"/>
      <c r="G20" s="5"/>
      <c r="H20" s="5"/>
      <c r="I20" s="5"/>
      <c r="J20" s="5"/>
    </row>
    <row r="21" spans="3:10">
      <c r="C21" s="5"/>
      <c r="D21" s="5"/>
      <c r="E21" s="5"/>
      <c r="F21" s="5"/>
      <c r="G21" s="5"/>
      <c r="H21" s="5"/>
      <c r="I21" s="5"/>
      <c r="J21" s="5"/>
    </row>
    <row r="22" spans="3:10">
      <c r="C22" s="5"/>
      <c r="D22" s="5"/>
      <c r="E22" s="5"/>
      <c r="F22" s="5"/>
      <c r="G22" s="5"/>
      <c r="H22" s="5"/>
      <c r="I22" s="5"/>
      <c r="J22" s="5"/>
    </row>
    <row r="23" spans="3:10">
      <c r="C23" s="5"/>
      <c r="D23" s="5"/>
      <c r="E23" s="5"/>
      <c r="F23" s="5"/>
      <c r="G23" s="5"/>
      <c r="H23" s="5"/>
      <c r="I23" s="5"/>
      <c r="J23" s="5"/>
    </row>
    <row r="24" spans="3:10">
      <c r="G24" s="5"/>
      <c r="H24" s="5"/>
      <c r="I24" s="5"/>
      <c r="J24" s="5"/>
    </row>
    <row r="25" spans="3:10">
      <c r="G25" s="5"/>
      <c r="H25" s="5"/>
      <c r="I25" s="5"/>
      <c r="J25" s="5"/>
    </row>
    <row r="26" spans="3:10">
      <c r="G26" s="5"/>
      <c r="H26" s="5"/>
      <c r="I26" s="5"/>
      <c r="J26" s="5"/>
    </row>
    <row r="27" spans="3:10">
      <c r="G27" s="5"/>
      <c r="H27" s="5"/>
      <c r="I27" s="5"/>
      <c r="J27" s="5"/>
    </row>
    <row r="28" spans="3:10">
      <c r="G28" s="5"/>
      <c r="H28" s="5"/>
      <c r="I28" s="5"/>
      <c r="J28" s="5"/>
    </row>
  </sheetData>
  <sortState ref="B10:F22">
    <sortCondition descending="1" ref="D10:D22"/>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8"/>
  <sheetViews>
    <sheetView workbookViewId="0">
      <selection activeCell="D7" sqref="D7"/>
    </sheetView>
  </sheetViews>
  <sheetFormatPr defaultRowHeight="15"/>
  <cols>
    <col min="2" max="2" width="16.28515625" bestFit="1" customWidth="1"/>
    <col min="3" max="3" width="10.140625" bestFit="1" customWidth="1"/>
    <col min="4" max="4" width="10.5703125" bestFit="1" customWidth="1"/>
  </cols>
  <sheetData>
    <row r="7" spans="2:17">
      <c r="C7" s="1">
        <v>43525</v>
      </c>
      <c r="D7" s="1">
        <v>43891</v>
      </c>
      <c r="E7" s="1"/>
      <c r="F7" s="1"/>
      <c r="G7" s="1"/>
      <c r="H7" s="1"/>
      <c r="I7" s="1"/>
      <c r="J7" s="1"/>
      <c r="K7" s="1"/>
      <c r="L7" s="1"/>
      <c r="M7" s="1"/>
      <c r="N7" s="1"/>
      <c r="O7" s="1"/>
      <c r="P7" s="1"/>
      <c r="Q7" s="1"/>
    </row>
    <row r="8" spans="2:17" s="6" customFormat="1">
      <c r="B8" s="6" t="s">
        <v>48</v>
      </c>
      <c r="C8" s="8">
        <v>11001</v>
      </c>
      <c r="D8" s="8">
        <f>C8</f>
        <v>11001</v>
      </c>
      <c r="E8" s="8"/>
      <c r="F8" s="8"/>
      <c r="G8" s="8"/>
      <c r="H8" s="8"/>
      <c r="I8" s="8"/>
      <c r="J8" s="8"/>
      <c r="K8" s="8"/>
      <c r="L8" s="8"/>
      <c r="M8" s="8"/>
      <c r="N8" s="8"/>
      <c r="O8" s="8"/>
      <c r="P8" s="8"/>
      <c r="Q8" s="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8"/>
  <sheetViews>
    <sheetView workbookViewId="0">
      <selection activeCell="D7" sqref="D7"/>
    </sheetView>
  </sheetViews>
  <sheetFormatPr defaultRowHeight="15"/>
  <cols>
    <col min="2" max="2" width="22" bestFit="1" customWidth="1"/>
    <col min="3" max="3" width="9.140625" bestFit="1" customWidth="1"/>
    <col min="4" max="4" width="9.5703125" bestFit="1" customWidth="1"/>
  </cols>
  <sheetData>
    <row r="7" spans="2:17">
      <c r="C7" s="1">
        <v>43525</v>
      </c>
      <c r="D7" s="1">
        <v>43891</v>
      </c>
      <c r="E7" s="1"/>
      <c r="F7" s="1"/>
      <c r="G7" s="1"/>
      <c r="H7" s="1"/>
      <c r="I7" s="1"/>
      <c r="J7" s="1"/>
      <c r="K7" s="1"/>
      <c r="L7" s="1"/>
      <c r="M7" s="1"/>
      <c r="N7" s="1"/>
      <c r="O7" s="1"/>
      <c r="P7" s="1"/>
      <c r="Q7" s="1"/>
    </row>
    <row r="8" spans="2:17">
      <c r="B8" s="6" t="s">
        <v>49</v>
      </c>
      <c r="C8" s="8">
        <v>4256</v>
      </c>
      <c r="D8" s="8">
        <f>C8</f>
        <v>4256</v>
      </c>
      <c r="E8" s="8"/>
      <c r="F8" s="8"/>
      <c r="G8" s="8"/>
      <c r="H8" s="8"/>
      <c r="I8" s="8"/>
      <c r="J8" s="8"/>
      <c r="K8" s="8"/>
      <c r="L8" s="8"/>
      <c r="M8" s="8"/>
      <c r="N8" s="8"/>
      <c r="O8" s="8"/>
      <c r="P8" s="8"/>
      <c r="Q8" s="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322FB70ED904478B55FED5D5C15B02" ma:contentTypeVersion="10" ma:contentTypeDescription="Create a new document." ma:contentTypeScope="" ma:versionID="e3e848ee908b28c6daac472d4f792ba2">
  <xsd:schema xmlns:xsd="http://www.w3.org/2001/XMLSchema" xmlns:xs="http://www.w3.org/2001/XMLSchema" xmlns:p="http://schemas.microsoft.com/office/2006/metadata/properties" xmlns:ns2="55b78f38-1847-4199-a0fa-cba26673afd5" xmlns:ns3="f380f3cf-d5ed-4fff-914d-d1b408ca12dc" targetNamespace="http://schemas.microsoft.com/office/2006/metadata/properties" ma:root="true" ma:fieldsID="95fe24752832ea810a88f6bf11a29eab" ns2:_="" ns3:_="">
    <xsd:import namespace="55b78f38-1847-4199-a0fa-cba26673afd5"/>
    <xsd:import namespace="f380f3cf-d5ed-4fff-914d-d1b408ca12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b78f38-1847-4199-a0fa-cba26673af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80f3cf-d5ed-4fff-914d-d1b408ca12d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DF31E6-865C-4DCA-A19D-F6B94FA003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b78f38-1847-4199-a0fa-cba26673afd5"/>
    <ds:schemaRef ds:uri="f380f3cf-d5ed-4fff-914d-d1b408ca12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695251-46F3-4F84-9DDC-E500CFFF8B52}">
  <ds:schemaRefs>
    <ds:schemaRef ds:uri="http://purl.org/dc/terms/"/>
    <ds:schemaRef ds:uri="http://schemas.openxmlformats.org/package/2006/metadata/core-properties"/>
    <ds:schemaRef ds:uri="http://schemas.microsoft.com/office/2006/documentManagement/types"/>
    <ds:schemaRef ds:uri="55b78f38-1847-4199-a0fa-cba26673afd5"/>
    <ds:schemaRef ds:uri="http://schemas.microsoft.com/office/infopath/2007/PartnerControls"/>
    <ds:schemaRef ds:uri="http://purl.org/dc/elements/1.1/"/>
    <ds:schemaRef ds:uri="http://schemas.microsoft.com/office/2006/metadata/properties"/>
    <ds:schemaRef ds:uri="f380f3cf-d5ed-4fff-914d-d1b408ca12dc"/>
    <ds:schemaRef ds:uri="http://www.w3.org/XML/1998/namespace"/>
    <ds:schemaRef ds:uri="http://purl.org/dc/dcmitype/"/>
  </ds:schemaRefs>
</ds:datastoreItem>
</file>

<file path=customXml/itemProps3.xml><?xml version="1.0" encoding="utf-8"?>
<ds:datastoreItem xmlns:ds="http://schemas.openxmlformats.org/officeDocument/2006/customXml" ds:itemID="{4C6166D3-3A76-4192-BE7A-FF733F895D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Prices-March 2020</vt:lpstr>
      <vt:lpstr>CPI for NFIs</vt:lpstr>
      <vt:lpstr>Food</vt:lpstr>
      <vt:lpstr>Hygiene</vt:lpstr>
      <vt:lpstr>Water</vt:lpstr>
      <vt:lpstr>Education</vt:lpstr>
      <vt:lpstr>Energy &amp; Environment</vt:lpstr>
      <vt:lpstr>Transport</vt:lpstr>
      <vt:lpstr>Communication</vt:lpstr>
      <vt:lpstr>Clothing</vt:lpstr>
      <vt:lpstr>Health</vt:lpstr>
      <vt:lpstr>Other HHD items</vt:lpstr>
      <vt:lpstr>Livelihood</vt:lpstr>
      <vt:lpstr>MEB by settlement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KYANJO Joseph</dc:creator>
  <cp:keywords/>
  <dc:description/>
  <cp:lastModifiedBy>Mohamed Harith</cp:lastModifiedBy>
  <cp:revision/>
  <dcterms:created xsi:type="dcterms:W3CDTF">2019-08-06T09:24:25Z</dcterms:created>
  <dcterms:modified xsi:type="dcterms:W3CDTF">2020-05-13T08:58:31Z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0x010100F5322FB70ED904478B55FED5D5C15B02</vt:lpwstr>
  </property>
</Properties>
</file>