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E-wheels\"/>
    </mc:Choice>
  </mc:AlternateContent>
  <xr:revisionPtr revIDLastSave="0" documentId="13_ncr:1_{6E26BC1D-A5E6-497C-9889-1FDEDF87F5AE}" xr6:coauthVersionLast="47" xr6:coauthVersionMax="47" xr10:uidLastSave="{00000000-0000-0000-0000-000000000000}"/>
  <bookViews>
    <workbookView xWindow="-108" yWindow="-108" windowWidth="23256" windowHeight="12456" tabRatio="617" xr2:uid="{00000000-000D-0000-FFFF-FFFF00000000}"/>
  </bookViews>
  <sheets>
    <sheet name="Sales" sheetId="1" r:id="rId1"/>
    <sheet name="Income Statement" sheetId="7" r:id="rId2"/>
    <sheet name="Cost Projections" sheetId="2" r:id="rId3"/>
    <sheet name="Workforce" sheetId="6" r:id="rId4"/>
    <sheet name="environmental impact" sheetId="11" r:id="rId5"/>
  </sheets>
  <definedNames>
    <definedName name="_xlnm.Print_Area" localSheetId="1">'Income Statement'!$A$1:$H$31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6" l="1"/>
  <c r="Q47" i="2"/>
  <c r="E30" i="7"/>
  <c r="F30" i="7"/>
  <c r="G30" i="7"/>
  <c r="H30" i="7"/>
  <c r="E13" i="7"/>
  <c r="F13" i="7" s="1"/>
  <c r="G13" i="7" s="1"/>
  <c r="H13" i="7" s="1"/>
  <c r="E14" i="7"/>
  <c r="F14" i="7" s="1"/>
  <c r="G14" i="7" s="1"/>
  <c r="H14" i="7" s="1"/>
  <c r="E15" i="7"/>
  <c r="F15" i="7" s="1"/>
  <c r="G15" i="7" s="1"/>
  <c r="H15" i="7" s="1"/>
  <c r="E12" i="7"/>
  <c r="F12" i="7" s="1"/>
  <c r="G12" i="7" s="1"/>
  <c r="H12" i="7" s="1"/>
  <c r="D16" i="7"/>
  <c r="E16" i="7" s="1"/>
  <c r="F16" i="7" s="1"/>
  <c r="G16" i="7" s="1"/>
  <c r="H16" i="7" s="1"/>
  <c r="J86" i="1" l="1"/>
  <c r="H87" i="1"/>
  <c r="J87" i="1" s="1"/>
  <c r="B13" i="2"/>
  <c r="M47" i="2"/>
  <c r="M13" i="2"/>
  <c r="O13" i="2"/>
  <c r="R13" i="2"/>
  <c r="H18" i="2"/>
  <c r="G18" i="1"/>
  <c r="G19" i="1" s="1"/>
  <c r="F19" i="1"/>
  <c r="B55" i="2"/>
  <c r="B69" i="2"/>
  <c r="F9" i="1"/>
  <c r="F11" i="1" s="1"/>
  <c r="B4" i="1"/>
  <c r="F5" i="1"/>
  <c r="G3" i="1"/>
  <c r="H3" i="1" s="1"/>
  <c r="B1" i="2" l="1"/>
  <c r="H88" i="1"/>
  <c r="F13" i="2"/>
  <c r="L14" i="2"/>
  <c r="F20" i="1"/>
  <c r="F23" i="1" s="1"/>
  <c r="D17" i="7" s="1"/>
  <c r="F21" i="1"/>
  <c r="G20" i="1"/>
  <c r="G21" i="1"/>
  <c r="H18" i="1"/>
  <c r="F14" i="1"/>
  <c r="F16" i="1" s="1"/>
  <c r="D9" i="7" s="1"/>
  <c r="H4" i="1"/>
  <c r="I3" i="1"/>
  <c r="G4" i="1"/>
  <c r="H89" i="1" l="1"/>
  <c r="J88" i="1"/>
  <c r="H19" i="1"/>
  <c r="I18" i="1"/>
  <c r="B29" i="2"/>
  <c r="B15" i="2"/>
  <c r="G5" i="1"/>
  <c r="G9" i="1"/>
  <c r="G11" i="1" s="1"/>
  <c r="J3" i="1"/>
  <c r="J4" i="1" s="1"/>
  <c r="I4" i="1"/>
  <c r="H9" i="1"/>
  <c r="H11" i="1" s="1"/>
  <c r="H5" i="1"/>
  <c r="H90" i="1" l="1"/>
  <c r="J89" i="1"/>
  <c r="G23" i="1"/>
  <c r="E17" i="7" s="1"/>
  <c r="H20" i="1"/>
  <c r="H23" i="1" s="1"/>
  <c r="F17" i="7" s="1"/>
  <c r="H21" i="1"/>
  <c r="I19" i="1"/>
  <c r="J18" i="1"/>
  <c r="J19" i="1" s="1"/>
  <c r="B57" i="2"/>
  <c r="F69" i="2" s="1"/>
  <c r="G14" i="1"/>
  <c r="G16" i="1" s="1"/>
  <c r="E9" i="7" s="1"/>
  <c r="H14" i="1"/>
  <c r="H16" i="1" s="1"/>
  <c r="F9" i="7" s="1"/>
  <c r="B43" i="2"/>
  <c r="F55" i="2" s="1"/>
  <c r="I9" i="1"/>
  <c r="I11" i="1" s="1"/>
  <c r="I5" i="1"/>
  <c r="J5" i="1"/>
  <c r="J9" i="1"/>
  <c r="J11" i="1" s="1"/>
  <c r="H91" i="1" l="1"/>
  <c r="J90" i="1"/>
  <c r="J20" i="1"/>
  <c r="J23" i="1" s="1"/>
  <c r="H17" i="7" s="1"/>
  <c r="J21" i="1"/>
  <c r="I20" i="1"/>
  <c r="I23" i="1" s="1"/>
  <c r="G17" i="7" s="1"/>
  <c r="I21" i="1"/>
  <c r="I14" i="1"/>
  <c r="I16" i="1" s="1"/>
  <c r="G9" i="7" s="1"/>
  <c r="J14" i="1"/>
  <c r="J16" i="1" s="1"/>
  <c r="H9" i="7" s="1"/>
  <c r="J12" i="1"/>
  <c r="H8" i="7" s="1"/>
  <c r="I12" i="1"/>
  <c r="G8" i="7" s="1"/>
  <c r="H92" i="1" l="1"/>
  <c r="J91" i="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Q31" i="1"/>
  <c r="Q32" i="1"/>
  <c r="Q33" i="1"/>
  <c r="Q34" i="1"/>
  <c r="Q35" i="1"/>
  <c r="Q36" i="1"/>
  <c r="Q37" i="1"/>
  <c r="Q38" i="1"/>
  <c r="Q39" i="1"/>
  <c r="Q40" i="1"/>
  <c r="Q41" i="1"/>
  <c r="Q30" i="1"/>
  <c r="I31" i="1"/>
  <c r="I32" i="1"/>
  <c r="I33" i="1"/>
  <c r="I34" i="1"/>
  <c r="I35" i="1"/>
  <c r="I36" i="1"/>
  <c r="I37" i="1"/>
  <c r="I38" i="1"/>
  <c r="I39" i="1"/>
  <c r="I40" i="1"/>
  <c r="I41" i="1"/>
  <c r="I30" i="1"/>
  <c r="D30" i="7"/>
  <c r="H93" i="1" l="1"/>
  <c r="J92" i="1"/>
  <c r="P37" i="1"/>
  <c r="P38" i="1"/>
  <c r="P39" i="1"/>
  <c r="Q42" i="1"/>
  <c r="P41" i="1"/>
  <c r="P30" i="1"/>
  <c r="P31" i="1"/>
  <c r="P32" i="1"/>
  <c r="P33" i="1"/>
  <c r="P36" i="1"/>
  <c r="P35" i="1"/>
  <c r="P34" i="1"/>
  <c r="H30" i="1"/>
  <c r="P40" i="1"/>
  <c r="H41" i="1"/>
  <c r="H34" i="1"/>
  <c r="H33" i="1"/>
  <c r="H32" i="1"/>
  <c r="H36" i="1"/>
  <c r="H31" i="1"/>
  <c r="H40" i="1"/>
  <c r="H39" i="1"/>
  <c r="H38" i="1"/>
  <c r="H37" i="1"/>
  <c r="I42" i="1"/>
  <c r="H35" i="1"/>
  <c r="C33" i="1"/>
  <c r="C32" i="1"/>
  <c r="C31" i="1"/>
  <c r="C30" i="1"/>
  <c r="B3" i="1"/>
  <c r="B5" i="1" s="1"/>
  <c r="F25" i="1"/>
  <c r="F41" i="2"/>
  <c r="B41" i="2"/>
  <c r="F27" i="2"/>
  <c r="B27" i="2"/>
  <c r="C24" i="6"/>
  <c r="D24" i="6"/>
  <c r="F4" i="6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C34" i="1"/>
  <c r="C35" i="1"/>
  <c r="C36" i="1"/>
  <c r="C37" i="1"/>
  <c r="C38" i="1"/>
  <c r="C39" i="1"/>
  <c r="C40" i="1"/>
  <c r="C41" i="1"/>
  <c r="B34" i="1" l="1"/>
  <c r="H94" i="1"/>
  <c r="J93" i="1"/>
  <c r="B33" i="1"/>
  <c r="B41" i="1"/>
  <c r="B32" i="1"/>
  <c r="B30" i="1"/>
  <c r="H12" i="1"/>
  <c r="F8" i="7" s="1"/>
  <c r="G12" i="1"/>
  <c r="E8" i="7" s="1"/>
  <c r="B39" i="1"/>
  <c r="B38" i="1"/>
  <c r="B31" i="1"/>
  <c r="B37" i="1"/>
  <c r="B40" i="1"/>
  <c r="B36" i="1"/>
  <c r="B35" i="1"/>
  <c r="G6" i="1"/>
  <c r="E7" i="7" s="1"/>
  <c r="H6" i="1"/>
  <c r="F7" i="7" s="1"/>
  <c r="I6" i="1"/>
  <c r="G7" i="7" s="1"/>
  <c r="G10" i="7" s="1"/>
  <c r="G18" i="7" s="1"/>
  <c r="G31" i="7" s="1"/>
  <c r="F6" i="1"/>
  <c r="J6" i="1"/>
  <c r="H7" i="7" s="1"/>
  <c r="H10" i="7" s="1"/>
  <c r="H18" i="7" s="1"/>
  <c r="H31" i="7" s="1"/>
  <c r="I3" i="2"/>
  <c r="K45" i="1"/>
  <c r="M4" i="6"/>
  <c r="M5" i="6"/>
  <c r="M6" i="6"/>
  <c r="M7" i="6"/>
  <c r="M8" i="6"/>
  <c r="G4" i="6"/>
  <c r="G24" i="6" s="1"/>
  <c r="D3" i="2" s="1"/>
  <c r="O47" i="2" s="1"/>
  <c r="F24" i="6"/>
  <c r="J18" i="6"/>
  <c r="J19" i="6"/>
  <c r="J20" i="6"/>
  <c r="J21" i="6"/>
  <c r="J22" i="6"/>
  <c r="J23" i="6"/>
  <c r="J17" i="6"/>
  <c r="J5" i="6"/>
  <c r="J6" i="6"/>
  <c r="J7" i="6"/>
  <c r="J8" i="6"/>
  <c r="J9" i="6"/>
  <c r="J4" i="6"/>
  <c r="O41" i="1"/>
  <c r="O40" i="1"/>
  <c r="O39" i="1"/>
  <c r="O38" i="1"/>
  <c r="O37" i="1"/>
  <c r="O34" i="1"/>
  <c r="O33" i="1"/>
  <c r="O30" i="1"/>
  <c r="O31" i="1"/>
  <c r="O32" i="1"/>
  <c r="O35" i="1"/>
  <c r="O36" i="1"/>
  <c r="G31" i="1"/>
  <c r="G37" i="1"/>
  <c r="G40" i="1"/>
  <c r="G32" i="1"/>
  <c r="G34" i="1"/>
  <c r="G35" i="1"/>
  <c r="G36" i="1"/>
  <c r="G39" i="1"/>
  <c r="G41" i="1"/>
  <c r="G33" i="1"/>
  <c r="G38" i="1"/>
  <c r="G30" i="1"/>
  <c r="I4" i="2"/>
  <c r="K6" i="1" l="1"/>
  <c r="D7" i="7"/>
  <c r="F10" i="7"/>
  <c r="F18" i="7" s="1"/>
  <c r="F31" i="7" s="1"/>
  <c r="E10" i="7"/>
  <c r="E18" i="7" s="1"/>
  <c r="E31" i="7" s="1"/>
  <c r="H95" i="1"/>
  <c r="J94" i="1"/>
  <c r="D13" i="2"/>
  <c r="L48" i="2"/>
  <c r="J22" i="1"/>
  <c r="J27" i="1" s="1"/>
  <c r="I22" i="1"/>
  <c r="I27" i="1" s="1"/>
  <c r="H22" i="1"/>
  <c r="H27" i="1" s="1"/>
  <c r="G22" i="1"/>
  <c r="G27" i="1" s="1"/>
  <c r="B42" i="1"/>
  <c r="F12" i="1" s="1"/>
  <c r="D8" i="7" s="1"/>
  <c r="D17" i="2"/>
  <c r="J31" i="1"/>
  <c r="K31" i="1" s="1"/>
  <c r="R32" i="1"/>
  <c r="S32" i="1" s="1"/>
  <c r="R33" i="1"/>
  <c r="S33" i="1" s="1"/>
  <c r="R34" i="1"/>
  <c r="S34" i="1" s="1"/>
  <c r="R35" i="1"/>
  <c r="S35" i="1" s="1"/>
  <c r="R36" i="1"/>
  <c r="S36" i="1" s="1"/>
  <c r="R31" i="1"/>
  <c r="S31" i="1" s="1"/>
  <c r="R30" i="1"/>
  <c r="S30" i="1" s="1"/>
  <c r="R41" i="1"/>
  <c r="S41" i="1" s="1"/>
  <c r="R40" i="1"/>
  <c r="S40" i="1" s="1"/>
  <c r="O42" i="1"/>
  <c r="R39" i="1"/>
  <c r="S39" i="1" s="1"/>
  <c r="R38" i="1"/>
  <c r="S38" i="1" s="1"/>
  <c r="R37" i="1"/>
  <c r="S37" i="1" s="1"/>
  <c r="J30" i="1"/>
  <c r="K30" i="1" s="1"/>
  <c r="J40" i="1"/>
  <c r="K40" i="1" s="1"/>
  <c r="J41" i="1"/>
  <c r="K41" i="1" s="1"/>
  <c r="J39" i="1"/>
  <c r="K39" i="1" s="1"/>
  <c r="J34" i="1"/>
  <c r="K34" i="1" s="1"/>
  <c r="J38" i="1"/>
  <c r="K38" i="1" s="1"/>
  <c r="J37" i="1"/>
  <c r="K37" i="1" s="1"/>
  <c r="J36" i="1"/>
  <c r="K36" i="1" s="1"/>
  <c r="J35" i="1"/>
  <c r="K35" i="1" s="1"/>
  <c r="J33" i="1"/>
  <c r="K33" i="1" s="1"/>
  <c r="J32" i="1"/>
  <c r="K32" i="1" s="1"/>
  <c r="D42" i="1"/>
  <c r="G42" i="1"/>
  <c r="L90" i="1" l="1"/>
  <c r="L92" i="1"/>
  <c r="L91" i="1"/>
  <c r="D10" i="7"/>
  <c r="D18" i="7" s="1"/>
  <c r="L94" i="1"/>
  <c r="L93" i="1"/>
  <c r="L95" i="1"/>
  <c r="H96" i="1"/>
  <c r="L96" i="1" s="1"/>
  <c r="J95" i="1"/>
  <c r="A14" i="2"/>
  <c r="F24" i="1"/>
  <c r="F22" i="1"/>
  <c r="F27" i="1" s="1"/>
  <c r="L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D31" i="2"/>
  <c r="D27" i="2"/>
  <c r="G24" i="1" s="1"/>
  <c r="G26" i="1" s="1"/>
  <c r="L41" i="1"/>
  <c r="L30" i="1"/>
  <c r="L31" i="1"/>
  <c r="L32" i="1"/>
  <c r="L33" i="1"/>
  <c r="L34" i="1"/>
  <c r="L35" i="1"/>
  <c r="L36" i="1"/>
  <c r="L37" i="1"/>
  <c r="L38" i="1"/>
  <c r="L39" i="1"/>
  <c r="L40" i="1"/>
  <c r="I53" i="1"/>
  <c r="I54" i="1"/>
  <c r="I55" i="1"/>
  <c r="I56" i="1"/>
  <c r="I57" i="1"/>
  <c r="I46" i="1"/>
  <c r="I47" i="1"/>
  <c r="I48" i="1"/>
  <c r="I49" i="1"/>
  <c r="I50" i="1"/>
  <c r="I51" i="1"/>
  <c r="I52" i="1"/>
  <c r="T41" i="1"/>
  <c r="T30" i="1"/>
  <c r="T31" i="1"/>
  <c r="T32" i="1"/>
  <c r="T33" i="1"/>
  <c r="T34" i="1"/>
  <c r="T35" i="1"/>
  <c r="T36" i="1"/>
  <c r="T37" i="1"/>
  <c r="T38" i="1"/>
  <c r="T39" i="1"/>
  <c r="T40" i="1"/>
  <c r="S42" i="1"/>
  <c r="K42" i="1"/>
  <c r="L87" i="1" l="1"/>
  <c r="L89" i="1"/>
  <c r="L88" i="1"/>
  <c r="L86" i="1"/>
  <c r="H97" i="1"/>
  <c r="L97" i="1" s="1"/>
  <c r="J96" i="1"/>
  <c r="F26" i="1"/>
  <c r="D41" i="2"/>
  <c r="H24" i="1" s="1"/>
  <c r="H26" i="1" s="1"/>
  <c r="D45" i="2"/>
  <c r="A28" i="2"/>
  <c r="L48" i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L51" i="1"/>
  <c r="I61" i="1"/>
  <c r="I62" i="1"/>
  <c r="I63" i="1"/>
  <c r="I64" i="1"/>
  <c r="I65" i="1"/>
  <c r="I66" i="1"/>
  <c r="I67" i="1"/>
  <c r="I68" i="1"/>
  <c r="I69" i="1"/>
  <c r="I70" i="1"/>
  <c r="I60" i="1"/>
  <c r="I59" i="1"/>
  <c r="A42" i="2" l="1"/>
  <c r="H98" i="1"/>
  <c r="L98" i="1" s="1"/>
  <c r="J97" i="1"/>
  <c r="I2" i="2"/>
  <c r="K87" i="1"/>
  <c r="D55" i="2"/>
  <c r="D59" i="2"/>
  <c r="D69" i="2" s="1"/>
  <c r="D31" i="7"/>
  <c r="K93" i="1"/>
  <c r="I5" i="2"/>
  <c r="I6" i="2" s="1"/>
  <c r="K88" i="1"/>
  <c r="J72" i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K95" i="1"/>
  <c r="K90" i="1"/>
  <c r="K91" i="1"/>
  <c r="K94" i="1"/>
  <c r="K86" i="1"/>
  <c r="I79" i="1"/>
  <c r="I80" i="1"/>
  <c r="I81" i="1"/>
  <c r="I82" i="1"/>
  <c r="I83" i="1"/>
  <c r="I72" i="1"/>
  <c r="I74" i="1"/>
  <c r="I75" i="1"/>
  <c r="I76" i="1"/>
  <c r="I77" i="1"/>
  <c r="I78" i="1"/>
  <c r="I73" i="1"/>
  <c r="H99" i="1" l="1"/>
  <c r="L99" i="1" s="1"/>
  <c r="J98" i="1"/>
  <c r="K98" i="1" s="1"/>
  <c r="K97" i="1"/>
  <c r="K96" i="1"/>
  <c r="K89" i="1"/>
  <c r="K92" i="1"/>
  <c r="J24" i="1"/>
  <c r="J26" i="1" s="1"/>
  <c r="A70" i="2"/>
  <c r="I24" i="1"/>
  <c r="I26" i="1" s="1"/>
  <c r="A56" i="2"/>
  <c r="H100" i="1" l="1"/>
  <c r="L100" i="1" s="1"/>
  <c r="J99" i="1"/>
  <c r="K99" i="1" s="1"/>
  <c r="H101" i="1" l="1"/>
  <c r="L101" i="1" s="1"/>
  <c r="J100" i="1"/>
  <c r="K100" i="1" s="1"/>
  <c r="H102" i="1" l="1"/>
  <c r="L102" i="1" s="1"/>
  <c r="J101" i="1"/>
  <c r="K101" i="1" s="1"/>
  <c r="H103" i="1" l="1"/>
  <c r="L103" i="1" s="1"/>
  <c r="J102" i="1"/>
  <c r="K102" i="1" s="1"/>
  <c r="H104" i="1" l="1"/>
  <c r="L104" i="1" s="1"/>
  <c r="J103" i="1"/>
  <c r="K103" i="1" s="1"/>
  <c r="H105" i="1" l="1"/>
  <c r="L105" i="1" s="1"/>
  <c r="J104" i="1"/>
  <c r="K104" i="1" s="1"/>
  <c r="H106" i="1" l="1"/>
  <c r="L106" i="1" s="1"/>
  <c r="J105" i="1"/>
  <c r="K105" i="1" s="1"/>
  <c r="H107" i="1" l="1"/>
  <c r="L107" i="1" s="1"/>
  <c r="J106" i="1"/>
  <c r="K106" i="1" s="1"/>
  <c r="H108" i="1" l="1"/>
  <c r="L108" i="1" s="1"/>
  <c r="J107" i="1"/>
  <c r="K107" i="1" s="1"/>
  <c r="H109" i="1" l="1"/>
  <c r="L109" i="1" s="1"/>
  <c r="J108" i="1"/>
  <c r="K108" i="1" s="1"/>
  <c r="H110" i="1" l="1"/>
  <c r="L110" i="1" s="1"/>
  <c r="J109" i="1"/>
  <c r="K109" i="1" s="1"/>
  <c r="H111" i="1" l="1"/>
  <c r="L111" i="1" s="1"/>
  <c r="J110" i="1"/>
  <c r="K110" i="1" s="1"/>
  <c r="H112" i="1" l="1"/>
  <c r="L112" i="1" s="1"/>
  <c r="J111" i="1"/>
  <c r="K111" i="1" s="1"/>
  <c r="H113" i="1" l="1"/>
  <c r="L113" i="1" s="1"/>
  <c r="J112" i="1"/>
  <c r="K112" i="1" s="1"/>
  <c r="H114" i="1" l="1"/>
  <c r="L114" i="1" s="1"/>
  <c r="J113" i="1"/>
  <c r="K113" i="1" s="1"/>
  <c r="H115" i="1" l="1"/>
  <c r="L115" i="1" s="1"/>
  <c r="J114" i="1"/>
  <c r="K114" i="1" s="1"/>
  <c r="H116" i="1" l="1"/>
  <c r="L116" i="1" s="1"/>
  <c r="J115" i="1"/>
  <c r="K115" i="1" s="1"/>
  <c r="H117" i="1" l="1"/>
  <c r="L117" i="1" s="1"/>
  <c r="J116" i="1"/>
  <c r="K116" i="1" s="1"/>
  <c r="J117" i="1" l="1"/>
  <c r="K117" i="1" s="1"/>
</calcChain>
</file>

<file path=xl/sharedStrings.xml><?xml version="1.0" encoding="utf-8"?>
<sst xmlns="http://schemas.openxmlformats.org/spreadsheetml/2006/main" count="425" uniqueCount="213">
  <si>
    <t>Unit Cost</t>
  </si>
  <si>
    <t>Year</t>
  </si>
  <si>
    <t>Year1</t>
  </si>
  <si>
    <t>Year2</t>
  </si>
  <si>
    <t>Year3</t>
  </si>
  <si>
    <t>Year4</t>
  </si>
  <si>
    <t>Year5</t>
  </si>
  <si>
    <t>Profit Margin</t>
  </si>
  <si>
    <t>Revenue Stream</t>
  </si>
  <si>
    <t>Direct Sales</t>
  </si>
  <si>
    <t>Price</t>
  </si>
  <si>
    <t>Penetration Rate</t>
  </si>
  <si>
    <t>Unit Profit</t>
  </si>
  <si>
    <t>Sales</t>
  </si>
  <si>
    <t>Leasing/month</t>
  </si>
  <si>
    <t>Production cost</t>
  </si>
  <si>
    <t>ECITY COST</t>
  </si>
  <si>
    <t>Revenue</t>
  </si>
  <si>
    <t xml:space="preserve">Target market </t>
  </si>
  <si>
    <t>Leasing to own</t>
  </si>
  <si>
    <t xml:space="preserve">Annual growth </t>
  </si>
  <si>
    <t>Penetration Rate from direct sales</t>
  </si>
  <si>
    <t>maintenace</t>
  </si>
  <si>
    <t xml:space="preserve"> Leasing Contracts</t>
  </si>
  <si>
    <t>Ecity market</t>
  </si>
  <si>
    <t>Average Contract Months</t>
  </si>
  <si>
    <t>Ecity price</t>
  </si>
  <si>
    <t>services and maintenance</t>
  </si>
  <si>
    <t>Units</t>
  </si>
  <si>
    <t>CONVERSION SALES</t>
  </si>
  <si>
    <t>Ecity</t>
  </si>
  <si>
    <t>E-CITY SALES</t>
  </si>
  <si>
    <t>Total revenue</t>
  </si>
  <si>
    <t>Total COGS</t>
  </si>
  <si>
    <t>Total fixed</t>
  </si>
  <si>
    <t>Total Start up cost</t>
  </si>
  <si>
    <t>Net profit</t>
  </si>
  <si>
    <t>YEAR1 INCOME</t>
  </si>
  <si>
    <t>YEAR2 INCOME</t>
  </si>
  <si>
    <t>Month</t>
  </si>
  <si>
    <t>Leasing Income</t>
  </si>
  <si>
    <t>Cumaltive sales</t>
  </si>
  <si>
    <t>Selling Income</t>
  </si>
  <si>
    <t>YEAR1 leasing income</t>
  </si>
  <si>
    <t>Total Income</t>
  </si>
  <si>
    <t>Cumulative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</si>
  <si>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</si>
  <si>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</si>
  <si>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</si>
  <si>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</si>
  <si>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</si>
  <si>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</si>
  <si>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</si>
  <si>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</si>
  <si>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</si>
  <si>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</si>
  <si>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</si>
  <si>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</si>
  <si>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</si>
  <si>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Cumulative Income(Cash in)</t>
  </si>
  <si>
    <t>CumulativeCash out</t>
  </si>
  <si>
    <t xml:space="preserve">CAPEX </t>
  </si>
  <si>
    <t>Year1 Monthly OPEX</t>
  </si>
  <si>
    <t>year1</t>
  </si>
  <si>
    <t>Year2 Monthly OPEX</t>
  </si>
  <si>
    <t>Year3 Monthly OPEX</t>
  </si>
  <si>
    <t>year3</t>
  </si>
  <si>
    <t>UNITS</t>
  </si>
  <si>
    <t>Fixed Cost</t>
  </si>
  <si>
    <t>Variable Cost</t>
  </si>
  <si>
    <t>Total Cost</t>
  </si>
  <si>
    <t>YEAR1</t>
  </si>
  <si>
    <t>Conversion</t>
  </si>
  <si>
    <t>Total over 3 years (6800 tuktuk)</t>
  </si>
  <si>
    <r>
      <rPr>
        <b/>
        <sz val="12"/>
        <color rgb="FF000000"/>
        <rFont val="Calibri"/>
        <family val="2"/>
        <scheme val="minor"/>
      </rPr>
      <t>Initial Setup Costs</t>
    </r>
    <r>
      <rPr>
        <sz val="12"/>
        <color rgb="FF000000"/>
        <rFont val="Calibri"/>
        <family val="2"/>
        <scheme val="minor"/>
      </rPr>
      <t xml:space="preserve"> (one-time costs)</t>
    </r>
  </si>
  <si>
    <r>
      <t>Operating Expenses</t>
    </r>
    <r>
      <rPr>
        <sz val="12"/>
        <color theme="1"/>
        <rFont val="Calibri"/>
        <family val="2"/>
        <scheme val="minor"/>
      </rPr>
      <t xml:space="preserve"> (annual costs)</t>
    </r>
  </si>
  <si>
    <r>
      <t xml:space="preserve">COGS </t>
    </r>
    <r>
      <rPr>
        <sz val="12"/>
        <color theme="1"/>
        <rFont val="Calibri"/>
        <family val="2"/>
        <scheme val="minor"/>
      </rPr>
      <t>(Per Unit)</t>
    </r>
  </si>
  <si>
    <t>Operating Expenses</t>
  </si>
  <si>
    <r>
      <t>Conversion Equipment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- workshop setup</t>
    </r>
  </si>
  <si>
    <t>Salaries and Wages</t>
  </si>
  <si>
    <t>Materials</t>
  </si>
  <si>
    <t>COGS</t>
  </si>
  <si>
    <t>Spare Parts and Consumables</t>
  </si>
  <si>
    <t>Office Rent (30,000 per month)</t>
  </si>
  <si>
    <t xml:space="preserve">Initial Setup Costs </t>
  </si>
  <si>
    <t>Office Setup</t>
  </si>
  <si>
    <t>Maintenance and Support (20,000 per month)</t>
  </si>
  <si>
    <t>Total</t>
  </si>
  <si>
    <t>Permits and licenses</t>
  </si>
  <si>
    <t>Marketing and Advertising</t>
  </si>
  <si>
    <t>Unit Cost (Total expnses/ tuktuks)</t>
  </si>
  <si>
    <t>Miscellaneous Costs</t>
  </si>
  <si>
    <t>Workshop rent  (15,000 per month)</t>
  </si>
  <si>
    <t>Utilities (electricity, water)(15,000 for workshop and office)</t>
  </si>
  <si>
    <t>Insurance (workshop, liability)</t>
  </si>
  <si>
    <t>Office supplies (3000 per month)</t>
  </si>
  <si>
    <t>Administrative costs (5,000)</t>
  </si>
  <si>
    <t>Total investment</t>
  </si>
  <si>
    <t>Self funded</t>
  </si>
  <si>
    <t>investor fund</t>
  </si>
  <si>
    <t>Warehouse Rent (20,000 per month)</t>
  </si>
  <si>
    <t>Before self fund</t>
  </si>
  <si>
    <t>YEAR2</t>
  </si>
  <si>
    <t>intial setup costs</t>
  </si>
  <si>
    <t>operating</t>
  </si>
  <si>
    <t>cogs</t>
  </si>
  <si>
    <r>
      <t>Initial Setup Costs</t>
    </r>
    <r>
      <rPr>
        <sz val="12"/>
        <color theme="1"/>
        <rFont val="Calibri"/>
        <family val="2"/>
        <scheme val="minor"/>
      </rPr>
      <t xml:space="preserve"> (one-time costs)</t>
    </r>
  </si>
  <si>
    <r>
      <rPr>
        <b/>
        <sz val="11"/>
        <color rgb="FF000000"/>
        <rFont val="Calibri"/>
        <family val="2"/>
        <scheme val="minor"/>
      </rPr>
      <t xml:space="preserve">Salaries and Wages </t>
    </r>
    <r>
      <rPr>
        <b/>
        <sz val="11"/>
        <color rgb="FFC65911"/>
        <rFont val="Calibri"/>
        <family val="2"/>
        <scheme val="minor"/>
      </rPr>
      <t>*1.5</t>
    </r>
  </si>
  <si>
    <r>
      <t xml:space="preserve">Office Rent (30,000 per month) </t>
    </r>
    <r>
      <rPr>
        <b/>
        <sz val="11"/>
        <color theme="5" tint="-0.249977111117893"/>
        <rFont val="Calibri"/>
        <family val="2"/>
        <scheme val="minor"/>
      </rPr>
      <t>same</t>
    </r>
  </si>
  <si>
    <r>
      <t xml:space="preserve">Maintenance and Support (20,000 per month) </t>
    </r>
    <r>
      <rPr>
        <b/>
        <sz val="11"/>
        <color theme="5" tint="-0.249977111117893"/>
        <rFont val="Calibri"/>
        <family val="2"/>
        <scheme val="minor"/>
      </rPr>
      <t>*1.5</t>
    </r>
  </si>
  <si>
    <r>
      <t xml:space="preserve">Marketing and Advertising </t>
    </r>
    <r>
      <rPr>
        <b/>
        <sz val="11"/>
        <color theme="5" tint="-0.249977111117893"/>
        <rFont val="Calibri"/>
        <family val="2"/>
        <scheme val="minor"/>
      </rPr>
      <t>same</t>
    </r>
  </si>
  <si>
    <r>
      <t>Workshop rent  (</t>
    </r>
    <r>
      <rPr>
        <b/>
        <sz val="11"/>
        <color theme="5" tint="-0.249977111117893"/>
        <rFont val="Calibri"/>
        <family val="2"/>
        <scheme val="minor"/>
      </rPr>
      <t>20,000</t>
    </r>
    <r>
      <rPr>
        <b/>
        <sz val="11"/>
        <color theme="1"/>
        <rFont val="Calibri"/>
        <family val="2"/>
        <scheme val="minor"/>
      </rPr>
      <t xml:space="preserve"> per month) </t>
    </r>
  </si>
  <si>
    <r>
      <t xml:space="preserve">Utilities (electricity, water)(15,000 for workshop and office) </t>
    </r>
    <r>
      <rPr>
        <b/>
        <sz val="11"/>
        <color theme="5" tint="-0.249977111117893"/>
        <rFont val="Calibri"/>
        <family val="2"/>
        <scheme val="minor"/>
      </rPr>
      <t>*1.5</t>
    </r>
  </si>
  <si>
    <r>
      <t xml:space="preserve">Insurance (workshop, liability) </t>
    </r>
    <r>
      <rPr>
        <b/>
        <sz val="11"/>
        <color theme="5" tint="-0.249977111117893"/>
        <rFont val="Calibri"/>
        <family val="2"/>
        <scheme val="minor"/>
      </rPr>
      <t>+20000</t>
    </r>
  </si>
  <si>
    <r>
      <t xml:space="preserve">Office supplies (3000 per month) </t>
    </r>
    <r>
      <rPr>
        <b/>
        <sz val="11"/>
        <color theme="5" tint="-0.249977111117893"/>
        <rFont val="Calibri"/>
        <family val="2"/>
        <scheme val="minor"/>
      </rPr>
      <t>*1.5</t>
    </r>
  </si>
  <si>
    <r>
      <rPr>
        <b/>
        <sz val="11"/>
        <color rgb="FF000000"/>
        <rFont val="Calibri"/>
        <family val="2"/>
        <scheme val="minor"/>
      </rPr>
      <t>Administrative costs (5,000) +</t>
    </r>
    <r>
      <rPr>
        <b/>
        <sz val="11"/>
        <color rgb="FFC65911"/>
        <rFont val="Calibri"/>
        <family val="2"/>
        <scheme val="minor"/>
      </rPr>
      <t>20000</t>
    </r>
  </si>
  <si>
    <r>
      <t>Warehouse Rent (</t>
    </r>
    <r>
      <rPr>
        <b/>
        <sz val="11"/>
        <color theme="5" tint="-0.249977111117893"/>
        <rFont val="Calibri"/>
        <family val="2"/>
        <scheme val="minor"/>
      </rPr>
      <t>30,000</t>
    </r>
    <r>
      <rPr>
        <b/>
        <sz val="11"/>
        <color theme="1"/>
        <rFont val="Calibri"/>
        <family val="2"/>
        <scheme val="minor"/>
      </rPr>
      <t xml:space="preserve"> per month)</t>
    </r>
  </si>
  <si>
    <t>YEAR3</t>
  </si>
  <si>
    <r>
      <rPr>
        <b/>
        <sz val="11"/>
        <color rgb="FF000000"/>
        <rFont val="Calibri"/>
        <family val="2"/>
        <scheme val="minor"/>
      </rPr>
      <t xml:space="preserve">Salaries and Wages </t>
    </r>
    <r>
      <rPr>
        <b/>
        <sz val="11"/>
        <color rgb="FFC65911"/>
        <rFont val="Calibri"/>
        <family val="2"/>
        <scheme val="minor"/>
      </rPr>
      <t>*2</t>
    </r>
  </si>
  <si>
    <r>
      <t xml:space="preserve">Office Rent </t>
    </r>
    <r>
      <rPr>
        <b/>
        <sz val="11"/>
        <rFont val="Calibri"/>
        <family val="2"/>
        <scheme val="minor"/>
      </rPr>
      <t>(4</t>
    </r>
    <r>
      <rPr>
        <b/>
        <sz val="11"/>
        <color theme="5" tint="-0.249977111117893"/>
        <rFont val="Calibri"/>
        <family val="2"/>
        <scheme val="minor"/>
      </rPr>
      <t xml:space="preserve">0,000 </t>
    </r>
    <r>
      <rPr>
        <b/>
        <sz val="11"/>
        <color theme="1"/>
        <rFont val="Calibri"/>
        <family val="2"/>
        <scheme val="minor"/>
      </rPr>
      <t xml:space="preserve">per month) </t>
    </r>
  </si>
  <si>
    <r>
      <t xml:space="preserve">Maintenance and Support (20,000 per month) </t>
    </r>
    <r>
      <rPr>
        <b/>
        <sz val="11"/>
        <color theme="5" tint="-0.249977111117893"/>
        <rFont val="Calibri"/>
        <family val="2"/>
        <scheme val="minor"/>
      </rPr>
      <t>*2</t>
    </r>
  </si>
  <si>
    <r>
      <t>Workshop rent  (</t>
    </r>
    <r>
      <rPr>
        <b/>
        <sz val="11"/>
        <color theme="5" tint="-0.249977111117893"/>
        <rFont val="Calibri"/>
        <family val="2"/>
        <scheme val="minor"/>
      </rPr>
      <t>25,000</t>
    </r>
    <r>
      <rPr>
        <b/>
        <sz val="11"/>
        <color theme="1"/>
        <rFont val="Calibri"/>
        <family val="2"/>
        <scheme val="minor"/>
      </rPr>
      <t xml:space="preserve"> per month) </t>
    </r>
  </si>
  <si>
    <r>
      <t xml:space="preserve">Utilities (electricity, water)(15,000 for workshop and office) </t>
    </r>
    <r>
      <rPr>
        <b/>
        <sz val="11"/>
        <color theme="5" tint="-0.249977111117893"/>
        <rFont val="Calibri"/>
        <family val="2"/>
        <scheme val="minor"/>
      </rPr>
      <t>*2</t>
    </r>
  </si>
  <si>
    <r>
      <t xml:space="preserve">Office supplies (3000 per month) </t>
    </r>
    <r>
      <rPr>
        <b/>
        <sz val="11"/>
        <color theme="5" tint="-0.249977111117893"/>
        <rFont val="Calibri"/>
        <family val="2"/>
        <scheme val="minor"/>
      </rPr>
      <t>*2</t>
    </r>
  </si>
  <si>
    <r>
      <t>Administrative costs (5,000) +</t>
    </r>
    <r>
      <rPr>
        <b/>
        <sz val="11"/>
        <color theme="5" tint="-0.249977111117893"/>
        <rFont val="Calibri"/>
        <family val="2"/>
        <scheme val="minor"/>
      </rPr>
      <t>20000</t>
    </r>
  </si>
  <si>
    <t>YEAR4</t>
  </si>
  <si>
    <t>YEAR5</t>
  </si>
  <si>
    <t>E-Wheels</t>
  </si>
  <si>
    <t>Income Statement</t>
  </si>
  <si>
    <t xml:space="preserve">Date Created: </t>
  </si>
  <si>
    <t xml:space="preserve">Date Issued: </t>
  </si>
  <si>
    <t>Net Sales</t>
  </si>
  <si>
    <t xml:space="preserve">4kW Electric Motor with Gear Box Integrated </t>
  </si>
  <si>
    <t xml:space="preserve"> Lithium Battery 76.8V54Ah</t>
  </si>
  <si>
    <t>Motor Control Unit</t>
  </si>
  <si>
    <t>Other Components</t>
  </si>
  <si>
    <t>Total Cost of Goods Sold</t>
  </si>
  <si>
    <t>Gross Profit</t>
  </si>
  <si>
    <t>Maintenance and Support</t>
  </si>
  <si>
    <t>Workshop rent</t>
  </si>
  <si>
    <t>Office supplies</t>
  </si>
  <si>
    <t>Administrative costs</t>
  </si>
  <si>
    <t>Total Operating Expenses</t>
  </si>
  <si>
    <t>DC-DC Converter</t>
  </si>
  <si>
    <t>Digital Display</t>
  </si>
  <si>
    <t xml:space="preserve">Year1 </t>
  </si>
  <si>
    <t>100 Conversion/ month</t>
  </si>
  <si>
    <t>Workforce Percentage</t>
  </si>
  <si>
    <t xml:space="preserve">proficiency </t>
  </si>
  <si>
    <t>number/convertion</t>
  </si>
  <si>
    <t>Number</t>
  </si>
  <si>
    <t>Salary</t>
  </si>
  <si>
    <t xml:space="preserve">Cost per hour </t>
  </si>
  <si>
    <t xml:space="preserve"> Total Monthly Salary </t>
  </si>
  <si>
    <t>Yearly Salary</t>
  </si>
  <si>
    <t>Column2</t>
  </si>
  <si>
    <t>Column3</t>
  </si>
  <si>
    <t>Column4</t>
  </si>
  <si>
    <t>Column5</t>
  </si>
  <si>
    <t>Column6</t>
  </si>
  <si>
    <t>Column7</t>
  </si>
  <si>
    <t>At Warsha</t>
  </si>
  <si>
    <t>work force</t>
  </si>
  <si>
    <t>number</t>
  </si>
  <si>
    <t>percent</t>
  </si>
  <si>
    <t>Mechanic</t>
  </si>
  <si>
    <t>Mechanics and Technicians</t>
  </si>
  <si>
    <t>Technicians</t>
  </si>
  <si>
    <t>Management and Administration</t>
  </si>
  <si>
    <t>supervising engineers</t>
  </si>
  <si>
    <t>Sales and Marketing</t>
  </si>
  <si>
    <t>Quality Control Inspector</t>
  </si>
  <si>
    <t>Research and Development (R&amp;D)</t>
  </si>
  <si>
    <t>storage worker</t>
  </si>
  <si>
    <t>Support Staff</t>
  </si>
  <si>
    <t>security</t>
  </si>
  <si>
    <t>At Office</t>
  </si>
  <si>
    <t>Project Manager/Supervisor</t>
  </si>
  <si>
    <t xml:space="preserve">Sales </t>
  </si>
  <si>
    <t>Customer Service</t>
  </si>
  <si>
    <t>Supply Chain Managers</t>
  </si>
  <si>
    <t>Research and Development Engineers</t>
  </si>
  <si>
    <t>Marketing Manager</t>
  </si>
  <si>
    <t>accountant</t>
  </si>
  <si>
    <t>Electricity/heat</t>
  </si>
  <si>
    <t xml:space="preserve">Manufacturing </t>
  </si>
  <si>
    <t>Industrial process</t>
  </si>
  <si>
    <t>Transport</t>
  </si>
  <si>
    <t>Building</t>
  </si>
  <si>
    <t>Agriculture</t>
  </si>
  <si>
    <t>Waste</t>
  </si>
  <si>
    <t>Other</t>
  </si>
  <si>
    <t>CO2</t>
  </si>
  <si>
    <t>European United</t>
  </si>
  <si>
    <t>World's Average</t>
  </si>
  <si>
    <t>Egypt</t>
  </si>
  <si>
    <t>YEAR0</t>
  </si>
  <si>
    <t>E-city production</t>
  </si>
  <si>
    <t>Conversion Components</t>
  </si>
  <si>
    <t>Equipment - workshop setup</t>
  </si>
  <si>
    <t>Electric Motor</t>
  </si>
  <si>
    <t xml:space="preserve">2 Batteries 48v </t>
  </si>
  <si>
    <t>REVENUE PER UNIT</t>
  </si>
  <si>
    <t xml:space="preserve">Net Profit </t>
  </si>
  <si>
    <t>Maintenance Services</t>
  </si>
  <si>
    <t>Cost of Goods Sold (Per Unit)</t>
  </si>
  <si>
    <t>11 June, 2025</t>
  </si>
  <si>
    <t>Cost of Goods Sold(one unit)</t>
  </si>
  <si>
    <t xml:space="preserve">Office Rent </t>
  </si>
  <si>
    <t>Utilities</t>
  </si>
  <si>
    <t xml:space="preserve">Insurance </t>
  </si>
  <si>
    <t>Warehouse Rent</t>
  </si>
  <si>
    <t>Leasing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</si>
</sst>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EGP]\ #,##0"/>
    <numFmt numFmtId="165" formatCode="0.0"/>
    <numFmt numFmtId="168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Open Sans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Open Sans"/>
    </font>
    <font>
      <b/>
      <sz val="11"/>
      <color rgb="FF000000"/>
      <name val="Calibri"/>
      <family val="2"/>
      <scheme val="minor"/>
    </font>
    <font>
      <b/>
      <sz val="11"/>
      <color rgb="FFC659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9"/>
      <color theme="0"/>
      <name val="Arial"/>
      <family val="2"/>
    </font>
    <font>
      <sz val="10"/>
      <color rgb="FF00000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C65911"/>
      <name val="Calibri"/>
      <family val="2"/>
    </font>
    <font>
      <b/>
      <sz val="11"/>
      <color theme="1"/>
      <name val="Open Sans"/>
    </font>
    <font>
      <b/>
      <sz val="14"/>
      <color theme="0"/>
      <name val="Open Sans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/>
      <right/>
      <top/>
      <bottom style="thick">
        <color theme="2"/>
      </bottom>
      <diagonal/>
    </border>
    <border>
      <left/>
      <right/>
      <top style="thick">
        <color theme="2"/>
      </top>
      <bottom/>
      <diagonal/>
    </border>
    <border>
      <left style="thick">
        <color indexed="64"/>
      </left>
      <right style="thin">
        <color theme="2"/>
      </right>
      <top style="thick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ck">
        <color indexed="64"/>
      </top>
      <bottom style="thin">
        <color theme="2"/>
      </bottom>
      <diagonal/>
    </border>
    <border>
      <left style="thick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indexed="64"/>
      </left>
      <right style="thin">
        <color theme="2"/>
      </right>
      <top style="thin">
        <color theme="2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theme="0"/>
      </left>
      <right/>
      <top style="medium">
        <color theme="0"/>
      </top>
      <bottom style="thin">
        <color theme="2"/>
      </bottom>
      <diagonal/>
    </border>
    <border>
      <left/>
      <right style="medium">
        <color theme="0"/>
      </right>
      <top style="medium">
        <color theme="0"/>
      </top>
      <bottom style="thin">
        <color theme="2"/>
      </bottom>
      <diagonal/>
    </border>
    <border>
      <left style="medium">
        <color theme="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0"/>
      </right>
      <top style="thin">
        <color theme="2"/>
      </top>
      <bottom style="thin">
        <color theme="2"/>
      </bottom>
      <diagonal/>
    </border>
    <border>
      <left style="medium">
        <color theme="0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medium">
        <color theme="0"/>
      </right>
      <top style="thin">
        <color theme="2"/>
      </top>
      <bottom/>
      <diagonal/>
    </border>
    <border>
      <left style="medium">
        <color theme="0"/>
      </left>
      <right/>
      <top style="thick">
        <color indexed="64"/>
      </top>
      <bottom/>
      <diagonal/>
    </border>
    <border>
      <left/>
      <right style="medium">
        <color theme="0"/>
      </right>
      <top style="thick">
        <color indexed="64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0" borderId="0"/>
    <xf numFmtId="0" fontId="18" fillId="13" borderId="0" applyNumberFormat="0" applyBorder="0" applyAlignment="0" applyProtection="0"/>
    <xf numFmtId="43" fontId="18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6" fillId="0" borderId="3" xfId="0" applyFont="1" applyBorder="1"/>
    <xf numFmtId="16" fontId="6" fillId="0" borderId="1" xfId="0" applyNumberFormat="1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4" borderId="0" xfId="0" applyFont="1" applyFill="1"/>
    <xf numFmtId="3" fontId="0" fillId="5" borderId="0" xfId="0" applyNumberFormat="1" applyFill="1"/>
    <xf numFmtId="0" fontId="7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6" fillId="0" borderId="8" xfId="0" applyFont="1" applyBorder="1"/>
    <xf numFmtId="3" fontId="6" fillId="0" borderId="1" xfId="0" applyNumberFormat="1" applyFont="1" applyBorder="1"/>
    <xf numFmtId="0" fontId="11" fillId="7" borderId="8" xfId="0" applyFont="1" applyFill="1" applyBorder="1"/>
    <xf numFmtId="0" fontId="11" fillId="7" borderId="4" xfId="0" applyFont="1" applyFill="1" applyBorder="1"/>
    <xf numFmtId="0" fontId="10" fillId="8" borderId="7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13" fillId="7" borderId="0" xfId="0" applyFont="1" applyFill="1"/>
    <xf numFmtId="0" fontId="8" fillId="8" borderId="1" xfId="0" applyFont="1" applyFill="1" applyBorder="1"/>
    <xf numFmtId="0" fontId="8" fillId="0" borderId="1" xfId="0" applyFont="1" applyBorder="1"/>
    <xf numFmtId="0" fontId="8" fillId="0" borderId="0" xfId="0" applyFont="1"/>
    <xf numFmtId="0" fontId="10" fillId="7" borderId="9" xfId="0" applyFont="1" applyFill="1" applyBorder="1" applyAlignment="1">
      <alignment horizontal="center"/>
    </xf>
    <xf numFmtId="1" fontId="10" fillId="7" borderId="9" xfId="0" applyNumberFormat="1" applyFont="1" applyFill="1" applyBorder="1" applyAlignment="1">
      <alignment horizontal="center"/>
    </xf>
    <xf numFmtId="0" fontId="12" fillId="7" borderId="0" xfId="0" applyFont="1" applyFill="1"/>
    <xf numFmtId="3" fontId="12" fillId="7" borderId="0" xfId="0" applyNumberFormat="1" applyFont="1" applyFill="1"/>
    <xf numFmtId="0" fontId="12" fillId="0" borderId="0" xfId="0" applyFont="1"/>
    <xf numFmtId="0" fontId="7" fillId="3" borderId="0" xfId="0" applyFont="1" applyFill="1"/>
    <xf numFmtId="0" fontId="5" fillId="6" borderId="0" xfId="0" applyFont="1" applyFill="1"/>
    <xf numFmtId="0" fontId="12" fillId="7" borderId="9" xfId="0" applyFont="1" applyFill="1" applyBorder="1"/>
    <xf numFmtId="3" fontId="12" fillId="7" borderId="9" xfId="0" applyNumberFormat="1" applyFont="1" applyFill="1" applyBorder="1"/>
    <xf numFmtId="0" fontId="12" fillId="7" borderId="9" xfId="0" applyFont="1" applyFill="1" applyBorder="1" applyAlignment="1">
      <alignment wrapText="1"/>
    </xf>
    <xf numFmtId="2" fontId="12" fillId="7" borderId="9" xfId="0" applyNumberFormat="1" applyFont="1" applyFill="1" applyBorder="1" applyAlignment="1">
      <alignment vertical="center"/>
    </xf>
    <xf numFmtId="0" fontId="15" fillId="9" borderId="0" xfId="0" applyFont="1" applyFill="1"/>
    <xf numFmtId="0" fontId="7" fillId="9" borderId="0" xfId="0" applyFont="1" applyFill="1"/>
    <xf numFmtId="9" fontId="7" fillId="9" borderId="0" xfId="0" applyNumberFormat="1" applyFont="1" applyFill="1"/>
    <xf numFmtId="3" fontId="1" fillId="0" borderId="0" xfId="0" applyNumberFormat="1" applyFont="1"/>
    <xf numFmtId="9" fontId="1" fillId="10" borderId="0" xfId="0" applyNumberFormat="1" applyFont="1" applyFill="1" applyAlignment="1">
      <alignment horizontal="center" vertical="center"/>
    </xf>
    <xf numFmtId="3" fontId="10" fillId="7" borderId="9" xfId="0" applyNumberFormat="1" applyFont="1" applyFill="1" applyBorder="1" applyAlignment="1">
      <alignment horizontal="center"/>
    </xf>
    <xf numFmtId="0" fontId="20" fillId="14" borderId="0" xfId="3" applyFont="1" applyFill="1" applyAlignment="1">
      <alignment horizontal="left" vertical="top" wrapText="1"/>
    </xf>
    <xf numFmtId="0" fontId="19" fillId="0" borderId="0" xfId="3"/>
    <xf numFmtId="0" fontId="21" fillId="0" borderId="0" xfId="3" applyFont="1" applyAlignment="1">
      <alignment horizontal="left" vertical="top"/>
    </xf>
    <xf numFmtId="0" fontId="25" fillId="17" borderId="22" xfId="3" applyFont="1" applyFill="1" applyBorder="1" applyAlignment="1" applyProtection="1">
      <alignment vertical="center"/>
      <protection locked="0"/>
    </xf>
    <xf numFmtId="0" fontId="25" fillId="17" borderId="23" xfId="3" applyFont="1" applyFill="1" applyBorder="1" applyAlignment="1" applyProtection="1">
      <alignment vertical="center"/>
      <protection locked="0"/>
    </xf>
    <xf numFmtId="0" fontId="25" fillId="17" borderId="22" xfId="3" applyFont="1" applyFill="1" applyBorder="1" applyAlignment="1" applyProtection="1">
      <alignment horizontal="left" vertical="center"/>
      <protection locked="0"/>
    </xf>
    <xf numFmtId="0" fontId="25" fillId="17" borderId="23" xfId="3" applyFont="1" applyFill="1" applyBorder="1" applyAlignment="1" applyProtection="1">
      <alignment horizontal="left" vertical="center"/>
      <protection locked="0"/>
    </xf>
    <xf numFmtId="3" fontId="1" fillId="0" borderId="0" xfId="0" applyNumberFormat="1" applyFont="1" applyAlignment="1">
      <alignment horizontal="center" vertical="center"/>
    </xf>
    <xf numFmtId="0" fontId="31" fillId="6" borderId="0" xfId="0" applyFont="1" applyFill="1"/>
    <xf numFmtId="0" fontId="1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1" fontId="10" fillId="7" borderId="0" xfId="0" applyNumberFormat="1" applyFont="1" applyFill="1" applyAlignment="1">
      <alignment horizontal="center"/>
    </xf>
    <xf numFmtId="1" fontId="10" fillId="7" borderId="25" xfId="0" applyNumberFormat="1" applyFont="1" applyFill="1" applyBorder="1"/>
    <xf numFmtId="1" fontId="10" fillId="7" borderId="11" xfId="0" applyNumberFormat="1" applyFont="1" applyFill="1" applyBorder="1"/>
    <xf numFmtId="1" fontId="1" fillId="0" borderId="0" xfId="0" applyNumberFormat="1" applyFont="1" applyAlignment="1">
      <alignment horizontal="center" vertical="center"/>
    </xf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  <xf numFmtId="0" fontId="0" fillId="15" borderId="0" xfId="0" applyFill="1"/>
    <xf numFmtId="0" fontId="8" fillId="7" borderId="0" xfId="0" applyFont="1" applyFill="1"/>
    <xf numFmtId="0" fontId="33" fillId="7" borderId="0" xfId="0" applyFont="1" applyFill="1"/>
    <xf numFmtId="0" fontId="34" fillId="0" borderId="1" xfId="0" applyFont="1" applyBorder="1"/>
    <xf numFmtId="0" fontId="35" fillId="18" borderId="12" xfId="0" applyFont="1" applyFill="1" applyBorder="1" applyAlignment="1">
      <alignment horizontal="center"/>
    </xf>
    <xf numFmtId="0" fontId="35" fillId="18" borderId="10" xfId="0" applyFont="1" applyFill="1" applyBorder="1" applyAlignment="1">
      <alignment horizontal="center"/>
    </xf>
    <xf numFmtId="10" fontId="1" fillId="18" borderId="18" xfId="0" applyNumberFormat="1" applyFont="1" applyFill="1" applyBorder="1" applyAlignment="1">
      <alignment horizontal="center" vertical="center"/>
    </xf>
    <xf numFmtId="10" fontId="1" fillId="18" borderId="0" xfId="0" applyNumberFormat="1" applyFont="1" applyFill="1" applyAlignment="1">
      <alignment horizontal="center" vertical="center"/>
    </xf>
    <xf numFmtId="0" fontId="35" fillId="18" borderId="11" xfId="0" applyFont="1" applyFill="1" applyBorder="1" applyAlignment="1">
      <alignment horizontal="center"/>
    </xf>
    <xf numFmtId="1" fontId="1" fillId="18" borderId="25" xfId="0" applyNumberFormat="1" applyFont="1" applyFill="1" applyBorder="1" applyAlignment="1">
      <alignment horizontal="center" vertical="center"/>
    </xf>
    <xf numFmtId="1" fontId="1" fillId="18" borderId="26" xfId="0" applyNumberFormat="1" applyFont="1" applyFill="1" applyBorder="1" applyAlignment="1">
      <alignment horizontal="center" vertical="center"/>
    </xf>
    <xf numFmtId="3" fontId="1" fillId="18" borderId="14" xfId="0" applyNumberFormat="1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/>
    </xf>
    <xf numFmtId="0" fontId="2" fillId="19" borderId="14" xfId="0" applyFont="1" applyFill="1" applyBorder="1" applyAlignment="1">
      <alignment horizontal="center"/>
    </xf>
    <xf numFmtId="0" fontId="2" fillId="19" borderId="17" xfId="0" applyFont="1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/>
    </xf>
    <xf numFmtId="0" fontId="35" fillId="14" borderId="10" xfId="0" applyFont="1" applyFill="1" applyBorder="1" applyAlignment="1">
      <alignment horizontal="center" wrapText="1"/>
    </xf>
    <xf numFmtId="9" fontId="1" fillId="14" borderId="15" xfId="0" applyNumberFormat="1" applyFont="1" applyFill="1" applyBorder="1" applyAlignment="1">
      <alignment horizontal="center" vertical="center"/>
    </xf>
    <xf numFmtId="0" fontId="35" fillId="14" borderId="11" xfId="0" applyFont="1" applyFill="1" applyBorder="1" applyAlignment="1">
      <alignment horizontal="center"/>
    </xf>
    <xf numFmtId="1" fontId="1" fillId="14" borderId="15" xfId="0" applyNumberFormat="1" applyFont="1" applyFill="1" applyBorder="1" applyAlignment="1">
      <alignment horizontal="center" vertical="center"/>
    </xf>
    <xf numFmtId="3" fontId="1" fillId="14" borderId="15" xfId="0" applyNumberFormat="1" applyFont="1" applyFill="1" applyBorder="1" applyAlignment="1">
      <alignment horizontal="center" vertical="center"/>
    </xf>
    <xf numFmtId="0" fontId="35" fillId="11" borderId="12" xfId="0" applyFont="1" applyFill="1" applyBorder="1" applyAlignment="1">
      <alignment horizontal="center"/>
    </xf>
    <xf numFmtId="3" fontId="1" fillId="11" borderId="15" xfId="0" applyNumberFormat="1" applyFont="1" applyFill="1" applyBorder="1" applyAlignment="1">
      <alignment horizontal="center" vertical="center"/>
    </xf>
    <xf numFmtId="3" fontId="1" fillId="11" borderId="0" xfId="0" applyNumberFormat="1" applyFont="1" applyFill="1" applyAlignment="1">
      <alignment horizontal="center" vertical="center"/>
    </xf>
    <xf numFmtId="0" fontId="35" fillId="11" borderId="10" xfId="0" applyFont="1" applyFill="1" applyBorder="1" applyAlignment="1">
      <alignment horizontal="center"/>
    </xf>
    <xf numFmtId="0" fontId="36" fillId="20" borderId="10" xfId="0" applyFont="1" applyFill="1" applyBorder="1" applyAlignment="1">
      <alignment horizontal="center"/>
    </xf>
    <xf numFmtId="3" fontId="12" fillId="20" borderId="14" xfId="0" applyNumberFormat="1" applyFont="1" applyFill="1" applyBorder="1" applyAlignment="1">
      <alignment horizontal="center" vertical="center"/>
    </xf>
    <xf numFmtId="1" fontId="7" fillId="3" borderId="0" xfId="0" applyNumberFormat="1" applyFont="1" applyFill="1"/>
    <xf numFmtId="0" fontId="35" fillId="21" borderId="10" xfId="0" applyFont="1" applyFill="1" applyBorder="1" applyAlignment="1">
      <alignment horizontal="center"/>
    </xf>
    <xf numFmtId="3" fontId="1" fillId="21" borderId="15" xfId="0" applyNumberFormat="1" applyFont="1" applyFill="1" applyBorder="1" applyAlignment="1">
      <alignment horizontal="center" vertical="center"/>
    </xf>
    <xf numFmtId="3" fontId="7" fillId="9" borderId="0" xfId="0" applyNumberFormat="1" applyFont="1" applyFill="1"/>
    <xf numFmtId="10" fontId="1" fillId="21" borderId="18" xfId="0" applyNumberFormat="1" applyFont="1" applyFill="1" applyBorder="1" applyAlignment="1">
      <alignment horizontal="center" vertical="center"/>
    </xf>
    <xf numFmtId="3" fontId="37" fillId="21" borderId="15" xfId="0" applyNumberFormat="1" applyFont="1" applyFill="1" applyBorder="1" applyAlignment="1">
      <alignment horizontal="center" vertical="center"/>
    </xf>
    <xf numFmtId="3" fontId="38" fillId="21" borderId="15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1" fillId="14" borderId="0" xfId="0" applyFont="1" applyFill="1"/>
    <xf numFmtId="3" fontId="1" fillId="14" borderId="0" xfId="0" applyNumberFormat="1" applyFont="1" applyFill="1"/>
    <xf numFmtId="10" fontId="1" fillId="0" borderId="0" xfId="0" applyNumberFormat="1" applyFont="1"/>
    <xf numFmtId="168" fontId="1" fillId="0" borderId="0" xfId="5" applyNumberFormat="1" applyFont="1"/>
    <xf numFmtId="0" fontId="5" fillId="23" borderId="27" xfId="0" applyFont="1" applyFill="1" applyBorder="1"/>
    <xf numFmtId="3" fontId="1" fillId="4" borderId="27" xfId="0" applyNumberFormat="1" applyFont="1" applyFill="1" applyBorder="1"/>
    <xf numFmtId="0" fontId="4" fillId="5" borderId="27" xfId="0" applyFont="1" applyFill="1" applyBorder="1" applyAlignment="1">
      <alignment horizontal="center"/>
    </xf>
    <xf numFmtId="3" fontId="0" fillId="5" borderId="27" xfId="0" applyNumberFormat="1" applyFill="1" applyBorder="1"/>
    <xf numFmtId="0" fontId="1" fillId="4" borderId="27" xfId="0" applyFont="1" applyFill="1" applyBorder="1"/>
    <xf numFmtId="0" fontId="1" fillId="4" borderId="28" xfId="0" applyFont="1" applyFill="1" applyBorder="1"/>
    <xf numFmtId="0" fontId="4" fillId="5" borderId="28" xfId="0" applyFont="1" applyFill="1" applyBorder="1" applyAlignment="1">
      <alignment horizontal="center"/>
    </xf>
    <xf numFmtId="3" fontId="0" fillId="5" borderId="28" xfId="0" applyNumberFormat="1" applyFill="1" applyBorder="1"/>
    <xf numFmtId="0" fontId="1" fillId="0" borderId="30" xfId="0" applyFont="1" applyBorder="1"/>
    <xf numFmtId="0" fontId="1" fillId="0" borderId="29" xfId="0" applyFont="1" applyBorder="1"/>
    <xf numFmtId="0" fontId="1" fillId="0" borderId="31" xfId="0" applyFont="1" applyBorder="1"/>
    <xf numFmtId="0" fontId="7" fillId="3" borderId="32" xfId="0" applyFont="1" applyFill="1" applyBorder="1" applyAlignment="1">
      <alignment horizontal="center"/>
    </xf>
    <xf numFmtId="1" fontId="7" fillId="3" borderId="33" xfId="0" applyNumberFormat="1" applyFont="1" applyFill="1" applyBorder="1" applyAlignment="1">
      <alignment horizontal="center"/>
    </xf>
    <xf numFmtId="0" fontId="7" fillId="3" borderId="33" xfId="0" applyFont="1" applyFill="1" applyBorder="1"/>
    <xf numFmtId="0" fontId="31" fillId="23" borderId="34" xfId="0" applyFont="1" applyFill="1" applyBorder="1"/>
    <xf numFmtId="0" fontId="5" fillId="4" borderId="34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3" fontId="12" fillId="22" borderId="36" xfId="0" applyNumberFormat="1" applyFont="1" applyFill="1" applyBorder="1"/>
    <xf numFmtId="3" fontId="12" fillId="22" borderId="37" xfId="0" applyNumberFormat="1" applyFont="1" applyFill="1" applyBorder="1"/>
    <xf numFmtId="0" fontId="12" fillId="22" borderId="38" xfId="0" applyFont="1" applyFill="1" applyBorder="1"/>
    <xf numFmtId="3" fontId="12" fillId="22" borderId="39" xfId="0" applyNumberFormat="1" applyFont="1" applyFill="1" applyBorder="1"/>
    <xf numFmtId="0" fontId="7" fillId="17" borderId="0" xfId="0" applyFont="1" applyFill="1"/>
    <xf numFmtId="0" fontId="5" fillId="17" borderId="0" xfId="0" applyFont="1" applyFill="1"/>
    <xf numFmtId="3" fontId="0" fillId="17" borderId="0" xfId="0" applyNumberFormat="1" applyFill="1"/>
    <xf numFmtId="3" fontId="12" fillId="17" borderId="0" xfId="0" applyNumberFormat="1" applyFont="1" applyFill="1"/>
    <xf numFmtId="0" fontId="1" fillId="17" borderId="0" xfId="0" applyFont="1" applyFill="1"/>
    <xf numFmtId="3" fontId="1" fillId="17" borderId="0" xfId="0" applyNumberFormat="1" applyFont="1" applyFill="1"/>
    <xf numFmtId="0" fontId="4" fillId="4" borderId="42" xfId="0" applyFont="1" applyFill="1" applyBorder="1" applyAlignment="1">
      <alignment horizontal="center"/>
    </xf>
    <xf numFmtId="0" fontId="1" fillId="4" borderId="43" xfId="0" applyFont="1" applyFill="1" applyBorder="1"/>
    <xf numFmtId="0" fontId="1" fillId="4" borderId="42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45" xfId="0" applyFont="1" applyFill="1" applyBorder="1"/>
    <xf numFmtId="3" fontId="12" fillId="22" borderId="48" xfId="0" applyNumberFormat="1" applyFont="1" applyFill="1" applyBorder="1"/>
    <xf numFmtId="3" fontId="12" fillId="22" borderId="49" xfId="0" applyNumberFormat="1" applyFont="1" applyFill="1" applyBorder="1"/>
    <xf numFmtId="0" fontId="5" fillId="23" borderId="27" xfId="0" applyFont="1" applyFill="1" applyBorder="1" applyAlignment="1">
      <alignment horizontal="center"/>
    </xf>
    <xf numFmtId="43" fontId="1" fillId="0" borderId="0" xfId="5" applyFont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3" fontId="1" fillId="21" borderId="0" xfId="0" applyNumberFormat="1" applyFont="1" applyFill="1" applyAlignment="1">
      <alignment horizontal="center" vertical="center"/>
    </xf>
    <xf numFmtId="0" fontId="24" fillId="17" borderId="5" xfId="3" applyFont="1" applyFill="1" applyBorder="1" applyAlignment="1">
      <alignment vertical="top"/>
    </xf>
    <xf numFmtId="0" fontId="24" fillId="17" borderId="5" xfId="3" applyFont="1" applyFill="1" applyBorder="1" applyAlignment="1">
      <alignment horizontal="center" vertical="top"/>
    </xf>
    <xf numFmtId="164" fontId="39" fillId="0" borderId="19" xfId="3" applyNumberFormat="1" applyFont="1" applyBorder="1" applyAlignment="1" applyProtection="1">
      <alignment horizontal="right" vertical="center" shrinkToFit="1" readingOrder="1"/>
      <protection locked="0"/>
    </xf>
    <xf numFmtId="164" fontId="40" fillId="12" borderId="19" xfId="1" applyNumberFormat="1" applyFont="1" applyBorder="1" applyAlignment="1">
      <alignment horizontal="right" vertical="center" readingOrder="1"/>
    </xf>
    <xf numFmtId="0" fontId="21" fillId="17" borderId="5" xfId="3" applyFont="1" applyFill="1" applyBorder="1" applyAlignment="1">
      <alignment vertical="top"/>
    </xf>
    <xf numFmtId="0" fontId="25" fillId="17" borderId="0" xfId="3" applyFont="1" applyFill="1" applyAlignment="1">
      <alignment horizontal="center" vertical="center"/>
    </xf>
    <xf numFmtId="0" fontId="21" fillId="17" borderId="0" xfId="3" applyFont="1" applyFill="1" applyAlignment="1">
      <alignment vertical="top"/>
    </xf>
    <xf numFmtId="0" fontId="24" fillId="17" borderId="0" xfId="3" applyFont="1" applyFill="1" applyAlignment="1">
      <alignment horizontal="center" vertical="top"/>
    </xf>
    <xf numFmtId="0" fontId="24" fillId="17" borderId="0" xfId="3" applyFont="1" applyFill="1" applyAlignment="1">
      <alignment vertical="top"/>
    </xf>
    <xf numFmtId="0" fontId="27" fillId="12" borderId="50" xfId="1" applyFont="1" applyBorder="1" applyAlignment="1">
      <alignment horizontal="center" vertical="center"/>
    </xf>
    <xf numFmtId="0" fontId="27" fillId="12" borderId="51" xfId="1" applyFont="1" applyBorder="1" applyAlignment="1">
      <alignment horizontal="center" vertical="center"/>
    </xf>
    <xf numFmtId="164" fontId="39" fillId="0" borderId="21" xfId="3" applyNumberFormat="1" applyFont="1" applyBorder="1" applyAlignment="1" applyProtection="1">
      <alignment horizontal="right" vertical="center" shrinkToFit="1" readingOrder="1"/>
      <protection locked="0"/>
    </xf>
    <xf numFmtId="0" fontId="27" fillId="12" borderId="52" xfId="1" applyFont="1" applyBorder="1" applyAlignment="1">
      <alignment horizontal="center" vertical="center"/>
    </xf>
    <xf numFmtId="164" fontId="39" fillId="0" borderId="52" xfId="3" applyNumberFormat="1" applyFont="1" applyBorder="1" applyAlignment="1" applyProtection="1">
      <alignment horizontal="right" vertical="center" shrinkToFit="1" readingOrder="1"/>
      <protection locked="0"/>
    </xf>
    <xf numFmtId="164" fontId="40" fillId="12" borderId="21" xfId="1" applyNumberFormat="1" applyFont="1" applyBorder="1" applyAlignment="1">
      <alignment horizontal="right" vertical="center" readingOrder="1"/>
    </xf>
    <xf numFmtId="164" fontId="39" fillId="0" borderId="53" xfId="3" applyNumberFormat="1" applyFont="1" applyBorder="1" applyAlignment="1" applyProtection="1">
      <alignment horizontal="right" vertical="center" shrinkToFit="1" readingOrder="1"/>
      <protection locked="0"/>
    </xf>
    <xf numFmtId="164" fontId="39" fillId="0" borderId="50" xfId="3" applyNumberFormat="1" applyFont="1" applyBorder="1" applyAlignment="1" applyProtection="1">
      <alignment horizontal="right" vertical="center" shrinkToFit="1" readingOrder="1"/>
      <protection locked="0"/>
    </xf>
    <xf numFmtId="164" fontId="40" fillId="12" borderId="53" xfId="1" applyNumberFormat="1" applyFont="1" applyBorder="1" applyAlignment="1">
      <alignment horizontal="right" vertical="center" readingOrder="1"/>
    </xf>
    <xf numFmtId="0" fontId="22" fillId="14" borderId="57" xfId="3" applyFont="1" applyFill="1" applyBorder="1" applyAlignment="1">
      <alignment horizontal="left" vertical="top" wrapText="1"/>
    </xf>
    <xf numFmtId="0" fontId="23" fillId="17" borderId="57" xfId="3" applyFont="1" applyFill="1" applyBorder="1" applyAlignment="1">
      <alignment horizontal="center" vertical="center"/>
    </xf>
    <xf numFmtId="0" fontId="23" fillId="17" borderId="0" xfId="3" applyFont="1" applyFill="1" applyAlignment="1">
      <alignment horizontal="center" vertical="center"/>
    </xf>
    <xf numFmtId="0" fontId="25" fillId="17" borderId="62" xfId="3" applyFont="1" applyFill="1" applyBorder="1" applyAlignment="1" applyProtection="1">
      <alignment vertical="center"/>
      <protection locked="0"/>
    </xf>
    <xf numFmtId="0" fontId="0" fillId="17" borderId="57" xfId="0" applyFill="1" applyBorder="1"/>
    <xf numFmtId="164" fontId="41" fillId="14" borderId="55" xfId="2" applyNumberFormat="1" applyFont="1" applyFill="1" applyBorder="1" applyAlignment="1">
      <alignment horizontal="right" vertical="center" shrinkToFit="1" readingOrder="1"/>
    </xf>
    <xf numFmtId="164" fontId="39" fillId="0" borderId="23" xfId="3" applyNumberFormat="1" applyFont="1" applyBorder="1" applyAlignment="1" applyProtection="1">
      <alignment horizontal="right" vertical="center" shrinkToFit="1" readingOrder="1"/>
      <protection locked="0"/>
    </xf>
    <xf numFmtId="164" fontId="41" fillId="14" borderId="63" xfId="2" applyNumberFormat="1" applyFont="1" applyFill="1" applyBorder="1" applyAlignment="1">
      <alignment horizontal="right" vertical="center" shrinkToFit="1" readingOrder="1"/>
    </xf>
    <xf numFmtId="164" fontId="40" fillId="12" borderId="23" xfId="1" applyNumberFormat="1" applyFont="1" applyBorder="1" applyAlignment="1">
      <alignment horizontal="right" vertical="center" readingOrder="1"/>
    </xf>
    <xf numFmtId="0" fontId="25" fillId="17" borderId="64" xfId="3" applyFont="1" applyFill="1" applyBorder="1" applyAlignment="1" applyProtection="1">
      <alignment vertical="center"/>
      <protection locked="0"/>
    </xf>
    <xf numFmtId="0" fontId="25" fillId="17" borderId="65" xfId="3" applyFont="1" applyFill="1" applyBorder="1" applyAlignment="1" applyProtection="1">
      <alignment vertical="center"/>
      <protection locked="0"/>
    </xf>
    <xf numFmtId="0" fontId="25" fillId="17" borderId="66" xfId="3" applyFont="1" applyFill="1" applyBorder="1" applyAlignment="1" applyProtection="1">
      <alignment vertical="center"/>
      <protection locked="0"/>
    </xf>
    <xf numFmtId="164" fontId="39" fillId="0" borderId="66" xfId="3" applyNumberFormat="1" applyFont="1" applyBorder="1" applyAlignment="1" applyProtection="1">
      <alignment horizontal="right" vertical="center" shrinkToFit="1" readingOrder="1"/>
      <protection locked="0"/>
    </xf>
    <xf numFmtId="164" fontId="39" fillId="0" borderId="51" xfId="3" applyNumberFormat="1" applyFont="1" applyBorder="1" applyAlignment="1" applyProtection="1">
      <alignment horizontal="right" vertical="center" shrinkToFit="1" readingOrder="1"/>
      <protection locked="0"/>
    </xf>
    <xf numFmtId="164" fontId="39" fillId="0" borderId="67" xfId="3" applyNumberFormat="1" applyFont="1" applyBorder="1" applyAlignment="1" applyProtection="1">
      <alignment horizontal="right" vertical="center" shrinkToFit="1" readingOrder="1"/>
      <protection locked="0"/>
    </xf>
    <xf numFmtId="0" fontId="25" fillId="17" borderId="56" xfId="3" applyFont="1" applyFill="1" applyBorder="1" applyAlignment="1">
      <alignment horizontal="center" vertical="center"/>
    </xf>
    <xf numFmtId="0" fontId="20" fillId="14" borderId="71" xfId="3" applyFont="1" applyFill="1" applyBorder="1" applyAlignment="1">
      <alignment horizontal="left" vertical="top" wrapText="1"/>
    </xf>
    <xf numFmtId="0" fontId="24" fillId="17" borderId="71" xfId="3" applyFont="1" applyFill="1" applyBorder="1" applyAlignment="1">
      <alignment vertical="top"/>
    </xf>
    <xf numFmtId="0" fontId="24" fillId="17" borderId="72" xfId="3" applyFont="1" applyFill="1" applyBorder="1" applyAlignment="1">
      <alignment vertical="top"/>
    </xf>
    <xf numFmtId="164" fontId="41" fillId="14" borderId="54" xfId="2" applyNumberFormat="1" applyFont="1" applyFill="1" applyBorder="1" applyAlignment="1">
      <alignment horizontal="right" vertical="center" shrinkToFit="1" readingOrder="1"/>
    </xf>
    <xf numFmtId="164" fontId="39" fillId="0" borderId="73" xfId="3" applyNumberFormat="1" applyFont="1" applyBorder="1" applyAlignment="1" applyProtection="1">
      <alignment horizontal="right" vertical="center" shrinkToFit="1" readingOrder="1"/>
      <protection locked="0"/>
    </xf>
    <xf numFmtId="168" fontId="11" fillId="7" borderId="4" xfId="5" applyNumberFormat="1" applyFont="1" applyFill="1" applyBorder="1"/>
    <xf numFmtId="168" fontId="6" fillId="8" borderId="4" xfId="5" applyNumberFormat="1" applyFont="1" applyFill="1" applyBorder="1"/>
    <xf numFmtId="0" fontId="1" fillId="18" borderId="16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3" fontId="1" fillId="11" borderId="15" xfId="0" applyNumberFormat="1" applyFont="1" applyFill="1" applyBorder="1" applyAlignment="1">
      <alignment horizontal="center" vertical="center"/>
    </xf>
    <xf numFmtId="3" fontId="1" fillId="11" borderId="0" xfId="0" applyNumberFormat="1" applyFont="1" applyFill="1" applyAlignment="1">
      <alignment horizontal="center" vertical="center"/>
    </xf>
    <xf numFmtId="0" fontId="1" fillId="14" borderId="12" xfId="0" applyFont="1" applyFill="1" applyBorder="1" applyAlignment="1">
      <alignment horizontal="center"/>
    </xf>
    <xf numFmtId="1" fontId="10" fillId="7" borderId="25" xfId="0" applyNumberFormat="1" applyFont="1" applyFill="1" applyBorder="1" applyAlignment="1">
      <alignment horizontal="center"/>
    </xf>
    <xf numFmtId="1" fontId="10" fillId="7" borderId="26" xfId="0" applyNumberFormat="1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1" fontId="10" fillId="7" borderId="11" xfId="0" applyNumberFormat="1" applyFont="1" applyFill="1" applyBorder="1" applyAlignment="1">
      <alignment horizontal="center"/>
    </xf>
    <xf numFmtId="0" fontId="29" fillId="15" borderId="61" xfId="4" applyFont="1" applyFill="1" applyBorder="1" applyAlignment="1">
      <alignment horizontal="left" vertical="center"/>
    </xf>
    <xf numFmtId="0" fontId="29" fillId="15" borderId="24" xfId="4" applyFont="1" applyFill="1" applyBorder="1" applyAlignment="1" applyProtection="1">
      <alignment horizontal="left" vertical="center"/>
    </xf>
    <xf numFmtId="0" fontId="29" fillId="14" borderId="70" xfId="2" applyFont="1" applyFill="1" applyBorder="1" applyAlignment="1">
      <alignment horizontal="left" vertical="center"/>
    </xf>
    <xf numFmtId="0" fontId="29" fillId="14" borderId="74" xfId="2" applyFont="1" applyFill="1" applyBorder="1" applyAlignment="1">
      <alignment horizontal="left" vertical="center"/>
    </xf>
    <xf numFmtId="0" fontId="29" fillId="14" borderId="63" xfId="2" applyFont="1" applyFill="1" applyBorder="1" applyAlignment="1">
      <alignment horizontal="left" vertical="center"/>
    </xf>
    <xf numFmtId="0" fontId="27" fillId="12" borderId="59" xfId="1" applyFont="1" applyBorder="1" applyAlignment="1">
      <alignment horizontal="left" vertical="center"/>
    </xf>
    <xf numFmtId="0" fontId="27" fillId="12" borderId="50" xfId="1" applyFont="1" applyBorder="1" applyAlignment="1">
      <alignment horizontal="left" vertical="center"/>
    </xf>
    <xf numFmtId="0" fontId="28" fillId="15" borderId="60" xfId="4" applyFont="1" applyFill="1" applyBorder="1" applyAlignment="1">
      <alignment horizontal="left" vertical="center"/>
    </xf>
    <xf numFmtId="0" fontId="28" fillId="15" borderId="19" xfId="4" applyFont="1" applyFill="1" applyBorder="1" applyAlignment="1" applyProtection="1">
      <alignment horizontal="left" vertical="center"/>
    </xf>
    <xf numFmtId="0" fontId="30" fillId="16" borderId="60" xfId="4" applyFont="1" applyFill="1" applyBorder="1" applyAlignment="1">
      <alignment horizontal="left" vertical="center"/>
    </xf>
    <xf numFmtId="0" fontId="30" fillId="16" borderId="19" xfId="4" applyFont="1" applyFill="1" applyBorder="1" applyAlignment="1" applyProtection="1">
      <alignment horizontal="left" vertical="center"/>
    </xf>
    <xf numFmtId="0" fontId="20" fillId="14" borderId="68" xfId="3" applyFont="1" applyFill="1" applyBorder="1" applyAlignment="1">
      <alignment horizontal="left" vertical="top" wrapText="1"/>
    </xf>
    <xf numFmtId="0" fontId="20" fillId="14" borderId="6" xfId="3" applyFont="1" applyFill="1" applyBorder="1" applyAlignment="1">
      <alignment horizontal="left" vertical="top" wrapText="1"/>
    </xf>
    <xf numFmtId="0" fontId="20" fillId="14" borderId="6" xfId="3" applyFont="1" applyFill="1" applyBorder="1" applyAlignment="1">
      <alignment horizontal="right" vertical="top" wrapText="1"/>
    </xf>
    <xf numFmtId="0" fontId="20" fillId="14" borderId="8" xfId="3" applyFont="1" applyFill="1" applyBorder="1" applyAlignment="1">
      <alignment horizontal="right" vertical="top" wrapText="1"/>
    </xf>
    <xf numFmtId="0" fontId="26" fillId="12" borderId="58" xfId="1" applyFont="1" applyBorder="1" applyAlignment="1">
      <alignment horizontal="left" vertical="center"/>
    </xf>
    <xf numFmtId="0" fontId="26" fillId="12" borderId="20" xfId="1" applyFont="1" applyBorder="1" applyAlignment="1">
      <alignment horizontal="left" vertical="center"/>
    </xf>
    <xf numFmtId="0" fontId="26" fillId="12" borderId="50" xfId="1" applyFont="1" applyBorder="1" applyAlignment="1">
      <alignment horizontal="left" vertical="center"/>
    </xf>
    <xf numFmtId="0" fontId="26" fillId="12" borderId="69" xfId="1" applyFont="1" applyBorder="1" applyAlignment="1">
      <alignment horizontal="left" vertical="center"/>
    </xf>
    <xf numFmtId="0" fontId="27" fillId="12" borderId="60" xfId="1" applyFont="1" applyBorder="1" applyAlignment="1">
      <alignment horizontal="left" vertical="center"/>
    </xf>
    <xf numFmtId="0" fontId="25" fillId="0" borderId="59" xfId="3" applyFont="1" applyBorder="1" applyAlignment="1" applyProtection="1">
      <alignment horizontal="left" vertical="center"/>
      <protection locked="0"/>
    </xf>
    <xf numFmtId="0" fontId="25" fillId="0" borderId="50" xfId="3" applyFont="1" applyBorder="1" applyAlignment="1" applyProtection="1">
      <alignment horizontal="left" vertical="center"/>
      <protection locked="0"/>
    </xf>
    <xf numFmtId="0" fontId="25" fillId="0" borderId="60" xfId="3" applyFont="1" applyBorder="1" applyAlignment="1" applyProtection="1">
      <alignment horizontal="left" vertical="center"/>
      <protection locked="0"/>
    </xf>
    <xf numFmtId="0" fontId="25" fillId="0" borderId="19" xfId="3" applyFont="1" applyBorder="1" applyAlignment="1" applyProtection="1">
      <alignment horizontal="left" vertical="center"/>
      <protection locked="0"/>
    </xf>
    <xf numFmtId="0" fontId="5" fillId="6" borderId="0" xfId="0" applyFont="1" applyFill="1" applyAlignment="1">
      <alignment horizontal="center"/>
    </xf>
    <xf numFmtId="0" fontId="5" fillId="23" borderId="42" xfId="0" applyFont="1" applyFill="1" applyBorder="1" applyAlignment="1">
      <alignment horizontal="center"/>
    </xf>
    <xf numFmtId="0" fontId="5" fillId="23" borderId="43" xfId="0" applyFont="1" applyFill="1" applyBorder="1" applyAlignment="1">
      <alignment horizontal="center"/>
    </xf>
    <xf numFmtId="0" fontId="7" fillId="3" borderId="40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3" fontId="12" fillId="22" borderId="46" xfId="0" applyNumberFormat="1" applyFont="1" applyFill="1" applyBorder="1" applyAlignment="1">
      <alignment horizontal="center"/>
    </xf>
    <xf numFmtId="3" fontId="12" fillId="22" borderId="47" xfId="0" applyNumberFormat="1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</cellXfs>
  <cellStyles count="6">
    <cellStyle name="40% - Accent1" xfId="2" builtinId="31"/>
    <cellStyle name="40% - Accent1 2" xfId="4" xr:uid="{2FFFA30B-F9AF-4F3B-8C7D-55B146FF175B}"/>
    <cellStyle name="Accent1" xfId="1" builtinId="29"/>
    <cellStyle name="Comma" xfId="5" builtinId="3"/>
    <cellStyle name="Normal" xfId="0" builtinId="0"/>
    <cellStyle name="Normal 2" xfId="3" xr:uid="{41DC8682-DA45-434B-9B68-03B9B1E6992D}"/>
  </cellStyles>
  <dxfs count="14">
    <dxf>
      <font>
        <strike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Sales!$B$29</c:f>
              <c:strCache>
                <c:ptCount val="1"/>
                <c:pt idx="0">
                  <c:v>Leasing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Sales!$A$30:$A$41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Sales!$B$30:$B$41</c:f>
              <c:numCache>
                <c:formatCode>#,##0</c:formatCode>
                <c:ptCount val="12"/>
                <c:pt idx="0">
                  <c:v>46041.666666666672</c:v>
                </c:pt>
                <c:pt idx="1">
                  <c:v>127291.66666666667</c:v>
                </c:pt>
                <c:pt idx="2">
                  <c:v>208541.66666666669</c:v>
                </c:pt>
                <c:pt idx="3">
                  <c:v>276250</c:v>
                </c:pt>
                <c:pt idx="4">
                  <c:v>371041.66666666669</c:v>
                </c:pt>
                <c:pt idx="5">
                  <c:v>452291.66666666669</c:v>
                </c:pt>
                <c:pt idx="6">
                  <c:v>549791.66666666674</c:v>
                </c:pt>
                <c:pt idx="7">
                  <c:v>631041.66666666674</c:v>
                </c:pt>
                <c:pt idx="8">
                  <c:v>725833.33333333337</c:v>
                </c:pt>
                <c:pt idx="9">
                  <c:v>834166.66666666674</c:v>
                </c:pt>
                <c:pt idx="10">
                  <c:v>969583.33333333337</c:v>
                </c:pt>
                <c:pt idx="11">
                  <c:v>1083333.3333333335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E-408A-BF7E-A4A829D23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51376"/>
        <c:axId val="653650896"/>
      </c:barChart>
      <c:catAx>
        <c:axId val="6536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50896"/>
        <c:crosses val="autoZero"/>
        <c:auto val="1"/>
        <c:lblAlgn val="ctr"/>
        <c:lblOffset val="100"/>
        <c:noMultiLvlLbl val="0"/>
      </c:catAx>
      <c:valAx>
        <c:axId val="653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9-42B4-9290-C18039C41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9-42B4-9290-C18039C41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9-42B4-9290-C18039C414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39-42B4-9290-C18039C414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39-42B4-9290-C18039C414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39-42B4-9290-C18039C414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39-42B4-9290-C18039C414A9}"/>
              </c:ext>
            </c:extLst>
          </c:dPt>
          <c:cat>
            <c:strRef>
              <c:f>'environmental impact'!$A$3:$A$9</c:f>
              <c:strCache>
                <c:ptCount val="7"/>
                <c:pt idx="0">
                  <c:v>Electricity/heat</c:v>
                </c:pt>
                <c:pt idx="1">
                  <c:v>Manufacturing </c:v>
                </c:pt>
                <c:pt idx="2">
                  <c:v>Industrial process</c:v>
                </c:pt>
                <c:pt idx="3">
                  <c:v>Transport</c:v>
                </c:pt>
                <c:pt idx="4">
                  <c:v>Building</c:v>
                </c:pt>
                <c:pt idx="5">
                  <c:v>Agriculture</c:v>
                </c:pt>
                <c:pt idx="6">
                  <c:v>Waste</c:v>
                </c:pt>
              </c:strCache>
            </c:strRef>
          </c:cat>
          <c:val>
            <c:numRef>
              <c:f>'environmental impact'!$B$3:$B$9</c:f>
              <c:numCache>
                <c:formatCode>0.0</c:formatCode>
                <c:ptCount val="7"/>
                <c:pt idx="0">
                  <c:v>78.08</c:v>
                </c:pt>
                <c:pt idx="1">
                  <c:v>26.84</c:v>
                </c:pt>
                <c:pt idx="2">
                  <c:v>21.96</c:v>
                </c:pt>
                <c:pt idx="3">
                  <c:v>39.04</c:v>
                </c:pt>
                <c:pt idx="4">
                  <c:v>12.200000000000001</c:v>
                </c:pt>
                <c:pt idx="5">
                  <c:v>21.96</c:v>
                </c:pt>
                <c:pt idx="6">
                  <c:v>19.52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39-42B4-9290-C18039C4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'environmental impact'!$A$40</c:f>
              <c:strCache>
                <c:ptCount val="1"/>
                <c:pt idx="0">
                  <c:v>European United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'environmental impact'!$B$39:$P$39</c:f>
              <c:numCache>
                <c:formatCode>General</c:formatCode>
                <c:ptCount val="15"/>
                <c:pt idx="0">
                  <c:v>2005</c:v>
                </c:pt>
                <c:pt idx="5">
                  <c:v>2010</c:v>
                </c:pt>
                <c:pt idx="10">
                  <c:v>2015</c:v>
                </c:pt>
                <c:pt idx="14">
                  <c:v>2019</c:v>
                </c:pt>
              </c:numCache>
            </c:numRef>
          </c:cat>
          <c:val>
            <c:numRef>
              <c:f>'environmental impact'!$B$40:$P$40</c:f>
              <c:numCache>
                <c:formatCode>General</c:formatCode>
                <c:ptCount val="15"/>
                <c:pt idx="0">
                  <c:v>9.9</c:v>
                </c:pt>
                <c:pt idx="1">
                  <c:v>9.8000000000000007</c:v>
                </c:pt>
                <c:pt idx="2">
                  <c:v>9.6999999999999993</c:v>
                </c:pt>
                <c:pt idx="3">
                  <c:v>9.5</c:v>
                </c:pt>
                <c:pt idx="4">
                  <c:v>8.5</c:v>
                </c:pt>
                <c:pt idx="5">
                  <c:v>8.75</c:v>
                </c:pt>
                <c:pt idx="6">
                  <c:v>8.6</c:v>
                </c:pt>
                <c:pt idx="7">
                  <c:v>8.4</c:v>
                </c:pt>
                <c:pt idx="8">
                  <c:v>8.1999999999999993</c:v>
                </c:pt>
                <c:pt idx="9">
                  <c:v>8</c:v>
                </c:pt>
                <c:pt idx="10">
                  <c:v>8</c:v>
                </c:pt>
                <c:pt idx="11">
                  <c:v>8.1</c:v>
                </c:pt>
                <c:pt idx="12">
                  <c:v>8.4</c:v>
                </c:pt>
                <c:pt idx="13">
                  <c:v>8.1</c:v>
                </c:pt>
                <c:pt idx="1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D-4FE8-BFF6-62947AA3D4C2}"/>
            </c:ext>
          </c:extLst>
        </c:ser>
        <c:ser>
          <c:idx val="1"/>
          <c:order val="1"/>
          <c:tx>
            <c:strRef>
              <c:f>'environmental impact'!$A$41</c:f>
              <c:strCache>
                <c:ptCount val="1"/>
                <c:pt idx="0">
                  <c:v>World's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'environmental impact'!$B$39:$P$39</c:f>
              <c:numCache>
                <c:formatCode>General</c:formatCode>
                <c:ptCount val="15"/>
                <c:pt idx="0">
                  <c:v>2005</c:v>
                </c:pt>
                <c:pt idx="5">
                  <c:v>2010</c:v>
                </c:pt>
                <c:pt idx="10">
                  <c:v>2015</c:v>
                </c:pt>
                <c:pt idx="14">
                  <c:v>2019</c:v>
                </c:pt>
              </c:numCache>
            </c:numRef>
          </c:cat>
          <c:val>
            <c:numRef>
              <c:f>'environmental impact'!$B$41:$P$41</c:f>
              <c:numCache>
                <c:formatCode>General</c:formatCode>
                <c:ptCount val="15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  <c:pt idx="3">
                  <c:v>6.2</c:v>
                </c:pt>
                <c:pt idx="4">
                  <c:v>6.1</c:v>
                </c:pt>
                <c:pt idx="5">
                  <c:v>6</c:v>
                </c:pt>
                <c:pt idx="6">
                  <c:v>6</c:v>
                </c:pt>
                <c:pt idx="7">
                  <c:v>6.1</c:v>
                </c:pt>
                <c:pt idx="8">
                  <c:v>6.15</c:v>
                </c:pt>
                <c:pt idx="9">
                  <c:v>6.2</c:v>
                </c:pt>
                <c:pt idx="10">
                  <c:v>6.2</c:v>
                </c:pt>
                <c:pt idx="11">
                  <c:v>6.3</c:v>
                </c:pt>
                <c:pt idx="12">
                  <c:v>6.35</c:v>
                </c:pt>
                <c:pt idx="13">
                  <c:v>6.4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D-4FE8-BFF6-62947AA3D4C2}"/>
            </c:ext>
          </c:extLst>
        </c:ser>
        <c:ser>
          <c:idx val="2"/>
          <c:order val="2"/>
          <c:tx>
            <c:strRef>
              <c:f>'environmental impact'!$A$42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'environmental impact'!$B$39:$P$39</c:f>
              <c:numCache>
                <c:formatCode>General</c:formatCode>
                <c:ptCount val="15"/>
                <c:pt idx="0">
                  <c:v>2005</c:v>
                </c:pt>
                <c:pt idx="5">
                  <c:v>2010</c:v>
                </c:pt>
                <c:pt idx="10">
                  <c:v>2015</c:v>
                </c:pt>
                <c:pt idx="14">
                  <c:v>2019</c:v>
                </c:pt>
              </c:numCache>
            </c:numRef>
          </c:cat>
          <c:val>
            <c:numRef>
              <c:f>'environmental impact'!$B$42:$P$42</c:f>
              <c:numCache>
                <c:formatCode>General</c:formatCode>
                <c:ptCount val="15"/>
                <c:pt idx="0">
                  <c:v>3.2</c:v>
                </c:pt>
                <c:pt idx="1">
                  <c:v>3.35</c:v>
                </c:pt>
                <c:pt idx="2">
                  <c:v>3.5</c:v>
                </c:pt>
                <c:pt idx="3">
                  <c:v>3.6</c:v>
                </c:pt>
                <c:pt idx="4">
                  <c:v>3.5</c:v>
                </c:pt>
                <c:pt idx="5">
                  <c:v>3.3</c:v>
                </c:pt>
                <c:pt idx="6">
                  <c:v>3.25</c:v>
                </c:pt>
                <c:pt idx="7">
                  <c:v>3.2</c:v>
                </c:pt>
                <c:pt idx="8">
                  <c:v>3.35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3.35</c:v>
                </c:pt>
                <c:pt idx="14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D-4FE8-BFF6-62947AA3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484000"/>
        <c:axId val="1455478720"/>
      </c:lineChart>
      <c:catAx>
        <c:axId val="1455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78720"/>
        <c:crosses val="autoZero"/>
        <c:auto val="1"/>
        <c:lblAlgn val="ctr"/>
        <c:lblOffset val="100"/>
        <c:noMultiLvlLbl val="0"/>
      </c:catAx>
      <c:valAx>
        <c:axId val="14554787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84000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Sales!$D$29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Sales!$A$30:$A$42</c15:sqref>
                  </c15:fullRef>
                </c:ext>
              </c:extLst>
              <c:f>Sales!$A$30:$A$41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Sales!$D$30:$D$42</c15:sqref>
                  </c15:fullRef>
                </c:ext>
              </c:extLst>
              <c:f>Sales!$D$30:$D$41</c:f>
              <c:numCache>
                <c:formatCode>0</c:formatCode>
                <c:ptCount val="12"/>
                <c:pt idx="0">
                  <c:v>17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30</c:v>
                </c:pt>
                <c:pt idx="6">
                  <c:v>36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3-4B1C-BFF3-7FE547F5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013456"/>
        <c:axId val="66301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Sales!$B$29</c15:sqref>
                        </c15:formulaRef>
                      </c:ext>
                    </c:extLst>
                    <c:strCache>
                      <c:ptCount val="1"/>
                      <c:pt idx="0">
                        <c:v>Leasing Income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Sales!$A$30:$A$42</c15:sqref>
                        </c15:fullRef>
                        <c15:formulaRef>
                          <c15:sqref>Sales!$A$30:$A$41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Sales!$B$30:$B$42</c15:sqref>
                        </c15:fullRef>
                        <c15:formulaRef>
                          <c15:sqref>Sales!$B$30:$B$41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46041.666666666672</c:v>
                      </c:pt>
                      <c:pt idx="1">
                        <c:v>127291.66666666667</c:v>
                      </c:pt>
                      <c:pt idx="2">
                        <c:v>208541.66666666669</c:v>
                      </c:pt>
                      <c:pt idx="3">
                        <c:v>276250</c:v>
                      </c:pt>
                      <c:pt idx="4">
                        <c:v>371041.66666666669</c:v>
                      </c:pt>
                      <c:pt idx="5">
                        <c:v>452291.66666666669</c:v>
                      </c:pt>
                      <c:pt idx="6">
                        <c:v>549791.66666666674</c:v>
                      </c:pt>
                      <c:pt idx="7">
                        <c:v>631041.66666666674</c:v>
                      </c:pt>
                      <c:pt idx="8">
                        <c:v>725833.33333333337</c:v>
                      </c:pt>
                      <c:pt idx="9">
                        <c:v>834166.66666666674</c:v>
                      </c:pt>
                      <c:pt idx="10">
                        <c:v>969583.33333333337</c:v>
                      </c:pt>
                      <c:pt idx="11">
                        <c:v>1083333.3333333335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C3-4B1C-BFF3-7FE547F5475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Sales!$C$29</c15:sqref>
                        </c15:formulaRef>
                      </c:ext>
                    </c:extLst>
                    <c:strCache>
                      <c:ptCount val="1"/>
                      <c:pt idx="0">
                        <c:v>Cumaltive sales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Sales!$A$30:$A$42</c15:sqref>
                        </c15:fullRef>
                        <c15:formulaRef>
                          <c15:sqref>Sales!$A$30:$A$41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Sales!$C$30:$C$42</c15:sqref>
                        </c15:fullRef>
                        <c15:formulaRef>
                          <c15:sqref>Sales!$C$30:$C$41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17</c:v>
                      </c:pt>
                      <c:pt idx="1">
                        <c:v>47</c:v>
                      </c:pt>
                      <c:pt idx="2">
                        <c:v>77</c:v>
                      </c:pt>
                      <c:pt idx="3">
                        <c:v>102</c:v>
                      </c:pt>
                      <c:pt idx="4">
                        <c:v>137</c:v>
                      </c:pt>
                      <c:pt idx="5">
                        <c:v>167</c:v>
                      </c:pt>
                      <c:pt idx="6">
                        <c:v>203</c:v>
                      </c:pt>
                      <c:pt idx="7">
                        <c:v>233</c:v>
                      </c:pt>
                      <c:pt idx="8">
                        <c:v>268</c:v>
                      </c:pt>
                      <c:pt idx="9">
                        <c:v>308</c:v>
                      </c:pt>
                      <c:pt idx="10">
                        <c:v>358</c:v>
                      </c:pt>
                      <c:pt idx="11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C3-4B1C-BFF3-7FE547F54758}"/>
                  </c:ext>
                </c:extLst>
              </c15:ser>
            </c15:filteredBarSeries>
          </c:ext>
        </c:extLst>
      </c:barChart>
      <c:catAx>
        <c:axId val="663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3936"/>
        <c:crosses val="autoZero"/>
        <c:auto val="1"/>
        <c:lblAlgn val="ctr"/>
        <c:lblOffset val="100"/>
        <c:noMultiLvlLbl val="0"/>
      </c:catAx>
      <c:valAx>
        <c:axId val="6630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60524983558777E-2"/>
          <c:y val="0.46264001821596495"/>
          <c:w val="0.91422026031538761"/>
          <c:h val="0.46749406661746512"/>
        </c:manualLayout>
      </c:layout>
      <c:lineChart>
        <c:grouping val="standard"/>
        <c:varyColors val="0"/>
        <c:ser>
          <c:idx val="1"/>
          <c:order val="0"/>
          <c:tx>
            <c:strRef>
              <c:f>Sales!$I$85</c:f>
              <c:strCache>
                <c:ptCount val="1"/>
                <c:pt idx="0">
                  <c:v>Fixed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Sales!$H$86:$H$122</c15:sqref>
                  </c15:fullRef>
                </c:ext>
              </c:extLst>
              <c:f>Sales!$H$86:$H$110</c:f>
              <c:numCache>
                <c:formatCode>General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Sales!$I$86:$I$122</c15:sqref>
                  </c15:fullRef>
                </c:ext>
              </c:extLst>
              <c:f>Sales!$I$86:$I$110</c:f>
              <c:numCache>
                <c:formatCode>#,##0</c:formatCode>
                <c:ptCount val="25"/>
                <c:pt idx="0">
                  <c:v>62970000</c:v>
                </c:pt>
                <c:pt idx="1">
                  <c:v>62970000</c:v>
                </c:pt>
                <c:pt idx="2">
                  <c:v>62970000</c:v>
                </c:pt>
                <c:pt idx="3">
                  <c:v>62970000</c:v>
                </c:pt>
                <c:pt idx="4">
                  <c:v>62970000</c:v>
                </c:pt>
                <c:pt idx="5">
                  <c:v>62970000</c:v>
                </c:pt>
                <c:pt idx="6">
                  <c:v>62970000</c:v>
                </c:pt>
                <c:pt idx="7">
                  <c:v>62970000</c:v>
                </c:pt>
                <c:pt idx="8">
                  <c:v>62970000</c:v>
                </c:pt>
                <c:pt idx="9">
                  <c:v>62970000</c:v>
                </c:pt>
                <c:pt idx="10">
                  <c:v>62970000</c:v>
                </c:pt>
                <c:pt idx="11">
                  <c:v>62970000</c:v>
                </c:pt>
                <c:pt idx="12">
                  <c:v>62970000</c:v>
                </c:pt>
                <c:pt idx="13">
                  <c:v>62970000</c:v>
                </c:pt>
                <c:pt idx="14">
                  <c:v>62970000</c:v>
                </c:pt>
                <c:pt idx="15">
                  <c:v>62970000</c:v>
                </c:pt>
                <c:pt idx="16">
                  <c:v>62970000</c:v>
                </c:pt>
                <c:pt idx="17">
                  <c:v>62970000</c:v>
                </c:pt>
                <c:pt idx="18">
                  <c:v>62970000</c:v>
                </c:pt>
                <c:pt idx="19">
                  <c:v>62970000</c:v>
                </c:pt>
                <c:pt idx="20">
                  <c:v>62970000</c:v>
                </c:pt>
                <c:pt idx="21">
                  <c:v>62970000</c:v>
                </c:pt>
                <c:pt idx="22">
                  <c:v>62970000</c:v>
                </c:pt>
                <c:pt idx="23">
                  <c:v>62970000</c:v>
                </c:pt>
                <c:pt idx="24">
                  <c:v>62970000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E-4474-8029-ED4807C8F0C3}"/>
            </c:ext>
          </c:extLst>
        </c:ser>
        <c:ser>
          <c:idx val="3"/>
          <c:order val="1"/>
          <c:tx>
            <c:strRef>
              <c:f>Sales!$K$85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Sales!$H$86:$H$122</c15:sqref>
                  </c15:fullRef>
                </c:ext>
              </c:extLst>
              <c:f>Sales!$H$86:$H$110</c:f>
              <c:numCache>
                <c:formatCode>General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Sales!$K$86:$K$122</c15:sqref>
                  </c15:fullRef>
                </c:ext>
              </c:extLst>
              <c:f>Sales!$K$86:$K$110</c:f>
              <c:numCache>
                <c:formatCode>#,##0</c:formatCode>
                <c:ptCount val="25"/>
                <c:pt idx="0">
                  <c:v>62970000</c:v>
                </c:pt>
                <c:pt idx="1">
                  <c:v>74220000</c:v>
                </c:pt>
                <c:pt idx="2">
                  <c:v>85470000</c:v>
                </c:pt>
                <c:pt idx="3">
                  <c:v>96720000</c:v>
                </c:pt>
                <c:pt idx="4">
                  <c:v>107970000</c:v>
                </c:pt>
                <c:pt idx="5">
                  <c:v>119220000</c:v>
                </c:pt>
                <c:pt idx="6">
                  <c:v>130470000</c:v>
                </c:pt>
                <c:pt idx="7">
                  <c:v>141720000</c:v>
                </c:pt>
                <c:pt idx="8">
                  <c:v>152970000</c:v>
                </c:pt>
                <c:pt idx="9">
                  <c:v>164220000</c:v>
                </c:pt>
                <c:pt idx="10">
                  <c:v>175470000</c:v>
                </c:pt>
                <c:pt idx="11">
                  <c:v>186720000</c:v>
                </c:pt>
                <c:pt idx="12">
                  <c:v>197970000</c:v>
                </c:pt>
                <c:pt idx="13">
                  <c:v>209220000</c:v>
                </c:pt>
                <c:pt idx="14">
                  <c:v>220470000</c:v>
                </c:pt>
                <c:pt idx="15">
                  <c:v>231720000</c:v>
                </c:pt>
                <c:pt idx="16">
                  <c:v>242970000</c:v>
                </c:pt>
                <c:pt idx="17">
                  <c:v>254220000</c:v>
                </c:pt>
                <c:pt idx="18">
                  <c:v>265470000</c:v>
                </c:pt>
                <c:pt idx="19">
                  <c:v>276720000</c:v>
                </c:pt>
                <c:pt idx="20">
                  <c:v>287970000</c:v>
                </c:pt>
                <c:pt idx="21">
                  <c:v>299220000</c:v>
                </c:pt>
                <c:pt idx="22">
                  <c:v>310470000</c:v>
                </c:pt>
                <c:pt idx="23">
                  <c:v>321720000</c:v>
                </c:pt>
                <c:pt idx="24">
                  <c:v>332970000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E-4474-8029-ED4807C8F0C3}"/>
            </c:ext>
          </c:extLst>
        </c:ser>
        <c:ser>
          <c:idx val="4"/>
          <c:order val="2"/>
          <c:tx>
            <c:strRef>
              <c:f>Sales!$L$85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Sales!$H$86:$H$122</c15:sqref>
                  </c15:fullRef>
                </c:ext>
              </c:extLst>
              <c:f>Sales!$H$86:$H$110</c:f>
              <c:numCache>
                <c:formatCode>General</c:formatCode>
                <c:ptCount val="2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Sales!$L$86:$L$122</c15:sqref>
                  </c15:fullRef>
                </c:ext>
              </c:extLst>
              <c:f>Sales!$L$86:$L$110</c:f>
              <c:numCache>
                <c:formatCode>#,##0</c:formatCode>
                <c:ptCount val="25"/>
                <c:pt idx="0">
                  <c:v>0</c:v>
                </c:pt>
                <c:pt idx="1">
                  <c:v>6666973.4499659333</c:v>
                </c:pt>
                <c:pt idx="2">
                  <c:v>13333946.899931867</c:v>
                </c:pt>
                <c:pt idx="3">
                  <c:v>20000920.349897802</c:v>
                </c:pt>
                <c:pt idx="4">
                  <c:v>79346432.522326499</c:v>
                </c:pt>
                <c:pt idx="5">
                  <c:v>99183040.652908117</c:v>
                </c:pt>
                <c:pt idx="6">
                  <c:v>119019648.78348973</c:v>
                </c:pt>
                <c:pt idx="7">
                  <c:v>131448686.70292303</c:v>
                </c:pt>
                <c:pt idx="8">
                  <c:v>150227070.51762632</c:v>
                </c:pt>
                <c:pt idx="9">
                  <c:v>169005454.3323296</c:v>
                </c:pt>
                <c:pt idx="10">
                  <c:v>187783838.14703292</c:v>
                </c:pt>
                <c:pt idx="11">
                  <c:v>192011637.61840916</c:v>
                </c:pt>
                <c:pt idx="12">
                  <c:v>209467241.03826454</c:v>
                </c:pt>
                <c:pt idx="13">
                  <c:v>226922844.45811993</c:v>
                </c:pt>
                <c:pt idx="14">
                  <c:v>244378447.87797531</c:v>
                </c:pt>
                <c:pt idx="15">
                  <c:v>261834051.29783067</c:v>
                </c:pt>
                <c:pt idx="16">
                  <c:v>279289654.71768606</c:v>
                </c:pt>
                <c:pt idx="17">
                  <c:v>296745258.13754141</c:v>
                </c:pt>
                <c:pt idx="18">
                  <c:v>314200861.55739689</c:v>
                </c:pt>
                <c:pt idx="19">
                  <c:v>331656464.9772523</c:v>
                </c:pt>
                <c:pt idx="20">
                  <c:v>349112068.39710766</c:v>
                </c:pt>
                <c:pt idx="21">
                  <c:v>366567671.81696308</c:v>
                </c:pt>
                <c:pt idx="22">
                  <c:v>384023275.23681843</c:v>
                </c:pt>
                <c:pt idx="23">
                  <c:v>401478878.65667379</c:v>
                </c:pt>
                <c:pt idx="24">
                  <c:v>418934482.0765292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E-4474-8029-ED4807C8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83600"/>
        <c:axId val="1519577840"/>
      </c:lineChart>
      <c:catAx>
        <c:axId val="15195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7840"/>
        <c:crosses val="autoZero"/>
        <c:auto val="1"/>
        <c:lblAlgn val="ctr"/>
        <c:lblOffset val="100"/>
        <c:noMultiLvlLbl val="0"/>
      </c:catAx>
      <c:valAx>
        <c:axId val="15195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Sales!$E$22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Sales!$F$22:$J$22</c:f>
              <c:numCache>
                <c:formatCode>#,##0</c:formatCode>
                <c:ptCount val="5"/>
                <c:pt idx="0">
                  <c:v>20222708.333333336</c:v>
                </c:pt>
                <c:pt idx="1">
                  <c:v>108305500.00000001</c:v>
                </c:pt>
                <c:pt idx="2">
                  <c:v>184549900</c:v>
                </c:pt>
                <c:pt idx="3">
                  <c:v>308789820.00000006</c:v>
                </c:pt>
                <c:pt idx="4">
                  <c:v>555821676.00000012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B-4AEE-824B-96EFB0DC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33888"/>
        <c:axId val="672939648"/>
      </c:barChart>
      <c:catAx>
        <c:axId val="67293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9648"/>
        <c:crosses val="autoZero"/>
        <c:auto val="1"/>
        <c:lblAlgn val="ctr"/>
        <c:lblOffset val="100"/>
        <c:noMultiLvlLbl val="0"/>
      </c:catAx>
      <c:valAx>
        <c:axId val="6729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Sales!$K$16</c:f>
              <c:strCache>
                <c:ptCount val="1"/>
                <c:pt idx="0">
                  <c:v>CONVERSION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Sales!$L$16:$P$16</c:f>
              <c:numCache>
                <c:formatCode>General</c:formatCode>
                <c:ptCount val="5"/>
                <c:pt idx="0">
                  <c:v>400</c:v>
                </c:pt>
                <c:pt idx="1">
                  <c:v>720.00000000000011</c:v>
                </c:pt>
                <c:pt idx="2">
                  <c:v>1296.0000000000002</c:v>
                </c:pt>
                <c:pt idx="3">
                  <c:v>2332.8000000000006</c:v>
                </c:pt>
                <c:pt idx="4">
                  <c:v>4199.0400000000009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7-45F6-BF03-F01DE1EEA3D9}"/>
            </c:ext>
          </c:extLst>
        </c:ser>
        <c:ser>
          <c:idx val="1"/>
          <c:order val="1"/>
          <c:tx>
            <c:strRef>
              <c:f>Sales!$K$17</c:f>
              <c:strCache>
                <c:ptCount val="1"/>
                <c:pt idx="0">
                  <c:v>E-CITY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Sales!$L$17:$P$17</c:f>
              <c:numCache>
                <c:formatCode>General</c:formatCode>
                <c:ptCount val="5"/>
                <c:pt idx="0">
                  <c:v>54.99</c:v>
                </c:pt>
                <c:pt idx="1">
                  <c:v>98.982000000000014</c:v>
                </c:pt>
                <c:pt idx="2">
                  <c:v>178.16760000000002</c:v>
                </c:pt>
                <c:pt idx="3">
                  <c:v>320.70168000000007</c:v>
                </c:pt>
                <c:pt idx="4">
                  <c:v>577.26302400000009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7-45F6-BF03-F01DE1EE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940608"/>
        <c:axId val="672942048"/>
      </c:lineChart>
      <c:catAx>
        <c:axId val="6729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2048"/>
        <c:crosses val="autoZero"/>
        <c:auto val="1"/>
        <c:lblAlgn val="ctr"/>
        <c:lblOffset val="100"/>
        <c:noMultiLvlLbl val="0"/>
      </c:catAx>
      <c:valAx>
        <c:axId val="6729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Sales!$E$26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Sales!$F$26:$J$26</c:f>
              <c:numCache>
                <c:formatCode>#,##0</c:formatCode>
                <c:ptCount val="5"/>
                <c:pt idx="0">
                  <c:v>-26565791.666666664</c:v>
                </c:pt>
                <c:pt idx="1">
                  <c:v>31398200</c:v>
                </c:pt>
                <c:pt idx="2">
                  <c:v>46944759.999999985</c:v>
                </c:pt>
                <c:pt idx="3">
                  <c:v>68232568</c:v>
                </c:pt>
                <c:pt idx="4">
                  <c:v>128834222.40000004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A-4B3E-8A3A-6C7ADFB0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349615"/>
        <c:axId val="1327356335"/>
      </c:barChart>
      <c:catAx>
        <c:axId val="13273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56335"/>
        <c:crosses val="autoZero"/>
        <c:auto val="1"/>
        <c:lblAlgn val="ctr"/>
        <c:lblOffset val="100"/>
        <c:noMultiLvlLbl val="0"/>
      </c:catAx>
      <c:valAx>
        <c:axId val="13273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4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19-4375-9E0A-FAA99CFBB9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19-4375-9E0A-FAA99CFBB9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19-4375-9E0A-FAA99CFBB9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19-4375-9E0A-FAA99CFBB9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Projections'!$I$27:$I$30</c:f>
              <c:strCache>
                <c:ptCount val="4"/>
                <c:pt idx="0">
                  <c:v>E-city production</c:v>
                </c:pt>
                <c:pt idx="1">
                  <c:v>Conversion Components</c:v>
                </c:pt>
                <c:pt idx="2">
                  <c:v>Equipment - workshop setup</c:v>
                </c:pt>
                <c:pt idx="3">
                  <c:v>Marketing and Advertising</c:v>
                </c:pt>
              </c:strCache>
            </c:strRef>
          </c:cat>
          <c:val>
            <c:numRef>
              <c:f>'Cost Projections'!$J$27:$J$30</c:f>
              <c:numCache>
                <c:formatCode>_(* #,##0_);_(* \(#,##0\);_(* "-"??_);_(@_)</c:formatCode>
                <c:ptCount val="4"/>
                <c:pt idx="0">
                  <c:v>8248500</c:v>
                </c:pt>
                <c:pt idx="1">
                  <c:v>7500000</c:v>
                </c:pt>
                <c:pt idx="2">
                  <c:v>2500000</c:v>
                </c:pt>
                <c:pt idx="3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1-4987-A685-C5D8307A6D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Workforce!$M$3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2-4162-BBA5-15D146DFE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C2-4162-BBA5-15D146DFE1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C2-4162-BBA5-15D146DFE1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C2-4162-BBA5-15D146DFE1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C2-4162-BBA5-15D146DFE1F9}"/>
              </c:ext>
            </c:extLst>
          </c:dPt>
          <c:cat>
            <c:strRef>
              <c:f>Workforce!$K$4:$K$8</c:f>
              <c:strCache>
                <c:ptCount val="5"/>
                <c:pt idx="0">
                  <c:v>Mechanics and Technicians</c:v>
                </c:pt>
                <c:pt idx="1">
                  <c:v>Management and Administration</c:v>
                </c:pt>
                <c:pt idx="2">
                  <c:v>Sales and Marketing</c:v>
                </c:pt>
                <c:pt idx="3">
                  <c:v>Research and Development (R&amp;D)</c:v>
                </c:pt>
                <c:pt idx="4">
                  <c:v>Support Staff</c:v>
                </c:pt>
              </c:strCache>
            </c:strRef>
          </c:cat>
          <c:val>
            <c:numRef>
              <c:f>Workforce!$M$4:$M$8</c:f>
              <c:numCache>
                <c:formatCode>General</c:formatCode>
                <c:ptCount val="5"/>
                <c:pt idx="0">
                  <c:v>0.35</c:v>
                </c:pt>
                <c:pt idx="1">
                  <c:v>0.1</c:v>
                </c:pt>
                <c:pt idx="2">
                  <c:v>0.55000000000000004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2-41A5-A5A7-3BB2B457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'environmental impact'!$A$3</c:f>
              <c:strCache>
                <c:ptCount val="1"/>
                <c:pt idx="0">
                  <c:v>Electricity/heat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impact'!$B$3:$U$3</c:f>
              <c:numCache>
                <c:formatCode>0.0</c:formatCode>
                <c:ptCount val="20"/>
                <c:pt idx="0">
                  <c:v>78.08</c:v>
                </c:pt>
                <c:pt idx="1">
                  <c:v>81.600000000000009</c:v>
                </c:pt>
                <c:pt idx="2">
                  <c:v>86.72</c:v>
                </c:pt>
                <c:pt idx="3">
                  <c:v>89.600000000000009</c:v>
                </c:pt>
                <c:pt idx="4">
                  <c:v>92.16</c:v>
                </c:pt>
                <c:pt idx="5">
                  <c:v>92.8</c:v>
                </c:pt>
                <c:pt idx="6">
                  <c:v>95.36</c:v>
                </c:pt>
                <c:pt idx="7">
                  <c:v>98.56</c:v>
                </c:pt>
                <c:pt idx="8">
                  <c:v>97.600000000000009</c:v>
                </c:pt>
                <c:pt idx="9">
                  <c:v>99.52</c:v>
                </c:pt>
                <c:pt idx="10">
                  <c:v>101.44</c:v>
                </c:pt>
                <c:pt idx="11">
                  <c:v>104</c:v>
                </c:pt>
                <c:pt idx="12">
                  <c:v>108.16</c:v>
                </c:pt>
                <c:pt idx="13">
                  <c:v>110.4</c:v>
                </c:pt>
                <c:pt idx="14">
                  <c:v>112.64</c:v>
                </c:pt>
                <c:pt idx="15">
                  <c:v>114.37714285714272</c:v>
                </c:pt>
                <c:pt idx="16">
                  <c:v>116.60228571428576</c:v>
                </c:pt>
                <c:pt idx="17">
                  <c:v>118.82742857142848</c:v>
                </c:pt>
                <c:pt idx="18">
                  <c:v>121.05257142857153</c:v>
                </c:pt>
                <c:pt idx="19">
                  <c:v>123.27771428571425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5-44F1-AFB8-47C34F2CCA67}"/>
            </c:ext>
          </c:extLst>
        </c:ser>
        <c:ser>
          <c:idx val="1"/>
          <c:order val="1"/>
          <c:tx>
            <c:strRef>
              <c:f>'environmental impact'!$A$4</c:f>
              <c:strCache>
                <c:ptCount val="1"/>
                <c:pt idx="0">
                  <c:v>Manufacturing 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impact'!$B$4:$U$4</c:f>
              <c:numCache>
                <c:formatCode>0.0</c:formatCode>
                <c:ptCount val="20"/>
                <c:pt idx="0">
                  <c:v>26.84</c:v>
                </c:pt>
                <c:pt idx="1">
                  <c:v>28.05</c:v>
                </c:pt>
                <c:pt idx="2">
                  <c:v>29.81</c:v>
                </c:pt>
                <c:pt idx="3">
                  <c:v>30.8</c:v>
                </c:pt>
                <c:pt idx="4">
                  <c:v>31.68</c:v>
                </c:pt>
                <c:pt idx="5">
                  <c:v>31.9</c:v>
                </c:pt>
                <c:pt idx="6">
                  <c:v>32.78</c:v>
                </c:pt>
                <c:pt idx="7">
                  <c:v>33.880000000000003</c:v>
                </c:pt>
                <c:pt idx="8">
                  <c:v>33.549999999999997</c:v>
                </c:pt>
                <c:pt idx="9">
                  <c:v>34.21</c:v>
                </c:pt>
                <c:pt idx="10">
                  <c:v>34.869999999999997</c:v>
                </c:pt>
                <c:pt idx="11">
                  <c:v>35.75</c:v>
                </c:pt>
                <c:pt idx="12">
                  <c:v>37.18</c:v>
                </c:pt>
                <c:pt idx="13">
                  <c:v>37.950000000000003</c:v>
                </c:pt>
                <c:pt idx="14">
                  <c:v>38.72</c:v>
                </c:pt>
                <c:pt idx="15">
                  <c:v>39.317142857142812</c:v>
                </c:pt>
                <c:pt idx="16">
                  <c:v>40.08203571428573</c:v>
                </c:pt>
                <c:pt idx="17">
                  <c:v>40.846928571428542</c:v>
                </c:pt>
                <c:pt idx="18">
                  <c:v>41.61182142857146</c:v>
                </c:pt>
                <c:pt idx="19">
                  <c:v>42.376714285714272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5-44F1-AFB8-47C34F2CCA67}"/>
            </c:ext>
          </c:extLst>
        </c:ser>
        <c:ser>
          <c:idx val="2"/>
          <c:order val="2"/>
          <c:tx>
            <c:strRef>
              <c:f>'environmental impact'!$A$5</c:f>
              <c:strCache>
                <c:ptCount val="1"/>
                <c:pt idx="0">
                  <c:v>Industrial process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impact'!$B$5:$U$5</c:f>
              <c:numCache>
                <c:formatCode>0.0</c:formatCode>
                <c:ptCount val="20"/>
                <c:pt idx="0">
                  <c:v>21.96</c:v>
                </c:pt>
                <c:pt idx="1">
                  <c:v>22.95</c:v>
                </c:pt>
                <c:pt idx="2">
                  <c:v>24.39</c:v>
                </c:pt>
                <c:pt idx="3">
                  <c:v>25.2</c:v>
                </c:pt>
                <c:pt idx="4">
                  <c:v>25.919999999999998</c:v>
                </c:pt>
                <c:pt idx="5">
                  <c:v>26.099999999999998</c:v>
                </c:pt>
                <c:pt idx="6">
                  <c:v>26.82</c:v>
                </c:pt>
                <c:pt idx="7">
                  <c:v>27.72</c:v>
                </c:pt>
                <c:pt idx="8">
                  <c:v>27.45</c:v>
                </c:pt>
                <c:pt idx="9">
                  <c:v>27.99</c:v>
                </c:pt>
                <c:pt idx="10">
                  <c:v>28.529999999999998</c:v>
                </c:pt>
                <c:pt idx="11">
                  <c:v>29.25</c:v>
                </c:pt>
                <c:pt idx="12">
                  <c:v>30.419999999999998</c:v>
                </c:pt>
                <c:pt idx="13">
                  <c:v>31.049999999999997</c:v>
                </c:pt>
                <c:pt idx="14">
                  <c:v>31.68</c:v>
                </c:pt>
                <c:pt idx="15">
                  <c:v>32.16857142857139</c:v>
                </c:pt>
                <c:pt idx="16">
                  <c:v>32.794392857142867</c:v>
                </c:pt>
                <c:pt idx="17">
                  <c:v>33.420214285714259</c:v>
                </c:pt>
                <c:pt idx="18">
                  <c:v>34.046035714285736</c:v>
                </c:pt>
                <c:pt idx="19">
                  <c:v>34.671857142857128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5-44F1-AFB8-47C34F2CCA67}"/>
            </c:ext>
          </c:extLst>
        </c:ser>
        <c:ser>
          <c:idx val="3"/>
          <c:order val="3"/>
          <c:tx>
            <c:strRef>
              <c:f>'environmental impact'!$A$6</c:f>
              <c:strCache>
                <c:ptCount val="1"/>
                <c:pt idx="0">
                  <c:v>Transport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impact'!$B$6:$U$6</c:f>
              <c:numCache>
                <c:formatCode>0.0</c:formatCode>
                <c:ptCount val="20"/>
                <c:pt idx="0">
                  <c:v>39.04</c:v>
                </c:pt>
                <c:pt idx="1">
                  <c:v>40.800000000000004</c:v>
                </c:pt>
                <c:pt idx="2">
                  <c:v>43.36</c:v>
                </c:pt>
                <c:pt idx="3">
                  <c:v>44.800000000000004</c:v>
                </c:pt>
                <c:pt idx="4">
                  <c:v>46.08</c:v>
                </c:pt>
                <c:pt idx="5">
                  <c:v>46.4</c:v>
                </c:pt>
                <c:pt idx="6">
                  <c:v>47.68</c:v>
                </c:pt>
                <c:pt idx="7">
                  <c:v>49.28</c:v>
                </c:pt>
                <c:pt idx="8">
                  <c:v>48.800000000000004</c:v>
                </c:pt>
                <c:pt idx="9">
                  <c:v>49.76</c:v>
                </c:pt>
                <c:pt idx="10">
                  <c:v>50.72</c:v>
                </c:pt>
                <c:pt idx="11">
                  <c:v>52</c:v>
                </c:pt>
                <c:pt idx="12">
                  <c:v>54.08</c:v>
                </c:pt>
                <c:pt idx="13">
                  <c:v>55.2</c:v>
                </c:pt>
                <c:pt idx="14">
                  <c:v>56.32</c:v>
                </c:pt>
                <c:pt idx="15">
                  <c:v>57.188571428571358</c:v>
                </c:pt>
                <c:pt idx="16">
                  <c:v>58.301142857142878</c:v>
                </c:pt>
                <c:pt idx="17">
                  <c:v>59.413714285714242</c:v>
                </c:pt>
                <c:pt idx="18">
                  <c:v>60.526285714285763</c:v>
                </c:pt>
                <c:pt idx="19">
                  <c:v>61.638857142857127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5-44F1-AFB8-47C34F2CCA67}"/>
            </c:ext>
          </c:extLst>
        </c:ser>
        <c:ser>
          <c:idx val="4"/>
          <c:order val="4"/>
          <c:tx>
            <c:strRef>
              <c:f>'environmental impact'!$A$7</c:f>
              <c:strCache>
                <c:ptCount val="1"/>
                <c:pt idx="0">
                  <c:v>Building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3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3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impact'!$B$7:$U$7</c:f>
              <c:numCache>
                <c:formatCode>0.0</c:formatCode>
                <c:ptCount val="20"/>
                <c:pt idx="0">
                  <c:v>12.200000000000001</c:v>
                </c:pt>
                <c:pt idx="1">
                  <c:v>12.75</c:v>
                </c:pt>
                <c:pt idx="2">
                  <c:v>13.55</c:v>
                </c:pt>
                <c:pt idx="3">
                  <c:v>14</c:v>
                </c:pt>
                <c:pt idx="4">
                  <c:v>14.4</c:v>
                </c:pt>
                <c:pt idx="5">
                  <c:v>14.5</c:v>
                </c:pt>
                <c:pt idx="6">
                  <c:v>14.9</c:v>
                </c:pt>
                <c:pt idx="7">
                  <c:v>15.4</c:v>
                </c:pt>
                <c:pt idx="8">
                  <c:v>15.25</c:v>
                </c:pt>
                <c:pt idx="9">
                  <c:v>15.55</c:v>
                </c:pt>
                <c:pt idx="10">
                  <c:v>15.850000000000001</c:v>
                </c:pt>
                <c:pt idx="11">
                  <c:v>16.25</c:v>
                </c:pt>
                <c:pt idx="12">
                  <c:v>16.900000000000002</c:v>
                </c:pt>
                <c:pt idx="13">
                  <c:v>17.25</c:v>
                </c:pt>
                <c:pt idx="14">
                  <c:v>17.600000000000001</c:v>
                </c:pt>
                <c:pt idx="15">
                  <c:v>17.871428571428549</c:v>
                </c:pt>
                <c:pt idx="16">
                  <c:v>18.219107142857151</c:v>
                </c:pt>
                <c:pt idx="17">
                  <c:v>18.5667857142857</c:v>
                </c:pt>
                <c:pt idx="18">
                  <c:v>18.914464285714299</c:v>
                </c:pt>
                <c:pt idx="19">
                  <c:v>19.262142857142852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B5-44F1-AFB8-47C34F2CCA67}"/>
            </c:ext>
          </c:extLst>
        </c:ser>
        <c:ser>
          <c:idx val="5"/>
          <c:order val="5"/>
          <c:tx>
            <c:strRef>
              <c:f>'environmental impact'!$A$8</c:f>
              <c:strCache>
                <c:ptCount val="1"/>
                <c:pt idx="0">
                  <c:v>Agriculture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6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6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impact'!$B$8:$U$8</c:f>
              <c:numCache>
                <c:formatCode>0.0</c:formatCode>
                <c:ptCount val="20"/>
                <c:pt idx="0">
                  <c:v>21.96</c:v>
                </c:pt>
                <c:pt idx="1">
                  <c:v>22.95</c:v>
                </c:pt>
                <c:pt idx="2">
                  <c:v>24.39</c:v>
                </c:pt>
                <c:pt idx="3">
                  <c:v>25.2</c:v>
                </c:pt>
                <c:pt idx="4">
                  <c:v>25.919999999999998</c:v>
                </c:pt>
                <c:pt idx="5">
                  <c:v>26.099999999999998</c:v>
                </c:pt>
                <c:pt idx="6">
                  <c:v>26.82</c:v>
                </c:pt>
                <c:pt idx="7">
                  <c:v>27.72</c:v>
                </c:pt>
                <c:pt idx="8">
                  <c:v>27.45</c:v>
                </c:pt>
                <c:pt idx="9">
                  <c:v>27.99</c:v>
                </c:pt>
                <c:pt idx="10">
                  <c:v>28.529999999999998</c:v>
                </c:pt>
                <c:pt idx="11">
                  <c:v>29.25</c:v>
                </c:pt>
                <c:pt idx="12">
                  <c:v>30.419999999999998</c:v>
                </c:pt>
                <c:pt idx="13">
                  <c:v>31.049999999999997</c:v>
                </c:pt>
                <c:pt idx="14">
                  <c:v>31.68</c:v>
                </c:pt>
                <c:pt idx="15">
                  <c:v>32.16857142857139</c:v>
                </c:pt>
                <c:pt idx="16">
                  <c:v>32.794392857142867</c:v>
                </c:pt>
                <c:pt idx="17">
                  <c:v>33.420214285714259</c:v>
                </c:pt>
                <c:pt idx="18">
                  <c:v>34.046035714285736</c:v>
                </c:pt>
                <c:pt idx="19">
                  <c:v>34.671857142857128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B5-44F1-AFB8-47C34F2CCA67}"/>
            </c:ext>
          </c:extLst>
        </c:ser>
        <c:ser>
          <c:idx val="6"/>
          <c:order val="6"/>
          <c:tx>
            <c:strRef>
              <c:f>'environmental impact'!$A$9</c:f>
              <c:strCache>
                <c:ptCount val="1"/>
                <c:pt idx="0">
                  <c:v>Waste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impact'!$B$9:$U$9</c:f>
              <c:numCache>
                <c:formatCode>0.0</c:formatCode>
                <c:ptCount val="20"/>
                <c:pt idx="0">
                  <c:v>19.52</c:v>
                </c:pt>
                <c:pt idx="1">
                  <c:v>20.400000000000002</c:v>
                </c:pt>
                <c:pt idx="2">
                  <c:v>21.68</c:v>
                </c:pt>
                <c:pt idx="3">
                  <c:v>22.400000000000002</c:v>
                </c:pt>
                <c:pt idx="4">
                  <c:v>23.04</c:v>
                </c:pt>
                <c:pt idx="5">
                  <c:v>23.2</c:v>
                </c:pt>
                <c:pt idx="6">
                  <c:v>23.84</c:v>
                </c:pt>
                <c:pt idx="7">
                  <c:v>24.64</c:v>
                </c:pt>
                <c:pt idx="8">
                  <c:v>24.400000000000002</c:v>
                </c:pt>
                <c:pt idx="9">
                  <c:v>24.88</c:v>
                </c:pt>
                <c:pt idx="10">
                  <c:v>25.36</c:v>
                </c:pt>
                <c:pt idx="11">
                  <c:v>26</c:v>
                </c:pt>
                <c:pt idx="12">
                  <c:v>27.04</c:v>
                </c:pt>
                <c:pt idx="13">
                  <c:v>27.6</c:v>
                </c:pt>
                <c:pt idx="14">
                  <c:v>28.16</c:v>
                </c:pt>
                <c:pt idx="15">
                  <c:v>28.594285714285679</c:v>
                </c:pt>
                <c:pt idx="16">
                  <c:v>29.150571428571439</c:v>
                </c:pt>
                <c:pt idx="17">
                  <c:v>29.706857142857121</c:v>
                </c:pt>
                <c:pt idx="18">
                  <c:v>30.263142857142881</c:v>
                </c:pt>
                <c:pt idx="19">
                  <c:v>30.819428571428563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5-44F1-AFB8-47C34F2CCA67}"/>
            </c:ext>
          </c:extLst>
        </c:ser>
        <c:ser>
          <c:idx val="7"/>
          <c:order val="7"/>
          <c:tx>
            <c:strRef>
              <c:f>'environmental impact'!$A$10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'environmental impact'!$B$2:$U$2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'environmental impact'!$B$10:$U$10</c:f>
              <c:numCache>
                <c:formatCode>0.0</c:formatCode>
                <c:ptCount val="20"/>
                <c:pt idx="0">
                  <c:v>24.400000000000002</c:v>
                </c:pt>
                <c:pt idx="1">
                  <c:v>25.5</c:v>
                </c:pt>
                <c:pt idx="2">
                  <c:v>27.1</c:v>
                </c:pt>
                <c:pt idx="3">
                  <c:v>28</c:v>
                </c:pt>
                <c:pt idx="4">
                  <c:v>28.8</c:v>
                </c:pt>
                <c:pt idx="5">
                  <c:v>29</c:v>
                </c:pt>
                <c:pt idx="6">
                  <c:v>29.8</c:v>
                </c:pt>
                <c:pt idx="7">
                  <c:v>30.8</c:v>
                </c:pt>
                <c:pt idx="8">
                  <c:v>30.5</c:v>
                </c:pt>
                <c:pt idx="9">
                  <c:v>31.1</c:v>
                </c:pt>
                <c:pt idx="10">
                  <c:v>31.700000000000003</c:v>
                </c:pt>
                <c:pt idx="11">
                  <c:v>32.5</c:v>
                </c:pt>
                <c:pt idx="12">
                  <c:v>33.800000000000004</c:v>
                </c:pt>
                <c:pt idx="13">
                  <c:v>34.5</c:v>
                </c:pt>
                <c:pt idx="14">
                  <c:v>35.200000000000003</c:v>
                </c:pt>
                <c:pt idx="15">
                  <c:v>35.742857142857098</c:v>
                </c:pt>
                <c:pt idx="16">
                  <c:v>36.438214285714302</c:v>
                </c:pt>
                <c:pt idx="17">
                  <c:v>37.1335714285714</c:v>
                </c:pt>
                <c:pt idx="18">
                  <c:v>37.828928571428598</c:v>
                </c:pt>
                <c:pt idx="19">
                  <c:v>38.524285714285703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B5-44F1-AFB8-47C34F2C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806960"/>
        <c:axId val="1516808400"/>
      </c:barChart>
      <c:catAx>
        <c:axId val="15168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8400"/>
        <c:crosses val="autoZero"/>
        <c:auto val="1"/>
        <c:lblAlgn val="ctr"/>
        <c:lblOffset val="100"/>
        <c:noMultiLvlLbl val="0"/>
      </c:catAx>
      <c:valAx>
        <c:axId val="15168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</xdr:colOff>
      <xdr:row>57</xdr:row>
      <xdr:rowOff>140970</xdr:rowOff>
    </xdr:from>
    <xdr:to>
      <xdr:col>4</xdr:col>
      <xdr:colOff>1341120</xdr:colOff>
      <xdr:row>69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E9DB90-10A2-0EA4-3091-A6E30DD3E630}"/>
            </a:ext>
            <a:ext uri="{147F2762-F138-4A5C-976F-8EAC2B608ADB}">
              <a16:predDERef xmlns:a16="http://schemas.microsoft.com/office/drawing/2014/main" pred="{35712523-2AF7-B4F4-E725-D61E95A6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67090</xdr:rowOff>
    </xdr:from>
    <xdr:to>
      <xdr:col>4</xdr:col>
      <xdr:colOff>189507</xdr:colOff>
      <xdr:row>54</xdr:row>
      <xdr:rowOff>207562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1CB6BF-1235-777D-F7DB-25F2C4A14F37}"/>
            </a:ext>
            <a:ext uri="{147F2762-F138-4A5C-976F-8EAC2B608ADB}">
              <a16:predDERef xmlns:a16="http://schemas.microsoft.com/office/drawing/2014/main" pred="{A5E9DB90-10A2-0EA4-3091-A6E30DD3E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689610</xdr:colOff>
      <xdr:row>76</xdr:row>
      <xdr:rowOff>216479</xdr:rowOff>
    </xdr:from>
    <xdr:to>
      <xdr:col>20</xdr:col>
      <xdr:colOff>451014</xdr:colOff>
      <xdr:row>112</xdr:row>
      <xdr:rowOff>112568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D11466-CC27-B4BD-D3D8-E3FCCA4FC50E}"/>
            </a:ext>
            <a:ext uri="{147F2762-F138-4A5C-976F-8EAC2B608ADB}">
              <a16:predDERef xmlns:a16="http://schemas.microsoft.com/office/drawing/2014/main" pred="{FB1CB6BF-1235-777D-F7DB-25F2C4A14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824346</xdr:colOff>
      <xdr:row>0</xdr:row>
      <xdr:rowOff>152401</xdr:rowOff>
    </xdr:from>
    <xdr:to>
      <xdr:col>15</xdr:col>
      <xdr:colOff>145474</xdr:colOff>
      <xdr:row>12</xdr:row>
      <xdr:rowOff>83128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B7D53B8B-3E10-F842-6ABE-39DC13E6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131619</xdr:colOff>
      <xdr:row>1</xdr:row>
      <xdr:rowOff>193964</xdr:rowOff>
    </xdr:from>
    <xdr:to>
      <xdr:col>17</xdr:col>
      <xdr:colOff>1129146</xdr:colOff>
      <xdr:row>13</xdr:row>
      <xdr:rowOff>138546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D1C4AA69-FF6F-7D4F-9902-33E986610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260047</xdr:colOff>
      <xdr:row>13</xdr:row>
      <xdr:rowOff>110067</xdr:rowOff>
    </xdr:from>
    <xdr:to>
      <xdr:col>12</xdr:col>
      <xdr:colOff>356809</xdr:colOff>
      <xdr:row>24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B497D-D893-3DA4-42FA-0408DE7D6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364451</xdr:colOff>
      <xdr:row>33</xdr:row>
      <xdr:rowOff>92026</xdr:rowOff>
    </xdr:from>
    <xdr:to>
      <xdr:col>10</xdr:col>
      <xdr:colOff>74964</xdr:colOff>
      <xdr:row>46</xdr:row>
      <xdr:rowOff>207532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ADA9A-4108-0BC8-61EC-4E227EBC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3</xdr:row>
      <xdr:rowOff>11430</xdr:rowOff>
    </xdr:from>
    <xdr:to>
      <xdr:col>19</xdr:col>
      <xdr:colOff>594360</xdr:colOff>
      <xdr:row>17</xdr:row>
      <xdr:rowOff>179070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99AB1F47-0D0F-9D7A-A3B1-8B391ADC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563880</xdr:colOff>
      <xdr:row>3</xdr:row>
      <xdr:rowOff>60960</xdr:rowOff>
    </xdr:from>
    <xdr:to>
      <xdr:col>37</xdr:col>
      <xdr:colOff>304800</xdr:colOff>
      <xdr:row>25</xdr:row>
      <xdr:rowOff>152400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5479ED04-4017-4A53-92F9-321CC069F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12</xdr:row>
      <xdr:rowOff>140970</xdr:rowOff>
    </xdr:from>
    <xdr:to>
      <xdr:col>17</xdr:col>
      <xdr:colOff>144780</xdr:colOff>
      <xdr:row>32</xdr:row>
      <xdr:rowOff>45720</xdr:rowOff>
    </xdr:to>
    <xdr:graphicFrame macro="">
      <xdr:nvGraphicFramePr>
        <xdr:cNvPr id="30" name="Chart 2">
          <a:extLst>
            <a:ext uri="{FF2B5EF4-FFF2-40B4-BE49-F238E27FC236}">
              <a16:creationId xmlns:a16="http://schemas.microsoft.com/office/drawing/2014/main" id="{75C45D8C-A293-4F84-B633-D6CC5D9542F7}"/>
            </a:ext>
            <a:ext uri="{147F2762-F138-4A5C-976F-8EAC2B608ADB}">
              <a16:predDERef xmlns:a16="http://schemas.microsoft.com/office/drawing/2014/main" pred="{5479ED04-4017-4A53-92F9-321CC069F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137160</xdr:colOff>
      <xdr:row>38</xdr:row>
      <xdr:rowOff>41910</xdr:rowOff>
    </xdr:from>
    <xdr:to>
      <xdr:col>25</xdr:col>
      <xdr:colOff>525780</xdr:colOff>
      <xdr:row>53</xdr:row>
      <xdr:rowOff>41910</xdr:rowOff>
    </xdr:to>
    <xdr:graphicFrame macro="">
      <xdr:nvGraphicFramePr>
        <xdr:cNvPr id="39" name="Chart 3">
          <a:extLst>
            <a:ext uri="{FF2B5EF4-FFF2-40B4-BE49-F238E27FC236}">
              <a16:creationId xmlns:a16="http://schemas.microsoft.com/office/drawing/2014/main" id="{847341EE-75B1-4A7C-9E1F-2E2EA4D68E94}"/>
            </a:ext>
            <a:ext uri="{147F2762-F138-4A5C-976F-8EAC2B608ADB}">
              <a16:predDERef xmlns:a16="http://schemas.microsoft.com/office/drawing/2014/main" pred="{75C45D8C-A293-4F84-B633-D6CC5D954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9687C4-D84A-4A7E-8E3A-ACD69EB02E8C}" name="Table14" displayName="Table14" ref="A2:M24" totalsRowShown="0" headerRowDxfId="13" dataDxfId="12">
  <autoFilter ref="A2:M24" xr:uid="{C338E932-552A-49BE-9B62-6D33BCBD6FC8}"/>
  <tableColumns count="13">
    <tableColumn id="1" xr3:uid="{900B2394-1A79-493A-AEB2-4C7AD120AE65}" name="proficiency " dataDxfId="11"/>
    <tableColumn id="7" xr3:uid="{BB980ACC-51A0-46EF-AA72-16F15431EF18}" name="number/convertion" dataDxfId="10"/>
    <tableColumn id="2" xr3:uid="{4E53CD9B-A36B-409E-8DDC-B31FBDB725C7}" name="Number" dataDxfId="9"/>
    <tableColumn id="3" xr3:uid="{37885F77-4726-47CF-ADD8-4B4EC5C6FC5D}" name="Salary" dataDxfId="8"/>
    <tableColumn id="8" xr3:uid="{1B48354F-B880-436F-80BC-A18938BA074B}" name="Cost per hour "/>
    <tableColumn id="4" xr3:uid="{34CB379B-B285-46EF-8ADA-CBF596EA1340}" name=" Total Monthly Salary " dataDxfId="7">
      <calculatedColumnFormula>Table14[[#This Row],[Number]]*Table14[[#This Row],[Salary]]</calculatedColumnFormula>
    </tableColumn>
    <tableColumn id="5" xr3:uid="{DA0D714F-001B-47B9-8242-1D0E713C7371}" name="Yearly Salary" dataDxfId="6">
      <calculatedColumnFormula>Table14[[#This Row],[ Total Monthly Salary ]]*12</calculatedColumnFormula>
    </tableColumn>
    <tableColumn id="9" xr3:uid="{BB4972CE-3204-437D-B3EE-381A14DE27F3}" name="Column2" dataDxfId="5"/>
    <tableColumn id="6" xr3:uid="{E23CA47B-AB8F-405B-9EC2-B58777BC0BF6}" name="Column3" dataDxfId="4"/>
    <tableColumn id="10" xr3:uid="{49C0CC39-1746-44A7-AD52-5538897B8842}" name="Column4" dataDxfId="3"/>
    <tableColumn id="11" xr3:uid="{88F55999-36F4-41D0-AD85-3C82A945A28C}" name="Column5" dataDxfId="2"/>
    <tableColumn id="12" xr3:uid="{B30331FE-2490-4A18-8C28-9BDCAFEC7D7A}" name="Column6" dataDxfId="1"/>
    <tableColumn id="13" xr3:uid="{79E2B2E0-96D1-4756-8C44-9EA78C04395C}" name="Column7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63" zoomScaleNormal="85" workbookViewId="0">
      <selection activeCell="B5" sqref="B5"/>
    </sheetView>
  </sheetViews>
  <sheetFormatPr defaultColWidth="8.88671875" defaultRowHeight="18.600000000000001" x14ac:dyDescent="0.45"/>
  <cols>
    <col min="1" max="1" width="17" style="1" customWidth="1"/>
    <col min="2" max="2" width="15.33203125" style="1" customWidth="1"/>
    <col min="3" max="3" width="19" style="1" customWidth="1"/>
    <col min="4" max="4" width="12.44140625" style="1" customWidth="1"/>
    <col min="5" max="5" width="42.33203125" style="4" customWidth="1"/>
    <col min="6" max="6" width="23.6640625" style="3" customWidth="1"/>
    <col min="7" max="7" width="30.88671875" style="3" customWidth="1"/>
    <col min="8" max="8" width="36.6640625" style="3" customWidth="1"/>
    <col min="9" max="11" width="39.44140625" style="3" customWidth="1"/>
    <col min="12" max="12" width="25.6640625" style="3" customWidth="1"/>
    <col min="13" max="13" width="27.33203125" style="1" customWidth="1"/>
    <col min="14" max="14" width="14.109375" style="1" bestFit="1" customWidth="1"/>
    <col min="15" max="15" width="14.109375" style="1" customWidth="1"/>
    <col min="16" max="16" width="12.6640625" style="1" customWidth="1"/>
    <col min="17" max="20" width="39.44140625" style="1" customWidth="1"/>
    <col min="21" max="16384" width="8.88671875" style="1"/>
  </cols>
  <sheetData>
    <row r="1" spans="1:16" x14ac:dyDescent="0.45">
      <c r="A1" s="47" t="s">
        <v>0</v>
      </c>
      <c r="B1" s="48">
        <v>75000</v>
      </c>
      <c r="E1" s="84" t="s">
        <v>1</v>
      </c>
      <c r="F1" s="85" t="s">
        <v>2</v>
      </c>
      <c r="G1" s="86" t="s">
        <v>3</v>
      </c>
      <c r="H1" s="87" t="s">
        <v>4</v>
      </c>
      <c r="I1" s="86" t="s">
        <v>5</v>
      </c>
      <c r="J1" s="87" t="s">
        <v>6</v>
      </c>
      <c r="L1" s="63"/>
    </row>
    <row r="2" spans="1:16" x14ac:dyDescent="0.45">
      <c r="A2" s="47" t="s">
        <v>7</v>
      </c>
      <c r="B2" s="49">
        <v>0.3</v>
      </c>
      <c r="C2" s="2"/>
      <c r="E2" s="76" t="s">
        <v>8</v>
      </c>
      <c r="F2" s="192" t="s">
        <v>9</v>
      </c>
      <c r="G2" s="193"/>
      <c r="H2" s="193"/>
      <c r="I2" s="193"/>
      <c r="J2" s="193"/>
      <c r="K2" s="1"/>
      <c r="L2" s="51"/>
    </row>
    <row r="3" spans="1:16" x14ac:dyDescent="0.45">
      <c r="A3" s="47" t="s">
        <v>10</v>
      </c>
      <c r="B3" s="48">
        <f>B1+B1*B2</f>
        <v>97500</v>
      </c>
      <c r="E3" s="77" t="s">
        <v>11</v>
      </c>
      <c r="F3" s="78">
        <v>0.01</v>
      </c>
      <c r="G3" s="78">
        <f>F3+(F3*B8)</f>
        <v>1.8000000000000002E-2</v>
      </c>
      <c r="H3" s="79">
        <f>G3+(B8*G3)</f>
        <v>3.2400000000000005E-2</v>
      </c>
      <c r="I3" s="78">
        <f>H3+(H3*B8)</f>
        <v>5.8320000000000011E-2</v>
      </c>
      <c r="J3" s="79">
        <f>I3+(B8*I3)</f>
        <v>0.10497600000000001</v>
      </c>
      <c r="K3" s="1"/>
      <c r="L3" s="62"/>
    </row>
    <row r="4" spans="1:16" x14ac:dyDescent="0.45">
      <c r="A4" s="47" t="s">
        <v>12</v>
      </c>
      <c r="B4" s="48">
        <f>B2*B1</f>
        <v>22500</v>
      </c>
      <c r="E4" s="80" t="s">
        <v>13</v>
      </c>
      <c r="F4" s="81"/>
      <c r="G4" s="81">
        <f>B7*G3</f>
        <v>720.00000000000011</v>
      </c>
      <c r="H4" s="82">
        <f>H3*B7</f>
        <v>1296.0000000000002</v>
      </c>
      <c r="I4" s="81">
        <f>I3*B7</f>
        <v>2332.8000000000006</v>
      </c>
      <c r="J4" s="82">
        <f>J3*B7</f>
        <v>4199.0400000000009</v>
      </c>
      <c r="K4" s="1"/>
      <c r="L4" s="62"/>
    </row>
    <row r="5" spans="1:16" x14ac:dyDescent="0.45">
      <c r="A5" s="47" t="s">
        <v>14</v>
      </c>
      <c r="B5" s="48">
        <f>B3/F10</f>
        <v>2708.3333333333335</v>
      </c>
      <c r="E5" s="80" t="s">
        <v>15</v>
      </c>
      <c r="F5" s="83">
        <f>F4*$B$1</f>
        <v>0</v>
      </c>
      <c r="G5" s="83">
        <f t="shared" ref="G5:J5" si="0">G4*$B$1</f>
        <v>54000000.000000007</v>
      </c>
      <c r="H5" s="83">
        <f t="shared" si="0"/>
        <v>97200000.000000015</v>
      </c>
      <c r="I5" s="83">
        <f t="shared" si="0"/>
        <v>174960000.00000006</v>
      </c>
      <c r="J5" s="83">
        <f t="shared" si="0"/>
        <v>314928000.00000006</v>
      </c>
      <c r="K5" s="1"/>
      <c r="L5" s="62"/>
    </row>
    <row r="6" spans="1:16" x14ac:dyDescent="0.45">
      <c r="A6" s="47" t="s">
        <v>16</v>
      </c>
      <c r="B6" s="48">
        <v>150000</v>
      </c>
      <c r="E6" s="80" t="s">
        <v>17</v>
      </c>
      <c r="F6" s="83">
        <f>$B$3*F4</f>
        <v>0</v>
      </c>
      <c r="G6" s="83">
        <f t="shared" ref="G6:J6" si="1">$B$3*G4</f>
        <v>70200000.000000015</v>
      </c>
      <c r="H6" s="83">
        <f t="shared" si="1"/>
        <v>126360000.00000001</v>
      </c>
      <c r="I6" s="83">
        <f t="shared" si="1"/>
        <v>227448000.00000006</v>
      </c>
      <c r="J6" s="83">
        <f t="shared" si="1"/>
        <v>409406400.00000006</v>
      </c>
      <c r="K6" s="1" t="e">
        <f>F6/F4</f>
        <v>#DIV/0!</v>
      </c>
      <c r="L6" s="62"/>
    </row>
    <row r="7" spans="1:16" x14ac:dyDescent="0.45">
      <c r="A7" s="47" t="s">
        <v>18</v>
      </c>
      <c r="B7" s="48">
        <v>40000</v>
      </c>
      <c r="E7" s="88" t="s">
        <v>8</v>
      </c>
      <c r="F7" s="196" t="s">
        <v>19</v>
      </c>
      <c r="G7" s="196"/>
      <c r="H7" s="196"/>
      <c r="I7" s="196"/>
      <c r="J7" s="196"/>
      <c r="K7" s="1"/>
      <c r="L7" s="64"/>
    </row>
    <row r="8" spans="1:16" ht="18.600000000000001" customHeight="1" x14ac:dyDescent="0.45">
      <c r="A8" s="47" t="s">
        <v>20</v>
      </c>
      <c r="B8" s="49">
        <v>0.8</v>
      </c>
      <c r="E8" s="89" t="s">
        <v>21</v>
      </c>
      <c r="F8" s="90">
        <v>1</v>
      </c>
      <c r="G8" s="90"/>
      <c r="H8" s="90"/>
      <c r="I8" s="90"/>
      <c r="J8" s="90"/>
      <c r="K8" s="1"/>
      <c r="L8" s="64"/>
    </row>
    <row r="9" spans="1:16" x14ac:dyDescent="0.45">
      <c r="A9" s="47" t="s">
        <v>22</v>
      </c>
      <c r="B9" s="48">
        <v>500</v>
      </c>
      <c r="E9" s="91" t="s">
        <v>23</v>
      </c>
      <c r="F9" s="92">
        <f>F3*F8*B7</f>
        <v>400</v>
      </c>
      <c r="G9" s="92">
        <f t="shared" ref="G9:J9" si="2">G8*G4</f>
        <v>0</v>
      </c>
      <c r="H9" s="92">
        <f t="shared" si="2"/>
        <v>0</v>
      </c>
      <c r="I9" s="92">
        <f t="shared" si="2"/>
        <v>0</v>
      </c>
      <c r="J9" s="92">
        <f t="shared" si="2"/>
        <v>0</v>
      </c>
      <c r="K9" s="1"/>
    </row>
    <row r="10" spans="1:16" x14ac:dyDescent="0.45">
      <c r="A10" s="47" t="s">
        <v>24</v>
      </c>
      <c r="B10" s="103">
        <v>10998</v>
      </c>
      <c r="E10" s="91" t="s">
        <v>25</v>
      </c>
      <c r="F10" s="92">
        <v>36</v>
      </c>
      <c r="G10" s="92"/>
      <c r="H10" s="92"/>
      <c r="I10" s="92"/>
      <c r="J10" s="92"/>
      <c r="K10" s="1"/>
    </row>
    <row r="11" spans="1:16" x14ac:dyDescent="0.45">
      <c r="A11" s="47" t="s">
        <v>26</v>
      </c>
      <c r="B11" s="103">
        <v>250000</v>
      </c>
      <c r="E11" s="91" t="s">
        <v>15</v>
      </c>
      <c r="F11" s="93">
        <f>F9*$B$1</f>
        <v>30000000</v>
      </c>
      <c r="G11" s="93">
        <f t="shared" ref="G11:J11" si="3">G9*$B$1</f>
        <v>0</v>
      </c>
      <c r="H11" s="93">
        <f t="shared" si="3"/>
        <v>0</v>
      </c>
      <c r="I11" s="93">
        <f t="shared" si="3"/>
        <v>0</v>
      </c>
      <c r="J11" s="93">
        <f t="shared" si="3"/>
        <v>0</v>
      </c>
      <c r="K11" s="1"/>
    </row>
    <row r="12" spans="1:16" ht="17.399999999999999" x14ac:dyDescent="0.45">
      <c r="E12" s="91" t="s">
        <v>17</v>
      </c>
      <c r="F12" s="93">
        <f>B42</f>
        <v>6275208.333333334</v>
      </c>
      <c r="G12" s="93">
        <f>F9*12*B5</f>
        <v>13000000</v>
      </c>
      <c r="H12" s="93">
        <f>F9*12*B5</f>
        <v>13000000</v>
      </c>
      <c r="I12" s="93">
        <f>I10*I9*$B$2</f>
        <v>0</v>
      </c>
      <c r="J12" s="93">
        <f>J10*J9*$B$2</f>
        <v>0</v>
      </c>
      <c r="K12" s="1"/>
    </row>
    <row r="13" spans="1:16" ht="17.399999999999999" x14ac:dyDescent="0.45">
      <c r="E13" s="94" t="s">
        <v>8</v>
      </c>
      <c r="F13" s="194" t="s">
        <v>27</v>
      </c>
      <c r="G13" s="195"/>
      <c r="H13" s="195"/>
      <c r="I13" s="195"/>
      <c r="J13" s="195"/>
      <c r="K13" s="1"/>
    </row>
    <row r="14" spans="1:16" ht="17.399999999999999" x14ac:dyDescent="0.45">
      <c r="E14" s="97" t="s">
        <v>28</v>
      </c>
      <c r="F14" s="95">
        <f>F4+F9</f>
        <v>400</v>
      </c>
      <c r="G14" s="95">
        <f t="shared" ref="G14:J14" si="4">G4+G9</f>
        <v>720.00000000000011</v>
      </c>
      <c r="H14" s="95">
        <f t="shared" si="4"/>
        <v>1296.0000000000002</v>
      </c>
      <c r="I14" s="95">
        <f t="shared" si="4"/>
        <v>2332.8000000000006</v>
      </c>
      <c r="J14" s="95">
        <f t="shared" si="4"/>
        <v>4199.0400000000009</v>
      </c>
      <c r="K14" s="1"/>
    </row>
    <row r="15" spans="1:16" ht="17.399999999999999" x14ac:dyDescent="0.45">
      <c r="E15" s="97"/>
      <c r="F15" s="95"/>
      <c r="G15" s="95"/>
      <c r="H15" s="96"/>
      <c r="I15" s="95"/>
      <c r="J15" s="96"/>
      <c r="K15" s="1"/>
    </row>
    <row r="16" spans="1:16" ht="17.399999999999999" x14ac:dyDescent="0.45">
      <c r="E16" s="97" t="s">
        <v>17</v>
      </c>
      <c r="F16" s="95">
        <f>$B$9*F14</f>
        <v>200000</v>
      </c>
      <c r="G16" s="95">
        <f t="shared" ref="G16:J16" si="5">$B$9*G14</f>
        <v>360000.00000000006</v>
      </c>
      <c r="H16" s="95">
        <f t="shared" si="5"/>
        <v>648000.00000000012</v>
      </c>
      <c r="I16" s="95">
        <f t="shared" si="5"/>
        <v>1166400.0000000002</v>
      </c>
      <c r="J16" s="95">
        <f t="shared" si="5"/>
        <v>2099520.0000000005</v>
      </c>
      <c r="K16" s="1" t="s">
        <v>29</v>
      </c>
      <c r="L16" s="3">
        <v>400</v>
      </c>
      <c r="M16" s="3">
        <v>720.00000000000011</v>
      </c>
      <c r="N16" s="1">
        <v>1296.0000000000002</v>
      </c>
      <c r="O16" s="1">
        <v>2332.8000000000006</v>
      </c>
      <c r="P16" s="1">
        <v>4199.0400000000009</v>
      </c>
    </row>
    <row r="17" spans="1:20" ht="21" x14ac:dyDescent="0.3">
      <c r="A17" s="2">
        <v>0.01</v>
      </c>
      <c r="E17" s="105" t="s">
        <v>8</v>
      </c>
      <c r="F17" s="102"/>
      <c r="G17" s="102"/>
      <c r="H17" s="106" t="s">
        <v>30</v>
      </c>
      <c r="I17" s="102"/>
      <c r="J17" s="102"/>
      <c r="K17" s="1" t="s">
        <v>31</v>
      </c>
      <c r="L17" s="3">
        <v>54.99</v>
      </c>
      <c r="M17" s="1">
        <v>98.982000000000014</v>
      </c>
      <c r="N17" s="1">
        <v>178.16760000000002</v>
      </c>
      <c r="O17" s="1">
        <v>320.70168000000007</v>
      </c>
      <c r="P17" s="1">
        <v>577.26302400000009</v>
      </c>
    </row>
    <row r="18" spans="1:20" ht="17.399999999999999" x14ac:dyDescent="0.45">
      <c r="E18" s="101" t="s">
        <v>11</v>
      </c>
      <c r="F18" s="104">
        <v>5.0000000000000001E-3</v>
      </c>
      <c r="G18" s="104">
        <f>F18+(F18*$B$8)</f>
        <v>9.0000000000000011E-3</v>
      </c>
      <c r="H18" s="104">
        <f t="shared" ref="H18:J18" si="6">G18+(G18*$B$8)</f>
        <v>1.6200000000000003E-2</v>
      </c>
      <c r="I18" s="104">
        <f t="shared" si="6"/>
        <v>2.9160000000000005E-2</v>
      </c>
      <c r="J18" s="104">
        <f t="shared" si="6"/>
        <v>5.2488000000000007E-2</v>
      </c>
      <c r="K18" s="1"/>
    </row>
    <row r="19" spans="1:20" ht="17.399999999999999" x14ac:dyDescent="0.45">
      <c r="E19" s="101" t="s">
        <v>13</v>
      </c>
      <c r="F19" s="102">
        <f>F18*$B$10</f>
        <v>54.99</v>
      </c>
      <c r="G19" s="102">
        <f t="shared" ref="G19:J19" si="7">G18*$B$10</f>
        <v>98.982000000000014</v>
      </c>
      <c r="H19" s="102">
        <f t="shared" si="7"/>
        <v>178.16760000000002</v>
      </c>
      <c r="I19" s="102">
        <f t="shared" si="7"/>
        <v>320.70168000000007</v>
      </c>
      <c r="J19" s="102">
        <f t="shared" si="7"/>
        <v>577.26302400000009</v>
      </c>
      <c r="K19" s="1"/>
    </row>
    <row r="20" spans="1:20" ht="17.399999999999999" x14ac:dyDescent="0.45">
      <c r="E20" s="101" t="s">
        <v>15</v>
      </c>
      <c r="F20" s="102">
        <f>F19*$B$6</f>
        <v>8248500</v>
      </c>
      <c r="G20" s="102">
        <f t="shared" ref="G20:J20" si="8">G19*$B$6</f>
        <v>14847300.000000002</v>
      </c>
      <c r="H20" s="102">
        <f t="shared" si="8"/>
        <v>26725140.000000004</v>
      </c>
      <c r="I20" s="102">
        <f t="shared" si="8"/>
        <v>48105252.000000007</v>
      </c>
      <c r="J20" s="102">
        <f t="shared" si="8"/>
        <v>86589453.600000009</v>
      </c>
      <c r="K20" s="1"/>
    </row>
    <row r="21" spans="1:20" ht="17.399999999999999" x14ac:dyDescent="0.45">
      <c r="E21" s="101" t="s">
        <v>17</v>
      </c>
      <c r="F21" s="102">
        <f>F19*$B$11</f>
        <v>13747500</v>
      </c>
      <c r="G21" s="102">
        <f t="shared" ref="G21:J21" si="9">G19*$B$11</f>
        <v>24745500.000000004</v>
      </c>
      <c r="H21" s="102">
        <f t="shared" si="9"/>
        <v>44541900.000000007</v>
      </c>
      <c r="I21" s="102">
        <f t="shared" si="9"/>
        <v>80175420.000000015</v>
      </c>
      <c r="J21" s="102">
        <f t="shared" si="9"/>
        <v>144315756.00000003</v>
      </c>
      <c r="K21" s="1"/>
    </row>
    <row r="22" spans="1:20" ht="22.2" x14ac:dyDescent="0.55000000000000004">
      <c r="E22" s="98" t="s">
        <v>32</v>
      </c>
      <c r="F22" s="99">
        <f>F6+F12+F16+F21</f>
        <v>20222708.333333336</v>
      </c>
      <c r="G22" s="99">
        <f t="shared" ref="G22:J22" si="10">G6+G12+G16+G21</f>
        <v>108305500.00000001</v>
      </c>
      <c r="H22" s="99">
        <f t="shared" si="10"/>
        <v>184549900</v>
      </c>
      <c r="I22" s="99">
        <f t="shared" si="10"/>
        <v>308789820.00000006</v>
      </c>
      <c r="J22" s="99">
        <f t="shared" si="10"/>
        <v>555821676.00000012</v>
      </c>
      <c r="K22" s="1"/>
    </row>
    <row r="23" spans="1:20" ht="22.2" x14ac:dyDescent="0.55000000000000004">
      <c r="E23" s="98" t="s">
        <v>33</v>
      </c>
      <c r="F23" s="99">
        <f>F5+F11+F20</f>
        <v>38248500</v>
      </c>
      <c r="G23" s="99">
        <f t="shared" ref="G23:J23" si="11">G5+G11+G20</f>
        <v>68847300.000000015</v>
      </c>
      <c r="H23" s="99">
        <f t="shared" si="11"/>
        <v>123925140.00000001</v>
      </c>
      <c r="I23" s="99">
        <f t="shared" si="11"/>
        <v>223065252.00000006</v>
      </c>
      <c r="J23" s="99">
        <f t="shared" si="11"/>
        <v>401517453.60000008</v>
      </c>
      <c r="K23" s="1"/>
    </row>
    <row r="24" spans="1:20" ht="22.2" x14ac:dyDescent="0.55000000000000004">
      <c r="E24" s="98" t="s">
        <v>34</v>
      </c>
      <c r="F24" s="99">
        <f>'Cost Projections'!D13</f>
        <v>6040000</v>
      </c>
      <c r="G24" s="99">
        <f>'Cost Projections'!D27</f>
        <v>8060000</v>
      </c>
      <c r="H24" s="99">
        <f>'Cost Projections'!D41</f>
        <v>13680000</v>
      </c>
      <c r="I24" s="99">
        <f>'Cost Projections'!D55</f>
        <v>17492000</v>
      </c>
      <c r="J24" s="99">
        <f>'Cost Projections'!D69</f>
        <v>25470000</v>
      </c>
      <c r="K24" s="1"/>
    </row>
    <row r="25" spans="1:20" ht="22.2" x14ac:dyDescent="0.55000000000000004">
      <c r="E25" s="98" t="s">
        <v>35</v>
      </c>
      <c r="F25" s="99">
        <f>'Cost Projections'!B13</f>
        <v>2500000</v>
      </c>
      <c r="G25" s="99"/>
      <c r="H25" s="99"/>
      <c r="I25" s="99"/>
      <c r="J25" s="99"/>
      <c r="K25" s="1"/>
    </row>
    <row r="26" spans="1:20" ht="22.2" x14ac:dyDescent="0.55000000000000004">
      <c r="E26" s="98" t="s">
        <v>36</v>
      </c>
      <c r="F26" s="99">
        <f>F22-F23-F24-F25</f>
        <v>-26565791.666666664</v>
      </c>
      <c r="G26" s="99">
        <f>G22-G23-G24-G25</f>
        <v>31398200</v>
      </c>
      <c r="H26" s="99">
        <f>H22-H23-H24-H25</f>
        <v>46944759.999999985</v>
      </c>
      <c r="I26" s="99">
        <f>I22-I23-I24-I25</f>
        <v>68232568</v>
      </c>
      <c r="J26" s="99">
        <f>J22-J23-J24-J25</f>
        <v>128834222.40000004</v>
      </c>
      <c r="K26" s="1"/>
    </row>
    <row r="27" spans="1:20" ht="15.6" x14ac:dyDescent="0.3">
      <c r="E27" s="1" t="s">
        <v>202</v>
      </c>
      <c r="F27" s="148">
        <f>F22/SUM(F4,F9,F19)</f>
        <v>44446.489666439556</v>
      </c>
      <c r="G27" s="148">
        <f t="shared" ref="G27:J27" si="12">G22/SUM(G4,G9,G19)</f>
        <v>132244.05420387749</v>
      </c>
      <c r="H27" s="148">
        <f t="shared" si="12"/>
        <v>125189.22543135527</v>
      </c>
      <c r="I27" s="148">
        <f t="shared" si="12"/>
        <v>116370.68946570253</v>
      </c>
      <c r="J27" s="148">
        <f t="shared" si="12"/>
        <v>116370.68946570256</v>
      </c>
    </row>
    <row r="28" spans="1:20" x14ac:dyDescent="0.45">
      <c r="A28" s="201" t="s">
        <v>37</v>
      </c>
      <c r="B28" s="201"/>
      <c r="C28" s="201"/>
      <c r="D28" s="201"/>
      <c r="F28" s="199" t="s">
        <v>38</v>
      </c>
      <c r="G28" s="200"/>
      <c r="H28" s="200"/>
      <c r="I28" s="200"/>
      <c r="J28" s="200"/>
      <c r="K28" s="200"/>
      <c r="L28" s="200"/>
      <c r="N28" s="199" t="s">
        <v>38</v>
      </c>
      <c r="O28" s="200"/>
      <c r="P28" s="200"/>
      <c r="Q28" s="200"/>
      <c r="R28" s="200"/>
      <c r="S28" s="200"/>
      <c r="T28" s="200"/>
    </row>
    <row r="29" spans="1:20" x14ac:dyDescent="0.45">
      <c r="A29" s="36" t="s">
        <v>39</v>
      </c>
      <c r="B29" s="36" t="s">
        <v>40</v>
      </c>
      <c r="C29" s="36" t="s">
        <v>41</v>
      </c>
      <c r="D29" s="36" t="s">
        <v>13</v>
      </c>
      <c r="F29" s="36" t="s">
        <v>39</v>
      </c>
      <c r="G29" s="36" t="s">
        <v>42</v>
      </c>
      <c r="H29" s="36" t="s">
        <v>41</v>
      </c>
      <c r="I29" s="36" t="s">
        <v>13</v>
      </c>
      <c r="J29" s="37" t="s">
        <v>43</v>
      </c>
      <c r="K29" s="37" t="s">
        <v>44</v>
      </c>
      <c r="L29" s="37" t="s">
        <v>45</v>
      </c>
      <c r="N29" s="36" t="s">
        <v>39</v>
      </c>
      <c r="O29" s="36" t="s">
        <v>42</v>
      </c>
      <c r="P29" s="36" t="s">
        <v>41</v>
      </c>
      <c r="Q29" s="36" t="s">
        <v>13</v>
      </c>
      <c r="R29" s="37" t="s">
        <v>43</v>
      </c>
      <c r="S29" s="37" t="s">
        <v>44</v>
      </c>
      <c r="T29" s="37" t="s">
        <v>45</v>
      </c>
    </row>
    <row r="30" spans="1:20" x14ac:dyDescent="0.45">
      <c r="A30" s="36" t="s">
        <v>46</v>
      </c>
      <c r="B30" s="52">
        <f>C30*$B$5</f>
        <v>46041.666666666672</v>
      </c>
      <c r="C30" s="37">
        <f>SUM($D$30:D30)</f>
        <v>17</v>
      </c>
      <c r="D30" s="37">
        <v>17</v>
      </c>
      <c r="F30" s="36" t="s">
        <v>46</v>
      </c>
      <c r="G30" s="52">
        <f t="shared" ref="G30:G41" si="13">$B$3*I30</f>
        <v>4143750</v>
      </c>
      <c r="H30" s="37">
        <f>SUM($I$30:I30)</f>
        <v>42.5</v>
      </c>
      <c r="I30" s="37">
        <f>D30*2.5</f>
        <v>42.5</v>
      </c>
      <c r="J30" s="37" t="e">
        <f>$F$3*#REF!</f>
        <v>#REF!</v>
      </c>
      <c r="K30" s="37" t="e">
        <f>G30+J30</f>
        <v>#REF!</v>
      </c>
      <c r="L30" s="37" t="e">
        <f>SUM($K$30:K30)</f>
        <v>#REF!</v>
      </c>
      <c r="N30" s="36" t="s">
        <v>46</v>
      </c>
      <c r="O30" s="52">
        <f t="shared" ref="O30:O41" si="14">Q30*$B$3</f>
        <v>8287500</v>
      </c>
      <c r="P30" s="37">
        <f>SUM($Q$30:Q30)</f>
        <v>85</v>
      </c>
      <c r="Q30" s="37">
        <f>5*D30</f>
        <v>85</v>
      </c>
      <c r="R30" s="37" t="e">
        <f>$F$3*#REF!</f>
        <v>#REF!</v>
      </c>
      <c r="S30" s="37" t="e">
        <f>O30+R30</f>
        <v>#REF!</v>
      </c>
      <c r="T30" s="37" t="e">
        <f>SUM($S$30:S30)</f>
        <v>#REF!</v>
      </c>
    </row>
    <row r="31" spans="1:20" x14ac:dyDescent="0.45">
      <c r="A31" s="36" t="s">
        <v>47</v>
      </c>
      <c r="B31" s="52">
        <f t="shared" ref="B31:B41" si="15">C31*$B$5</f>
        <v>127291.66666666667</v>
      </c>
      <c r="C31" s="37">
        <f>SUM($D$30:D31)</f>
        <v>47</v>
      </c>
      <c r="D31" s="37">
        <v>30</v>
      </c>
      <c r="F31" s="36" t="s">
        <v>47</v>
      </c>
      <c r="G31" s="52">
        <f t="shared" si="13"/>
        <v>7312500</v>
      </c>
      <c r="H31" s="37">
        <f>SUM($I$30:I31)</f>
        <v>117.5</v>
      </c>
      <c r="I31" s="37">
        <f t="shared" ref="I31:I41" si="16">D31*2.5</f>
        <v>75</v>
      </c>
      <c r="J31" s="37" t="e">
        <f>$F$3*#REF!</f>
        <v>#REF!</v>
      </c>
      <c r="K31" s="37" t="e">
        <f t="shared" ref="K31:K41" si="17">G31+J31</f>
        <v>#REF!</v>
      </c>
      <c r="L31" s="37" t="e">
        <f>SUM($K$30:K31)</f>
        <v>#REF!</v>
      </c>
      <c r="N31" s="36" t="s">
        <v>47</v>
      </c>
      <c r="O31" s="52">
        <f t="shared" si="14"/>
        <v>14625000</v>
      </c>
      <c r="P31" s="37">
        <f>SUM($Q$30:Q31)</f>
        <v>235</v>
      </c>
      <c r="Q31" s="37">
        <f t="shared" ref="Q31:Q41" si="18">5*D31</f>
        <v>150</v>
      </c>
      <c r="R31" s="37" t="e">
        <f>$F$3*#REF!</f>
        <v>#REF!</v>
      </c>
      <c r="S31" s="37" t="e">
        <f t="shared" ref="S31:S41" si="19">O31+R31</f>
        <v>#REF!</v>
      </c>
      <c r="T31" s="37" t="e">
        <f>SUM($S$30:S31)</f>
        <v>#REF!</v>
      </c>
    </row>
    <row r="32" spans="1:20" x14ac:dyDescent="0.45">
      <c r="A32" s="36" t="s">
        <v>48</v>
      </c>
      <c r="B32" s="52">
        <f t="shared" si="15"/>
        <v>208541.66666666669</v>
      </c>
      <c r="C32" s="37">
        <f>SUM($D$30:D32)</f>
        <v>77</v>
      </c>
      <c r="D32" s="37">
        <v>30</v>
      </c>
      <c r="F32" s="36" t="s">
        <v>48</v>
      </c>
      <c r="G32" s="52">
        <f t="shared" si="13"/>
        <v>7312500</v>
      </c>
      <c r="H32" s="37">
        <f>SUM($I$30:I32)</f>
        <v>192.5</v>
      </c>
      <c r="I32" s="37">
        <f t="shared" si="16"/>
        <v>75</v>
      </c>
      <c r="J32" s="37" t="e">
        <f>$F$3*#REF!</f>
        <v>#REF!</v>
      </c>
      <c r="K32" s="37" t="e">
        <f t="shared" si="17"/>
        <v>#REF!</v>
      </c>
      <c r="L32" s="37" t="e">
        <f>SUM($K$30:K32)</f>
        <v>#REF!</v>
      </c>
      <c r="N32" s="36" t="s">
        <v>48</v>
      </c>
      <c r="O32" s="52">
        <f t="shared" si="14"/>
        <v>14625000</v>
      </c>
      <c r="P32" s="37">
        <f>SUM($Q$30:Q32)</f>
        <v>385</v>
      </c>
      <c r="Q32" s="37">
        <f t="shared" si="18"/>
        <v>150</v>
      </c>
      <c r="R32" s="37" t="e">
        <f>$F$3*#REF!</f>
        <v>#REF!</v>
      </c>
      <c r="S32" s="37" t="e">
        <f t="shared" si="19"/>
        <v>#REF!</v>
      </c>
      <c r="T32" s="37" t="e">
        <f>SUM($S$30:S32)</f>
        <v>#REF!</v>
      </c>
    </row>
    <row r="33" spans="1:20" x14ac:dyDescent="0.45">
      <c r="A33" s="36" t="s">
        <v>49</v>
      </c>
      <c r="B33" s="52">
        <f t="shared" si="15"/>
        <v>276250</v>
      </c>
      <c r="C33" s="37">
        <f>SUM($D$30:D33)</f>
        <v>102</v>
      </c>
      <c r="D33" s="37">
        <v>25</v>
      </c>
      <c r="F33" s="36" t="s">
        <v>49</v>
      </c>
      <c r="G33" s="52">
        <f t="shared" si="13"/>
        <v>6093750</v>
      </c>
      <c r="H33" s="37">
        <f>SUM($I$30:I33)</f>
        <v>255</v>
      </c>
      <c r="I33" s="37">
        <f t="shared" si="16"/>
        <v>62.5</v>
      </c>
      <c r="J33" s="37" t="e">
        <f>$F$3*#REF!</f>
        <v>#REF!</v>
      </c>
      <c r="K33" s="37" t="e">
        <f t="shared" si="17"/>
        <v>#REF!</v>
      </c>
      <c r="L33" s="37" t="e">
        <f>SUM($K$30:K33)</f>
        <v>#REF!</v>
      </c>
      <c r="N33" s="36" t="s">
        <v>49</v>
      </c>
      <c r="O33" s="52">
        <f t="shared" si="14"/>
        <v>12187500</v>
      </c>
      <c r="P33" s="37">
        <f>SUM($Q$30:Q33)</f>
        <v>510</v>
      </c>
      <c r="Q33" s="37">
        <f t="shared" si="18"/>
        <v>125</v>
      </c>
      <c r="R33" s="37" t="e">
        <f>$F$3*#REF!</f>
        <v>#REF!</v>
      </c>
      <c r="S33" s="37" t="e">
        <f t="shared" si="19"/>
        <v>#REF!</v>
      </c>
      <c r="T33" s="37" t="e">
        <f>SUM($S$30:S33)</f>
        <v>#REF!</v>
      </c>
    </row>
    <row r="34" spans="1:20" x14ac:dyDescent="0.45">
      <c r="A34" s="36" t="s">
        <v>50</v>
      </c>
      <c r="B34" s="52">
        <f t="shared" si="15"/>
        <v>371041.66666666669</v>
      </c>
      <c r="C34" s="37">
        <f>SUM($D$30:D34)</f>
        <v>137</v>
      </c>
      <c r="D34" s="37">
        <v>35</v>
      </c>
      <c r="F34" s="36" t="s">
        <v>50</v>
      </c>
      <c r="G34" s="52">
        <f t="shared" si="13"/>
        <v>8531250</v>
      </c>
      <c r="H34" s="37">
        <f>SUM($I$30:I34)</f>
        <v>342.5</v>
      </c>
      <c r="I34" s="37">
        <f t="shared" si="16"/>
        <v>87.5</v>
      </c>
      <c r="J34" s="37" t="e">
        <f>$F$3*#REF!</f>
        <v>#REF!</v>
      </c>
      <c r="K34" s="37" t="e">
        <f t="shared" si="17"/>
        <v>#REF!</v>
      </c>
      <c r="L34" s="37" t="e">
        <f>SUM($K$30:K34)</f>
        <v>#REF!</v>
      </c>
      <c r="N34" s="36" t="s">
        <v>50</v>
      </c>
      <c r="O34" s="52">
        <f t="shared" si="14"/>
        <v>17062500</v>
      </c>
      <c r="P34" s="37">
        <f>SUM($Q$30:Q34)</f>
        <v>685</v>
      </c>
      <c r="Q34" s="37">
        <f t="shared" si="18"/>
        <v>175</v>
      </c>
      <c r="R34" s="37" t="e">
        <f>$F$3*#REF!</f>
        <v>#REF!</v>
      </c>
      <c r="S34" s="37" t="e">
        <f t="shared" si="19"/>
        <v>#REF!</v>
      </c>
      <c r="T34" s="37" t="e">
        <f>SUM($S$30:S34)</f>
        <v>#REF!</v>
      </c>
    </row>
    <row r="35" spans="1:20" x14ac:dyDescent="0.45">
      <c r="A35" s="36" t="s">
        <v>51</v>
      </c>
      <c r="B35" s="52">
        <f t="shared" si="15"/>
        <v>452291.66666666669</v>
      </c>
      <c r="C35" s="37">
        <f>SUM($D$30:D35)</f>
        <v>167</v>
      </c>
      <c r="D35" s="37">
        <v>30</v>
      </c>
      <c r="F35" s="36" t="s">
        <v>51</v>
      </c>
      <c r="G35" s="52">
        <f t="shared" si="13"/>
        <v>7312500</v>
      </c>
      <c r="H35" s="37">
        <f>SUM($I$30:I35)</f>
        <v>417.5</v>
      </c>
      <c r="I35" s="37">
        <f t="shared" si="16"/>
        <v>75</v>
      </c>
      <c r="J35" s="37" t="e">
        <f>$F$3*#REF!</f>
        <v>#REF!</v>
      </c>
      <c r="K35" s="37" t="e">
        <f t="shared" si="17"/>
        <v>#REF!</v>
      </c>
      <c r="L35" s="37" t="e">
        <f>SUM($K$30:K35)</f>
        <v>#REF!</v>
      </c>
      <c r="N35" s="36" t="s">
        <v>51</v>
      </c>
      <c r="O35" s="52">
        <f t="shared" si="14"/>
        <v>14625000</v>
      </c>
      <c r="P35" s="37">
        <f>SUM($Q$30:Q35)</f>
        <v>835</v>
      </c>
      <c r="Q35" s="37">
        <f t="shared" si="18"/>
        <v>150</v>
      </c>
      <c r="R35" s="37" t="e">
        <f>$F$3*#REF!</f>
        <v>#REF!</v>
      </c>
      <c r="S35" s="37" t="e">
        <f t="shared" si="19"/>
        <v>#REF!</v>
      </c>
      <c r="T35" s="37" t="e">
        <f>SUM($S$30:S35)</f>
        <v>#REF!</v>
      </c>
    </row>
    <row r="36" spans="1:20" x14ac:dyDescent="0.45">
      <c r="A36" s="36" t="s">
        <v>52</v>
      </c>
      <c r="B36" s="52">
        <f t="shared" si="15"/>
        <v>549791.66666666674</v>
      </c>
      <c r="C36" s="37">
        <f>SUM($D$30:D36)</f>
        <v>203</v>
      </c>
      <c r="D36" s="37">
        <v>36</v>
      </c>
      <c r="F36" s="36" t="s">
        <v>52</v>
      </c>
      <c r="G36" s="52">
        <f t="shared" si="13"/>
        <v>8775000</v>
      </c>
      <c r="H36" s="37">
        <f>SUM($I$30:I36)</f>
        <v>507.5</v>
      </c>
      <c r="I36" s="37">
        <f t="shared" si="16"/>
        <v>90</v>
      </c>
      <c r="J36" s="37" t="e">
        <f>$F$3*#REF!</f>
        <v>#REF!</v>
      </c>
      <c r="K36" s="37" t="e">
        <f t="shared" si="17"/>
        <v>#REF!</v>
      </c>
      <c r="L36" s="37" t="e">
        <f>SUM($K$30:K36)</f>
        <v>#REF!</v>
      </c>
      <c r="N36" s="36" t="s">
        <v>52</v>
      </c>
      <c r="O36" s="52">
        <f t="shared" si="14"/>
        <v>17550000</v>
      </c>
      <c r="P36" s="37">
        <f>SUM($Q$30:Q36)</f>
        <v>1015</v>
      </c>
      <c r="Q36" s="37">
        <f t="shared" si="18"/>
        <v>180</v>
      </c>
      <c r="R36" s="37" t="e">
        <f>$F$3*#REF!</f>
        <v>#REF!</v>
      </c>
      <c r="S36" s="37" t="e">
        <f t="shared" si="19"/>
        <v>#REF!</v>
      </c>
      <c r="T36" s="37" t="e">
        <f>SUM($S$30:S36)</f>
        <v>#REF!</v>
      </c>
    </row>
    <row r="37" spans="1:20" x14ac:dyDescent="0.45">
      <c r="A37" s="36" t="s">
        <v>53</v>
      </c>
      <c r="B37" s="52">
        <f t="shared" si="15"/>
        <v>631041.66666666674</v>
      </c>
      <c r="C37" s="37">
        <f>SUM($D$30:D37)</f>
        <v>233</v>
      </c>
      <c r="D37" s="37">
        <v>30</v>
      </c>
      <c r="F37" s="36" t="s">
        <v>53</v>
      </c>
      <c r="G37" s="52">
        <f t="shared" si="13"/>
        <v>7312500</v>
      </c>
      <c r="H37" s="37">
        <f>SUM($I$30:I37)</f>
        <v>582.5</v>
      </c>
      <c r="I37" s="37">
        <f t="shared" si="16"/>
        <v>75</v>
      </c>
      <c r="J37" s="37" t="e">
        <f>$F$3*#REF!</f>
        <v>#REF!</v>
      </c>
      <c r="K37" s="37" t="e">
        <f t="shared" si="17"/>
        <v>#REF!</v>
      </c>
      <c r="L37" s="37" t="e">
        <f>SUM($K$30:K37)</f>
        <v>#REF!</v>
      </c>
      <c r="N37" s="36" t="s">
        <v>53</v>
      </c>
      <c r="O37" s="52">
        <f t="shared" si="14"/>
        <v>14625000</v>
      </c>
      <c r="P37" s="37">
        <f>SUM($Q$30:Q37)</f>
        <v>1165</v>
      </c>
      <c r="Q37" s="37">
        <f t="shared" si="18"/>
        <v>150</v>
      </c>
      <c r="R37" s="37" t="e">
        <f>$F$3*#REF!</f>
        <v>#REF!</v>
      </c>
      <c r="S37" s="37" t="e">
        <f t="shared" si="19"/>
        <v>#REF!</v>
      </c>
      <c r="T37" s="37" t="e">
        <f>SUM($S$30:S37)</f>
        <v>#REF!</v>
      </c>
    </row>
    <row r="38" spans="1:20" x14ac:dyDescent="0.45">
      <c r="A38" s="36" t="s">
        <v>54</v>
      </c>
      <c r="B38" s="52">
        <f t="shared" si="15"/>
        <v>725833.33333333337</v>
      </c>
      <c r="C38" s="37">
        <f>SUM($D$30:D38)</f>
        <v>268</v>
      </c>
      <c r="D38" s="37">
        <v>35</v>
      </c>
      <c r="F38" s="36" t="s">
        <v>54</v>
      </c>
      <c r="G38" s="52">
        <f t="shared" si="13"/>
        <v>8531250</v>
      </c>
      <c r="H38" s="37">
        <f>SUM($I$30:I38)</f>
        <v>670</v>
      </c>
      <c r="I38" s="37">
        <f t="shared" si="16"/>
        <v>87.5</v>
      </c>
      <c r="J38" s="37" t="e">
        <f>$F$3*#REF!</f>
        <v>#REF!</v>
      </c>
      <c r="K38" s="37" t="e">
        <f t="shared" si="17"/>
        <v>#REF!</v>
      </c>
      <c r="L38" s="37" t="e">
        <f>SUM($K$30:K38)</f>
        <v>#REF!</v>
      </c>
      <c r="N38" s="36" t="s">
        <v>54</v>
      </c>
      <c r="O38" s="52">
        <f t="shared" si="14"/>
        <v>17062500</v>
      </c>
      <c r="P38" s="37">
        <f>SUM($Q$30:Q38)</f>
        <v>1340</v>
      </c>
      <c r="Q38" s="37">
        <f t="shared" si="18"/>
        <v>175</v>
      </c>
      <c r="R38" s="37" t="e">
        <f>$F$3*#REF!</f>
        <v>#REF!</v>
      </c>
      <c r="S38" s="37" t="e">
        <f t="shared" si="19"/>
        <v>#REF!</v>
      </c>
      <c r="T38" s="37" t="e">
        <f>SUM($S$30:S38)</f>
        <v>#REF!</v>
      </c>
    </row>
    <row r="39" spans="1:20" x14ac:dyDescent="0.45">
      <c r="A39" s="36" t="s">
        <v>55</v>
      </c>
      <c r="B39" s="52">
        <f t="shared" si="15"/>
        <v>834166.66666666674</v>
      </c>
      <c r="C39" s="37">
        <f>SUM($D$30:D39)</f>
        <v>308</v>
      </c>
      <c r="D39" s="37">
        <v>40</v>
      </c>
      <c r="F39" s="36" t="s">
        <v>55</v>
      </c>
      <c r="G39" s="52">
        <f t="shared" si="13"/>
        <v>9750000</v>
      </c>
      <c r="H39" s="37">
        <f>SUM($I$30:I39)</f>
        <v>770</v>
      </c>
      <c r="I39" s="37">
        <f t="shared" si="16"/>
        <v>100</v>
      </c>
      <c r="J39" s="37" t="e">
        <f>$F$3*#REF!</f>
        <v>#REF!</v>
      </c>
      <c r="K39" s="37" t="e">
        <f t="shared" si="17"/>
        <v>#REF!</v>
      </c>
      <c r="L39" s="37" t="e">
        <f>SUM($K$30:K39)</f>
        <v>#REF!</v>
      </c>
      <c r="N39" s="36" t="s">
        <v>55</v>
      </c>
      <c r="O39" s="52">
        <f t="shared" si="14"/>
        <v>19500000</v>
      </c>
      <c r="P39" s="37">
        <f>SUM($Q$30:Q39)</f>
        <v>1540</v>
      </c>
      <c r="Q39" s="37">
        <f t="shared" si="18"/>
        <v>200</v>
      </c>
      <c r="R39" s="37" t="e">
        <f>$F$3*#REF!</f>
        <v>#REF!</v>
      </c>
      <c r="S39" s="37" t="e">
        <f t="shared" si="19"/>
        <v>#REF!</v>
      </c>
      <c r="T39" s="37" t="e">
        <f>SUM($S$30:S39)</f>
        <v>#REF!</v>
      </c>
    </row>
    <row r="40" spans="1:20" x14ac:dyDescent="0.45">
      <c r="A40" s="36" t="s">
        <v>56</v>
      </c>
      <c r="B40" s="52">
        <f t="shared" si="15"/>
        <v>969583.33333333337</v>
      </c>
      <c r="C40" s="37">
        <f>SUM($D$30:D40)</f>
        <v>358</v>
      </c>
      <c r="D40" s="37">
        <v>50</v>
      </c>
      <c r="F40" s="36" t="s">
        <v>56</v>
      </c>
      <c r="G40" s="52">
        <f t="shared" si="13"/>
        <v>12187500</v>
      </c>
      <c r="H40" s="37">
        <f>SUM($I$30:I40)</f>
        <v>895</v>
      </c>
      <c r="I40" s="37">
        <f t="shared" si="16"/>
        <v>125</v>
      </c>
      <c r="J40" s="37" t="e">
        <f>$F$3*#REF!</f>
        <v>#REF!</v>
      </c>
      <c r="K40" s="37" t="e">
        <f t="shared" si="17"/>
        <v>#REF!</v>
      </c>
      <c r="L40" s="37" t="e">
        <f>SUM($K$30:K40)</f>
        <v>#REF!</v>
      </c>
      <c r="N40" s="36" t="s">
        <v>56</v>
      </c>
      <c r="O40" s="52">
        <f t="shared" si="14"/>
        <v>24375000</v>
      </c>
      <c r="P40" s="37">
        <f>SUM($Q$30:Q40)</f>
        <v>1790</v>
      </c>
      <c r="Q40" s="37">
        <f t="shared" si="18"/>
        <v>250</v>
      </c>
      <c r="R40" s="37" t="e">
        <f>$F$3*#REF!</f>
        <v>#REF!</v>
      </c>
      <c r="S40" s="37" t="e">
        <f t="shared" si="19"/>
        <v>#REF!</v>
      </c>
      <c r="T40" s="37" t="e">
        <f>SUM($S$30:S40)</f>
        <v>#REF!</v>
      </c>
    </row>
    <row r="41" spans="1:20" x14ac:dyDescent="0.45">
      <c r="A41" s="36" t="s">
        <v>57</v>
      </c>
      <c r="B41" s="52">
        <f t="shared" si="15"/>
        <v>1083333.3333333335</v>
      </c>
      <c r="C41" s="37">
        <f>SUM($D$30:D41)</f>
        <v>400</v>
      </c>
      <c r="D41" s="37">
        <v>42</v>
      </c>
      <c r="F41" s="36" t="s">
        <v>57</v>
      </c>
      <c r="G41" s="52">
        <f t="shared" si="13"/>
        <v>10237500</v>
      </c>
      <c r="H41" s="37">
        <f>SUM($I$30:I41)</f>
        <v>1000</v>
      </c>
      <c r="I41" s="37">
        <f t="shared" si="16"/>
        <v>105</v>
      </c>
      <c r="J41" s="37" t="e">
        <f>$F$3*#REF!</f>
        <v>#REF!</v>
      </c>
      <c r="K41" s="37" t="e">
        <f t="shared" si="17"/>
        <v>#REF!</v>
      </c>
      <c r="L41" s="37" t="e">
        <f>SUM($K$30:K41)</f>
        <v>#REF!</v>
      </c>
      <c r="N41" s="36" t="s">
        <v>57</v>
      </c>
      <c r="O41" s="52">
        <f t="shared" si="14"/>
        <v>20475000</v>
      </c>
      <c r="P41" s="37">
        <f>SUM($Q$30:Q41)</f>
        <v>2000</v>
      </c>
      <c r="Q41" s="37">
        <f t="shared" si="18"/>
        <v>210</v>
      </c>
      <c r="R41" s="37" t="e">
        <f>$F$3*#REF!</f>
        <v>#REF!</v>
      </c>
      <c r="S41" s="37" t="e">
        <f t="shared" si="19"/>
        <v>#REF!</v>
      </c>
      <c r="T41" s="37" t="e">
        <f>SUM($S$30:S41)</f>
        <v>#REF!</v>
      </c>
    </row>
    <row r="42" spans="1:20" x14ac:dyDescent="0.45">
      <c r="A42" s="36" t="s">
        <v>58</v>
      </c>
      <c r="B42" s="52">
        <f>SUM(B30:B41)</f>
        <v>6275208.333333334</v>
      </c>
      <c r="C42" s="36"/>
      <c r="D42" s="36">
        <f>SUM(D30:D41)</f>
        <v>400</v>
      </c>
      <c r="F42" s="36" t="s">
        <v>58</v>
      </c>
      <c r="G42" s="52">
        <f>SUM(G30:G41)</f>
        <v>97500000</v>
      </c>
      <c r="H42" s="36"/>
      <c r="I42" s="36">
        <f>SUM(I30:I41)</f>
        <v>1000</v>
      </c>
      <c r="J42" s="37"/>
      <c r="K42" s="65" t="e">
        <f>SUM(K30:K41)</f>
        <v>#REF!</v>
      </c>
      <c r="L42" s="37"/>
      <c r="N42" s="36" t="s">
        <v>58</v>
      </c>
      <c r="O42" s="52">
        <f>SUM(O30:O41)</f>
        <v>195000000</v>
      </c>
      <c r="P42" s="36"/>
      <c r="Q42" s="36">
        <f>SUM(Q30:Q41)</f>
        <v>2000</v>
      </c>
      <c r="R42" s="37"/>
      <c r="S42" s="65" t="e">
        <f>SUM(S30:S41)</f>
        <v>#REF!</v>
      </c>
      <c r="T42" s="37"/>
    </row>
    <row r="43" spans="1:20" x14ac:dyDescent="0.45">
      <c r="F43" s="5"/>
      <c r="G43" s="5"/>
    </row>
    <row r="44" spans="1:20" x14ac:dyDescent="0.45">
      <c r="F44" s="5"/>
      <c r="G44" s="5"/>
      <c r="H44" s="37" t="s">
        <v>39</v>
      </c>
      <c r="I44" s="37" t="s">
        <v>59</v>
      </c>
      <c r="J44" s="37" t="s">
        <v>60</v>
      </c>
      <c r="K44" s="3" t="s">
        <v>61</v>
      </c>
      <c r="L44" s="3" t="s">
        <v>62</v>
      </c>
    </row>
    <row r="45" spans="1:20" x14ac:dyDescent="0.45">
      <c r="F45" s="5"/>
      <c r="G45" s="5"/>
      <c r="H45" s="197" t="s">
        <v>63</v>
      </c>
      <c r="I45" s="198"/>
      <c r="J45" s="66"/>
      <c r="K45" s="60">
        <f>'Cost Projections'!B13</f>
        <v>2500000</v>
      </c>
      <c r="L45" s="3">
        <f>('Cost Projections'!$D$13+'Cost Projections'!$F$13)/12</f>
        <v>3003333.3333333335</v>
      </c>
    </row>
    <row r="46" spans="1:20" x14ac:dyDescent="0.45">
      <c r="F46" s="5"/>
      <c r="G46" s="5"/>
      <c r="H46" s="36" t="s">
        <v>46</v>
      </c>
      <c r="I46" s="37">
        <f>SUM($B$30:B30)</f>
        <v>46041.666666666672</v>
      </c>
      <c r="J46" s="52">
        <f>K45+L45</f>
        <v>5503333.333333334</v>
      </c>
    </row>
    <row r="47" spans="1:20" x14ac:dyDescent="0.45">
      <c r="F47" s="5"/>
      <c r="G47" s="5"/>
      <c r="H47" s="36" t="s">
        <v>47</v>
      </c>
      <c r="I47" s="37">
        <f>SUM($B$30:B31)</f>
        <v>173333.33333333334</v>
      </c>
      <c r="J47" s="52">
        <f>J46+$L$45</f>
        <v>8506666.6666666679</v>
      </c>
      <c r="L47" s="3" t="s">
        <v>64</v>
      </c>
    </row>
    <row r="48" spans="1:20" x14ac:dyDescent="0.45">
      <c r="F48" s="5"/>
      <c r="G48" s="5"/>
      <c r="H48" s="36" t="s">
        <v>48</v>
      </c>
      <c r="I48" s="37">
        <f>SUM($B$30:B32)</f>
        <v>381875</v>
      </c>
      <c r="J48" s="52">
        <f t="shared" ref="J48:J57" si="20">J47+$L$45</f>
        <v>11510000.000000002</v>
      </c>
      <c r="L48" s="3">
        <f>('Cost Projections'!D27+'Cost Projections'!F27)/12</f>
        <v>5171666.666666667</v>
      </c>
    </row>
    <row r="49" spans="6:12" x14ac:dyDescent="0.45">
      <c r="F49" s="5"/>
      <c r="G49" s="5"/>
      <c r="H49" s="36" t="s">
        <v>49</v>
      </c>
      <c r="I49" s="37">
        <f>SUM($B$30:B33)</f>
        <v>658125</v>
      </c>
      <c r="J49" s="52">
        <f t="shared" si="20"/>
        <v>14513333.333333336</v>
      </c>
    </row>
    <row r="50" spans="6:12" x14ac:dyDescent="0.45">
      <c r="F50" s="5"/>
      <c r="G50" s="5"/>
      <c r="H50" s="36" t="s">
        <v>50</v>
      </c>
      <c r="I50" s="37">
        <f>SUM($B$30:B34)</f>
        <v>1029166.6666666667</v>
      </c>
      <c r="J50" s="52">
        <f t="shared" si="20"/>
        <v>17516666.666666668</v>
      </c>
      <c r="L50" s="3" t="s">
        <v>65</v>
      </c>
    </row>
    <row r="51" spans="6:12" x14ac:dyDescent="0.45">
      <c r="H51" s="36" t="s">
        <v>51</v>
      </c>
      <c r="I51" s="37">
        <f>SUM($B$30:B35)</f>
        <v>1481458.3333333335</v>
      </c>
      <c r="J51" s="52">
        <f t="shared" si="20"/>
        <v>20520000</v>
      </c>
      <c r="L51" s="3">
        <f>('Cost Projections'!D41+'Cost Projections'!F41)/12</f>
        <v>9240000.0000000019</v>
      </c>
    </row>
    <row r="52" spans="6:12" x14ac:dyDescent="0.45">
      <c r="H52" s="36" t="s">
        <v>52</v>
      </c>
      <c r="I52" s="37">
        <f>SUM($B$30:B36)</f>
        <v>2031250.0000000002</v>
      </c>
      <c r="J52" s="52">
        <f t="shared" si="20"/>
        <v>23523333.333333332</v>
      </c>
    </row>
    <row r="53" spans="6:12" x14ac:dyDescent="0.45">
      <c r="H53" s="36" t="s">
        <v>53</v>
      </c>
      <c r="I53" s="37">
        <f>SUM($B$30:B37)</f>
        <v>2662291.666666667</v>
      </c>
      <c r="J53" s="52">
        <f t="shared" si="20"/>
        <v>26526666.666666664</v>
      </c>
    </row>
    <row r="54" spans="6:12" x14ac:dyDescent="0.45">
      <c r="H54" s="36" t="s">
        <v>54</v>
      </c>
      <c r="I54" s="37">
        <f>SUM($B$30:B38)</f>
        <v>3388125.0000000005</v>
      </c>
      <c r="J54" s="52">
        <f t="shared" si="20"/>
        <v>29529999.999999996</v>
      </c>
    </row>
    <row r="55" spans="6:12" x14ac:dyDescent="0.45">
      <c r="H55" s="36" t="s">
        <v>55</v>
      </c>
      <c r="I55" s="37">
        <f>SUM($B$30:B39)</f>
        <v>4222291.666666667</v>
      </c>
      <c r="J55" s="52">
        <f t="shared" si="20"/>
        <v>32533333.333333328</v>
      </c>
    </row>
    <row r="56" spans="6:12" x14ac:dyDescent="0.45">
      <c r="H56" s="36" t="s">
        <v>56</v>
      </c>
      <c r="I56" s="37">
        <f>SUM($B$30:B40)</f>
        <v>5191875</v>
      </c>
      <c r="J56" s="52">
        <f t="shared" si="20"/>
        <v>35536666.666666664</v>
      </c>
    </row>
    <row r="57" spans="6:12" x14ac:dyDescent="0.45">
      <c r="H57" s="36" t="s">
        <v>57</v>
      </c>
      <c r="I57" s="37">
        <f>SUM($B$30:B41)</f>
        <v>6275208.333333334</v>
      </c>
      <c r="J57" s="52">
        <f t="shared" si="20"/>
        <v>38540000</v>
      </c>
    </row>
    <row r="58" spans="6:12" x14ac:dyDescent="0.45">
      <c r="H58" s="202" t="s">
        <v>3</v>
      </c>
      <c r="I58" s="198"/>
      <c r="J58" s="67"/>
    </row>
    <row r="59" spans="6:12" x14ac:dyDescent="0.45">
      <c r="H59" s="36" t="s">
        <v>46</v>
      </c>
      <c r="I59" s="37" t="e">
        <f>$I$57+L30</f>
        <v>#REF!</v>
      </c>
      <c r="J59" s="52">
        <f>J57+$L$48</f>
        <v>43711666.666666664</v>
      </c>
    </row>
    <row r="60" spans="6:12" x14ac:dyDescent="0.45">
      <c r="H60" s="36" t="s">
        <v>47</v>
      </c>
      <c r="I60" s="37" t="e">
        <f t="shared" ref="I60:I69" si="21">$I$57+L31</f>
        <v>#REF!</v>
      </c>
      <c r="J60" s="52">
        <f>J59+$L$48</f>
        <v>48883333.333333328</v>
      </c>
    </row>
    <row r="61" spans="6:12" x14ac:dyDescent="0.45">
      <c r="H61" s="36" t="s">
        <v>48</v>
      </c>
      <c r="I61" s="37" t="e">
        <f t="shared" si="21"/>
        <v>#REF!</v>
      </c>
      <c r="J61" s="52">
        <f t="shared" ref="J61:J70" si="22">J60+$L$48</f>
        <v>54054999.999999993</v>
      </c>
    </row>
    <row r="62" spans="6:12" x14ac:dyDescent="0.45">
      <c r="H62" s="36" t="s">
        <v>49</v>
      </c>
      <c r="I62" s="37" t="e">
        <f t="shared" si="21"/>
        <v>#REF!</v>
      </c>
      <c r="J62" s="52">
        <f t="shared" si="22"/>
        <v>59226666.666666657</v>
      </c>
    </row>
    <row r="63" spans="6:12" x14ac:dyDescent="0.45">
      <c r="H63" s="36" t="s">
        <v>50</v>
      </c>
      <c r="I63" s="37" t="e">
        <f t="shared" si="21"/>
        <v>#REF!</v>
      </c>
      <c r="J63" s="52">
        <f t="shared" si="22"/>
        <v>64398333.333333321</v>
      </c>
    </row>
    <row r="64" spans="6:12" x14ac:dyDescent="0.45">
      <c r="H64" s="36" t="s">
        <v>51</v>
      </c>
      <c r="I64" s="37" t="e">
        <f t="shared" si="21"/>
        <v>#REF!</v>
      </c>
      <c r="J64" s="52">
        <f t="shared" si="22"/>
        <v>69569999.999999985</v>
      </c>
    </row>
    <row r="65" spans="8:10" x14ac:dyDescent="0.45">
      <c r="H65" s="36" t="s">
        <v>52</v>
      </c>
      <c r="I65" s="37" t="e">
        <f t="shared" si="21"/>
        <v>#REF!</v>
      </c>
      <c r="J65" s="52">
        <f t="shared" si="22"/>
        <v>74741666.666666657</v>
      </c>
    </row>
    <row r="66" spans="8:10" x14ac:dyDescent="0.45">
      <c r="H66" s="36" t="s">
        <v>53</v>
      </c>
      <c r="I66" s="37" t="e">
        <f t="shared" si="21"/>
        <v>#REF!</v>
      </c>
      <c r="J66" s="52">
        <f t="shared" si="22"/>
        <v>79913333.333333328</v>
      </c>
    </row>
    <row r="67" spans="8:10" x14ac:dyDescent="0.45">
      <c r="H67" s="36" t="s">
        <v>54</v>
      </c>
      <c r="I67" s="37" t="e">
        <f t="shared" si="21"/>
        <v>#REF!</v>
      </c>
      <c r="J67" s="52">
        <f t="shared" si="22"/>
        <v>85085000</v>
      </c>
    </row>
    <row r="68" spans="8:10" x14ac:dyDescent="0.45">
      <c r="H68" s="36" t="s">
        <v>55</v>
      </c>
      <c r="I68" s="37" t="e">
        <f t="shared" si="21"/>
        <v>#REF!</v>
      </c>
      <c r="J68" s="52">
        <f t="shared" si="22"/>
        <v>90256666.666666672</v>
      </c>
    </row>
    <row r="69" spans="8:10" x14ac:dyDescent="0.45">
      <c r="H69" s="36" t="s">
        <v>56</v>
      </c>
      <c r="I69" s="37" t="e">
        <f t="shared" si="21"/>
        <v>#REF!</v>
      </c>
      <c r="J69" s="52">
        <f t="shared" si="22"/>
        <v>95428333.333333343</v>
      </c>
    </row>
    <row r="70" spans="8:10" x14ac:dyDescent="0.45">
      <c r="H70" s="36" t="s">
        <v>57</v>
      </c>
      <c r="I70" s="37" t="e">
        <f>$I$57+L41</f>
        <v>#REF!</v>
      </c>
      <c r="J70" s="52">
        <f t="shared" si="22"/>
        <v>100600000.00000001</v>
      </c>
    </row>
    <row r="71" spans="8:10" x14ac:dyDescent="0.45">
      <c r="H71" s="197" t="s">
        <v>66</v>
      </c>
      <c r="I71" s="198"/>
      <c r="J71" s="66"/>
    </row>
    <row r="72" spans="8:10" x14ac:dyDescent="0.45">
      <c r="H72" s="36" t="s">
        <v>46</v>
      </c>
      <c r="I72" s="37" t="e">
        <f>$I$70+T30</f>
        <v>#REF!</v>
      </c>
      <c r="J72" s="52">
        <f>J70+L51</f>
        <v>109840000.00000001</v>
      </c>
    </row>
    <row r="73" spans="8:10" x14ac:dyDescent="0.45">
      <c r="H73" s="36" t="s">
        <v>47</v>
      </c>
      <c r="I73" s="37" t="e">
        <f t="shared" ref="I73:I83" si="23">$I$70+T31</f>
        <v>#REF!</v>
      </c>
      <c r="J73" s="52">
        <f>J72+$L$51</f>
        <v>119080000.00000001</v>
      </c>
    </row>
    <row r="74" spans="8:10" x14ac:dyDescent="0.45">
      <c r="H74" s="36" t="s">
        <v>48</v>
      </c>
      <c r="I74" s="37" t="e">
        <f t="shared" si="23"/>
        <v>#REF!</v>
      </c>
      <c r="J74" s="52">
        <f t="shared" ref="J74:J83" si="24">J73+$L$51</f>
        <v>128320000.00000001</v>
      </c>
    </row>
    <row r="75" spans="8:10" x14ac:dyDescent="0.45">
      <c r="H75" s="36" t="s">
        <v>49</v>
      </c>
      <c r="I75" s="37" t="e">
        <f t="shared" si="23"/>
        <v>#REF!</v>
      </c>
      <c r="J75" s="52">
        <f t="shared" si="24"/>
        <v>137560000.00000003</v>
      </c>
    </row>
    <row r="76" spans="8:10" x14ac:dyDescent="0.45">
      <c r="H76" s="36" t="s">
        <v>50</v>
      </c>
      <c r="I76" s="37" t="e">
        <f t="shared" si="23"/>
        <v>#REF!</v>
      </c>
      <c r="J76" s="52">
        <f t="shared" si="24"/>
        <v>146800000.00000003</v>
      </c>
    </row>
    <row r="77" spans="8:10" x14ac:dyDescent="0.45">
      <c r="H77" s="36" t="s">
        <v>51</v>
      </c>
      <c r="I77" s="37" t="e">
        <f t="shared" si="23"/>
        <v>#REF!</v>
      </c>
      <c r="J77" s="52">
        <f t="shared" si="24"/>
        <v>156040000.00000003</v>
      </c>
    </row>
    <row r="78" spans="8:10" x14ac:dyDescent="0.45">
      <c r="H78" s="36" t="s">
        <v>52</v>
      </c>
      <c r="I78" s="37" t="e">
        <f t="shared" si="23"/>
        <v>#REF!</v>
      </c>
      <c r="J78" s="52">
        <f t="shared" si="24"/>
        <v>165280000.00000003</v>
      </c>
    </row>
    <row r="79" spans="8:10" x14ac:dyDescent="0.45">
      <c r="H79" s="36" t="s">
        <v>53</v>
      </c>
      <c r="I79" s="37" t="e">
        <f t="shared" si="23"/>
        <v>#REF!</v>
      </c>
      <c r="J79" s="52">
        <f t="shared" si="24"/>
        <v>174520000.00000003</v>
      </c>
    </row>
    <row r="80" spans="8:10" x14ac:dyDescent="0.45">
      <c r="H80" s="36" t="s">
        <v>54</v>
      </c>
      <c r="I80" s="37" t="e">
        <f t="shared" si="23"/>
        <v>#REF!</v>
      </c>
      <c r="J80" s="52">
        <f t="shared" si="24"/>
        <v>183760000.00000003</v>
      </c>
    </row>
    <row r="81" spans="7:13" x14ac:dyDescent="0.45">
      <c r="H81" s="36" t="s">
        <v>55</v>
      </c>
      <c r="I81" s="37" t="e">
        <f t="shared" si="23"/>
        <v>#REF!</v>
      </c>
      <c r="J81" s="52">
        <f t="shared" si="24"/>
        <v>193000000.00000003</v>
      </c>
    </row>
    <row r="82" spans="7:13" x14ac:dyDescent="0.45">
      <c r="H82" s="36" t="s">
        <v>56</v>
      </c>
      <c r="I82" s="37" t="e">
        <f t="shared" si="23"/>
        <v>#REF!</v>
      </c>
      <c r="J82" s="52">
        <f t="shared" si="24"/>
        <v>202240000.00000003</v>
      </c>
    </row>
    <row r="83" spans="7:13" x14ac:dyDescent="0.45">
      <c r="H83" s="36" t="s">
        <v>57</v>
      </c>
      <c r="I83" s="37" t="e">
        <f t="shared" si="23"/>
        <v>#REF!</v>
      </c>
      <c r="J83" s="52">
        <f t="shared" si="24"/>
        <v>211480000.00000003</v>
      </c>
    </row>
    <row r="85" spans="7:13" x14ac:dyDescent="0.45">
      <c r="H85" s="3" t="s">
        <v>67</v>
      </c>
      <c r="I85" s="3" t="s">
        <v>68</v>
      </c>
      <c r="J85" s="3" t="s">
        <v>69</v>
      </c>
      <c r="K85" s="3" t="s">
        <v>70</v>
      </c>
      <c r="L85" s="3" t="s">
        <v>17</v>
      </c>
    </row>
    <row r="86" spans="7:13" x14ac:dyDescent="0.45">
      <c r="G86" s="149">
        <v>2025</v>
      </c>
      <c r="H86" s="149">
        <v>0</v>
      </c>
      <c r="I86" s="150">
        <v>62970000</v>
      </c>
      <c r="J86" s="149">
        <f>H86*$B$1</f>
        <v>0</v>
      </c>
      <c r="K86" s="150">
        <f t="shared" ref="K86:K117" si="25">I86+J86</f>
        <v>62970000</v>
      </c>
      <c r="L86" s="150">
        <f>$F$27*H86</f>
        <v>0</v>
      </c>
      <c r="M86" s="50"/>
    </row>
    <row r="87" spans="7:13" x14ac:dyDescent="0.45">
      <c r="G87" s="149">
        <v>2025</v>
      </c>
      <c r="H87" s="149">
        <f>H86+150</f>
        <v>150</v>
      </c>
      <c r="I87" s="150">
        <v>62970000</v>
      </c>
      <c r="J87" s="149">
        <f t="shared" ref="J87:J117" si="26">H87*$B$1</f>
        <v>11250000</v>
      </c>
      <c r="K87" s="150">
        <f t="shared" si="25"/>
        <v>74220000</v>
      </c>
      <c r="L87" s="150">
        <f t="shared" ref="L87:L89" si="27">$F$27*H87</f>
        <v>6666973.4499659333</v>
      </c>
      <c r="M87" s="50"/>
    </row>
    <row r="88" spans="7:13" x14ac:dyDescent="0.45">
      <c r="G88" s="149">
        <v>2025</v>
      </c>
      <c r="H88" s="149">
        <f t="shared" ref="H88:H117" si="28">H87+150</f>
        <v>300</v>
      </c>
      <c r="I88" s="150">
        <v>62970000</v>
      </c>
      <c r="J88" s="149">
        <f t="shared" si="26"/>
        <v>22500000</v>
      </c>
      <c r="K88" s="150">
        <f t="shared" si="25"/>
        <v>85470000</v>
      </c>
      <c r="L88" s="150">
        <f t="shared" si="27"/>
        <v>13333946.899931867</v>
      </c>
      <c r="M88" s="50"/>
    </row>
    <row r="89" spans="7:13" x14ac:dyDescent="0.45">
      <c r="G89" s="149">
        <v>2025</v>
      </c>
      <c r="H89" s="149">
        <f t="shared" si="28"/>
        <v>450</v>
      </c>
      <c r="I89" s="150">
        <v>62970000</v>
      </c>
      <c r="J89" s="149">
        <f t="shared" si="26"/>
        <v>33750000</v>
      </c>
      <c r="K89" s="150">
        <f t="shared" si="25"/>
        <v>96720000</v>
      </c>
      <c r="L89" s="150">
        <f t="shared" si="27"/>
        <v>20000920.349897802</v>
      </c>
      <c r="M89" s="50"/>
    </row>
    <row r="90" spans="7:13" x14ac:dyDescent="0.45">
      <c r="G90" s="3">
        <v>2026</v>
      </c>
      <c r="H90" s="3">
        <f t="shared" si="28"/>
        <v>600</v>
      </c>
      <c r="I90" s="60">
        <v>62970000</v>
      </c>
      <c r="J90" s="3">
        <f t="shared" si="26"/>
        <v>45000000</v>
      </c>
      <c r="K90" s="60">
        <f t="shared" si="25"/>
        <v>107970000</v>
      </c>
      <c r="L90" s="150">
        <f>$G$27*H90</f>
        <v>79346432.522326499</v>
      </c>
      <c r="M90" s="50"/>
    </row>
    <row r="91" spans="7:13" x14ac:dyDescent="0.45">
      <c r="G91" s="3">
        <v>2026</v>
      </c>
      <c r="H91" s="3">
        <f t="shared" si="28"/>
        <v>750</v>
      </c>
      <c r="I91" s="60">
        <v>62970000</v>
      </c>
      <c r="J91" s="3">
        <f t="shared" si="26"/>
        <v>56250000</v>
      </c>
      <c r="K91" s="60">
        <f t="shared" si="25"/>
        <v>119220000</v>
      </c>
      <c r="L91" s="150">
        <f t="shared" ref="L91:L92" si="29">$G$27*H91</f>
        <v>99183040.652908117</v>
      </c>
      <c r="M91" s="50"/>
    </row>
    <row r="92" spans="7:13" x14ac:dyDescent="0.45">
      <c r="G92" s="3">
        <v>2026</v>
      </c>
      <c r="H92" s="3">
        <f t="shared" si="28"/>
        <v>900</v>
      </c>
      <c r="I92" s="60">
        <v>62970000</v>
      </c>
      <c r="J92" s="3">
        <f t="shared" si="26"/>
        <v>67500000</v>
      </c>
      <c r="K92" s="60">
        <f t="shared" si="25"/>
        <v>130470000</v>
      </c>
      <c r="L92" s="150">
        <f t="shared" si="29"/>
        <v>119019648.78348973</v>
      </c>
      <c r="M92" s="50"/>
    </row>
    <row r="93" spans="7:13" x14ac:dyDescent="0.45">
      <c r="G93" s="149">
        <v>2027</v>
      </c>
      <c r="H93" s="149">
        <f t="shared" si="28"/>
        <v>1050</v>
      </c>
      <c r="I93" s="150">
        <v>62970000</v>
      </c>
      <c r="J93" s="149">
        <f t="shared" si="26"/>
        <v>78750000</v>
      </c>
      <c r="K93" s="150">
        <f t="shared" si="25"/>
        <v>141720000</v>
      </c>
      <c r="L93" s="150">
        <f>$H$27*H93</f>
        <v>131448686.70292303</v>
      </c>
      <c r="M93" s="50"/>
    </row>
    <row r="94" spans="7:13" x14ac:dyDescent="0.45">
      <c r="G94" s="149">
        <v>2027</v>
      </c>
      <c r="H94" s="149">
        <f t="shared" si="28"/>
        <v>1200</v>
      </c>
      <c r="I94" s="150">
        <v>62970000</v>
      </c>
      <c r="J94" s="149">
        <f t="shared" si="26"/>
        <v>90000000</v>
      </c>
      <c r="K94" s="150">
        <f t="shared" si="25"/>
        <v>152970000</v>
      </c>
      <c r="L94" s="150">
        <f t="shared" ref="L94:L96" si="30">$H$27*H94</f>
        <v>150227070.51762632</v>
      </c>
      <c r="M94" s="50"/>
    </row>
    <row r="95" spans="7:13" x14ac:dyDescent="0.45">
      <c r="G95" s="149">
        <v>2027</v>
      </c>
      <c r="H95" s="149">
        <f t="shared" si="28"/>
        <v>1350</v>
      </c>
      <c r="I95" s="150">
        <v>62970000</v>
      </c>
      <c r="J95" s="149">
        <f t="shared" si="26"/>
        <v>101250000</v>
      </c>
      <c r="K95" s="150">
        <f t="shared" si="25"/>
        <v>164220000</v>
      </c>
      <c r="L95" s="150">
        <f t="shared" si="30"/>
        <v>169005454.3323296</v>
      </c>
      <c r="M95" s="50"/>
    </row>
    <row r="96" spans="7:13" x14ac:dyDescent="0.45">
      <c r="G96" s="149">
        <v>2027</v>
      </c>
      <c r="H96" s="149">
        <f t="shared" si="28"/>
        <v>1500</v>
      </c>
      <c r="I96" s="150">
        <v>62970000</v>
      </c>
      <c r="J96" s="149">
        <f t="shared" si="26"/>
        <v>112500000</v>
      </c>
      <c r="K96" s="150">
        <f t="shared" si="25"/>
        <v>175470000</v>
      </c>
      <c r="L96" s="150">
        <f t="shared" si="30"/>
        <v>187783838.14703292</v>
      </c>
      <c r="M96" s="50"/>
    </row>
    <row r="97" spans="7:13" x14ac:dyDescent="0.45">
      <c r="G97" s="3">
        <v>2028</v>
      </c>
      <c r="H97" s="3">
        <f t="shared" si="28"/>
        <v>1650</v>
      </c>
      <c r="I97" s="60">
        <v>62970000</v>
      </c>
      <c r="J97" s="3">
        <f t="shared" si="26"/>
        <v>123750000</v>
      </c>
      <c r="K97" s="60">
        <f t="shared" si="25"/>
        <v>186720000</v>
      </c>
      <c r="L97" s="150">
        <f>$I$27*H97</f>
        <v>192011637.61840916</v>
      </c>
      <c r="M97" s="50"/>
    </row>
    <row r="98" spans="7:13" x14ac:dyDescent="0.45">
      <c r="G98" s="3">
        <v>2028</v>
      </c>
      <c r="H98" s="3">
        <f t="shared" si="28"/>
        <v>1800</v>
      </c>
      <c r="I98" s="60">
        <v>62970000</v>
      </c>
      <c r="J98" s="3">
        <f t="shared" si="26"/>
        <v>135000000</v>
      </c>
      <c r="K98" s="60">
        <f t="shared" si="25"/>
        <v>197970000</v>
      </c>
      <c r="L98" s="150">
        <f t="shared" ref="L98:L103" si="31">$I$27*H98</f>
        <v>209467241.03826454</v>
      </c>
      <c r="M98" s="50"/>
    </row>
    <row r="99" spans="7:13" x14ac:dyDescent="0.45">
      <c r="G99" s="3">
        <v>2028</v>
      </c>
      <c r="H99" s="3">
        <f t="shared" si="28"/>
        <v>1950</v>
      </c>
      <c r="I99" s="60">
        <v>62970000</v>
      </c>
      <c r="J99" s="3">
        <f t="shared" si="26"/>
        <v>146250000</v>
      </c>
      <c r="K99" s="60">
        <f t="shared" si="25"/>
        <v>209220000</v>
      </c>
      <c r="L99" s="150">
        <f t="shared" si="31"/>
        <v>226922844.45811993</v>
      </c>
      <c r="M99" s="50"/>
    </row>
    <row r="100" spans="7:13" x14ac:dyDescent="0.45">
      <c r="G100" s="3">
        <v>2028</v>
      </c>
      <c r="H100" s="3">
        <f t="shared" si="28"/>
        <v>2100</v>
      </c>
      <c r="I100" s="60">
        <v>62970000</v>
      </c>
      <c r="J100" s="3">
        <f t="shared" si="26"/>
        <v>157500000</v>
      </c>
      <c r="K100" s="60">
        <f t="shared" si="25"/>
        <v>220470000</v>
      </c>
      <c r="L100" s="150">
        <f t="shared" si="31"/>
        <v>244378447.87797531</v>
      </c>
      <c r="M100" s="50"/>
    </row>
    <row r="101" spans="7:13" x14ac:dyDescent="0.45">
      <c r="G101" s="3">
        <v>2028</v>
      </c>
      <c r="H101" s="3">
        <f t="shared" si="28"/>
        <v>2250</v>
      </c>
      <c r="I101" s="60">
        <v>62970000</v>
      </c>
      <c r="J101" s="3">
        <f t="shared" si="26"/>
        <v>168750000</v>
      </c>
      <c r="K101" s="60">
        <f t="shared" si="25"/>
        <v>231720000</v>
      </c>
      <c r="L101" s="150">
        <f t="shared" si="31"/>
        <v>261834051.29783067</v>
      </c>
      <c r="M101" s="50"/>
    </row>
    <row r="102" spans="7:13" x14ac:dyDescent="0.45">
      <c r="G102" s="3">
        <v>2028</v>
      </c>
      <c r="H102" s="3">
        <f t="shared" si="28"/>
        <v>2400</v>
      </c>
      <c r="I102" s="60">
        <v>62970000</v>
      </c>
      <c r="J102" s="3">
        <f t="shared" si="26"/>
        <v>180000000</v>
      </c>
      <c r="K102" s="60">
        <f t="shared" si="25"/>
        <v>242970000</v>
      </c>
      <c r="L102" s="150">
        <f t="shared" si="31"/>
        <v>279289654.71768606</v>
      </c>
      <c r="M102" s="50"/>
    </row>
    <row r="103" spans="7:13" x14ac:dyDescent="0.45">
      <c r="G103" s="3">
        <v>2028</v>
      </c>
      <c r="H103" s="3">
        <f t="shared" si="28"/>
        <v>2550</v>
      </c>
      <c r="I103" s="60">
        <v>62970000</v>
      </c>
      <c r="J103" s="3">
        <f t="shared" si="26"/>
        <v>191250000</v>
      </c>
      <c r="K103" s="60">
        <f t="shared" si="25"/>
        <v>254220000</v>
      </c>
      <c r="L103" s="150">
        <f t="shared" si="31"/>
        <v>296745258.13754141</v>
      </c>
      <c r="M103" s="50"/>
    </row>
    <row r="104" spans="7:13" x14ac:dyDescent="0.45">
      <c r="G104" s="149">
        <v>2029</v>
      </c>
      <c r="H104" s="149">
        <f t="shared" si="28"/>
        <v>2700</v>
      </c>
      <c r="I104" s="150">
        <v>62970000</v>
      </c>
      <c r="J104" s="149">
        <f t="shared" si="26"/>
        <v>202500000</v>
      </c>
      <c r="K104" s="150">
        <f t="shared" si="25"/>
        <v>265470000</v>
      </c>
      <c r="L104" s="150">
        <f>$J$27*H104</f>
        <v>314200861.55739689</v>
      </c>
      <c r="M104" s="50"/>
    </row>
    <row r="105" spans="7:13" x14ac:dyDescent="0.45">
      <c r="G105" s="149">
        <v>2029</v>
      </c>
      <c r="H105" s="149">
        <f t="shared" si="28"/>
        <v>2850</v>
      </c>
      <c r="I105" s="150">
        <v>62970000</v>
      </c>
      <c r="J105" s="149">
        <f t="shared" si="26"/>
        <v>213750000</v>
      </c>
      <c r="K105" s="150">
        <f t="shared" si="25"/>
        <v>276720000</v>
      </c>
      <c r="L105" s="150">
        <f t="shared" ref="L105:L117" si="32">$J$27*H105</f>
        <v>331656464.9772523</v>
      </c>
      <c r="M105" s="50"/>
    </row>
    <row r="106" spans="7:13" x14ac:dyDescent="0.45">
      <c r="G106" s="149">
        <v>2029</v>
      </c>
      <c r="H106" s="149">
        <f t="shared" si="28"/>
        <v>3000</v>
      </c>
      <c r="I106" s="150">
        <v>62970000</v>
      </c>
      <c r="J106" s="149">
        <f t="shared" si="26"/>
        <v>225000000</v>
      </c>
      <c r="K106" s="150">
        <f t="shared" si="25"/>
        <v>287970000</v>
      </c>
      <c r="L106" s="150">
        <f t="shared" si="32"/>
        <v>349112068.39710766</v>
      </c>
      <c r="M106" s="50"/>
    </row>
    <row r="107" spans="7:13" x14ac:dyDescent="0.45">
      <c r="G107" s="149">
        <v>2029</v>
      </c>
      <c r="H107" s="149">
        <f t="shared" si="28"/>
        <v>3150</v>
      </c>
      <c r="I107" s="150">
        <v>62970000</v>
      </c>
      <c r="J107" s="149">
        <f t="shared" si="26"/>
        <v>236250000</v>
      </c>
      <c r="K107" s="150">
        <f t="shared" si="25"/>
        <v>299220000</v>
      </c>
      <c r="L107" s="150">
        <f t="shared" si="32"/>
        <v>366567671.81696308</v>
      </c>
      <c r="M107" s="50"/>
    </row>
    <row r="108" spans="7:13" x14ac:dyDescent="0.45">
      <c r="G108" s="149">
        <v>2029</v>
      </c>
      <c r="H108" s="149">
        <f t="shared" si="28"/>
        <v>3300</v>
      </c>
      <c r="I108" s="150">
        <v>62970000</v>
      </c>
      <c r="J108" s="149">
        <f t="shared" si="26"/>
        <v>247500000</v>
      </c>
      <c r="K108" s="150">
        <f t="shared" si="25"/>
        <v>310470000</v>
      </c>
      <c r="L108" s="150">
        <f t="shared" si="32"/>
        <v>384023275.23681843</v>
      </c>
      <c r="M108" s="50"/>
    </row>
    <row r="109" spans="7:13" x14ac:dyDescent="0.45">
      <c r="G109" s="149">
        <v>2029</v>
      </c>
      <c r="H109" s="149">
        <f t="shared" si="28"/>
        <v>3450</v>
      </c>
      <c r="I109" s="150">
        <v>62970000</v>
      </c>
      <c r="J109" s="149">
        <f t="shared" si="26"/>
        <v>258750000</v>
      </c>
      <c r="K109" s="150">
        <f t="shared" si="25"/>
        <v>321720000</v>
      </c>
      <c r="L109" s="150">
        <f t="shared" si="32"/>
        <v>401478878.65667379</v>
      </c>
      <c r="M109" s="50"/>
    </row>
    <row r="110" spans="7:13" x14ac:dyDescent="0.45">
      <c r="G110" s="149">
        <v>2029</v>
      </c>
      <c r="H110" s="149">
        <f t="shared" si="28"/>
        <v>3600</v>
      </c>
      <c r="I110" s="150">
        <v>62970000</v>
      </c>
      <c r="J110" s="149">
        <f t="shared" si="26"/>
        <v>270000000</v>
      </c>
      <c r="K110" s="150">
        <f t="shared" si="25"/>
        <v>332970000</v>
      </c>
      <c r="L110" s="150">
        <f t="shared" si="32"/>
        <v>418934482.0765292</v>
      </c>
      <c r="M110" s="50"/>
    </row>
    <row r="111" spans="7:13" x14ac:dyDescent="0.45">
      <c r="G111" s="149">
        <v>2029</v>
      </c>
      <c r="H111" s="149">
        <f t="shared" si="28"/>
        <v>3750</v>
      </c>
      <c r="I111" s="150">
        <v>62970000</v>
      </c>
      <c r="J111" s="149">
        <f t="shared" si="26"/>
        <v>281250000</v>
      </c>
      <c r="K111" s="150">
        <f t="shared" si="25"/>
        <v>344220000</v>
      </c>
      <c r="L111" s="150">
        <f t="shared" si="32"/>
        <v>436390085.49638456</v>
      </c>
      <c r="M111" s="50"/>
    </row>
    <row r="112" spans="7:13" x14ac:dyDescent="0.45">
      <c r="G112" s="149">
        <v>2029</v>
      </c>
      <c r="H112" s="149">
        <f t="shared" si="28"/>
        <v>3900</v>
      </c>
      <c r="I112" s="150">
        <v>62970000</v>
      </c>
      <c r="J112" s="149">
        <f t="shared" si="26"/>
        <v>292500000</v>
      </c>
      <c r="K112" s="150">
        <f t="shared" si="25"/>
        <v>355470000</v>
      </c>
      <c r="L112" s="150">
        <f t="shared" si="32"/>
        <v>453845688.91623998</v>
      </c>
      <c r="M112" s="50"/>
    </row>
    <row r="113" spans="7:13" x14ac:dyDescent="0.45">
      <c r="G113" s="149">
        <v>2029</v>
      </c>
      <c r="H113" s="149">
        <f t="shared" si="28"/>
        <v>4050</v>
      </c>
      <c r="I113" s="150">
        <v>62970000</v>
      </c>
      <c r="J113" s="149">
        <f t="shared" si="26"/>
        <v>303750000</v>
      </c>
      <c r="K113" s="150">
        <f t="shared" si="25"/>
        <v>366720000</v>
      </c>
      <c r="L113" s="150">
        <f t="shared" si="32"/>
        <v>471301292.33609533</v>
      </c>
      <c r="M113" s="50"/>
    </row>
    <row r="114" spans="7:13" x14ac:dyDescent="0.45">
      <c r="G114" s="149">
        <v>2029</v>
      </c>
      <c r="H114" s="149">
        <f t="shared" si="28"/>
        <v>4200</v>
      </c>
      <c r="I114" s="150">
        <v>62970000</v>
      </c>
      <c r="J114" s="149">
        <f t="shared" si="26"/>
        <v>315000000</v>
      </c>
      <c r="K114" s="150">
        <f t="shared" si="25"/>
        <v>377970000</v>
      </c>
      <c r="L114" s="150">
        <f t="shared" si="32"/>
        <v>488756895.75595075</v>
      </c>
      <c r="M114" s="50"/>
    </row>
    <row r="115" spans="7:13" x14ac:dyDescent="0.45">
      <c r="G115" s="149">
        <v>2029</v>
      </c>
      <c r="H115" s="149">
        <f t="shared" si="28"/>
        <v>4350</v>
      </c>
      <c r="I115" s="150">
        <v>62970000</v>
      </c>
      <c r="J115" s="149">
        <f t="shared" si="26"/>
        <v>326250000</v>
      </c>
      <c r="K115" s="150">
        <f t="shared" si="25"/>
        <v>389220000</v>
      </c>
      <c r="L115" s="150">
        <f t="shared" si="32"/>
        <v>506212499.17580611</v>
      </c>
      <c r="M115" s="50"/>
    </row>
    <row r="116" spans="7:13" x14ac:dyDescent="0.45">
      <c r="G116" s="149">
        <v>2029</v>
      </c>
      <c r="H116" s="149">
        <f t="shared" si="28"/>
        <v>4500</v>
      </c>
      <c r="I116" s="150">
        <v>62970000</v>
      </c>
      <c r="J116" s="149">
        <f t="shared" si="26"/>
        <v>337500000</v>
      </c>
      <c r="K116" s="150">
        <f t="shared" si="25"/>
        <v>400470000</v>
      </c>
      <c r="L116" s="150">
        <f t="shared" si="32"/>
        <v>523668102.59566152</v>
      </c>
      <c r="M116" s="50"/>
    </row>
    <row r="117" spans="7:13" x14ac:dyDescent="0.45">
      <c r="G117" s="149">
        <v>2029</v>
      </c>
      <c r="H117" s="149">
        <f t="shared" si="28"/>
        <v>4650</v>
      </c>
      <c r="I117" s="150">
        <v>62970000</v>
      </c>
      <c r="J117" s="149">
        <f t="shared" si="26"/>
        <v>348750000</v>
      </c>
      <c r="K117" s="150">
        <f t="shared" si="25"/>
        <v>411720000</v>
      </c>
      <c r="L117" s="150">
        <f t="shared" si="32"/>
        <v>541123706.01551688</v>
      </c>
      <c r="M117" s="50"/>
    </row>
    <row r="118" spans="7:13" x14ac:dyDescent="0.45">
      <c r="I118" s="60"/>
      <c r="K118" s="60"/>
      <c r="L118" s="60"/>
    </row>
    <row r="119" spans="7:13" x14ac:dyDescent="0.45">
      <c r="I119" s="60"/>
      <c r="K119" s="60"/>
      <c r="L119" s="60"/>
    </row>
    <row r="120" spans="7:13" x14ac:dyDescent="0.45">
      <c r="I120" s="60"/>
      <c r="K120" s="60"/>
      <c r="L120" s="60"/>
    </row>
    <row r="121" spans="7:13" x14ac:dyDescent="0.45">
      <c r="I121" s="60"/>
      <c r="K121" s="60"/>
      <c r="L121" s="60"/>
    </row>
    <row r="122" spans="7:13" x14ac:dyDescent="0.45">
      <c r="I122" s="60"/>
      <c r="K122" s="60"/>
      <c r="L122" s="60"/>
    </row>
    <row r="123" spans="7:13" x14ac:dyDescent="0.45">
      <c r="H123" s="68"/>
    </row>
    <row r="124" spans="7:13" x14ac:dyDescent="0.45">
      <c r="H124" s="68"/>
    </row>
  </sheetData>
  <mergeCells count="9">
    <mergeCell ref="A28:D28"/>
    <mergeCell ref="F28:L28"/>
    <mergeCell ref="H45:I45"/>
    <mergeCell ref="H58:I58"/>
    <mergeCell ref="F2:J2"/>
    <mergeCell ref="F13:J13"/>
    <mergeCell ref="F7:J7"/>
    <mergeCell ref="H71:I71"/>
    <mergeCell ref="N28:T28"/>
  </mergeCells>
  <phoneticPr fontId="3" type="noConversion"/>
  <pageMargins left="0.7" right="0.7" top="0.75" bottom="0.75" header="0.3" footer="0.3"/>
  <ignoredErrors>
    <ignoredError sqref="C36:C40 C34:C3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50F5-1812-4C24-94F7-DEB057BD3BEB}">
  <sheetPr>
    <pageSetUpPr fitToPage="1"/>
  </sheetPr>
  <dimension ref="A1:T36"/>
  <sheetViews>
    <sheetView showWhiteSpace="0" topLeftCell="A4" zoomScale="85" zoomScaleNormal="85" zoomScaleSheetLayoutView="110" zoomScalePageLayoutView="145" workbookViewId="0">
      <selection activeCell="A7" sqref="A7:C7"/>
    </sheetView>
  </sheetViews>
  <sheetFormatPr defaultColWidth="9.109375" defaultRowHeight="13.2" x14ac:dyDescent="0.3"/>
  <cols>
    <col min="1" max="1" width="22.33203125" style="55" customWidth="1"/>
    <col min="2" max="2" width="21.109375" style="55" customWidth="1"/>
    <col min="3" max="3" width="16.44140625" style="55" customWidth="1"/>
    <col min="4" max="4" width="15.21875" style="55" customWidth="1"/>
    <col min="5" max="8" width="13.88671875" style="55" customWidth="1"/>
    <col min="9" max="9" width="4.6640625" style="55" customWidth="1"/>
    <col min="10" max="16384" width="9.109375" style="55"/>
  </cols>
  <sheetData>
    <row r="1" spans="1:20" ht="25.2" customHeight="1" x14ac:dyDescent="0.25">
      <c r="A1" s="214" t="s">
        <v>127</v>
      </c>
      <c r="B1" s="215"/>
      <c r="C1" s="216" t="s">
        <v>128</v>
      </c>
      <c r="D1" s="216"/>
      <c r="E1" s="216"/>
      <c r="F1" s="216"/>
      <c r="G1" s="216"/>
      <c r="H1" s="217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ht="13.2" customHeight="1" x14ac:dyDescent="0.25">
      <c r="A2" s="169"/>
      <c r="B2" s="53"/>
      <c r="C2" s="53"/>
      <c r="D2" s="53"/>
      <c r="E2" s="53"/>
      <c r="F2" s="53"/>
      <c r="G2" s="53"/>
      <c r="H2" s="18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ht="13.2" customHeight="1" x14ac:dyDescent="0.25">
      <c r="A3" s="170" t="s">
        <v>129</v>
      </c>
      <c r="B3" s="171" t="s">
        <v>130</v>
      </c>
      <c r="C3" s="157"/>
      <c r="D3" s="158"/>
      <c r="E3" s="158"/>
      <c r="F3" s="158"/>
      <c r="G3" s="159"/>
      <c r="H3" s="186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</row>
    <row r="4" spans="1:20" x14ac:dyDescent="0.25">
      <c r="A4" s="184" t="s">
        <v>206</v>
      </c>
      <c r="B4" s="156" t="s">
        <v>206</v>
      </c>
      <c r="C4" s="155"/>
      <c r="D4" s="152"/>
      <c r="E4" s="152"/>
      <c r="F4" s="152"/>
      <c r="G4" s="151"/>
      <c r="H4" s="187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</row>
    <row r="5" spans="1:20" ht="15.6" x14ac:dyDescent="0.25">
      <c r="A5" s="218" t="s">
        <v>128</v>
      </c>
      <c r="B5" s="219"/>
      <c r="C5" s="220"/>
      <c r="D5" s="220"/>
      <c r="E5" s="220"/>
      <c r="F5" s="220"/>
      <c r="G5" s="220"/>
      <c r="H5" s="221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</row>
    <row r="6" spans="1:20" ht="18.149999999999999" customHeight="1" x14ac:dyDescent="0.25">
      <c r="A6" s="222" t="s">
        <v>17</v>
      </c>
      <c r="B6" s="209"/>
      <c r="C6" s="209"/>
      <c r="D6" s="160">
        <v>2025</v>
      </c>
      <c r="E6" s="160">
        <v>2026</v>
      </c>
      <c r="F6" s="160">
        <v>2027</v>
      </c>
      <c r="G6" s="161">
        <v>2028</v>
      </c>
      <c r="H6" s="163">
        <v>2029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</row>
    <row r="7" spans="1:20" ht="15" x14ac:dyDescent="0.25">
      <c r="A7" s="223" t="s">
        <v>9</v>
      </c>
      <c r="B7" s="224"/>
      <c r="C7" s="224"/>
      <c r="D7" s="181">
        <f>Sales!F21+Sales!F6</f>
        <v>13747500</v>
      </c>
      <c r="E7" s="167">
        <f>Sales!G21+Sales!G6</f>
        <v>94945500.000000015</v>
      </c>
      <c r="F7" s="167">
        <f>Sales!H21+Sales!H6</f>
        <v>170901900.00000003</v>
      </c>
      <c r="G7" s="182">
        <f>Sales!I21+Sales!I6</f>
        <v>307623420.00000006</v>
      </c>
      <c r="H7" s="183">
        <f>Sales!J21+Sales!J6</f>
        <v>553722156.00000012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</row>
    <row r="8" spans="1:20" ht="15" x14ac:dyDescent="0.25">
      <c r="A8" s="225" t="s">
        <v>212</v>
      </c>
      <c r="B8" s="226"/>
      <c r="C8" s="226"/>
      <c r="D8" s="175">
        <f>Sales!F12</f>
        <v>6275208.333333334</v>
      </c>
      <c r="E8" s="153">
        <f>Sales!G12</f>
        <v>13000000</v>
      </c>
      <c r="F8" s="153">
        <f>Sales!H12</f>
        <v>13000000</v>
      </c>
      <c r="G8" s="162">
        <f>Sales!I12</f>
        <v>0</v>
      </c>
      <c r="H8" s="164">
        <f>Sales!J12</f>
        <v>0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ht="15" x14ac:dyDescent="0.25">
      <c r="A9" s="225" t="s">
        <v>204</v>
      </c>
      <c r="B9" s="226"/>
      <c r="C9" s="226"/>
      <c r="D9" s="175">
        <f>Sales!F16</f>
        <v>200000</v>
      </c>
      <c r="E9" s="153">
        <f>Sales!G16</f>
        <v>360000.00000000006</v>
      </c>
      <c r="F9" s="153">
        <f>Sales!H16</f>
        <v>648000.00000000012</v>
      </c>
      <c r="G9" s="162">
        <f>Sales!I16</f>
        <v>1166400.0000000002</v>
      </c>
      <c r="H9" s="164">
        <f>Sales!J16</f>
        <v>2099520.0000000005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</row>
    <row r="10" spans="1:20" ht="15" x14ac:dyDescent="0.25">
      <c r="A10" s="210" t="s">
        <v>131</v>
      </c>
      <c r="B10" s="211"/>
      <c r="C10" s="211"/>
      <c r="D10" s="175">
        <f>D7+D8+D9</f>
        <v>20222708.333333336</v>
      </c>
      <c r="E10" s="153">
        <f t="shared" ref="E10:H10" si="0">E7+E8+E9</f>
        <v>108305500.00000001</v>
      </c>
      <c r="F10" s="153">
        <f t="shared" si="0"/>
        <v>184549900.00000003</v>
      </c>
      <c r="G10" s="162">
        <f t="shared" si="0"/>
        <v>308789820.00000006</v>
      </c>
      <c r="H10" s="166">
        <f t="shared" si="0"/>
        <v>555821676.00000012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</row>
    <row r="11" spans="1:20" ht="15" x14ac:dyDescent="0.25">
      <c r="A11" s="208" t="s">
        <v>205</v>
      </c>
      <c r="B11" s="209"/>
      <c r="C11" s="209"/>
      <c r="D11" s="177"/>
      <c r="E11" s="154"/>
      <c r="F11" s="154"/>
      <c r="G11" s="165"/>
      <c r="H11" s="168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</row>
    <row r="12" spans="1:20" ht="13.95" customHeight="1" x14ac:dyDescent="0.25">
      <c r="A12" s="178" t="s">
        <v>132</v>
      </c>
      <c r="B12" s="179"/>
      <c r="C12" s="180"/>
      <c r="D12" s="175">
        <v>15000</v>
      </c>
      <c r="E12" s="153">
        <f>D12*1.01</f>
        <v>15150</v>
      </c>
      <c r="F12" s="153">
        <f>E12*1.01</f>
        <v>15301.5</v>
      </c>
      <c r="G12" s="162">
        <f t="shared" ref="G12:H12" si="1">F12*1.01</f>
        <v>15454.514999999999</v>
      </c>
      <c r="H12" s="164">
        <f t="shared" si="1"/>
        <v>15609.060149999999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</row>
    <row r="13" spans="1:20" ht="15" x14ac:dyDescent="0.3">
      <c r="A13" s="173" t="s">
        <v>133</v>
      </c>
      <c r="B13" s="58"/>
      <c r="C13" s="59"/>
      <c r="D13" s="175">
        <v>32250</v>
      </c>
      <c r="E13" s="153">
        <f t="shared" ref="E13:H16" si="2">D13*1.01</f>
        <v>32572.5</v>
      </c>
      <c r="F13" s="153">
        <f t="shared" si="2"/>
        <v>32898.224999999999</v>
      </c>
      <c r="G13" s="162">
        <f t="shared" si="2"/>
        <v>33227.207249999999</v>
      </c>
      <c r="H13" s="164">
        <f t="shared" si="2"/>
        <v>33559.479322500003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1:20" ht="15" x14ac:dyDescent="0.25">
      <c r="A14" s="172" t="s">
        <v>134</v>
      </c>
      <c r="B14" s="56"/>
      <c r="C14" s="57"/>
      <c r="D14" s="175">
        <v>9100</v>
      </c>
      <c r="E14" s="153">
        <f t="shared" si="2"/>
        <v>9191</v>
      </c>
      <c r="F14" s="153">
        <f t="shared" si="2"/>
        <v>9282.91</v>
      </c>
      <c r="G14" s="162">
        <f t="shared" si="2"/>
        <v>9375.7391000000007</v>
      </c>
      <c r="H14" s="164">
        <f t="shared" si="2"/>
        <v>9469.4964909999999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1:20" ht="12.75" customHeight="1" x14ac:dyDescent="0.25">
      <c r="A15" s="172" t="s">
        <v>135</v>
      </c>
      <c r="B15" s="56"/>
      <c r="C15" s="57"/>
      <c r="D15" s="175">
        <v>19000</v>
      </c>
      <c r="E15" s="153">
        <f t="shared" si="2"/>
        <v>19190</v>
      </c>
      <c r="F15" s="153">
        <f t="shared" si="2"/>
        <v>19381.900000000001</v>
      </c>
      <c r="G15" s="162">
        <f t="shared" si="2"/>
        <v>19575.719000000001</v>
      </c>
      <c r="H15" s="164">
        <f t="shared" si="2"/>
        <v>19771.476190000001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</row>
    <row r="16" spans="1:20" ht="15" x14ac:dyDescent="0.25">
      <c r="A16" s="210" t="s">
        <v>207</v>
      </c>
      <c r="B16" s="211"/>
      <c r="C16" s="211"/>
      <c r="D16" s="175">
        <f>SUM(D12:D15)</f>
        <v>75350</v>
      </c>
      <c r="E16" s="153">
        <f t="shared" si="2"/>
        <v>76103.5</v>
      </c>
      <c r="F16" s="153">
        <f t="shared" si="2"/>
        <v>76864.535000000003</v>
      </c>
      <c r="G16" s="162">
        <f t="shared" si="2"/>
        <v>77633.18035000001</v>
      </c>
      <c r="H16" s="164">
        <f t="shared" si="2"/>
        <v>78409.512153500007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1:20" ht="15" x14ac:dyDescent="0.25">
      <c r="A17" s="210" t="s">
        <v>136</v>
      </c>
      <c r="B17" s="211"/>
      <c r="C17" s="211"/>
      <c r="D17" s="175">
        <f>Sales!F23</f>
        <v>38248500</v>
      </c>
      <c r="E17" s="153">
        <f>Sales!G23</f>
        <v>68847300.000000015</v>
      </c>
      <c r="F17" s="153">
        <f>Sales!H23</f>
        <v>123925140.00000001</v>
      </c>
      <c r="G17" s="162">
        <f>Sales!I23</f>
        <v>223065252.00000006</v>
      </c>
      <c r="H17" s="164">
        <f>Sales!J23</f>
        <v>401517453.60000008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1:20" ht="15" x14ac:dyDescent="0.25">
      <c r="A18" s="212" t="s">
        <v>137</v>
      </c>
      <c r="B18" s="213"/>
      <c r="C18" s="213"/>
      <c r="D18" s="175">
        <f>D10-D17</f>
        <v>-18025791.666666664</v>
      </c>
      <c r="E18" s="153">
        <f t="shared" ref="E18:H18" si="3">E10-E17</f>
        <v>39458200</v>
      </c>
      <c r="F18" s="153">
        <f t="shared" si="3"/>
        <v>60624760.000000015</v>
      </c>
      <c r="G18" s="162">
        <f t="shared" si="3"/>
        <v>85724568</v>
      </c>
      <c r="H18" s="164">
        <f t="shared" si="3"/>
        <v>154304222.40000004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</row>
    <row r="19" spans="1:20" ht="15" x14ac:dyDescent="0.25">
      <c r="A19" s="208" t="s">
        <v>77</v>
      </c>
      <c r="B19" s="209"/>
      <c r="C19" s="209"/>
      <c r="D19" s="177"/>
      <c r="E19" s="154"/>
      <c r="F19" s="154"/>
      <c r="G19" s="165"/>
      <c r="H19" s="168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</row>
    <row r="20" spans="1:20" ht="15" x14ac:dyDescent="0.25">
      <c r="A20" s="178" t="s">
        <v>79</v>
      </c>
      <c r="B20" s="179"/>
      <c r="C20" s="180"/>
      <c r="D20" s="175">
        <v>2520000</v>
      </c>
      <c r="E20" s="153">
        <v>3780000</v>
      </c>
      <c r="F20" s="153">
        <v>7560000</v>
      </c>
      <c r="G20" s="162">
        <v>11340000</v>
      </c>
      <c r="H20" s="164">
        <v>17010000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</row>
    <row r="21" spans="1:20" ht="15" x14ac:dyDescent="0.25">
      <c r="A21" s="172" t="s">
        <v>208</v>
      </c>
      <c r="B21" s="56"/>
      <c r="C21" s="57"/>
      <c r="D21" s="175">
        <v>360000</v>
      </c>
      <c r="E21" s="153">
        <v>360000</v>
      </c>
      <c r="F21" s="153">
        <v>480000</v>
      </c>
      <c r="G21" s="162">
        <v>360000</v>
      </c>
      <c r="H21" s="164">
        <v>480000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</row>
    <row r="22" spans="1:20" ht="15" x14ac:dyDescent="0.25">
      <c r="A22" s="172" t="s">
        <v>138</v>
      </c>
      <c r="B22" s="56"/>
      <c r="C22" s="57"/>
      <c r="D22" s="175">
        <v>240000</v>
      </c>
      <c r="E22" s="153">
        <v>360000</v>
      </c>
      <c r="F22" s="153">
        <v>720000</v>
      </c>
      <c r="G22" s="162">
        <v>360000</v>
      </c>
      <c r="H22" s="164">
        <v>720000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</row>
    <row r="23" spans="1:20" ht="15" x14ac:dyDescent="0.25">
      <c r="A23" s="172" t="s">
        <v>89</v>
      </c>
      <c r="B23" s="56"/>
      <c r="C23" s="57"/>
      <c r="D23" s="175">
        <v>1500000</v>
      </c>
      <c r="E23" s="153">
        <v>1500000</v>
      </c>
      <c r="F23" s="153">
        <v>1500000</v>
      </c>
      <c r="G23" s="162">
        <v>1500000</v>
      </c>
      <c r="H23" s="164">
        <v>1500000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</row>
    <row r="24" spans="1:20" ht="14.4" customHeight="1" x14ac:dyDescent="0.25">
      <c r="A24" s="172" t="s">
        <v>139</v>
      </c>
      <c r="B24" s="56"/>
      <c r="C24" s="57"/>
      <c r="D24" s="175">
        <v>180000</v>
      </c>
      <c r="E24" s="153">
        <v>240000</v>
      </c>
      <c r="F24" s="153">
        <v>300000</v>
      </c>
      <c r="G24" s="162">
        <v>240000</v>
      </c>
      <c r="H24" s="164">
        <v>300000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ht="15" x14ac:dyDescent="0.25">
      <c r="A25" s="172" t="s">
        <v>209</v>
      </c>
      <c r="B25" s="56"/>
      <c r="C25" s="57"/>
      <c r="D25" s="175">
        <v>180000</v>
      </c>
      <c r="E25" s="153">
        <v>270000</v>
      </c>
      <c r="F25" s="153">
        <v>540000</v>
      </c>
      <c r="G25" s="162">
        <v>270000</v>
      </c>
      <c r="H25" s="164">
        <v>540000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ht="15" x14ac:dyDescent="0.25">
      <c r="A26" s="172" t="s">
        <v>210</v>
      </c>
      <c r="B26" s="56"/>
      <c r="C26" s="57"/>
      <c r="D26" s="175">
        <v>100000</v>
      </c>
      <c r="E26" s="153">
        <v>120000</v>
      </c>
      <c r="F26" s="153">
        <v>140000</v>
      </c>
      <c r="G26" s="162">
        <v>120000</v>
      </c>
      <c r="H26" s="164">
        <v>140000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ht="15" x14ac:dyDescent="0.25">
      <c r="A27" s="172" t="s">
        <v>140</v>
      </c>
      <c r="B27" s="56"/>
      <c r="C27" s="57"/>
      <c r="D27" s="175">
        <v>36000</v>
      </c>
      <c r="E27" s="153">
        <v>54000</v>
      </c>
      <c r="F27" s="153">
        <v>108000</v>
      </c>
      <c r="G27" s="162">
        <v>54000</v>
      </c>
      <c r="H27" s="164">
        <v>108000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ht="15" x14ac:dyDescent="0.25">
      <c r="A28" s="172" t="s">
        <v>141</v>
      </c>
      <c r="B28" s="56"/>
      <c r="C28" s="57"/>
      <c r="D28" s="175">
        <v>60000</v>
      </c>
      <c r="E28" s="153">
        <v>80000</v>
      </c>
      <c r="F28" s="153">
        <v>100000</v>
      </c>
      <c r="G28" s="162">
        <v>80000</v>
      </c>
      <c r="H28" s="164">
        <v>100000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ht="15" x14ac:dyDescent="0.25">
      <c r="A29" s="172" t="s">
        <v>211</v>
      </c>
      <c r="B29" s="56"/>
      <c r="C29" s="57"/>
      <c r="D29" s="175">
        <v>240000</v>
      </c>
      <c r="E29" s="153">
        <v>360000</v>
      </c>
      <c r="F29" s="153">
        <v>360000</v>
      </c>
      <c r="G29" s="162">
        <v>360000</v>
      </c>
      <c r="H29" s="166">
        <v>360000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ht="15" x14ac:dyDescent="0.25">
      <c r="A30" s="203" t="s">
        <v>142</v>
      </c>
      <c r="B30" s="204"/>
      <c r="C30" s="204"/>
      <c r="D30" s="153">
        <f>SUM(D20:D29)</f>
        <v>5416000</v>
      </c>
      <c r="E30" s="153">
        <f t="shared" ref="E30:H30" si="4">SUM(E20:E29)</f>
        <v>7124000</v>
      </c>
      <c r="F30" s="153">
        <f t="shared" si="4"/>
        <v>11808000</v>
      </c>
      <c r="G30" s="162">
        <f t="shared" si="4"/>
        <v>14684000</v>
      </c>
      <c r="H30" s="189">
        <f t="shared" si="4"/>
        <v>21258000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ht="15" x14ac:dyDescent="0.25">
      <c r="A31" s="205" t="s">
        <v>203</v>
      </c>
      <c r="B31" s="206"/>
      <c r="C31" s="207"/>
      <c r="D31" s="176">
        <f>D18-D30</f>
        <v>-23441791.666666664</v>
      </c>
      <c r="E31" s="174">
        <f t="shared" ref="E31:H31" si="5">E18-E30</f>
        <v>32334200</v>
      </c>
      <c r="F31" s="174">
        <f t="shared" si="5"/>
        <v>48816760.000000015</v>
      </c>
      <c r="G31" s="174">
        <f t="shared" si="5"/>
        <v>71040568</v>
      </c>
      <c r="H31" s="188">
        <f t="shared" si="5"/>
        <v>133046222.40000004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25"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25">
      <c r="I36" s="54"/>
    </row>
  </sheetData>
  <sheetProtection selectLockedCells="1"/>
  <dataConsolidate/>
  <mergeCells count="15">
    <mergeCell ref="A10:C10"/>
    <mergeCell ref="A1:B1"/>
    <mergeCell ref="C1:H1"/>
    <mergeCell ref="A5:H5"/>
    <mergeCell ref="A6:C6"/>
    <mergeCell ref="A7:C7"/>
    <mergeCell ref="A8:C8"/>
    <mergeCell ref="A9:C9"/>
    <mergeCell ref="A30:C30"/>
    <mergeCell ref="A31:C31"/>
    <mergeCell ref="A19:C19"/>
    <mergeCell ref="A11:C11"/>
    <mergeCell ref="A16:C16"/>
    <mergeCell ref="A18:C18"/>
    <mergeCell ref="A17:C17"/>
  </mergeCells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4D81-C8BD-4E14-A0DD-456DE725A228}">
  <dimension ref="A1:AT70"/>
  <sheetViews>
    <sheetView zoomScale="85" zoomScaleNormal="85" workbookViewId="0">
      <selection activeCell="H29" sqref="H29"/>
    </sheetView>
  </sheetViews>
  <sheetFormatPr defaultColWidth="8.88671875" defaultRowHeight="15.6" x14ac:dyDescent="0.3"/>
  <cols>
    <col min="1" max="1" width="41.44140625" style="1" customWidth="1"/>
    <col min="2" max="2" width="11.6640625" style="1" bestFit="1" customWidth="1"/>
    <col min="3" max="3" width="55.44140625" style="1" customWidth="1"/>
    <col min="4" max="4" width="14.109375" style="1" customWidth="1"/>
    <col min="5" max="5" width="18" style="1" customWidth="1"/>
    <col min="6" max="6" width="16.33203125" style="1" customWidth="1"/>
    <col min="7" max="7" width="8.88671875" style="1"/>
    <col min="8" max="8" width="21.6640625" style="1" customWidth="1"/>
    <col min="9" max="9" width="25.5546875" style="1" customWidth="1"/>
    <col min="10" max="10" width="14.77734375" style="1" bestFit="1" customWidth="1"/>
    <col min="11" max="11" width="7.44140625" style="1" customWidth="1"/>
    <col min="12" max="12" width="41.44140625" style="1" customWidth="1"/>
    <col min="13" max="13" width="11.6640625" style="1" bestFit="1" customWidth="1"/>
    <col min="14" max="14" width="50.77734375" style="1" customWidth="1"/>
    <col min="15" max="15" width="14.109375" style="1" customWidth="1"/>
    <col min="16" max="16" width="5" style="138" customWidth="1"/>
    <col min="17" max="17" width="18.77734375" style="1" customWidth="1"/>
    <col min="18" max="18" width="12.88671875" style="1" customWidth="1"/>
    <col min="19" max="16384" width="8.88671875" style="1"/>
  </cols>
  <sheetData>
    <row r="1" spans="1:46" ht="18" x14ac:dyDescent="0.35">
      <c r="A1" s="21" t="s">
        <v>71</v>
      </c>
      <c r="B1" s="100">
        <f>Sales!F9</f>
        <v>400</v>
      </c>
      <c r="C1" s="41" t="s">
        <v>72</v>
      </c>
      <c r="D1" s="41"/>
      <c r="E1" s="41"/>
      <c r="F1" s="41"/>
      <c r="H1" s="234" t="s">
        <v>73</v>
      </c>
      <c r="I1" s="234"/>
      <c r="L1" s="21" t="s">
        <v>196</v>
      </c>
      <c r="M1" s="100">
        <v>220</v>
      </c>
      <c r="N1" s="41" t="s">
        <v>72</v>
      </c>
      <c r="O1" s="41"/>
      <c r="P1" s="134"/>
      <c r="Q1" s="41"/>
      <c r="R1" s="41"/>
    </row>
    <row r="2" spans="1:46" ht="18" x14ac:dyDescent="0.35">
      <c r="A2" s="61" t="s">
        <v>74</v>
      </c>
      <c r="B2" s="42"/>
      <c r="C2" s="42" t="s">
        <v>75</v>
      </c>
      <c r="D2" s="42"/>
      <c r="E2" s="227" t="s">
        <v>76</v>
      </c>
      <c r="F2" s="227"/>
      <c r="H2" s="43" t="s">
        <v>77</v>
      </c>
      <c r="I2" s="44">
        <f>D13+D27+D41</f>
        <v>27780000</v>
      </c>
      <c r="L2" s="61" t="s">
        <v>74</v>
      </c>
      <c r="M2" s="42"/>
      <c r="N2" s="42" t="s">
        <v>75</v>
      </c>
      <c r="O2" s="42"/>
      <c r="P2" s="135"/>
      <c r="Q2" s="227" t="s">
        <v>76</v>
      </c>
      <c r="R2" s="227"/>
    </row>
    <row r="3" spans="1:46" ht="18" x14ac:dyDescent="0.35">
      <c r="A3" s="17" t="s">
        <v>78</v>
      </c>
      <c r="B3" s="18">
        <v>2500000</v>
      </c>
      <c r="C3" s="23" t="s">
        <v>79</v>
      </c>
      <c r="D3" s="20">
        <f>Workforce!G24</f>
        <v>3144000</v>
      </c>
      <c r="E3" s="24" t="s">
        <v>200</v>
      </c>
      <c r="F3" s="19">
        <v>75000</v>
      </c>
      <c r="H3" s="43" t="s">
        <v>81</v>
      </c>
      <c r="I3" s="44">
        <f>F13+F27+F41</f>
        <v>181200000</v>
      </c>
      <c r="L3" s="17" t="s">
        <v>78</v>
      </c>
      <c r="M3" s="18">
        <v>1500000</v>
      </c>
      <c r="N3" s="23" t="s">
        <v>79</v>
      </c>
      <c r="O3" s="20">
        <v>1500000</v>
      </c>
      <c r="P3" s="136"/>
      <c r="Q3" s="24" t="s">
        <v>80</v>
      </c>
      <c r="R3" s="19">
        <v>75000</v>
      </c>
    </row>
    <row r="4" spans="1:46" ht="18" x14ac:dyDescent="0.35">
      <c r="A4" s="17" t="s">
        <v>82</v>
      </c>
      <c r="B4" s="18"/>
      <c r="C4" s="23" t="s">
        <v>83</v>
      </c>
      <c r="D4" s="20">
        <v>360000</v>
      </c>
      <c r="E4" s="24" t="s">
        <v>201</v>
      </c>
      <c r="F4" s="19"/>
      <c r="H4" s="43" t="s">
        <v>84</v>
      </c>
      <c r="I4" s="44">
        <f>B13+B27+B41</f>
        <v>2500000</v>
      </c>
      <c r="L4" s="17" t="s">
        <v>82</v>
      </c>
      <c r="M4" s="18">
        <v>350000</v>
      </c>
      <c r="N4" s="23" t="s">
        <v>83</v>
      </c>
      <c r="O4" s="20">
        <v>360000</v>
      </c>
      <c r="P4" s="136"/>
      <c r="Q4" s="24"/>
      <c r="R4" s="19"/>
    </row>
    <row r="5" spans="1:46" ht="18" x14ac:dyDescent="0.35">
      <c r="A5" s="17" t="s">
        <v>85</v>
      </c>
      <c r="B5" s="18"/>
      <c r="C5" s="23" t="s">
        <v>86</v>
      </c>
      <c r="D5" s="20">
        <v>240000</v>
      </c>
      <c r="E5" s="22" t="s">
        <v>143</v>
      </c>
      <c r="F5" s="19"/>
      <c r="H5" s="43" t="s">
        <v>87</v>
      </c>
      <c r="I5" s="44">
        <f>SUM(I2:I4)</f>
        <v>211480000</v>
      </c>
      <c r="L5" s="17" t="s">
        <v>85</v>
      </c>
      <c r="M5" s="18">
        <v>300000</v>
      </c>
      <c r="N5" s="23" t="s">
        <v>86</v>
      </c>
      <c r="O5" s="20">
        <v>240000</v>
      </c>
      <c r="P5" s="136"/>
      <c r="Q5" s="22"/>
      <c r="R5" s="19"/>
    </row>
    <row r="6" spans="1:46" ht="36" x14ac:dyDescent="0.35">
      <c r="A6" s="17" t="s">
        <v>88</v>
      </c>
      <c r="B6" s="18"/>
      <c r="C6" s="23" t="s">
        <v>89</v>
      </c>
      <c r="D6" s="20">
        <v>1500000</v>
      </c>
      <c r="E6" s="22" t="s">
        <v>134</v>
      </c>
      <c r="F6" s="19"/>
      <c r="H6" s="45" t="s">
        <v>90</v>
      </c>
      <c r="I6" s="46">
        <f>I5/(B1+B15+B29)</f>
        <v>87533.112582781454</v>
      </c>
      <c r="L6" s="17" t="s">
        <v>88</v>
      </c>
      <c r="M6" s="18">
        <v>200000</v>
      </c>
      <c r="N6" s="23" t="s">
        <v>89</v>
      </c>
      <c r="O6" s="20">
        <v>750000</v>
      </c>
      <c r="P6" s="136"/>
      <c r="Q6" s="22"/>
      <c r="R6" s="19"/>
    </row>
    <row r="7" spans="1:46" x14ac:dyDescent="0.3">
      <c r="A7" s="17" t="s">
        <v>91</v>
      </c>
      <c r="B7" s="18"/>
      <c r="C7" s="23" t="s">
        <v>92</v>
      </c>
      <c r="D7" s="20">
        <v>180000</v>
      </c>
      <c r="E7" s="22" t="s">
        <v>144</v>
      </c>
      <c r="F7" s="19"/>
      <c r="L7" s="17" t="s">
        <v>91</v>
      </c>
      <c r="M7" s="18">
        <v>200000</v>
      </c>
      <c r="N7" s="23" t="s">
        <v>92</v>
      </c>
      <c r="O7" s="20">
        <v>180000</v>
      </c>
      <c r="P7" s="136"/>
      <c r="Q7" s="22"/>
      <c r="R7" s="19"/>
    </row>
    <row r="8" spans="1:46" x14ac:dyDescent="0.3">
      <c r="A8" s="22"/>
      <c r="B8" s="19"/>
      <c r="C8" s="23" t="s">
        <v>93</v>
      </c>
      <c r="D8" s="20">
        <v>180000</v>
      </c>
      <c r="E8" s="22"/>
      <c r="F8" s="19"/>
      <c r="H8" s="50"/>
      <c r="L8" s="22"/>
      <c r="M8" s="19"/>
      <c r="N8" s="23" t="s">
        <v>93</v>
      </c>
      <c r="O8" s="20">
        <v>180000</v>
      </c>
      <c r="P8" s="136"/>
      <c r="Q8" s="22"/>
      <c r="R8" s="19"/>
    </row>
    <row r="9" spans="1:46" x14ac:dyDescent="0.3">
      <c r="A9" s="22"/>
      <c r="B9" s="19"/>
      <c r="C9" s="23" t="s">
        <v>94</v>
      </c>
      <c r="D9" s="20">
        <v>100000</v>
      </c>
      <c r="E9" s="22"/>
      <c r="F9" s="19"/>
      <c r="L9" s="22"/>
      <c r="M9" s="19"/>
      <c r="N9" s="23" t="s">
        <v>94</v>
      </c>
      <c r="O9" s="20">
        <v>100000</v>
      </c>
      <c r="P9" s="136"/>
      <c r="Q9" s="22"/>
      <c r="R9" s="19"/>
    </row>
    <row r="10" spans="1:46" x14ac:dyDescent="0.3">
      <c r="A10" s="22"/>
      <c r="B10" s="19"/>
      <c r="C10" s="23" t="s">
        <v>95</v>
      </c>
      <c r="D10" s="20">
        <v>36000</v>
      </c>
      <c r="E10" s="22"/>
      <c r="F10" s="19"/>
      <c r="L10" s="22"/>
      <c r="M10" s="19"/>
      <c r="N10" s="23" t="s">
        <v>95</v>
      </c>
      <c r="O10" s="20">
        <v>36000</v>
      </c>
      <c r="P10" s="136"/>
      <c r="Q10" s="22"/>
      <c r="R10" s="19"/>
    </row>
    <row r="11" spans="1:46" x14ac:dyDescent="0.3">
      <c r="A11" s="22"/>
      <c r="B11" s="19"/>
      <c r="C11" s="23" t="s">
        <v>96</v>
      </c>
      <c r="D11" s="20">
        <v>60000</v>
      </c>
      <c r="E11" s="22"/>
      <c r="F11" s="19"/>
      <c r="H11" s="1" t="s">
        <v>97</v>
      </c>
      <c r="I11" s="1" t="s">
        <v>98</v>
      </c>
      <c r="J11" s="1" t="s">
        <v>99</v>
      </c>
      <c r="L11" s="22"/>
      <c r="M11" s="19"/>
      <c r="N11" s="23" t="s">
        <v>96</v>
      </c>
      <c r="O11" s="20">
        <v>60000</v>
      </c>
      <c r="P11" s="136"/>
      <c r="Q11" s="22"/>
      <c r="R11" s="19"/>
    </row>
    <row r="12" spans="1:46" x14ac:dyDescent="0.3">
      <c r="A12" s="22"/>
      <c r="B12" s="19"/>
      <c r="C12" s="23" t="s">
        <v>100</v>
      </c>
      <c r="D12" s="20">
        <v>240000</v>
      </c>
      <c r="E12" s="22"/>
      <c r="F12" s="19"/>
      <c r="H12" s="107">
        <v>46000000</v>
      </c>
      <c r="I12" s="50">
        <v>10000000</v>
      </c>
      <c r="J12" s="50">
        <v>40000000</v>
      </c>
      <c r="L12" s="22"/>
      <c r="M12" s="19"/>
      <c r="N12" s="23" t="s">
        <v>100</v>
      </c>
      <c r="O12" s="20">
        <v>240000</v>
      </c>
      <c r="P12" s="136"/>
      <c r="Q12" s="22"/>
      <c r="R12" s="19"/>
    </row>
    <row r="13" spans="1:46" s="38" customFormat="1" ht="18" x14ac:dyDescent="0.35">
      <c r="A13" s="38" t="s">
        <v>87</v>
      </c>
      <c r="B13" s="39">
        <f>SUM(B3:B12)</f>
        <v>2500000</v>
      </c>
      <c r="C13" s="39"/>
      <c r="D13" s="39">
        <f>O47</f>
        <v>6040000</v>
      </c>
      <c r="E13" s="39"/>
      <c r="F13" s="39">
        <f>SUM(F3:F12)*B1</f>
        <v>30000000</v>
      </c>
      <c r="G13" s="1"/>
      <c r="H13" s="1"/>
      <c r="I13" s="50"/>
      <c r="J13" s="40"/>
      <c r="K13" s="40"/>
      <c r="L13" s="38" t="s">
        <v>87</v>
      </c>
      <c r="M13" s="39">
        <f>SUM(M3:M12)</f>
        <v>2550000</v>
      </c>
      <c r="N13" s="39"/>
      <c r="O13" s="39">
        <f>SUM(O3:O12)</f>
        <v>3646000</v>
      </c>
      <c r="P13" s="137"/>
      <c r="Q13" s="39"/>
      <c r="R13" s="39">
        <f>SUM(R3:R12)*M1</f>
        <v>16500000</v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</row>
    <row r="14" spans="1:46" s="38" customFormat="1" ht="18" x14ac:dyDescent="0.35">
      <c r="A14" s="39">
        <f>B13+D13+F13</f>
        <v>38540000</v>
      </c>
      <c r="B14" s="39"/>
      <c r="C14" s="39"/>
      <c r="D14" s="39"/>
      <c r="E14" s="39"/>
      <c r="F14" s="39"/>
      <c r="G14" s="1"/>
      <c r="H14" s="1"/>
      <c r="I14" s="1" t="s">
        <v>101</v>
      </c>
      <c r="J14" s="40"/>
      <c r="K14" s="40"/>
      <c r="L14" s="39">
        <f>M13+O13+R13</f>
        <v>22696000</v>
      </c>
      <c r="M14" s="39"/>
      <c r="N14" s="39"/>
      <c r="O14" s="39"/>
      <c r="P14" s="137"/>
      <c r="Q14" s="39"/>
      <c r="R14" s="39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</row>
    <row r="15" spans="1:46" x14ac:dyDescent="0.3">
      <c r="A15" s="21" t="s">
        <v>102</v>
      </c>
      <c r="B15" s="100">
        <f>Sales!G4</f>
        <v>720.00000000000011</v>
      </c>
      <c r="C15" s="41" t="s">
        <v>72</v>
      </c>
      <c r="D15" s="41"/>
      <c r="E15" s="41"/>
      <c r="F15" s="41"/>
      <c r="H15" s="108" t="s">
        <v>103</v>
      </c>
      <c r="I15" s="108" t="s">
        <v>104</v>
      </c>
      <c r="J15" s="108" t="s">
        <v>105</v>
      </c>
      <c r="L15" s="108"/>
      <c r="M15" s="108"/>
      <c r="N15" s="108"/>
      <c r="O15" s="108"/>
    </row>
    <row r="16" spans="1:46" x14ac:dyDescent="0.3">
      <c r="A16" s="42" t="s">
        <v>106</v>
      </c>
      <c r="B16" s="42"/>
      <c r="C16" s="227" t="s">
        <v>75</v>
      </c>
      <c r="D16" s="227"/>
      <c r="E16" s="227" t="s">
        <v>76</v>
      </c>
      <c r="F16" s="227"/>
      <c r="H16" s="109">
        <v>2550000</v>
      </c>
      <c r="I16" s="109">
        <v>5416000</v>
      </c>
      <c r="J16" s="109">
        <v>30000000</v>
      </c>
      <c r="L16" s="109"/>
      <c r="M16" s="109"/>
      <c r="N16" s="109"/>
      <c r="O16" s="109"/>
      <c r="P16" s="139"/>
    </row>
    <row r="17" spans="1:16" x14ac:dyDescent="0.3">
      <c r="A17" s="17" t="s">
        <v>78</v>
      </c>
      <c r="B17" s="18"/>
      <c r="C17" s="23" t="s">
        <v>107</v>
      </c>
      <c r="D17" s="20">
        <f>D3*1.5</f>
        <v>4716000</v>
      </c>
      <c r="E17" s="24" t="s">
        <v>80</v>
      </c>
      <c r="F17" s="19">
        <v>75000</v>
      </c>
      <c r="H17" s="108"/>
      <c r="I17" s="108"/>
      <c r="J17" s="108"/>
      <c r="L17" s="109"/>
      <c r="M17" s="109"/>
      <c r="N17" s="109"/>
      <c r="O17" s="109"/>
      <c r="P17" s="139"/>
    </row>
    <row r="18" spans="1:16" x14ac:dyDescent="0.3">
      <c r="A18" s="17" t="s">
        <v>82</v>
      </c>
      <c r="B18" s="18"/>
      <c r="C18" s="23" t="s">
        <v>108</v>
      </c>
      <c r="D18" s="20">
        <v>360000</v>
      </c>
      <c r="E18" s="24"/>
      <c r="F18" s="19"/>
      <c r="H18" s="50">
        <f>SUM(I12-H16-I16)</f>
        <v>2034000</v>
      </c>
      <c r="L18" s="109"/>
      <c r="M18" s="109"/>
      <c r="N18" s="109"/>
      <c r="O18" s="109"/>
      <c r="P18" s="139"/>
    </row>
    <row r="19" spans="1:16" x14ac:dyDescent="0.3">
      <c r="A19" s="17" t="s">
        <v>85</v>
      </c>
      <c r="B19" s="18"/>
      <c r="C19" s="23" t="s">
        <v>109</v>
      </c>
      <c r="D19" s="20">
        <v>360000</v>
      </c>
      <c r="E19" s="22"/>
      <c r="F19" s="19"/>
      <c r="L19" s="109"/>
      <c r="M19" s="109"/>
      <c r="N19" s="109"/>
      <c r="O19" s="109"/>
      <c r="P19" s="139"/>
    </row>
    <row r="20" spans="1:16" x14ac:dyDescent="0.3">
      <c r="A20" s="17" t="s">
        <v>88</v>
      </c>
      <c r="B20" s="18"/>
      <c r="C20" s="23" t="s">
        <v>110</v>
      </c>
      <c r="D20" s="20">
        <v>1500000</v>
      </c>
      <c r="E20" s="22"/>
      <c r="F20" s="19"/>
      <c r="L20" s="109"/>
      <c r="M20" s="109"/>
      <c r="N20" s="109"/>
      <c r="O20" s="109"/>
      <c r="P20" s="139"/>
    </row>
    <row r="21" spans="1:16" x14ac:dyDescent="0.3">
      <c r="A21" s="17" t="s">
        <v>91</v>
      </c>
      <c r="B21" s="18"/>
      <c r="C21" s="23" t="s">
        <v>111</v>
      </c>
      <c r="D21" s="20">
        <v>240000</v>
      </c>
      <c r="E21" s="22"/>
      <c r="F21" s="19"/>
      <c r="L21" s="109"/>
      <c r="M21" s="109"/>
      <c r="N21" s="109"/>
      <c r="O21" s="109"/>
      <c r="P21" s="139"/>
    </row>
    <row r="22" spans="1:16" x14ac:dyDescent="0.3">
      <c r="A22" s="22"/>
      <c r="B22" s="19"/>
      <c r="C22" s="23" t="s">
        <v>112</v>
      </c>
      <c r="D22" s="20">
        <v>270000</v>
      </c>
      <c r="E22" s="22"/>
      <c r="F22" s="19"/>
      <c r="L22" s="109"/>
      <c r="M22" s="109"/>
      <c r="N22" s="109"/>
      <c r="O22" s="109"/>
      <c r="P22" s="139"/>
    </row>
    <row r="23" spans="1:16" x14ac:dyDescent="0.3">
      <c r="A23" s="22"/>
      <c r="B23" s="19"/>
      <c r="C23" s="23" t="s">
        <v>113</v>
      </c>
      <c r="D23" s="20">
        <v>120000</v>
      </c>
      <c r="E23" s="22"/>
      <c r="F23" s="19"/>
      <c r="L23" s="109"/>
      <c r="M23" s="109"/>
      <c r="N23" s="109"/>
      <c r="O23" s="109"/>
      <c r="P23" s="139"/>
    </row>
    <row r="24" spans="1:16" x14ac:dyDescent="0.3">
      <c r="A24" s="22"/>
      <c r="B24" s="19"/>
      <c r="C24" s="23" t="s">
        <v>114</v>
      </c>
      <c r="D24" s="20">
        <v>54000</v>
      </c>
      <c r="E24" s="22"/>
      <c r="F24" s="19"/>
    </row>
    <row r="25" spans="1:16" x14ac:dyDescent="0.3">
      <c r="A25" s="22"/>
      <c r="B25" s="19"/>
      <c r="C25" s="23" t="s">
        <v>115</v>
      </c>
      <c r="D25" s="20">
        <v>80000</v>
      </c>
      <c r="E25" s="22"/>
      <c r="F25" s="19"/>
    </row>
    <row r="26" spans="1:16" x14ac:dyDescent="0.3">
      <c r="A26" s="22"/>
      <c r="B26" s="19"/>
      <c r="C26" s="23" t="s">
        <v>116</v>
      </c>
      <c r="D26" s="20">
        <v>360000</v>
      </c>
      <c r="E26" s="22"/>
      <c r="F26" s="19"/>
    </row>
    <row r="27" spans="1:16" ht="18" x14ac:dyDescent="0.35">
      <c r="A27" s="38" t="s">
        <v>87</v>
      </c>
      <c r="B27" s="39">
        <f>SUM(B17:B26)</f>
        <v>0</v>
      </c>
      <c r="C27" s="39"/>
      <c r="D27" s="39">
        <f t="shared" ref="D27" si="0">SUM(D17:D26)</f>
        <v>8060000</v>
      </c>
      <c r="E27" s="39"/>
      <c r="F27" s="39">
        <f>SUM(F17:F26)*B15</f>
        <v>54000000.000000007</v>
      </c>
      <c r="I27" s="1" t="s">
        <v>197</v>
      </c>
      <c r="J27" s="111">
        <v>8248500</v>
      </c>
    </row>
    <row r="28" spans="1:16" ht="18" x14ac:dyDescent="0.35">
      <c r="A28" s="39">
        <f>B27+D27+F27</f>
        <v>62060000.000000007</v>
      </c>
      <c r="B28" s="38"/>
      <c r="C28" s="38"/>
      <c r="D28" s="38"/>
      <c r="E28" s="38"/>
      <c r="F28" s="38"/>
      <c r="I28" s="110" t="s">
        <v>198</v>
      </c>
      <c r="J28" s="111">
        <v>7500000</v>
      </c>
    </row>
    <row r="29" spans="1:16" x14ac:dyDescent="0.3">
      <c r="A29" s="21" t="s">
        <v>117</v>
      </c>
      <c r="B29" s="100">
        <f>Sales!H4</f>
        <v>1296.0000000000002</v>
      </c>
      <c r="C29" s="41" t="s">
        <v>72</v>
      </c>
      <c r="D29" s="41"/>
      <c r="E29" s="41"/>
      <c r="F29" s="41"/>
      <c r="I29" s="1" t="s">
        <v>199</v>
      </c>
      <c r="J29" s="111">
        <v>2500000</v>
      </c>
    </row>
    <row r="30" spans="1:16" x14ac:dyDescent="0.3">
      <c r="A30" s="42" t="s">
        <v>106</v>
      </c>
      <c r="B30" s="42"/>
      <c r="C30" s="227" t="s">
        <v>75</v>
      </c>
      <c r="D30" s="227"/>
      <c r="E30" s="227" t="s">
        <v>76</v>
      </c>
      <c r="F30" s="227"/>
      <c r="I30" s="1" t="s">
        <v>89</v>
      </c>
      <c r="J30" s="111">
        <v>1500000</v>
      </c>
    </row>
    <row r="31" spans="1:16" x14ac:dyDescent="0.3">
      <c r="A31" s="17" t="s">
        <v>78</v>
      </c>
      <c r="B31" s="18"/>
      <c r="C31" s="23" t="s">
        <v>118</v>
      </c>
      <c r="D31" s="20">
        <f>D17*2</f>
        <v>9432000</v>
      </c>
      <c r="E31" s="24" t="s">
        <v>80</v>
      </c>
      <c r="F31" s="19">
        <v>75000</v>
      </c>
    </row>
    <row r="32" spans="1:16" x14ac:dyDescent="0.3">
      <c r="A32" s="17" t="s">
        <v>82</v>
      </c>
      <c r="B32" s="18"/>
      <c r="C32" s="23" t="s">
        <v>119</v>
      </c>
      <c r="D32" s="20">
        <v>480000</v>
      </c>
      <c r="E32" s="24"/>
      <c r="F32" s="19"/>
    </row>
    <row r="33" spans="1:18" x14ac:dyDescent="0.3">
      <c r="A33" s="17" t="s">
        <v>85</v>
      </c>
      <c r="B33" s="18"/>
      <c r="C33" s="23" t="s">
        <v>120</v>
      </c>
      <c r="D33" s="20">
        <v>720000</v>
      </c>
      <c r="E33" s="22"/>
      <c r="F33" s="19"/>
    </row>
    <row r="34" spans="1:18" ht="16.2" thickBot="1" x14ac:dyDescent="0.35">
      <c r="A34" s="17" t="s">
        <v>88</v>
      </c>
      <c r="B34" s="18"/>
      <c r="C34" s="23" t="s">
        <v>110</v>
      </c>
      <c r="D34" s="20">
        <v>1500000</v>
      </c>
      <c r="E34" s="22"/>
      <c r="F34" s="19"/>
      <c r="P34" s="1"/>
    </row>
    <row r="35" spans="1:18" ht="16.2" thickTop="1" x14ac:dyDescent="0.3">
      <c r="A35" s="17" t="s">
        <v>91</v>
      </c>
      <c r="B35" s="18"/>
      <c r="C35" s="23" t="s">
        <v>121</v>
      </c>
      <c r="D35" s="20">
        <v>300000</v>
      </c>
      <c r="E35" s="22"/>
      <c r="F35" s="19"/>
      <c r="L35" s="123"/>
      <c r="M35" s="124"/>
      <c r="N35" s="125"/>
      <c r="O35" s="125"/>
      <c r="Q35" s="230"/>
      <c r="R35" s="231"/>
    </row>
    <row r="36" spans="1:18" x14ac:dyDescent="0.3">
      <c r="A36" s="22"/>
      <c r="B36" s="19"/>
      <c r="C36" s="23" t="s">
        <v>122</v>
      </c>
      <c r="D36" s="20">
        <v>540000</v>
      </c>
      <c r="E36" s="22"/>
      <c r="F36" s="19"/>
      <c r="L36" s="126" t="s">
        <v>74</v>
      </c>
      <c r="M36" s="112"/>
      <c r="N36" s="147" t="s">
        <v>75</v>
      </c>
      <c r="O36" s="112"/>
      <c r="Q36" s="228" t="s">
        <v>76</v>
      </c>
      <c r="R36" s="229"/>
    </row>
    <row r="37" spans="1:18" x14ac:dyDescent="0.3">
      <c r="A37" s="22"/>
      <c r="B37" s="19"/>
      <c r="C37" s="23" t="s">
        <v>113</v>
      </c>
      <c r="D37" s="20">
        <v>140000</v>
      </c>
      <c r="E37" s="22"/>
      <c r="F37" s="19"/>
      <c r="L37" s="127" t="s">
        <v>78</v>
      </c>
      <c r="M37" s="113">
        <v>2500000</v>
      </c>
      <c r="N37" s="114" t="s">
        <v>79</v>
      </c>
      <c r="O37" s="115">
        <v>2520000</v>
      </c>
      <c r="Q37" s="140" t="s">
        <v>200</v>
      </c>
      <c r="R37" s="141">
        <v>75000</v>
      </c>
    </row>
    <row r="38" spans="1:18" x14ac:dyDescent="0.3">
      <c r="A38" s="22"/>
      <c r="B38" s="19"/>
      <c r="C38" s="23" t="s">
        <v>123</v>
      </c>
      <c r="D38" s="20">
        <v>108000</v>
      </c>
      <c r="E38" s="22"/>
      <c r="F38" s="19"/>
      <c r="L38" s="127" t="s">
        <v>82</v>
      </c>
      <c r="M38" s="113"/>
      <c r="N38" s="114" t="s">
        <v>83</v>
      </c>
      <c r="O38" s="115">
        <v>360000</v>
      </c>
      <c r="Q38" s="140" t="s">
        <v>201</v>
      </c>
      <c r="R38" s="141"/>
    </row>
    <row r="39" spans="1:18" x14ac:dyDescent="0.3">
      <c r="A39" s="22"/>
      <c r="B39" s="19"/>
      <c r="C39" s="23" t="s">
        <v>124</v>
      </c>
      <c r="D39" s="20">
        <v>100000</v>
      </c>
      <c r="E39" s="22"/>
      <c r="F39" s="19"/>
      <c r="L39" s="127" t="s">
        <v>85</v>
      </c>
      <c r="M39" s="113"/>
      <c r="N39" s="114" t="s">
        <v>86</v>
      </c>
      <c r="O39" s="115">
        <v>240000</v>
      </c>
      <c r="Q39" s="140" t="s">
        <v>143</v>
      </c>
      <c r="R39" s="141"/>
    </row>
    <row r="40" spans="1:18" x14ac:dyDescent="0.3">
      <c r="A40" s="22"/>
      <c r="B40" s="19"/>
      <c r="C40" s="23" t="s">
        <v>116</v>
      </c>
      <c r="D40" s="20">
        <v>360000</v>
      </c>
      <c r="E40" s="22"/>
      <c r="F40" s="19"/>
      <c r="L40" s="127" t="s">
        <v>88</v>
      </c>
      <c r="M40" s="113"/>
      <c r="N40" s="114" t="s">
        <v>89</v>
      </c>
      <c r="O40" s="115">
        <v>1500000</v>
      </c>
      <c r="Q40" s="140" t="s">
        <v>134</v>
      </c>
      <c r="R40" s="141"/>
    </row>
    <row r="41" spans="1:18" ht="18" x14ac:dyDescent="0.35">
      <c r="A41" s="38" t="s">
        <v>87</v>
      </c>
      <c r="B41" s="39">
        <f>SUM(B31:B40)</f>
        <v>0</v>
      </c>
      <c r="C41" s="39"/>
      <c r="D41" s="39">
        <f t="shared" ref="D41" si="1">SUM(D31:D40)</f>
        <v>13680000</v>
      </c>
      <c r="E41" s="39"/>
      <c r="F41" s="39">
        <f>SUM(F31:F40)*B29</f>
        <v>97200000.000000015</v>
      </c>
      <c r="L41" s="127" t="s">
        <v>91</v>
      </c>
      <c r="M41" s="113"/>
      <c r="N41" s="114" t="s">
        <v>92</v>
      </c>
      <c r="O41" s="115">
        <v>180000</v>
      </c>
      <c r="Q41" s="140" t="s">
        <v>144</v>
      </c>
      <c r="R41" s="141"/>
    </row>
    <row r="42" spans="1:18" ht="18" x14ac:dyDescent="0.35">
      <c r="A42" s="39">
        <f>B41+D41+F41</f>
        <v>110880000.00000001</v>
      </c>
      <c r="B42" s="38"/>
      <c r="C42" s="38"/>
      <c r="D42" s="38"/>
      <c r="E42" s="38"/>
      <c r="F42" s="38"/>
      <c r="L42" s="128"/>
      <c r="M42" s="116"/>
      <c r="N42" s="114" t="s">
        <v>93</v>
      </c>
      <c r="O42" s="115">
        <v>180000</v>
      </c>
      <c r="Q42" s="140" t="s">
        <v>191</v>
      </c>
      <c r="R42" s="141"/>
    </row>
    <row r="43" spans="1:18" x14ac:dyDescent="0.3">
      <c r="A43" s="21" t="s">
        <v>125</v>
      </c>
      <c r="B43" s="100">
        <f>Sales!I4</f>
        <v>2332.8000000000006</v>
      </c>
      <c r="C43" s="41" t="s">
        <v>72</v>
      </c>
      <c r="D43" s="41"/>
      <c r="E43" s="41"/>
      <c r="F43" s="41"/>
      <c r="L43" s="128"/>
      <c r="M43" s="116"/>
      <c r="N43" s="114" t="s">
        <v>94</v>
      </c>
      <c r="O43" s="115">
        <v>100000</v>
      </c>
      <c r="Q43" s="142"/>
      <c r="R43" s="141"/>
    </row>
    <row r="44" spans="1:18" x14ac:dyDescent="0.3">
      <c r="A44" s="42" t="s">
        <v>106</v>
      </c>
      <c r="B44" s="42"/>
      <c r="C44" s="227" t="s">
        <v>75</v>
      </c>
      <c r="D44" s="227"/>
      <c r="E44" s="227" t="s">
        <v>76</v>
      </c>
      <c r="F44" s="227"/>
      <c r="L44" s="128"/>
      <c r="M44" s="116"/>
      <c r="N44" s="114" t="s">
        <v>95</v>
      </c>
      <c r="O44" s="115">
        <v>36000</v>
      </c>
      <c r="Q44" s="142"/>
      <c r="R44" s="141"/>
    </row>
    <row r="45" spans="1:18" x14ac:dyDescent="0.3">
      <c r="A45" s="17" t="s">
        <v>78</v>
      </c>
      <c r="B45" s="18"/>
      <c r="C45" s="23" t="s">
        <v>107</v>
      </c>
      <c r="D45" s="20">
        <f>D31*1.5</f>
        <v>14148000</v>
      </c>
      <c r="E45" s="24" t="s">
        <v>80</v>
      </c>
      <c r="F45" s="19">
        <v>75000</v>
      </c>
      <c r="L45" s="128"/>
      <c r="M45" s="116"/>
      <c r="N45" s="114" t="s">
        <v>96</v>
      </c>
      <c r="O45" s="115">
        <v>60000</v>
      </c>
      <c r="Q45" s="142"/>
      <c r="R45" s="141"/>
    </row>
    <row r="46" spans="1:18" ht="16.2" thickBot="1" x14ac:dyDescent="0.35">
      <c r="A46" s="17" t="s">
        <v>82</v>
      </c>
      <c r="B46" s="18"/>
      <c r="C46" s="23" t="s">
        <v>108</v>
      </c>
      <c r="D46" s="20">
        <v>360000</v>
      </c>
      <c r="E46" s="24"/>
      <c r="F46" s="19"/>
      <c r="L46" s="129"/>
      <c r="M46" s="117"/>
      <c r="N46" s="118" t="s">
        <v>100</v>
      </c>
      <c r="O46" s="119">
        <v>240000</v>
      </c>
      <c r="Q46" s="143"/>
      <c r="R46" s="144"/>
    </row>
    <row r="47" spans="1:18" ht="18.600000000000001" thickTop="1" x14ac:dyDescent="0.35">
      <c r="A47" s="17" t="s">
        <v>85</v>
      </c>
      <c r="B47" s="18"/>
      <c r="C47" s="23" t="s">
        <v>109</v>
      </c>
      <c r="D47" s="20">
        <v>360000</v>
      </c>
      <c r="E47" s="22"/>
      <c r="F47" s="19"/>
      <c r="L47" s="132" t="s">
        <v>87</v>
      </c>
      <c r="M47" s="133">
        <f>SUM(M37:M46)</f>
        <v>2500000</v>
      </c>
      <c r="N47" s="133"/>
      <c r="O47" s="133">
        <f>SUM(D3:D12)</f>
        <v>6040000</v>
      </c>
      <c r="Q47" s="232">
        <f>SUM(F3:F12)*B1</f>
        <v>30000000</v>
      </c>
      <c r="R47" s="233"/>
    </row>
    <row r="48" spans="1:18" ht="18.600000000000001" thickBot="1" x14ac:dyDescent="0.4">
      <c r="A48" s="17" t="s">
        <v>88</v>
      </c>
      <c r="B48" s="18"/>
      <c r="C48" s="23" t="s">
        <v>110</v>
      </c>
      <c r="D48" s="20">
        <v>1500000</v>
      </c>
      <c r="E48" s="22"/>
      <c r="F48" s="19"/>
      <c r="L48" s="130">
        <f>M47+O47+Q47</f>
        <v>38540000</v>
      </c>
      <c r="M48" s="131"/>
      <c r="N48" s="131"/>
      <c r="O48" s="131"/>
      <c r="Q48" s="145"/>
      <c r="R48" s="146"/>
    </row>
    <row r="49" spans="1:16" ht="16.2" thickTop="1" x14ac:dyDescent="0.3">
      <c r="A49" s="17" t="s">
        <v>91</v>
      </c>
      <c r="B49" s="18"/>
      <c r="C49" s="23" t="s">
        <v>111</v>
      </c>
      <c r="D49" s="20">
        <v>240000</v>
      </c>
      <c r="E49" s="22"/>
      <c r="F49" s="19"/>
    </row>
    <row r="50" spans="1:16" x14ac:dyDescent="0.3">
      <c r="A50" s="22"/>
      <c r="B50" s="19"/>
      <c r="C50" s="23" t="s">
        <v>112</v>
      </c>
      <c r="D50" s="20">
        <v>270000</v>
      </c>
      <c r="E50" s="22"/>
      <c r="F50" s="19"/>
      <c r="P50" s="1"/>
    </row>
    <row r="51" spans="1:16" ht="16.2" thickBot="1" x14ac:dyDescent="0.35">
      <c r="A51" s="22"/>
      <c r="B51" s="19"/>
      <c r="C51" s="23" t="s">
        <v>113</v>
      </c>
      <c r="D51" s="20">
        <v>120000</v>
      </c>
      <c r="E51" s="22"/>
      <c r="F51" s="19"/>
    </row>
    <row r="52" spans="1:16" ht="16.8" thickTop="1" thickBot="1" x14ac:dyDescent="0.35">
      <c r="A52" s="22"/>
      <c r="B52" s="19"/>
      <c r="C52" s="23" t="s">
        <v>114</v>
      </c>
      <c r="D52" s="20">
        <v>54000</v>
      </c>
      <c r="E52" s="22"/>
      <c r="F52" s="19"/>
      <c r="N52" s="120"/>
      <c r="O52" s="121"/>
    </row>
    <row r="53" spans="1:16" ht="16.8" thickTop="1" thickBot="1" x14ac:dyDescent="0.35">
      <c r="A53" s="22"/>
      <c r="B53" s="19"/>
      <c r="C53" s="23" t="s">
        <v>115</v>
      </c>
      <c r="D53" s="20">
        <v>80000</v>
      </c>
      <c r="E53" s="22"/>
      <c r="F53" s="19"/>
    </row>
    <row r="54" spans="1:16" ht="16.2" thickTop="1" x14ac:dyDescent="0.3">
      <c r="A54" s="22"/>
      <c r="B54" s="19"/>
      <c r="C54" s="23" t="s">
        <v>116</v>
      </c>
      <c r="D54" s="20">
        <v>360000</v>
      </c>
      <c r="E54" s="22"/>
      <c r="F54" s="19"/>
      <c r="N54" s="122"/>
    </row>
    <row r="55" spans="1:16" ht="18" x14ac:dyDescent="0.35">
      <c r="A55" s="38" t="s">
        <v>87</v>
      </c>
      <c r="B55" s="39">
        <f>SUM(B45:B54)</f>
        <v>0</v>
      </c>
      <c r="C55" s="39"/>
      <c r="D55" s="39">
        <f t="shared" ref="D55" si="2">SUM(D45:D54)</f>
        <v>17492000</v>
      </c>
      <c r="E55" s="39"/>
      <c r="F55" s="39">
        <f>SUM(F45:F54)*B43</f>
        <v>174960000.00000006</v>
      </c>
    </row>
    <row r="56" spans="1:16" ht="18" x14ac:dyDescent="0.35">
      <c r="A56" s="39">
        <f>B55+D55+F55</f>
        <v>192452000.00000006</v>
      </c>
      <c r="B56" s="38"/>
      <c r="C56" s="38"/>
      <c r="D56" s="38"/>
      <c r="E56" s="38"/>
      <c r="F56" s="38"/>
    </row>
    <row r="57" spans="1:16" x14ac:dyDescent="0.3">
      <c r="A57" s="21" t="s">
        <v>126</v>
      </c>
      <c r="B57" s="100">
        <f>Sales!J4</f>
        <v>4199.0400000000009</v>
      </c>
      <c r="C57" s="41" t="s">
        <v>72</v>
      </c>
      <c r="D57" s="41"/>
      <c r="E57" s="41"/>
      <c r="F57" s="41"/>
    </row>
    <row r="58" spans="1:16" x14ac:dyDescent="0.3">
      <c r="A58" s="42" t="s">
        <v>106</v>
      </c>
      <c r="B58" s="42"/>
      <c r="C58" s="227" t="s">
        <v>75</v>
      </c>
      <c r="D58" s="227"/>
      <c r="E58" s="227" t="s">
        <v>76</v>
      </c>
      <c r="F58" s="227"/>
    </row>
    <row r="59" spans="1:16" x14ac:dyDescent="0.3">
      <c r="A59" s="17" t="s">
        <v>78</v>
      </c>
      <c r="B59" s="18"/>
      <c r="C59" s="23" t="s">
        <v>118</v>
      </c>
      <c r="D59" s="20">
        <f>D45*1.5</f>
        <v>21222000</v>
      </c>
      <c r="E59" s="24" t="s">
        <v>80</v>
      </c>
      <c r="F59" s="19">
        <v>75000</v>
      </c>
    </row>
    <row r="60" spans="1:16" x14ac:dyDescent="0.3">
      <c r="A60" s="17" t="s">
        <v>82</v>
      </c>
      <c r="B60" s="18"/>
      <c r="C60" s="23" t="s">
        <v>119</v>
      </c>
      <c r="D60" s="20">
        <v>480000</v>
      </c>
      <c r="E60" s="24"/>
      <c r="F60" s="19"/>
    </row>
    <row r="61" spans="1:16" x14ac:dyDescent="0.3">
      <c r="A61" s="17" t="s">
        <v>85</v>
      </c>
      <c r="B61" s="18"/>
      <c r="C61" s="23" t="s">
        <v>120</v>
      </c>
      <c r="D61" s="20">
        <v>720000</v>
      </c>
      <c r="E61" s="22"/>
      <c r="F61" s="19"/>
    </row>
    <row r="62" spans="1:16" x14ac:dyDescent="0.3">
      <c r="A62" s="17" t="s">
        <v>88</v>
      </c>
      <c r="B62" s="18"/>
      <c r="C62" s="23" t="s">
        <v>110</v>
      </c>
      <c r="D62" s="20">
        <v>1500000</v>
      </c>
      <c r="E62" s="22"/>
      <c r="F62" s="19"/>
    </row>
    <row r="63" spans="1:16" x14ac:dyDescent="0.3">
      <c r="A63" s="17" t="s">
        <v>91</v>
      </c>
      <c r="B63" s="18"/>
      <c r="C63" s="23" t="s">
        <v>121</v>
      </c>
      <c r="D63" s="20">
        <v>300000</v>
      </c>
      <c r="E63" s="22"/>
      <c r="F63" s="19"/>
    </row>
    <row r="64" spans="1:16" x14ac:dyDescent="0.3">
      <c r="A64" s="22"/>
      <c r="B64" s="19"/>
      <c r="C64" s="23" t="s">
        <v>122</v>
      </c>
      <c r="D64" s="20">
        <v>540000</v>
      </c>
      <c r="E64" s="22"/>
      <c r="F64" s="19"/>
    </row>
    <row r="65" spans="1:6" x14ac:dyDescent="0.3">
      <c r="A65" s="22"/>
      <c r="B65" s="19"/>
      <c r="C65" s="23" t="s">
        <v>113</v>
      </c>
      <c r="D65" s="20">
        <v>140000</v>
      </c>
      <c r="E65" s="22"/>
      <c r="F65" s="19"/>
    </row>
    <row r="66" spans="1:6" x14ac:dyDescent="0.3">
      <c r="A66" s="22"/>
      <c r="B66" s="19"/>
      <c r="C66" s="23" t="s">
        <v>123</v>
      </c>
      <c r="D66" s="20">
        <v>108000</v>
      </c>
      <c r="E66" s="22"/>
      <c r="F66" s="19"/>
    </row>
    <row r="67" spans="1:6" x14ac:dyDescent="0.3">
      <c r="A67" s="22"/>
      <c r="B67" s="19"/>
      <c r="C67" s="23" t="s">
        <v>124</v>
      </c>
      <c r="D67" s="20">
        <v>100000</v>
      </c>
      <c r="E67" s="22"/>
      <c r="F67" s="19"/>
    </row>
    <row r="68" spans="1:6" x14ac:dyDescent="0.3">
      <c r="A68" s="22"/>
      <c r="B68" s="19"/>
      <c r="C68" s="23" t="s">
        <v>116</v>
      </c>
      <c r="D68" s="20">
        <v>360000</v>
      </c>
      <c r="E68" s="22"/>
      <c r="F68" s="19"/>
    </row>
    <row r="69" spans="1:6" ht="18" x14ac:dyDescent="0.35">
      <c r="A69" s="38" t="s">
        <v>87</v>
      </c>
      <c r="B69" s="39">
        <f>SUM(B59:B68)</f>
        <v>0</v>
      </c>
      <c r="C69" s="39"/>
      <c r="D69" s="39">
        <f t="shared" ref="D69" si="3">SUM(D59:D68)</f>
        <v>25470000</v>
      </c>
      <c r="E69" s="39"/>
      <c r="F69" s="39">
        <f>SUM(F59:F68)*B57</f>
        <v>314928000.00000006</v>
      </c>
    </row>
    <row r="70" spans="1:6" ht="18" x14ac:dyDescent="0.35">
      <c r="A70" s="39">
        <f>B69+D69+F69</f>
        <v>340398000.00000006</v>
      </c>
      <c r="B70" s="38"/>
      <c r="C70" s="38"/>
      <c r="D70" s="38"/>
      <c r="E70" s="38"/>
      <c r="F70" s="38"/>
    </row>
  </sheetData>
  <mergeCells count="14">
    <mergeCell ref="Q36:R36"/>
    <mergeCell ref="Q35:R35"/>
    <mergeCell ref="Q47:R47"/>
    <mergeCell ref="Q2:R2"/>
    <mergeCell ref="H1:I1"/>
    <mergeCell ref="E2:F2"/>
    <mergeCell ref="C16:D16"/>
    <mergeCell ref="E16:F16"/>
    <mergeCell ref="E58:F58"/>
    <mergeCell ref="C58:D58"/>
    <mergeCell ref="E44:F44"/>
    <mergeCell ref="C44:D44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85E0-36A8-4E56-A840-3261638DD43B}">
  <dimension ref="A1:R44"/>
  <sheetViews>
    <sheetView workbookViewId="0">
      <selection activeCell="G16" sqref="G16"/>
    </sheetView>
  </sheetViews>
  <sheetFormatPr defaultRowHeight="14.4" x14ac:dyDescent="0.3"/>
  <cols>
    <col min="1" max="2" width="39.33203125" customWidth="1"/>
    <col min="3" max="3" width="12.88671875" customWidth="1"/>
    <col min="4" max="4" width="15.44140625" customWidth="1"/>
    <col min="5" max="5" width="15.33203125" customWidth="1"/>
    <col min="6" max="6" width="21.6640625" customWidth="1"/>
    <col min="7" max="7" width="24.44140625" customWidth="1"/>
    <col min="8" max="8" width="11" customWidth="1"/>
    <col min="10" max="10" width="32.5546875" customWidth="1"/>
    <col min="11" max="11" width="26" customWidth="1"/>
    <col min="12" max="12" width="22.88671875" customWidth="1"/>
  </cols>
  <sheetData>
    <row r="1" spans="1:18" ht="31.2" x14ac:dyDescent="0.6">
      <c r="A1" s="32" t="s">
        <v>145</v>
      </c>
      <c r="B1" s="235" t="s">
        <v>146</v>
      </c>
      <c r="C1" s="235"/>
      <c r="D1" s="235"/>
      <c r="E1" s="235"/>
      <c r="F1" s="235"/>
      <c r="G1" s="235"/>
      <c r="H1" s="235"/>
      <c r="I1" s="73"/>
      <c r="J1" s="73" t="s">
        <v>147</v>
      </c>
      <c r="K1" s="74"/>
      <c r="L1" s="73"/>
    </row>
    <row r="2" spans="1:18" x14ac:dyDescent="0.3">
      <c r="A2" s="6" t="s">
        <v>148</v>
      </c>
      <c r="B2" s="7" t="s">
        <v>149</v>
      </c>
      <c r="C2" s="7" t="s">
        <v>150</v>
      </c>
      <c r="D2" s="7" t="s">
        <v>151</v>
      </c>
      <c r="E2" s="7" t="s">
        <v>152</v>
      </c>
      <c r="F2" s="7" t="s">
        <v>153</v>
      </c>
      <c r="G2" s="7" t="s">
        <v>154</v>
      </c>
      <c r="H2" s="8" t="s">
        <v>155</v>
      </c>
      <c r="I2" s="8" t="s">
        <v>156</v>
      </c>
      <c r="J2" s="8" t="s">
        <v>157</v>
      </c>
      <c r="K2" s="8" t="s">
        <v>158</v>
      </c>
      <c r="L2" s="8" t="s">
        <v>159</v>
      </c>
      <c r="M2" s="8" t="s">
        <v>160</v>
      </c>
      <c r="N2" s="9"/>
      <c r="O2" s="9"/>
      <c r="P2" s="9"/>
      <c r="Q2" s="9"/>
      <c r="R2" s="9"/>
    </row>
    <row r="3" spans="1:18" s="35" customFormat="1" ht="15.6" x14ac:dyDescent="0.3">
      <c r="A3" s="30" t="s">
        <v>161</v>
      </c>
      <c r="B3" s="33"/>
      <c r="C3" s="33"/>
      <c r="D3" s="33"/>
      <c r="E3" s="33"/>
      <c r="F3" s="33"/>
      <c r="G3" s="33"/>
      <c r="H3" s="33"/>
      <c r="I3" s="33"/>
      <c r="J3" s="30" t="s">
        <v>161</v>
      </c>
      <c r="K3" s="33" t="s">
        <v>162</v>
      </c>
      <c r="L3" s="33" t="s">
        <v>163</v>
      </c>
      <c r="M3" s="33" t="s">
        <v>164</v>
      </c>
      <c r="N3" s="9"/>
      <c r="O3" s="34"/>
      <c r="P3" s="34"/>
      <c r="Q3" s="34"/>
      <c r="R3" s="34"/>
    </row>
    <row r="4" spans="1:18" x14ac:dyDescent="0.3">
      <c r="A4" s="7" t="s">
        <v>165</v>
      </c>
      <c r="B4" s="7"/>
      <c r="C4" s="7">
        <v>1</v>
      </c>
      <c r="D4" s="7">
        <v>7000</v>
      </c>
      <c r="E4" s="7"/>
      <c r="F4" s="7">
        <f>Table14[[#This Row],[Number]]*Table14[[#This Row],[Salary]]</f>
        <v>7000</v>
      </c>
      <c r="G4" s="7">
        <f>Table14[[#This Row],[ Total Monthly Salary ]]*12</f>
        <v>84000</v>
      </c>
      <c r="H4" s="10"/>
      <c r="I4" s="75"/>
      <c r="J4" s="75">
        <f>Table14[[#This Row],[Number]]/$C$24</f>
        <v>0.05</v>
      </c>
      <c r="K4" s="75" t="s">
        <v>166</v>
      </c>
      <c r="L4" s="75">
        <v>7</v>
      </c>
      <c r="M4" s="75">
        <f>Table14[[#This Row],[Column6]]/$C$24</f>
        <v>0.35</v>
      </c>
      <c r="N4" s="9"/>
      <c r="O4" s="9"/>
      <c r="P4" s="9"/>
      <c r="Q4" s="9"/>
      <c r="R4" s="9"/>
    </row>
    <row r="5" spans="1:18" x14ac:dyDescent="0.3">
      <c r="A5" s="7" t="s">
        <v>167</v>
      </c>
      <c r="B5" s="7"/>
      <c r="C5" s="7">
        <v>2</v>
      </c>
      <c r="D5" s="7">
        <v>7000</v>
      </c>
      <c r="E5" s="7"/>
      <c r="F5" s="7">
        <f>Table14[[#This Row],[Number]]*Table14[[#This Row],[Salary]]</f>
        <v>14000</v>
      </c>
      <c r="G5" s="7">
        <f>Table14[[#This Row],[ Total Monthly Salary ]]*12</f>
        <v>168000</v>
      </c>
      <c r="H5" s="7"/>
      <c r="I5" s="75"/>
      <c r="J5" s="75">
        <f>Table14[[#This Row],[Number]]/$C$24</f>
        <v>0.1</v>
      </c>
      <c r="K5" s="75" t="s">
        <v>168</v>
      </c>
      <c r="L5" s="75">
        <v>2</v>
      </c>
      <c r="M5" s="75">
        <f>Table14[[#This Row],[Column6]]/$C$24</f>
        <v>0.1</v>
      </c>
      <c r="N5" s="9"/>
      <c r="O5" s="9"/>
      <c r="P5" s="9"/>
      <c r="Q5" s="9"/>
      <c r="R5" s="9"/>
    </row>
    <row r="6" spans="1:18" ht="14.4" customHeight="1" x14ac:dyDescent="0.3">
      <c r="A6" s="15" t="s">
        <v>169</v>
      </c>
      <c r="B6" s="11"/>
      <c r="C6" s="7">
        <v>1</v>
      </c>
      <c r="D6" s="7">
        <v>14000</v>
      </c>
      <c r="E6" s="7"/>
      <c r="F6" s="7">
        <f>Table14[[#This Row],[Number]]*Table14[[#This Row],[Salary]]</f>
        <v>14000</v>
      </c>
      <c r="G6" s="7">
        <f>Table14[[#This Row],[ Total Monthly Salary ]]*12</f>
        <v>168000</v>
      </c>
      <c r="H6" s="7"/>
      <c r="I6" s="75"/>
      <c r="J6" s="75">
        <f>Table14[[#This Row],[Number]]/$C$24</f>
        <v>0.05</v>
      </c>
      <c r="K6" s="75" t="s">
        <v>170</v>
      </c>
      <c r="L6" s="75">
        <v>11</v>
      </c>
      <c r="M6" s="75">
        <f>Table14[[#This Row],[Column6]]/$C$24</f>
        <v>0.55000000000000004</v>
      </c>
      <c r="N6" s="9"/>
      <c r="O6" s="9"/>
      <c r="P6" s="9"/>
      <c r="Q6" s="9"/>
      <c r="R6" s="9"/>
    </row>
    <row r="7" spans="1:18" ht="14.4" customHeight="1" x14ac:dyDescent="0.3">
      <c r="A7" s="15" t="s">
        <v>171</v>
      </c>
      <c r="B7" s="7"/>
      <c r="C7" s="7">
        <v>1</v>
      </c>
      <c r="D7" s="7">
        <v>9000</v>
      </c>
      <c r="F7" s="7">
        <f>Table14[[#This Row],[Number]]*Table14[[#This Row],[Salary]]</f>
        <v>9000</v>
      </c>
      <c r="G7" s="7">
        <f>Table14[[#This Row],[ Total Monthly Salary ]]*12</f>
        <v>108000</v>
      </c>
      <c r="H7" s="7"/>
      <c r="I7" s="75"/>
      <c r="J7" s="75">
        <f>Table14[[#This Row],[Number]]/$C$24</f>
        <v>0.05</v>
      </c>
      <c r="K7" s="75" t="s">
        <v>172</v>
      </c>
      <c r="L7" s="75">
        <v>1</v>
      </c>
      <c r="M7" s="75">
        <f>Table14[[#This Row],[Column6]]/$C$24</f>
        <v>0.05</v>
      </c>
      <c r="N7" s="9"/>
      <c r="O7" s="9"/>
      <c r="P7" s="9"/>
      <c r="Q7" s="9"/>
      <c r="R7" s="9"/>
    </row>
    <row r="8" spans="1:18" ht="14.4" customHeight="1" x14ac:dyDescent="0.3">
      <c r="A8" s="7" t="s">
        <v>173</v>
      </c>
      <c r="B8" s="7"/>
      <c r="C8" s="7">
        <v>1</v>
      </c>
      <c r="D8" s="7">
        <v>4000</v>
      </c>
      <c r="F8" s="7">
        <f>Table14[[#This Row],[Number]]*Table14[[#This Row],[Salary]]</f>
        <v>4000</v>
      </c>
      <c r="G8" s="7">
        <f>Table14[[#This Row],[ Total Monthly Salary ]]*12</f>
        <v>48000</v>
      </c>
      <c r="H8" s="7"/>
      <c r="I8" s="75"/>
      <c r="J8" s="75">
        <f>Table14[[#This Row],[Number]]/$C$24</f>
        <v>0.05</v>
      </c>
      <c r="K8" s="75" t="s">
        <v>174</v>
      </c>
      <c r="L8" s="75">
        <v>1</v>
      </c>
      <c r="M8" s="75">
        <f>Table14[[#This Row],[Column6]]/$C$24</f>
        <v>0.05</v>
      </c>
      <c r="N8" s="9"/>
      <c r="O8" s="9"/>
      <c r="P8" s="9"/>
      <c r="Q8" s="9"/>
      <c r="R8" s="9"/>
    </row>
    <row r="9" spans="1:18" ht="14.4" customHeight="1" x14ac:dyDescent="0.3">
      <c r="A9" s="15" t="s">
        <v>175</v>
      </c>
      <c r="B9" s="7"/>
      <c r="C9" s="7">
        <v>1</v>
      </c>
      <c r="D9" s="7">
        <v>4000</v>
      </c>
      <c r="F9" s="7">
        <f>Table14[[#This Row],[Number]]*Table14[[#This Row],[Salary]]</f>
        <v>4000</v>
      </c>
      <c r="G9" s="7">
        <f>Table14[[#This Row],[ Total Monthly Salary ]]*12</f>
        <v>48000</v>
      </c>
      <c r="H9" s="7"/>
      <c r="I9" s="75"/>
      <c r="J9" s="75">
        <f>Table14[[#This Row],[Number]]/$C$24</f>
        <v>0.05</v>
      </c>
      <c r="K9" s="75"/>
      <c r="L9" s="75"/>
      <c r="M9" s="75"/>
      <c r="N9" s="9"/>
      <c r="O9" s="9"/>
      <c r="P9" s="9"/>
      <c r="Q9" s="9"/>
      <c r="R9" s="9"/>
    </row>
    <row r="10" spans="1:18" x14ac:dyDescent="0.3">
      <c r="A10" s="15"/>
      <c r="B10" s="7"/>
      <c r="C10" s="7"/>
      <c r="D10" s="7"/>
      <c r="F10" s="7">
        <f>Table14[[#This Row],[Number]]*Table14[[#This Row],[Salary]]</f>
        <v>0</v>
      </c>
      <c r="G10" s="7">
        <f>Table14[[#This Row],[ Total Monthly Salary ]]*12</f>
        <v>0</v>
      </c>
      <c r="H10" s="7"/>
      <c r="I10" s="75"/>
      <c r="J10" s="75"/>
      <c r="K10" s="75"/>
      <c r="L10" s="75"/>
      <c r="M10" s="75"/>
      <c r="N10" s="9"/>
      <c r="O10" s="9"/>
      <c r="P10" s="9"/>
      <c r="Q10" s="9"/>
      <c r="R10" s="9"/>
    </row>
    <row r="11" spans="1:18" x14ac:dyDescent="0.3">
      <c r="A11" s="15"/>
      <c r="B11" s="7"/>
      <c r="C11" s="7"/>
      <c r="D11" s="7"/>
      <c r="F11" s="7">
        <f>Table14[[#This Row],[Number]]*Table14[[#This Row],[Salary]]</f>
        <v>0</v>
      </c>
      <c r="G11" s="7">
        <f>Table14[[#This Row],[ Total Monthly Salary ]]*12</f>
        <v>0</v>
      </c>
      <c r="H11" s="7"/>
      <c r="I11" s="75"/>
      <c r="J11" s="75"/>
      <c r="K11" s="75"/>
      <c r="L11" s="75"/>
      <c r="M11" s="75"/>
      <c r="N11" s="9"/>
      <c r="O11" s="9"/>
      <c r="P11" s="9"/>
      <c r="Q11" s="9"/>
      <c r="R11" s="9"/>
    </row>
    <row r="12" spans="1:18" x14ac:dyDescent="0.3">
      <c r="A12" s="15"/>
      <c r="B12" s="7"/>
      <c r="C12" s="7"/>
      <c r="D12" s="7"/>
      <c r="F12" s="7">
        <f>Table14[[#This Row],[Number]]*Table14[[#This Row],[Salary]]</f>
        <v>0</v>
      </c>
      <c r="G12" s="7">
        <f>Table14[[#This Row],[ Total Monthly Salary ]]*12</f>
        <v>0</v>
      </c>
      <c r="H12" s="7"/>
      <c r="I12" s="75"/>
      <c r="J12" s="75"/>
      <c r="K12" s="75"/>
      <c r="L12" s="75"/>
      <c r="M12" s="75"/>
      <c r="N12" s="9"/>
      <c r="O12" s="9"/>
      <c r="P12" s="9"/>
      <c r="Q12" s="9"/>
      <c r="R12" s="9"/>
    </row>
    <row r="13" spans="1:18" x14ac:dyDescent="0.3">
      <c r="A13" s="15"/>
      <c r="B13" s="7"/>
      <c r="C13" s="7"/>
      <c r="D13" s="7"/>
      <c r="F13" s="7">
        <f>Table14[[#This Row],[Number]]*Table14[[#This Row],[Salary]]</f>
        <v>0</v>
      </c>
      <c r="G13" s="7">
        <f>Table14[[#This Row],[ Total Monthly Salary ]]*12</f>
        <v>0</v>
      </c>
      <c r="H13" s="7"/>
      <c r="I13" s="75"/>
      <c r="J13" s="75"/>
      <c r="K13" s="75"/>
      <c r="L13" s="75"/>
      <c r="M13" s="75"/>
      <c r="N13" s="9"/>
      <c r="O13" s="9"/>
      <c r="P13" s="9"/>
      <c r="Q13" s="9"/>
      <c r="R13" s="9"/>
    </row>
    <row r="14" spans="1:18" x14ac:dyDescent="0.3">
      <c r="A14" s="15"/>
      <c r="B14" s="7"/>
      <c r="C14" s="7"/>
      <c r="D14" s="7"/>
      <c r="E14" s="10"/>
      <c r="F14" s="10">
        <f>Table14[[#This Row],[Number]]*Table14[[#This Row],[Salary]]</f>
        <v>0</v>
      </c>
      <c r="G14" s="10">
        <f>Table14[[#This Row],[ Total Monthly Salary ]]*12</f>
        <v>0</v>
      </c>
      <c r="H14" s="7"/>
      <c r="I14" s="75"/>
      <c r="J14" s="75"/>
      <c r="K14" s="75"/>
      <c r="L14" s="75"/>
      <c r="M14" s="75"/>
      <c r="N14" s="9"/>
      <c r="O14" s="9"/>
      <c r="P14" s="9"/>
      <c r="Q14" s="9"/>
      <c r="R14" s="9"/>
    </row>
    <row r="15" spans="1:18" x14ac:dyDescent="0.3">
      <c r="A15" s="15"/>
      <c r="B15" s="7"/>
      <c r="C15" s="7"/>
      <c r="D15" s="7"/>
      <c r="E15" s="7"/>
      <c r="F15" s="7">
        <f>Table14[[#This Row],[Number]]*Table14[[#This Row],[Salary]]</f>
        <v>0</v>
      </c>
      <c r="G15" s="7">
        <f>Table14[[#This Row],[ Total Monthly Salary ]]*12</f>
        <v>0</v>
      </c>
      <c r="H15" s="12"/>
      <c r="I15" s="75"/>
      <c r="J15" s="75"/>
      <c r="K15" s="75"/>
      <c r="L15" s="75"/>
      <c r="M15" s="75"/>
      <c r="N15" s="9"/>
      <c r="O15" s="9"/>
      <c r="P15" s="9"/>
      <c r="Q15" s="9"/>
      <c r="R15" s="9"/>
    </row>
    <row r="16" spans="1:18" ht="15.6" x14ac:dyDescent="0.3">
      <c r="A16" s="30" t="s">
        <v>176</v>
      </c>
      <c r="B16" s="31"/>
      <c r="C16" s="31"/>
      <c r="D16" s="31"/>
      <c r="E16" s="31"/>
      <c r="F16" s="31"/>
      <c r="G16" s="191">
        <f>SUM(G4:G15)</f>
        <v>624000</v>
      </c>
      <c r="H16" s="31"/>
      <c r="I16" s="33"/>
      <c r="J16" s="30" t="s">
        <v>176</v>
      </c>
      <c r="K16" s="33"/>
      <c r="L16" s="33"/>
      <c r="M16" s="33"/>
      <c r="N16" s="9"/>
      <c r="O16" s="9"/>
      <c r="P16" s="9"/>
      <c r="Q16" s="9"/>
      <c r="R16" s="9"/>
    </row>
    <row r="17" spans="1:18" x14ac:dyDescent="0.3">
      <c r="A17" s="15" t="s">
        <v>177</v>
      </c>
      <c r="B17" s="7"/>
      <c r="C17" s="7">
        <v>1</v>
      </c>
      <c r="D17" s="7">
        <v>25000</v>
      </c>
      <c r="F17" s="7">
        <f>Table14[[#This Row],[Number]]*Table14[[#This Row],[Salary]]</f>
        <v>25000</v>
      </c>
      <c r="G17" s="7">
        <f>Table14[[#This Row],[ Total Monthly Salary ]]*12</f>
        <v>300000</v>
      </c>
      <c r="H17" s="7"/>
      <c r="I17" s="75"/>
      <c r="J17" s="75">
        <f>Table14[[#This Row],[Number]]/$C$24</f>
        <v>0.05</v>
      </c>
      <c r="K17" s="75"/>
      <c r="L17" s="75"/>
      <c r="M17" s="75"/>
      <c r="N17" s="9"/>
      <c r="O17" s="9"/>
      <c r="P17" s="9"/>
      <c r="Q17" s="9"/>
      <c r="R17" s="9"/>
    </row>
    <row r="18" spans="1:18" x14ac:dyDescent="0.3">
      <c r="A18" s="15" t="s">
        <v>178</v>
      </c>
      <c r="B18" s="7"/>
      <c r="C18" s="7">
        <v>5</v>
      </c>
      <c r="D18" s="27">
        <v>10000</v>
      </c>
      <c r="E18" s="7"/>
      <c r="F18" s="7">
        <f>Table14[[#This Row],[Number]]*Table14[[#This Row],[Salary]]</f>
        <v>50000</v>
      </c>
      <c r="G18" s="7">
        <f>Table14[[#This Row],[ Total Monthly Salary ]]*12</f>
        <v>600000</v>
      </c>
      <c r="H18" s="7"/>
      <c r="I18" s="75"/>
      <c r="J18" s="75">
        <f>Table14[[#This Row],[Number]]/$C$24</f>
        <v>0.25</v>
      </c>
      <c r="K18" s="75"/>
      <c r="L18" s="75"/>
      <c r="M18" s="75"/>
      <c r="N18" s="9"/>
      <c r="O18" s="9"/>
      <c r="P18" s="9"/>
      <c r="Q18" s="9"/>
      <c r="R18" s="9"/>
    </row>
    <row r="19" spans="1:18" x14ac:dyDescent="0.3">
      <c r="A19" s="15" t="s">
        <v>179</v>
      </c>
      <c r="B19" s="7"/>
      <c r="C19" s="7">
        <v>3</v>
      </c>
      <c r="D19" s="7">
        <v>7000</v>
      </c>
      <c r="E19" s="7"/>
      <c r="F19" s="7">
        <f>Table14[[#This Row],[Number]]*Table14[[#This Row],[Salary]]</f>
        <v>21000</v>
      </c>
      <c r="G19" s="7">
        <f>Table14[[#This Row],[ Total Monthly Salary ]]*12</f>
        <v>252000</v>
      </c>
      <c r="H19" s="7"/>
      <c r="I19" s="75"/>
      <c r="J19" s="75">
        <f>Table14[[#This Row],[Number]]/$C$24</f>
        <v>0.15</v>
      </c>
      <c r="K19" s="75"/>
      <c r="L19" s="75"/>
      <c r="M19" s="75"/>
      <c r="N19" s="9"/>
      <c r="O19" s="9"/>
      <c r="P19" s="9"/>
      <c r="Q19" s="9"/>
      <c r="R19" s="9"/>
    </row>
    <row r="20" spans="1:18" x14ac:dyDescent="0.3">
      <c r="A20" s="15" t="s">
        <v>180</v>
      </c>
      <c r="B20" s="7"/>
      <c r="C20" s="7">
        <v>1</v>
      </c>
      <c r="D20" s="7">
        <v>12000</v>
      </c>
      <c r="E20" s="7"/>
      <c r="F20" s="7">
        <f>Table14[[#This Row],[Number]]*Table14[[#This Row],[Salary]]</f>
        <v>12000</v>
      </c>
      <c r="G20" s="7">
        <f>Table14[[#This Row],[ Total Monthly Salary ]]*12</f>
        <v>144000</v>
      </c>
      <c r="H20" s="7"/>
      <c r="I20" s="75"/>
      <c r="J20" s="75">
        <f>Table14[[#This Row],[Number]]/$C$24</f>
        <v>0.05</v>
      </c>
      <c r="K20" s="75"/>
      <c r="L20" s="75"/>
      <c r="M20" s="75"/>
      <c r="N20" s="9"/>
      <c r="O20" s="9"/>
      <c r="P20" s="9"/>
      <c r="Q20" s="9"/>
      <c r="R20" s="9"/>
    </row>
    <row r="21" spans="1:18" x14ac:dyDescent="0.3">
      <c r="A21" s="15" t="s">
        <v>181</v>
      </c>
      <c r="B21" s="7"/>
      <c r="C21" s="7">
        <v>1</v>
      </c>
      <c r="D21" s="7">
        <v>18000</v>
      </c>
      <c r="E21" s="12"/>
      <c r="F21" s="7">
        <f>Table14[[#This Row],[Number]]*Table14[[#This Row],[Salary]]</f>
        <v>18000</v>
      </c>
      <c r="G21" s="7">
        <f>Table14[[#This Row],[ Total Monthly Salary ]]*12</f>
        <v>216000</v>
      </c>
      <c r="H21" s="7"/>
      <c r="I21" s="75"/>
      <c r="J21" s="75">
        <f>Table14[[#This Row],[Number]]/$C$24</f>
        <v>0.05</v>
      </c>
      <c r="K21" s="75"/>
      <c r="L21" s="75"/>
      <c r="M21" s="75"/>
      <c r="N21" s="9"/>
      <c r="O21" s="9"/>
      <c r="P21" s="9"/>
      <c r="Q21" s="9"/>
      <c r="R21" s="9"/>
    </row>
    <row r="22" spans="1:18" x14ac:dyDescent="0.3">
      <c r="A22" s="15" t="s">
        <v>182</v>
      </c>
      <c r="B22" s="7"/>
      <c r="C22" s="7">
        <v>1</v>
      </c>
      <c r="D22" s="7">
        <v>20000</v>
      </c>
      <c r="E22" s="13"/>
      <c r="F22" s="7">
        <f>Table14[[#This Row],[Number]]*Table14[[#This Row],[Salary]]</f>
        <v>20000</v>
      </c>
      <c r="G22" s="7">
        <f>Table14[[#This Row],[ Total Monthly Salary ]]*12</f>
        <v>240000</v>
      </c>
      <c r="H22" s="7"/>
      <c r="I22" s="75"/>
      <c r="J22" s="75">
        <f>Table14[[#This Row],[Number]]/$C$24</f>
        <v>0.05</v>
      </c>
      <c r="K22" s="75"/>
      <c r="L22" s="75"/>
      <c r="M22" s="75"/>
      <c r="N22" s="9"/>
      <c r="O22" s="9"/>
      <c r="P22" s="9"/>
      <c r="Q22" s="9"/>
      <c r="R22" s="9"/>
    </row>
    <row r="23" spans="1:18" x14ac:dyDescent="0.3">
      <c r="A23" s="26" t="s">
        <v>183</v>
      </c>
      <c r="B23" s="12"/>
      <c r="C23" s="12">
        <v>1</v>
      </c>
      <c r="D23" s="12">
        <v>12000</v>
      </c>
      <c r="E23" s="14"/>
      <c r="F23" s="7">
        <f>Table14[[#This Row],[Number]]*Table14[[#This Row],[Salary]]</f>
        <v>12000</v>
      </c>
      <c r="G23" s="7">
        <f>Table14[[#This Row],[ Total Monthly Salary ]]*12</f>
        <v>144000</v>
      </c>
      <c r="H23" s="7"/>
      <c r="I23" s="75"/>
      <c r="J23" s="75">
        <f>Table14[[#This Row],[Number]]/$C$24</f>
        <v>0.05</v>
      </c>
      <c r="K23" s="75"/>
      <c r="L23" s="75"/>
      <c r="M23" s="75"/>
      <c r="N23" s="9"/>
      <c r="O23" s="9"/>
      <c r="P23" s="9"/>
      <c r="Q23" s="9"/>
      <c r="R23" s="9"/>
    </row>
    <row r="24" spans="1:18" ht="25.8" x14ac:dyDescent="0.5">
      <c r="A24" s="28" t="s">
        <v>87</v>
      </c>
      <c r="B24" s="29"/>
      <c r="C24" s="29">
        <f>SUM(C3:C23)</f>
        <v>20</v>
      </c>
      <c r="D24" s="29">
        <f>SUM(D3:D23)</f>
        <v>149000</v>
      </c>
      <c r="E24" s="29"/>
      <c r="F24" s="29">
        <f t="shared" ref="F24:G24" si="0">SUM(F3:F23)</f>
        <v>210000</v>
      </c>
      <c r="G24" s="190">
        <f t="shared" si="0"/>
        <v>3144000</v>
      </c>
      <c r="H24" s="29"/>
      <c r="I24" s="29"/>
      <c r="J24" s="29"/>
      <c r="K24" s="29"/>
      <c r="L24" s="29"/>
      <c r="M24" s="29"/>
      <c r="N24" s="9"/>
      <c r="O24" s="9"/>
      <c r="P24" s="9"/>
      <c r="Q24" s="9"/>
      <c r="R24" s="9"/>
    </row>
    <row r="25" spans="1:18" x14ac:dyDescent="0.3">
      <c r="A25" s="25"/>
      <c r="B25" s="1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3">
      <c r="A26" s="25"/>
      <c r="B26" s="1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3">
      <c r="A27" s="25"/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3">
      <c r="A28" s="25"/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3">
      <c r="A29" s="25"/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3">
      <c r="A30" s="25"/>
      <c r="B30" s="16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3">
      <c r="A31" s="25"/>
      <c r="B31" s="16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FC81-D54D-4C00-A61E-7F14B0E8496E}">
  <dimension ref="A2:AO60"/>
  <sheetViews>
    <sheetView topLeftCell="A27" workbookViewId="0"/>
  </sheetViews>
  <sheetFormatPr defaultRowHeight="14.4" x14ac:dyDescent="0.3"/>
  <cols>
    <col min="1" max="1" width="15.109375" customWidth="1"/>
    <col min="2" max="2" width="17.44140625" customWidth="1"/>
    <col min="3" max="3" width="16.44140625" customWidth="1"/>
    <col min="4" max="4" width="17.109375" customWidth="1"/>
  </cols>
  <sheetData>
    <row r="2" spans="1:41" x14ac:dyDescent="0.3">
      <c r="A2" s="69" t="s">
        <v>1</v>
      </c>
      <c r="B2" s="69">
        <v>2005</v>
      </c>
      <c r="C2" s="69">
        <v>2006</v>
      </c>
      <c r="D2" s="69">
        <v>2007</v>
      </c>
      <c r="E2" s="69">
        <v>2008</v>
      </c>
      <c r="F2" s="69">
        <v>2009</v>
      </c>
      <c r="G2" s="69">
        <v>2010</v>
      </c>
      <c r="H2" s="69">
        <v>2011</v>
      </c>
      <c r="I2" s="69">
        <v>2012</v>
      </c>
      <c r="J2" s="69">
        <v>2013</v>
      </c>
      <c r="K2" s="69">
        <v>2014</v>
      </c>
      <c r="L2" s="69">
        <v>2015</v>
      </c>
      <c r="M2" s="69">
        <v>2016</v>
      </c>
      <c r="N2" s="69">
        <v>2017</v>
      </c>
      <c r="O2" s="69">
        <v>2018</v>
      </c>
      <c r="P2" s="69">
        <v>2019</v>
      </c>
      <c r="Q2" s="69">
        <v>2020</v>
      </c>
      <c r="R2" s="69">
        <v>2021</v>
      </c>
      <c r="S2" s="69">
        <v>2022</v>
      </c>
      <c r="T2" s="69">
        <v>2023</v>
      </c>
      <c r="U2" s="69">
        <v>2024</v>
      </c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</row>
    <row r="3" spans="1:41" x14ac:dyDescent="0.3">
      <c r="A3" s="69" t="s">
        <v>184</v>
      </c>
      <c r="B3" s="70">
        <f t="shared" ref="B3:U3" si="0">(0.32*B11)</f>
        <v>78.08</v>
      </c>
      <c r="C3" s="70">
        <f t="shared" si="0"/>
        <v>81.600000000000009</v>
      </c>
      <c r="D3" s="70">
        <f t="shared" si="0"/>
        <v>86.72</v>
      </c>
      <c r="E3" s="70">
        <f t="shared" si="0"/>
        <v>89.600000000000009</v>
      </c>
      <c r="F3" s="70">
        <f t="shared" si="0"/>
        <v>92.16</v>
      </c>
      <c r="G3" s="70">
        <f t="shared" si="0"/>
        <v>92.8</v>
      </c>
      <c r="H3" s="70">
        <f t="shared" si="0"/>
        <v>95.36</v>
      </c>
      <c r="I3" s="70">
        <f t="shared" si="0"/>
        <v>98.56</v>
      </c>
      <c r="J3" s="70">
        <f t="shared" si="0"/>
        <v>97.600000000000009</v>
      </c>
      <c r="K3" s="70">
        <f t="shared" si="0"/>
        <v>99.52</v>
      </c>
      <c r="L3" s="70">
        <f t="shared" si="0"/>
        <v>101.44</v>
      </c>
      <c r="M3" s="70">
        <f t="shared" si="0"/>
        <v>104</v>
      </c>
      <c r="N3" s="70">
        <f t="shared" si="0"/>
        <v>108.16</v>
      </c>
      <c r="O3" s="70">
        <f t="shared" si="0"/>
        <v>110.4</v>
      </c>
      <c r="P3" s="70">
        <f t="shared" si="0"/>
        <v>112.64</v>
      </c>
      <c r="Q3" s="70">
        <f t="shared" si="0"/>
        <v>114.37714285714272</v>
      </c>
      <c r="R3" s="70">
        <f t="shared" si="0"/>
        <v>116.60228571428576</v>
      </c>
      <c r="S3" s="70">
        <f t="shared" si="0"/>
        <v>118.82742857142848</v>
      </c>
      <c r="T3" s="70">
        <f t="shared" si="0"/>
        <v>121.05257142857153</v>
      </c>
      <c r="U3" s="70">
        <f t="shared" si="0"/>
        <v>123.27771428571425</v>
      </c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</row>
    <row r="4" spans="1:41" x14ac:dyDescent="0.3">
      <c r="A4" s="69" t="s">
        <v>185</v>
      </c>
      <c r="B4" s="70">
        <f t="shared" ref="B4:U4" si="1">0.11*B11</f>
        <v>26.84</v>
      </c>
      <c r="C4" s="70">
        <f t="shared" si="1"/>
        <v>28.05</v>
      </c>
      <c r="D4" s="70">
        <f t="shared" si="1"/>
        <v>29.81</v>
      </c>
      <c r="E4" s="70">
        <f t="shared" si="1"/>
        <v>30.8</v>
      </c>
      <c r="F4" s="70">
        <f t="shared" si="1"/>
        <v>31.68</v>
      </c>
      <c r="G4" s="70">
        <f t="shared" si="1"/>
        <v>31.9</v>
      </c>
      <c r="H4" s="70">
        <f t="shared" si="1"/>
        <v>32.78</v>
      </c>
      <c r="I4" s="70">
        <f t="shared" si="1"/>
        <v>33.880000000000003</v>
      </c>
      <c r="J4" s="70">
        <f t="shared" si="1"/>
        <v>33.549999999999997</v>
      </c>
      <c r="K4" s="70">
        <f t="shared" si="1"/>
        <v>34.21</v>
      </c>
      <c r="L4" s="70">
        <f t="shared" si="1"/>
        <v>34.869999999999997</v>
      </c>
      <c r="M4" s="70">
        <f t="shared" si="1"/>
        <v>35.75</v>
      </c>
      <c r="N4" s="70">
        <f t="shared" si="1"/>
        <v>37.18</v>
      </c>
      <c r="O4" s="70">
        <f t="shared" si="1"/>
        <v>37.950000000000003</v>
      </c>
      <c r="P4" s="70">
        <f t="shared" si="1"/>
        <v>38.72</v>
      </c>
      <c r="Q4" s="70">
        <f t="shared" si="1"/>
        <v>39.317142857142812</v>
      </c>
      <c r="R4" s="70">
        <f t="shared" si="1"/>
        <v>40.08203571428573</v>
      </c>
      <c r="S4" s="70">
        <f t="shared" si="1"/>
        <v>40.846928571428542</v>
      </c>
      <c r="T4" s="70">
        <f t="shared" si="1"/>
        <v>41.61182142857146</v>
      </c>
      <c r="U4" s="70">
        <f t="shared" si="1"/>
        <v>42.376714285714272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</row>
    <row r="5" spans="1:41" x14ac:dyDescent="0.3">
      <c r="A5" s="69" t="s">
        <v>186</v>
      </c>
      <c r="B5" s="70">
        <f t="shared" ref="B5:U5" si="2">0.09*B11</f>
        <v>21.96</v>
      </c>
      <c r="C5" s="70">
        <f t="shared" si="2"/>
        <v>22.95</v>
      </c>
      <c r="D5" s="70">
        <f t="shared" si="2"/>
        <v>24.39</v>
      </c>
      <c r="E5" s="70">
        <f t="shared" si="2"/>
        <v>25.2</v>
      </c>
      <c r="F5" s="70">
        <f t="shared" si="2"/>
        <v>25.919999999999998</v>
      </c>
      <c r="G5" s="70">
        <f t="shared" si="2"/>
        <v>26.099999999999998</v>
      </c>
      <c r="H5" s="70">
        <f t="shared" si="2"/>
        <v>26.82</v>
      </c>
      <c r="I5" s="70">
        <f t="shared" si="2"/>
        <v>27.72</v>
      </c>
      <c r="J5" s="70">
        <f t="shared" si="2"/>
        <v>27.45</v>
      </c>
      <c r="K5" s="70">
        <f t="shared" si="2"/>
        <v>27.99</v>
      </c>
      <c r="L5" s="70">
        <f t="shared" si="2"/>
        <v>28.529999999999998</v>
      </c>
      <c r="M5" s="70">
        <f t="shared" si="2"/>
        <v>29.25</v>
      </c>
      <c r="N5" s="70">
        <f t="shared" si="2"/>
        <v>30.419999999999998</v>
      </c>
      <c r="O5" s="70">
        <f t="shared" si="2"/>
        <v>31.049999999999997</v>
      </c>
      <c r="P5" s="70">
        <f t="shared" si="2"/>
        <v>31.68</v>
      </c>
      <c r="Q5" s="70">
        <f t="shared" si="2"/>
        <v>32.16857142857139</v>
      </c>
      <c r="R5" s="70">
        <f t="shared" si="2"/>
        <v>32.794392857142867</v>
      </c>
      <c r="S5" s="70">
        <f t="shared" si="2"/>
        <v>33.420214285714259</v>
      </c>
      <c r="T5" s="70">
        <f t="shared" si="2"/>
        <v>34.046035714285736</v>
      </c>
      <c r="U5" s="70">
        <f t="shared" si="2"/>
        <v>34.671857142857128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</row>
    <row r="6" spans="1:41" x14ac:dyDescent="0.3">
      <c r="A6" s="69" t="s">
        <v>187</v>
      </c>
      <c r="B6" s="70">
        <f t="shared" ref="B6:U6" si="3">0.16*B11</f>
        <v>39.04</v>
      </c>
      <c r="C6" s="70">
        <f t="shared" si="3"/>
        <v>40.800000000000004</v>
      </c>
      <c r="D6" s="70">
        <f t="shared" si="3"/>
        <v>43.36</v>
      </c>
      <c r="E6" s="70">
        <f t="shared" si="3"/>
        <v>44.800000000000004</v>
      </c>
      <c r="F6" s="70">
        <f t="shared" si="3"/>
        <v>46.08</v>
      </c>
      <c r="G6" s="70">
        <f t="shared" si="3"/>
        <v>46.4</v>
      </c>
      <c r="H6" s="70">
        <f t="shared" si="3"/>
        <v>47.68</v>
      </c>
      <c r="I6" s="70">
        <f t="shared" si="3"/>
        <v>49.28</v>
      </c>
      <c r="J6" s="70">
        <f t="shared" si="3"/>
        <v>48.800000000000004</v>
      </c>
      <c r="K6" s="70">
        <f t="shared" si="3"/>
        <v>49.76</v>
      </c>
      <c r="L6" s="70">
        <f t="shared" si="3"/>
        <v>50.72</v>
      </c>
      <c r="M6" s="70">
        <f t="shared" si="3"/>
        <v>52</v>
      </c>
      <c r="N6" s="70">
        <f t="shared" si="3"/>
        <v>54.08</v>
      </c>
      <c r="O6" s="70">
        <f t="shared" si="3"/>
        <v>55.2</v>
      </c>
      <c r="P6" s="70">
        <f t="shared" si="3"/>
        <v>56.32</v>
      </c>
      <c r="Q6" s="70">
        <f t="shared" si="3"/>
        <v>57.188571428571358</v>
      </c>
      <c r="R6" s="70">
        <f t="shared" si="3"/>
        <v>58.301142857142878</v>
      </c>
      <c r="S6" s="70">
        <f t="shared" si="3"/>
        <v>59.413714285714242</v>
      </c>
      <c r="T6" s="70">
        <f t="shared" si="3"/>
        <v>60.526285714285763</v>
      </c>
      <c r="U6" s="70">
        <f t="shared" si="3"/>
        <v>61.638857142857127</v>
      </c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</row>
    <row r="7" spans="1:41" x14ac:dyDescent="0.3">
      <c r="A7" s="69" t="s">
        <v>188</v>
      </c>
      <c r="B7" s="70">
        <f t="shared" ref="B7:U7" si="4">0.05*B11</f>
        <v>12.200000000000001</v>
      </c>
      <c r="C7" s="70">
        <f t="shared" si="4"/>
        <v>12.75</v>
      </c>
      <c r="D7" s="70">
        <f t="shared" si="4"/>
        <v>13.55</v>
      </c>
      <c r="E7" s="70">
        <f t="shared" si="4"/>
        <v>14</v>
      </c>
      <c r="F7" s="70">
        <f t="shared" si="4"/>
        <v>14.4</v>
      </c>
      <c r="G7" s="70">
        <f t="shared" si="4"/>
        <v>14.5</v>
      </c>
      <c r="H7" s="70">
        <f t="shared" si="4"/>
        <v>14.9</v>
      </c>
      <c r="I7" s="70">
        <f t="shared" si="4"/>
        <v>15.4</v>
      </c>
      <c r="J7" s="70">
        <f t="shared" si="4"/>
        <v>15.25</v>
      </c>
      <c r="K7" s="70">
        <f t="shared" si="4"/>
        <v>15.55</v>
      </c>
      <c r="L7" s="70">
        <f t="shared" si="4"/>
        <v>15.850000000000001</v>
      </c>
      <c r="M7" s="70">
        <f t="shared" si="4"/>
        <v>16.25</v>
      </c>
      <c r="N7" s="70">
        <f t="shared" si="4"/>
        <v>16.900000000000002</v>
      </c>
      <c r="O7" s="70">
        <f t="shared" si="4"/>
        <v>17.25</v>
      </c>
      <c r="P7" s="70">
        <f t="shared" si="4"/>
        <v>17.600000000000001</v>
      </c>
      <c r="Q7" s="70">
        <f t="shared" si="4"/>
        <v>17.871428571428549</v>
      </c>
      <c r="R7" s="70">
        <f t="shared" si="4"/>
        <v>18.219107142857151</v>
      </c>
      <c r="S7" s="70">
        <f t="shared" si="4"/>
        <v>18.5667857142857</v>
      </c>
      <c r="T7" s="70">
        <f t="shared" si="4"/>
        <v>18.914464285714299</v>
      </c>
      <c r="U7" s="70">
        <f t="shared" si="4"/>
        <v>19.262142857142852</v>
      </c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</row>
    <row r="8" spans="1:41" x14ac:dyDescent="0.3">
      <c r="A8" s="69" t="s">
        <v>189</v>
      </c>
      <c r="B8" s="70">
        <f t="shared" ref="B8:U8" si="5">0.09*B11</f>
        <v>21.96</v>
      </c>
      <c r="C8" s="70">
        <f t="shared" si="5"/>
        <v>22.95</v>
      </c>
      <c r="D8" s="70">
        <f t="shared" si="5"/>
        <v>24.39</v>
      </c>
      <c r="E8" s="70">
        <f t="shared" si="5"/>
        <v>25.2</v>
      </c>
      <c r="F8" s="70">
        <f t="shared" si="5"/>
        <v>25.919999999999998</v>
      </c>
      <c r="G8" s="70">
        <f t="shared" si="5"/>
        <v>26.099999999999998</v>
      </c>
      <c r="H8" s="70">
        <f t="shared" si="5"/>
        <v>26.82</v>
      </c>
      <c r="I8" s="70">
        <f t="shared" si="5"/>
        <v>27.72</v>
      </c>
      <c r="J8" s="70">
        <f t="shared" si="5"/>
        <v>27.45</v>
      </c>
      <c r="K8" s="70">
        <f t="shared" si="5"/>
        <v>27.99</v>
      </c>
      <c r="L8" s="70">
        <f t="shared" si="5"/>
        <v>28.529999999999998</v>
      </c>
      <c r="M8" s="70">
        <f t="shared" si="5"/>
        <v>29.25</v>
      </c>
      <c r="N8" s="70">
        <f t="shared" si="5"/>
        <v>30.419999999999998</v>
      </c>
      <c r="O8" s="70">
        <f t="shared" si="5"/>
        <v>31.049999999999997</v>
      </c>
      <c r="P8" s="70">
        <f t="shared" si="5"/>
        <v>31.68</v>
      </c>
      <c r="Q8" s="70">
        <f t="shared" si="5"/>
        <v>32.16857142857139</v>
      </c>
      <c r="R8" s="70">
        <f t="shared" si="5"/>
        <v>32.794392857142867</v>
      </c>
      <c r="S8" s="70">
        <f t="shared" si="5"/>
        <v>33.420214285714259</v>
      </c>
      <c r="T8" s="70">
        <f t="shared" si="5"/>
        <v>34.046035714285736</v>
      </c>
      <c r="U8" s="70">
        <f t="shared" si="5"/>
        <v>34.671857142857128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</row>
    <row r="9" spans="1:41" x14ac:dyDescent="0.3">
      <c r="A9" s="69" t="s">
        <v>190</v>
      </c>
      <c r="B9" s="70">
        <f t="shared" ref="B9:U9" si="6">0.08*B11</f>
        <v>19.52</v>
      </c>
      <c r="C9" s="70">
        <f t="shared" si="6"/>
        <v>20.400000000000002</v>
      </c>
      <c r="D9" s="70">
        <f t="shared" si="6"/>
        <v>21.68</v>
      </c>
      <c r="E9" s="70">
        <f t="shared" si="6"/>
        <v>22.400000000000002</v>
      </c>
      <c r="F9" s="70">
        <f t="shared" si="6"/>
        <v>23.04</v>
      </c>
      <c r="G9" s="70">
        <f t="shared" si="6"/>
        <v>23.2</v>
      </c>
      <c r="H9" s="70">
        <f t="shared" si="6"/>
        <v>23.84</v>
      </c>
      <c r="I9" s="70">
        <f t="shared" si="6"/>
        <v>24.64</v>
      </c>
      <c r="J9" s="70">
        <f t="shared" si="6"/>
        <v>24.400000000000002</v>
      </c>
      <c r="K9" s="70">
        <f t="shared" si="6"/>
        <v>24.88</v>
      </c>
      <c r="L9" s="70">
        <f t="shared" si="6"/>
        <v>25.36</v>
      </c>
      <c r="M9" s="70">
        <f t="shared" si="6"/>
        <v>26</v>
      </c>
      <c r="N9" s="70">
        <f t="shared" si="6"/>
        <v>27.04</v>
      </c>
      <c r="O9" s="70">
        <f t="shared" si="6"/>
        <v>27.6</v>
      </c>
      <c r="P9" s="70">
        <f t="shared" si="6"/>
        <v>28.16</v>
      </c>
      <c r="Q9" s="70">
        <f t="shared" si="6"/>
        <v>28.594285714285679</v>
      </c>
      <c r="R9" s="70">
        <f t="shared" si="6"/>
        <v>29.150571428571439</v>
      </c>
      <c r="S9" s="70">
        <f t="shared" si="6"/>
        <v>29.706857142857121</v>
      </c>
      <c r="T9" s="70">
        <f t="shared" si="6"/>
        <v>30.263142857142881</v>
      </c>
      <c r="U9" s="70">
        <f t="shared" si="6"/>
        <v>30.819428571428563</v>
      </c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</row>
    <row r="10" spans="1:41" x14ac:dyDescent="0.3">
      <c r="A10" s="69" t="s">
        <v>191</v>
      </c>
      <c r="B10" s="70">
        <f t="shared" ref="B10:U10" si="7">0.1*B11</f>
        <v>24.400000000000002</v>
      </c>
      <c r="C10" s="70">
        <f t="shared" si="7"/>
        <v>25.5</v>
      </c>
      <c r="D10" s="70">
        <f t="shared" si="7"/>
        <v>27.1</v>
      </c>
      <c r="E10" s="70">
        <f t="shared" si="7"/>
        <v>28</v>
      </c>
      <c r="F10" s="70">
        <f t="shared" si="7"/>
        <v>28.8</v>
      </c>
      <c r="G10" s="70">
        <f t="shared" si="7"/>
        <v>29</v>
      </c>
      <c r="H10" s="70">
        <f t="shared" si="7"/>
        <v>29.8</v>
      </c>
      <c r="I10" s="70">
        <f t="shared" si="7"/>
        <v>30.8</v>
      </c>
      <c r="J10" s="70">
        <f t="shared" si="7"/>
        <v>30.5</v>
      </c>
      <c r="K10" s="70">
        <f t="shared" si="7"/>
        <v>31.1</v>
      </c>
      <c r="L10" s="70">
        <f t="shared" si="7"/>
        <v>31.700000000000003</v>
      </c>
      <c r="M10" s="70">
        <f t="shared" si="7"/>
        <v>32.5</v>
      </c>
      <c r="N10" s="70">
        <f t="shared" si="7"/>
        <v>33.800000000000004</v>
      </c>
      <c r="O10" s="70">
        <f t="shared" si="7"/>
        <v>34.5</v>
      </c>
      <c r="P10" s="70">
        <f t="shared" si="7"/>
        <v>35.200000000000003</v>
      </c>
      <c r="Q10" s="70">
        <f t="shared" si="7"/>
        <v>35.742857142857098</v>
      </c>
      <c r="R10" s="70">
        <f t="shared" si="7"/>
        <v>36.438214285714302</v>
      </c>
      <c r="S10" s="70">
        <f t="shared" si="7"/>
        <v>37.1335714285714</v>
      </c>
      <c r="T10" s="70">
        <f t="shared" si="7"/>
        <v>37.828928571428598</v>
      </c>
      <c r="U10" s="70">
        <f t="shared" si="7"/>
        <v>38.524285714285703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</row>
    <row r="11" spans="1:41" x14ac:dyDescent="0.3">
      <c r="A11" s="69"/>
      <c r="B11" s="71">
        <v>244</v>
      </c>
      <c r="C11" s="71">
        <v>255</v>
      </c>
      <c r="D11" s="71">
        <v>271</v>
      </c>
      <c r="E11" s="71">
        <v>280</v>
      </c>
      <c r="F11" s="71">
        <v>288</v>
      </c>
      <c r="G11" s="71">
        <v>290</v>
      </c>
      <c r="H11" s="71">
        <v>298</v>
      </c>
      <c r="I11" s="71">
        <v>308</v>
      </c>
      <c r="J11" s="71">
        <v>305</v>
      </c>
      <c r="K11" s="71">
        <v>311</v>
      </c>
      <c r="L11" s="71">
        <v>317</v>
      </c>
      <c r="M11" s="71">
        <v>325</v>
      </c>
      <c r="N11" s="71">
        <v>338</v>
      </c>
      <c r="O11" s="71">
        <v>345</v>
      </c>
      <c r="P11" s="71">
        <v>352</v>
      </c>
      <c r="Q11" s="71">
        <v>357.42857142857099</v>
      </c>
      <c r="R11" s="71">
        <v>364.38214285714298</v>
      </c>
      <c r="S11" s="71">
        <v>371.335714285714</v>
      </c>
      <c r="T11" s="71">
        <v>378.289285714286</v>
      </c>
      <c r="U11" s="71">
        <v>385.24285714285702</v>
      </c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</row>
    <row r="12" spans="1:41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</row>
    <row r="13" spans="1:41" x14ac:dyDescent="0.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</row>
    <row r="14" spans="1:41" x14ac:dyDescent="0.3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</row>
    <row r="15" spans="1:41" x14ac:dyDescent="0.3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</row>
    <row r="16" spans="1:41" x14ac:dyDescent="0.3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</row>
    <row r="17" spans="1:41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</row>
    <row r="18" spans="1:41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</row>
    <row r="19" spans="1:41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</row>
    <row r="20" spans="1:41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</row>
    <row r="21" spans="1:41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</row>
    <row r="22" spans="1:41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</row>
    <row r="23" spans="1:4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</row>
    <row r="24" spans="1:4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</row>
    <row r="25" spans="1:41" x14ac:dyDescent="0.3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</row>
    <row r="26" spans="1:4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</row>
    <row r="27" spans="1:41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</row>
    <row r="28" spans="1:41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</row>
    <row r="29" spans="1:41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</row>
    <row r="30" spans="1:41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</row>
    <row r="31" spans="1:41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</row>
    <row r="32" spans="1:41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</row>
    <row r="37" spans="1:41" x14ac:dyDescent="0.3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</row>
    <row r="38" spans="1:41" x14ac:dyDescent="0.3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</row>
    <row r="39" spans="1:41" x14ac:dyDescent="0.3">
      <c r="A39" s="72" t="s">
        <v>192</v>
      </c>
      <c r="B39" s="72">
        <v>2005</v>
      </c>
      <c r="C39" s="72"/>
      <c r="D39" s="72"/>
      <c r="E39" s="72"/>
      <c r="F39" s="72"/>
      <c r="G39" s="72">
        <v>2010</v>
      </c>
      <c r="H39" s="72"/>
      <c r="I39" s="72"/>
      <c r="J39" s="72"/>
      <c r="K39" s="72"/>
      <c r="L39" s="72">
        <v>2015</v>
      </c>
      <c r="M39" s="72"/>
      <c r="N39" s="72"/>
      <c r="O39" s="72"/>
      <c r="P39" s="72">
        <v>2019</v>
      </c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</row>
    <row r="40" spans="1:41" x14ac:dyDescent="0.3">
      <c r="A40" s="72" t="s">
        <v>193</v>
      </c>
      <c r="B40" s="72">
        <v>9.9</v>
      </c>
      <c r="C40" s="72">
        <v>9.8000000000000007</v>
      </c>
      <c r="D40" s="72">
        <v>9.6999999999999993</v>
      </c>
      <c r="E40" s="72">
        <v>9.5</v>
      </c>
      <c r="F40" s="72">
        <v>8.5</v>
      </c>
      <c r="G40" s="72">
        <v>8.75</v>
      </c>
      <c r="H40" s="72">
        <v>8.6</v>
      </c>
      <c r="I40" s="72">
        <v>8.4</v>
      </c>
      <c r="J40" s="72">
        <v>8.1999999999999993</v>
      </c>
      <c r="K40" s="72">
        <v>8</v>
      </c>
      <c r="L40" s="72">
        <v>8</v>
      </c>
      <c r="M40" s="72">
        <v>8.1</v>
      </c>
      <c r="N40" s="72">
        <v>8.4</v>
      </c>
      <c r="O40" s="72">
        <v>8.1</v>
      </c>
      <c r="P40" s="72">
        <v>7.5</v>
      </c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</row>
    <row r="41" spans="1:41" x14ac:dyDescent="0.3">
      <c r="A41" s="72" t="s">
        <v>194</v>
      </c>
      <c r="B41" s="72">
        <v>5.9</v>
      </c>
      <c r="C41" s="72">
        <v>6</v>
      </c>
      <c r="D41" s="72">
        <v>6.1</v>
      </c>
      <c r="E41" s="72">
        <v>6.2</v>
      </c>
      <c r="F41" s="72">
        <v>6.1</v>
      </c>
      <c r="G41" s="72">
        <v>6</v>
      </c>
      <c r="H41" s="72">
        <v>6</v>
      </c>
      <c r="I41" s="72">
        <v>6.1</v>
      </c>
      <c r="J41" s="72">
        <v>6.15</v>
      </c>
      <c r="K41" s="72">
        <v>6.2</v>
      </c>
      <c r="L41" s="72">
        <v>6.2</v>
      </c>
      <c r="M41" s="72">
        <v>6.3</v>
      </c>
      <c r="N41" s="72">
        <v>6.35</v>
      </c>
      <c r="O41" s="72">
        <v>6.4</v>
      </c>
      <c r="P41" s="72">
        <v>6.5</v>
      </c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</row>
    <row r="42" spans="1:41" x14ac:dyDescent="0.3">
      <c r="A42" s="72" t="s">
        <v>195</v>
      </c>
      <c r="B42" s="72">
        <v>3.2</v>
      </c>
      <c r="C42" s="72">
        <v>3.35</v>
      </c>
      <c r="D42" s="72">
        <v>3.5</v>
      </c>
      <c r="E42" s="72">
        <v>3.6</v>
      </c>
      <c r="F42" s="72">
        <v>3.5</v>
      </c>
      <c r="G42" s="72">
        <v>3.3</v>
      </c>
      <c r="H42" s="72">
        <v>3.25</v>
      </c>
      <c r="I42" s="72">
        <v>3.2</v>
      </c>
      <c r="J42" s="72">
        <v>3.35</v>
      </c>
      <c r="K42" s="72">
        <v>3.15</v>
      </c>
      <c r="L42" s="72">
        <v>3.15</v>
      </c>
      <c r="M42" s="72">
        <v>3.15</v>
      </c>
      <c r="N42" s="72">
        <v>3.15</v>
      </c>
      <c r="O42" s="72">
        <v>3.35</v>
      </c>
      <c r="P42" s="72">
        <v>3.3</v>
      </c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</row>
    <row r="43" spans="1:41" x14ac:dyDescent="0.3">
      <c r="A43" s="72"/>
      <c r="B43" s="72">
        <f t="shared" ref="B43:P43" si="8">1+B42</f>
        <v>4.2</v>
      </c>
      <c r="C43" s="72">
        <f t="shared" si="8"/>
        <v>4.3499999999999996</v>
      </c>
      <c r="D43" s="72">
        <f t="shared" si="8"/>
        <v>4.5</v>
      </c>
      <c r="E43" s="72">
        <f t="shared" si="8"/>
        <v>4.5999999999999996</v>
      </c>
      <c r="F43" s="72">
        <f t="shared" si="8"/>
        <v>4.5</v>
      </c>
      <c r="G43" s="72">
        <f t="shared" si="8"/>
        <v>4.3</v>
      </c>
      <c r="H43" s="72">
        <f t="shared" si="8"/>
        <v>4.25</v>
      </c>
      <c r="I43" s="72">
        <f t="shared" si="8"/>
        <v>4.2</v>
      </c>
      <c r="J43" s="72">
        <f t="shared" si="8"/>
        <v>4.3499999999999996</v>
      </c>
      <c r="K43" s="72">
        <f t="shared" si="8"/>
        <v>4.1500000000000004</v>
      </c>
      <c r="L43" s="72">
        <f t="shared" si="8"/>
        <v>4.1500000000000004</v>
      </c>
      <c r="M43" s="72">
        <f t="shared" si="8"/>
        <v>4.1500000000000004</v>
      </c>
      <c r="N43" s="72">
        <f t="shared" si="8"/>
        <v>4.1500000000000004</v>
      </c>
      <c r="O43" s="72">
        <f t="shared" si="8"/>
        <v>4.3499999999999996</v>
      </c>
      <c r="P43" s="72">
        <f t="shared" si="8"/>
        <v>4.3</v>
      </c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</row>
    <row r="44" spans="1:41" x14ac:dyDescent="0.3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</row>
    <row r="45" spans="1:41" x14ac:dyDescent="0.3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</row>
    <row r="46" spans="1:41" x14ac:dyDescent="0.3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</row>
    <row r="47" spans="1:41" x14ac:dyDescent="0.3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</row>
    <row r="48" spans="1:41" x14ac:dyDescent="0.3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</row>
    <row r="49" spans="1:41" x14ac:dyDescent="0.3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</row>
    <row r="50" spans="1:41" x14ac:dyDescent="0.3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</row>
    <row r="51" spans="1:41" x14ac:dyDescent="0.3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</row>
    <row r="52" spans="1:41" x14ac:dyDescent="0.3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</row>
    <row r="53" spans="1:41" x14ac:dyDescent="0.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</row>
    <row r="54" spans="1:41" x14ac:dyDescent="0.3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</row>
    <row r="55" spans="1:41" x14ac:dyDescent="0.3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</row>
    <row r="56" spans="1:41" x14ac:dyDescent="0.3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</row>
    <row r="57" spans="1:41" x14ac:dyDescent="0.3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</row>
    <row r="58" spans="1:41" x14ac:dyDescent="0.3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</row>
    <row r="59" spans="1:41" x14ac:dyDescent="0.3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</row>
    <row r="60" spans="1:41" x14ac:dyDescent="0.3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9A8720C56D04A8DCA277A4DDEBF16" ma:contentTypeVersion="4" ma:contentTypeDescription="Create a new document." ma:contentTypeScope="" ma:versionID="907da3dc7ac7cfdb1388afb0af479104">
  <xsd:schema xmlns:xsd="http://www.w3.org/2001/XMLSchema" xmlns:xs="http://www.w3.org/2001/XMLSchema" xmlns:p="http://schemas.microsoft.com/office/2006/metadata/properties" xmlns:ns2="e644c673-1f2e-4b64-b190-9cb99b61ada7" targetNamespace="http://schemas.microsoft.com/office/2006/metadata/properties" ma:root="true" ma:fieldsID="6349f6c82c1e910331dd1890dc98549e" ns2:_="">
    <xsd:import namespace="e644c673-1f2e-4b64-b190-9cb99b61ad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4c673-1f2e-4b64-b190-9cb99b61a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88545-D44B-408D-AC59-FE4CFDE40B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44c673-1f2e-4b64-b190-9cb99b61ad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59E040-0847-4354-ADA0-753D69B2D77F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e644c673-1f2e-4b64-b190-9cb99b61ada7"/>
  </ds:schemaRefs>
</ds:datastoreItem>
</file>

<file path=customXml/itemProps3.xml><?xml version="1.0" encoding="utf-8"?>
<ds:datastoreItem xmlns:ds="http://schemas.openxmlformats.org/officeDocument/2006/customXml" ds:itemID="{B099316A-232C-4001-945A-2CADD813EA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Sales</vt:lpstr>
      <vt:lpstr>Income Statement</vt:lpstr>
      <vt:lpstr>Cost Projections</vt:lpstr>
      <vt:lpstr>Workforce</vt:lpstr>
      <vt:lpstr>environmental impact</vt:lpstr>
      <vt:lpstr>'Income Statement'!Print_Area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almatbaagy</dc:creator>
  <cp:keywords/>
  <dc:description/>
  <cp:lastModifiedBy>mohamed khaled</cp:lastModifiedBy>
  <cp:revision/>
  <dcterms:created xsi:type="dcterms:W3CDTF">2015-06-05T18:17:20Z</dcterms:created>
  <dcterms:modified xsi:type="dcterms:W3CDTF">2025-06-13T00:11:28Z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0x0101005019A8720C56D04A8DCA277A4DDEBF16</vt:lpwstr>
  </property>
</Properties>
</file>