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D:\Cursos\Excel\Nelio Alves udemy\Mini Projetos\Projeto 5\"/>
    </mc:Choice>
  </mc:AlternateContent>
  <xr:revisionPtr revIDLastSave="0" documentId="13_ncr:1_{32EBB2BF-F13B-4F4E-A569-5E5E5BBB92A4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DashBoard" sheetId="8" r:id="rId1"/>
    <sheet name="DashBoardAux" sheetId="9" state="hidden" r:id="rId2"/>
    <sheet name="ReCarteira" sheetId="7" r:id="rId3"/>
    <sheet name="ReCarteiraAções" sheetId="10" r:id="rId4"/>
    <sheet name="ReCarteiraFII" sheetId="11" r:id="rId5"/>
    <sheet name="ReProventos" sheetId="6" r:id="rId6"/>
    <sheet name="ReAportes" sheetId="5" r:id="rId7"/>
    <sheet name="TbAtivos" sheetId="2" r:id="rId8"/>
    <sheet name="TbAportes" sheetId="1" r:id="rId9"/>
    <sheet name="TbProventos" sheetId="3" r:id="rId10"/>
  </sheets>
  <definedNames>
    <definedName name="DadosExternos_1" localSheetId="7" hidden="1">TbAtivos!$A$1:$C$10</definedName>
  </definedNames>
  <calcPr calcId="191029"/>
  <pivotCaches>
    <pivotCache cacheId="43" r:id="rId11"/>
    <pivotCache cacheId="49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E5" i="11"/>
  <c r="D5" i="11"/>
  <c r="C5" i="11"/>
  <c r="B5" i="11"/>
  <c r="E4" i="11"/>
  <c r="D4" i="11"/>
  <c r="C4" i="11"/>
  <c r="B4" i="11"/>
  <c r="E3" i="11"/>
  <c r="D3" i="11"/>
  <c r="C3" i="11"/>
  <c r="B3" i="11"/>
  <c r="E2" i="11"/>
  <c r="D2" i="11"/>
  <c r="C2" i="11"/>
  <c r="B2" i="11"/>
  <c r="E6" i="10"/>
  <c r="D6" i="10"/>
  <c r="C6" i="10"/>
  <c r="B6" i="10"/>
  <c r="E5" i="10"/>
  <c r="D5" i="10"/>
  <c r="C5" i="10"/>
  <c r="B5" i="10"/>
  <c r="E4" i="10"/>
  <c r="D4" i="10"/>
  <c r="C4" i="10"/>
  <c r="B4" i="10"/>
  <c r="E3" i="10"/>
  <c r="D3" i="10"/>
  <c r="C3" i="10"/>
  <c r="B3" i="10"/>
  <c r="E2" i="10"/>
  <c r="D2" i="10"/>
  <c r="C2" i="10"/>
  <c r="B2" i="10"/>
  <c r="C9" i="9"/>
  <c r="L5" i="9" s="1"/>
  <c r="E2" i="7"/>
  <c r="E3" i="7"/>
  <c r="E4" i="7"/>
  <c r="E5" i="7"/>
  <c r="E6" i="7"/>
  <c r="E7" i="7"/>
  <c r="E8" i="7"/>
  <c r="E9" i="7"/>
  <c r="E10" i="7"/>
  <c r="D2" i="7"/>
  <c r="D3" i="7"/>
  <c r="D4" i="7"/>
  <c r="D5" i="7"/>
  <c r="D6" i="7"/>
  <c r="D7" i="7"/>
  <c r="D8" i="7"/>
  <c r="D9" i="7"/>
  <c r="D10" i="7"/>
  <c r="C2" i="7"/>
  <c r="C3" i="7"/>
  <c r="C4" i="7"/>
  <c r="C5" i="7"/>
  <c r="C6" i="7"/>
  <c r="C7" i="7"/>
  <c r="C8" i="7"/>
  <c r="C9" i="7"/>
  <c r="C10" i="7"/>
  <c r="B2" i="7"/>
  <c r="B3" i="7"/>
  <c r="B4" i="7"/>
  <c r="B5" i="7"/>
  <c r="B6" i="7"/>
  <c r="B7" i="7"/>
  <c r="B8" i="7"/>
  <c r="B9" i="7"/>
  <c r="B10" i="7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5" i="11" l="1"/>
  <c r="G2" i="11"/>
  <c r="G4" i="11"/>
  <c r="I4" i="11" s="1"/>
  <c r="F3" i="11"/>
  <c r="G3" i="11"/>
  <c r="I3" i="11" s="1"/>
  <c r="D6" i="11"/>
  <c r="G5" i="11"/>
  <c r="I5" i="11" s="1"/>
  <c r="F2" i="11"/>
  <c r="F4" i="11"/>
  <c r="D7" i="10"/>
  <c r="G3" i="10"/>
  <c r="H3" i="10" s="1"/>
  <c r="G5" i="10"/>
  <c r="H5" i="10" s="1"/>
  <c r="F3" i="10"/>
  <c r="F5" i="10"/>
  <c r="G2" i="10"/>
  <c r="G4" i="10"/>
  <c r="I4" i="10" s="1"/>
  <c r="G6" i="10"/>
  <c r="I6" i="10" s="1"/>
  <c r="F4" i="10"/>
  <c r="F6" i="10"/>
  <c r="F2" i="10"/>
  <c r="I4" i="9"/>
  <c r="H4" i="9"/>
  <c r="G4" i="9"/>
  <c r="F4" i="7"/>
  <c r="D11" i="7"/>
  <c r="F3" i="7"/>
  <c r="G8" i="7"/>
  <c r="I8" i="7" s="1"/>
  <c r="G7" i="7"/>
  <c r="I7" i="7" s="1"/>
  <c r="G6" i="7"/>
  <c r="G5" i="7"/>
  <c r="I5" i="7" s="1"/>
  <c r="G4" i="7"/>
  <c r="I4" i="7" s="1"/>
  <c r="G3" i="7"/>
  <c r="I3" i="7" s="1"/>
  <c r="G10" i="7"/>
  <c r="I10" i="7" s="1"/>
  <c r="G2" i="7"/>
  <c r="G9" i="7"/>
  <c r="H9" i="7" s="1"/>
  <c r="F7" i="7"/>
  <c r="F5" i="7"/>
  <c r="F10" i="7"/>
  <c r="F2" i="7"/>
  <c r="F8" i="7"/>
  <c r="F6" i="7"/>
  <c r="F9" i="7"/>
  <c r="C12" i="9" l="1" a="1"/>
  <c r="C12" i="9" s="1"/>
  <c r="H4" i="11"/>
  <c r="AD5" i="9"/>
  <c r="AD13" i="9"/>
  <c r="AD6" i="9"/>
  <c r="AD7" i="9"/>
  <c r="AD8" i="9"/>
  <c r="AE8" i="9" s="1"/>
  <c r="AC8" i="9" s="1" a="1"/>
  <c r="AC8" i="9" s="1"/>
  <c r="AD11" i="9"/>
  <c r="AD9" i="9"/>
  <c r="AD10" i="9"/>
  <c r="AE10" i="9" s="1"/>
  <c r="AC10" i="9" s="1" a="1"/>
  <c r="AC10" i="9" s="1"/>
  <c r="AD12" i="9"/>
  <c r="I2" i="11"/>
  <c r="AD4" i="9"/>
  <c r="Y5" i="9"/>
  <c r="Y13" i="9"/>
  <c r="Y12" i="9"/>
  <c r="Y6" i="9"/>
  <c r="Y7" i="9"/>
  <c r="Y8" i="9"/>
  <c r="Y9" i="9"/>
  <c r="Y10" i="9"/>
  <c r="Y11" i="9"/>
  <c r="I2" i="10"/>
  <c r="Y4" i="9"/>
  <c r="H5" i="11"/>
  <c r="H3" i="11"/>
  <c r="H2" i="11"/>
  <c r="G6" i="11"/>
  <c r="I3" i="10"/>
  <c r="H6" i="10"/>
  <c r="I5" i="10"/>
  <c r="H4" i="10"/>
  <c r="H2" i="10"/>
  <c r="G7" i="10"/>
  <c r="T5" i="9"/>
  <c r="T13" i="9"/>
  <c r="T6" i="9"/>
  <c r="T12" i="9"/>
  <c r="T7" i="9"/>
  <c r="T8" i="9"/>
  <c r="T9" i="9"/>
  <c r="T10" i="9"/>
  <c r="T11" i="9"/>
  <c r="T4" i="9"/>
  <c r="I6" i="7"/>
  <c r="I5" i="9"/>
  <c r="L4" i="9" s="1"/>
  <c r="H5" i="9"/>
  <c r="L3" i="9" s="1"/>
  <c r="G5" i="9"/>
  <c r="H5" i="7"/>
  <c r="H6" i="7"/>
  <c r="H7" i="7"/>
  <c r="I9" i="7"/>
  <c r="I2" i="7"/>
  <c r="G11" i="7"/>
  <c r="H3" i="7"/>
  <c r="H8" i="7"/>
  <c r="H2" i="7"/>
  <c r="H10" i="7"/>
  <c r="H4" i="7"/>
  <c r="AD17" i="9" l="1"/>
  <c r="AD18" i="9"/>
  <c r="AD26" i="9"/>
  <c r="AD19" i="9"/>
  <c r="AD20" i="9"/>
  <c r="AD21" i="9"/>
  <c r="AD22" i="9"/>
  <c r="AD23" i="9"/>
  <c r="AD25" i="9"/>
  <c r="AD24" i="9"/>
  <c r="Y18" i="9"/>
  <c r="Z18" i="9" s="1"/>
  <c r="X18" i="9" s="1" a="1"/>
  <c r="X18" i="9" s="1"/>
  <c r="Y26" i="9"/>
  <c r="Z26" i="9" s="1"/>
  <c r="X26" i="9" s="1" a="1"/>
  <c r="X26" i="9" s="1"/>
  <c r="Y24" i="9"/>
  <c r="Z24" i="9" s="1"/>
  <c r="X24" i="9" s="1" a="1"/>
  <c r="X24" i="9" s="1"/>
  <c r="Y19" i="9"/>
  <c r="Z19" i="9" s="1"/>
  <c r="X19" i="9" s="1" a="1"/>
  <c r="X19" i="9" s="1"/>
  <c r="Y20" i="9"/>
  <c r="Z20" i="9" s="1"/>
  <c r="X20" i="9" s="1" a="1"/>
  <c r="X20" i="9" s="1"/>
  <c r="Y21" i="9"/>
  <c r="Z21" i="9" s="1"/>
  <c r="X21" i="9" s="1" a="1"/>
  <c r="X21" i="9" s="1"/>
  <c r="Y22" i="9"/>
  <c r="Z22" i="9" s="1"/>
  <c r="X22" i="9" s="1" a="1"/>
  <c r="X22" i="9" s="1"/>
  <c r="Y23" i="9"/>
  <c r="Z23" i="9" s="1"/>
  <c r="X23" i="9" s="1" a="1"/>
  <c r="X23" i="9" s="1"/>
  <c r="Y25" i="9"/>
  <c r="Z25" i="9" s="1"/>
  <c r="X25" i="9" s="1" a="1"/>
  <c r="X25" i="9" s="1"/>
  <c r="Y17" i="9"/>
  <c r="Z17" i="9" s="1"/>
  <c r="X17" i="9" s="1" a="1"/>
  <c r="X17" i="9" s="1"/>
  <c r="T17" i="9"/>
  <c r="U17" i="9" s="1"/>
  <c r="S17" i="9" s="1" a="1"/>
  <c r="S17" i="9" s="1"/>
  <c r="T18" i="9"/>
  <c r="U18" i="9" s="1"/>
  <c r="S18" i="9" s="1" a="1"/>
  <c r="S18" i="9" s="1"/>
  <c r="T26" i="9"/>
  <c r="T19" i="9"/>
  <c r="U19" i="9" s="1"/>
  <c r="S19" i="9" s="1" a="1"/>
  <c r="S19" i="9" s="1"/>
  <c r="T20" i="9"/>
  <c r="T21" i="9"/>
  <c r="T22" i="9"/>
  <c r="U22" i="9" s="1"/>
  <c r="S22" i="9" s="1" a="1"/>
  <c r="S22" i="9" s="1"/>
  <c r="T23" i="9"/>
  <c r="T24" i="9"/>
  <c r="T25" i="9"/>
  <c r="U25" i="9" s="1"/>
  <c r="S25" i="9" s="1" a="1"/>
  <c r="S25" i="9" s="1"/>
  <c r="P10" i="9"/>
  <c r="P7" i="9"/>
  <c r="Z12" i="9"/>
  <c r="X12" i="9" s="1" a="1"/>
  <c r="X12" i="9" s="1"/>
  <c r="P12" i="9"/>
  <c r="Z13" i="9"/>
  <c r="X13" i="9" s="1" a="1"/>
  <c r="X13" i="9" s="1"/>
  <c r="P13" i="9"/>
  <c r="Z11" i="9"/>
  <c r="X11" i="9" s="1" a="1"/>
  <c r="X11" i="9" s="1"/>
  <c r="P11" i="9"/>
  <c r="Z5" i="9"/>
  <c r="X5" i="9" s="1" a="1"/>
  <c r="X5" i="9" s="1"/>
  <c r="P5" i="9"/>
  <c r="Z6" i="9"/>
  <c r="X6" i="9" s="1" a="1"/>
  <c r="X6" i="9" s="1"/>
  <c r="P6" i="9"/>
  <c r="Z9" i="9"/>
  <c r="X9" i="9" s="1" a="1"/>
  <c r="X9" i="9" s="1"/>
  <c r="P9" i="9"/>
  <c r="Z8" i="9"/>
  <c r="X8" i="9" s="1" a="1"/>
  <c r="X8" i="9" s="1"/>
  <c r="P8" i="9"/>
  <c r="Z4" i="9"/>
  <c r="X4" i="9" s="1" a="1"/>
  <c r="X4" i="9" s="1"/>
  <c r="P4" i="9"/>
  <c r="U10" i="9"/>
  <c r="S10" i="9" s="1" a="1"/>
  <c r="S10" i="9" s="1"/>
  <c r="U9" i="9"/>
  <c r="S9" i="9" s="1" a="1"/>
  <c r="S9" i="9" s="1"/>
  <c r="U8" i="9"/>
  <c r="S8" i="9" s="1" a="1"/>
  <c r="S8" i="9" s="1"/>
  <c r="U7" i="9"/>
  <c r="S7" i="9" s="1" a="1"/>
  <c r="S7" i="9" s="1"/>
  <c r="U6" i="9"/>
  <c r="S6" i="9" s="1" a="1"/>
  <c r="S6" i="9" s="1"/>
  <c r="U13" i="9"/>
  <c r="S13" i="9" s="1" a="1"/>
  <c r="S13" i="9" s="1"/>
  <c r="U12" i="9"/>
  <c r="S12" i="9" s="1" a="1"/>
  <c r="S12" i="9" s="1"/>
  <c r="U11" i="9"/>
  <c r="S11" i="9" s="1" a="1"/>
  <c r="S11" i="9" s="1"/>
  <c r="U5" i="9"/>
  <c r="S5" i="9" s="1" a="1"/>
  <c r="S5" i="9" s="1"/>
  <c r="AE7" i="9"/>
  <c r="AC7" i="9" s="1" a="1"/>
  <c r="AC7" i="9" s="1"/>
  <c r="AE6" i="9"/>
  <c r="AC6" i="9" s="1" a="1"/>
  <c r="AC6" i="9" s="1"/>
  <c r="AE13" i="9"/>
  <c r="AC13" i="9" s="1" a="1"/>
  <c r="AC13" i="9" s="1"/>
  <c r="AE12" i="9"/>
  <c r="AC12" i="9" s="1" a="1"/>
  <c r="AC12" i="9" s="1"/>
  <c r="AE5" i="9"/>
  <c r="AC5" i="9" s="1" a="1"/>
  <c r="AC5" i="9" s="1"/>
  <c r="U4" i="9"/>
  <c r="S4" i="9" s="1" a="1"/>
  <c r="S4" i="9" s="1"/>
  <c r="AE4" i="9"/>
  <c r="AC4" i="9" s="1" a="1"/>
  <c r="AC4" i="9" s="1"/>
  <c r="B9" i="8"/>
  <c r="AE11" i="9"/>
  <c r="AC11" i="9" s="1" a="1"/>
  <c r="AC11" i="9" s="1"/>
  <c r="AE9" i="9"/>
  <c r="AC9" i="9" s="1" a="1"/>
  <c r="AC9" i="9" s="1"/>
  <c r="Z10" i="9"/>
  <c r="X10" i="9" s="1" a="1"/>
  <c r="X10" i="9" s="1"/>
  <c r="H6" i="11"/>
  <c r="Z7" i="9"/>
  <c r="X7" i="9" s="1" a="1"/>
  <c r="X7" i="9" s="1"/>
  <c r="H7" i="10"/>
  <c r="C13" i="9" a="1"/>
  <c r="C13" i="9" s="1"/>
  <c r="G7" i="9"/>
  <c r="I7" i="9"/>
  <c r="I6" i="9"/>
  <c r="H6" i="9"/>
  <c r="H7" i="9"/>
  <c r="G6" i="9"/>
  <c r="H11" i="7"/>
  <c r="AE21" i="9" l="1"/>
  <c r="AC21" i="9" s="1" a="1"/>
  <c r="AC21" i="9" s="1"/>
  <c r="AE23" i="9"/>
  <c r="AC23" i="9" s="1" a="1"/>
  <c r="AC23" i="9" s="1"/>
  <c r="AE20" i="9"/>
  <c r="AC20" i="9" s="1" a="1"/>
  <c r="AC20" i="9" s="1"/>
  <c r="AE22" i="9"/>
  <c r="AC22" i="9" s="1" a="1"/>
  <c r="AC22" i="9" s="1"/>
  <c r="O22" i="9" s="1"/>
  <c r="AE19" i="9"/>
  <c r="AC19" i="9" s="1" a="1"/>
  <c r="AC19" i="9" s="1"/>
  <c r="AE26" i="9"/>
  <c r="AC26" i="9" s="1" a="1"/>
  <c r="AC26" i="9" s="1"/>
  <c r="AE24" i="9"/>
  <c r="AC24" i="9" s="1" a="1"/>
  <c r="AC24" i="9" s="1"/>
  <c r="AE18" i="9"/>
  <c r="AC18" i="9" s="1" a="1"/>
  <c r="AC18" i="9" s="1"/>
  <c r="O18" i="9" s="1"/>
  <c r="AE25" i="9"/>
  <c r="AC25" i="9" s="1" a="1"/>
  <c r="AC25" i="9" s="1"/>
  <c r="O25" i="9" s="1"/>
  <c r="AE17" i="9"/>
  <c r="AC17" i="9" s="1" a="1"/>
  <c r="AC17" i="9" s="1"/>
  <c r="P18" i="9"/>
  <c r="P25" i="9"/>
  <c r="P24" i="9"/>
  <c r="U24" i="9"/>
  <c r="S24" i="9" s="1" a="1"/>
  <c r="S24" i="9" s="1"/>
  <c r="P23" i="9"/>
  <c r="U23" i="9"/>
  <c r="S23" i="9" s="1" a="1"/>
  <c r="S23" i="9" s="1"/>
  <c r="P21" i="9"/>
  <c r="U21" i="9"/>
  <c r="S21" i="9" s="1" a="1"/>
  <c r="S21" i="9" s="1"/>
  <c r="P17" i="9"/>
  <c r="P26" i="9"/>
  <c r="U26" i="9"/>
  <c r="S26" i="9" s="1" a="1"/>
  <c r="S26" i="9" s="1"/>
  <c r="P20" i="9"/>
  <c r="U20" i="9"/>
  <c r="S20" i="9" s="1" a="1"/>
  <c r="S20" i="9" s="1"/>
  <c r="O19" i="9"/>
  <c r="P19" i="9"/>
  <c r="O17" i="9"/>
  <c r="P22" i="9"/>
  <c r="O7" i="9"/>
  <c r="O8" i="9"/>
  <c r="O10" i="9"/>
  <c r="O11" i="9"/>
  <c r="O6" i="9"/>
  <c r="O5" i="9"/>
  <c r="O4" i="9"/>
  <c r="O13" i="9"/>
  <c r="O9" i="9"/>
  <c r="O12" i="9"/>
  <c r="C14" i="9" a="1"/>
  <c r="C14" i="9" s="1"/>
  <c r="B6" i="8"/>
  <c r="C15" i="9" a="1"/>
  <c r="C15" i="9" s="1"/>
  <c r="O24" i="9" l="1"/>
  <c r="O26" i="9"/>
  <c r="O21" i="9"/>
  <c r="O20" i="9"/>
  <c r="O23" i="9"/>
  <c r="B12" i="8"/>
  <c r="B1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tc={BD81B69E-2A32-4F4B-8A55-6B3FBEB122F5}</author>
  </authors>
  <commentList>
    <comment ref="H2" authorId="0" shapeId="0" xr:uid="{BD81B69E-2A32-4F4B-8A55-6B3FBEB122F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deseje Alterar a data,altere em ReCarteira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tc={922AD86B-C9FD-4B6B-87AD-8A81F7C01CA9}</author>
  </authors>
  <commentList>
    <comment ref="L1" authorId="0" shapeId="0" xr:uid="{922AD86B-C9FD-4B6B-87AD-8A81F7C01C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Deixe em branco para a data de hoje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tc={BC2E6B8C-480D-4D03-B382-4547BBACC5E1}</author>
  </authors>
  <commentList>
    <comment ref="L1" authorId="0" shapeId="0" xr:uid="{BC2E6B8C-480D-4D03-B382-4547BBACC5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Deixe em branco para a data de hoje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tc={4B983E3F-7388-4037-82D7-8FCF7D4B9EBC}</author>
  </authors>
  <commentList>
    <comment ref="L1" authorId="0" shapeId="0" xr:uid="{4B983E3F-7388-4037-82D7-8FCF7D4B9E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Deixe em branco para a data de hoje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5CAFF-361E-42FB-8C22-F5A412FECF11}" keepAlive="1" name="Consulta - pub?output=csv" description="Conexão com a consulta 'pub?output=csv' na pasta de trabalho." type="5" refreshedVersion="8" background="1" saveData="1">
    <dbPr connection="Provider=Microsoft.Mashup.OleDb.1;Data Source=$Workbook$;Location=&quot;pub?output=csv&quot;;Extended Properties=&quot;&quot;" command="SELECT * FROM [pub?output=csv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<sst xmlns="http://schemas.openxmlformats.org/spreadsheetml/2006/main" count="317" uniqueCount="79">
  <si>
    <t>Ativo</t>
  </si>
  <si>
    <t>Tipo</t>
  </si>
  <si>
    <t>Cotação</t>
  </si>
  <si>
    <t>CSNA3</t>
  </si>
  <si>
    <t>EMPRESA</t>
  </si>
  <si>
    <t>FLRY3</t>
  </si>
  <si>
    <t>ITSA4</t>
  </si>
  <si>
    <t>PETR4</t>
  </si>
  <si>
    <t>HGBS11</t>
  </si>
  <si>
    <t>FII</t>
  </si>
  <si>
    <t>HGLG11</t>
  </si>
  <si>
    <t>HGRE11</t>
  </si>
  <si>
    <t>KNRI11</t>
  </si>
  <si>
    <t>Data</t>
  </si>
  <si>
    <t>Qte</t>
  </si>
  <si>
    <t>Valor Unitário</t>
  </si>
  <si>
    <t>Custo</t>
  </si>
  <si>
    <t>Total</t>
  </si>
  <si>
    <t>Ano</t>
  </si>
  <si>
    <t>Mês</t>
  </si>
  <si>
    <t>Ano/Mês</t>
  </si>
  <si>
    <t>TAEE4</t>
  </si>
  <si>
    <t>Cod</t>
  </si>
  <si>
    <t>Valor Bruto</t>
  </si>
  <si>
    <t>IR</t>
  </si>
  <si>
    <t>Valor Líquido</t>
  </si>
  <si>
    <t>HGBS12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</si>
  <si>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</si>
  <si>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</si>
  <si>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</si>
  <si>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</si>
  <si>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</si>
  <si>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</si>
  <si>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</si>
  <si>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</si>
  <si>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</si>
  <si>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</si>
  <si>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</si>
  <si>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</si>
  <si>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</si>
  <si>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</si>
  <si>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2020/01</t>
  </si>
  <si>
    <t>2019/11</t>
  </si>
  <si>
    <t>2019/12</t>
  </si>
  <si>
    <t>Soma de Total</t>
  </si>
  <si>
    <t>Soma de Valor Líquido</t>
  </si>
  <si>
    <t>Total Aportado</t>
  </si>
  <si>
    <t>Total qte</t>
  </si>
  <si>
    <t>PM</t>
  </si>
  <si>
    <t>Total Atual</t>
  </si>
  <si>
    <t>Valorização</t>
  </si>
  <si>
    <t>Valorização %</t>
  </si>
  <si>
    <t>Até qual data?</t>
  </si>
  <si>
    <t xml:space="preserve">  </t>
  </si>
  <si>
    <t>Carteira Atual</t>
  </si>
  <si>
    <t>Caixa:</t>
  </si>
  <si>
    <t>Até</t>
  </si>
  <si>
    <t>Valores para caixa de combinação</t>
  </si>
  <si>
    <t>Tudo</t>
  </si>
  <si>
    <t>Ações</t>
  </si>
  <si>
    <t>Entradas dos Usuários</t>
  </si>
  <si>
    <t>Caixa de Combinação</t>
  </si>
  <si>
    <t>Matriz auxiliar:Somatório por tipo de ativo</t>
  </si>
  <si>
    <t>Indicadores chaves de desempenho (KPI)</t>
  </si>
  <si>
    <t>Gráfico Composição do Patrimônio</t>
  </si>
  <si>
    <t>Caixa</t>
  </si>
  <si>
    <t>Valor em Caixa</t>
  </si>
  <si>
    <t>Gráfico Maiores Valores</t>
  </si>
  <si>
    <t>Ordem</t>
  </si>
  <si>
    <t>Valores</t>
  </si>
  <si>
    <t>Maiores Valores (tudo)</t>
  </si>
  <si>
    <t>Corresp</t>
  </si>
  <si>
    <t>Maiores Valores (Ações)</t>
  </si>
  <si>
    <t>Maiores Valores (FII)</t>
  </si>
  <si>
    <t>Fundos Imobiliários</t>
  </si>
  <si>
    <t>Gráfico Maiores Valorizações</t>
  </si>
  <si>
    <t>Maiores Valorizações (tudo)</t>
  </si>
  <si>
    <t>Maiores Valorizações (Ações)</t>
  </si>
  <si>
    <t>Maiores Valorizações (FII)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</si>
</sst>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26"/>
      <color theme="1" tint="0.249977111117893"/>
      <name val="Calibri"/>
      <family val="2"/>
      <scheme val="minor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0" fillId="2" borderId="1" xfId="0" applyNumberFormat="1" applyFill="1" applyBorder="1"/>
    <xf numFmtId="44" fontId="0" fillId="0" borderId="0" xfId="1" applyFont="1" applyAlignment="1">
      <alignment horizontal="center" vertical="center"/>
    </xf>
    <xf numFmtId="44" fontId="0" fillId="0" borderId="0" xfId="1" applyFont="1"/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44" fontId="0" fillId="0" borderId="0" xfId="0" applyNumberFormat="1"/>
    <xf numFmtId="0" fontId="0" fillId="4" borderId="0" xfId="0" applyFill="1"/>
    <xf numFmtId="0" fontId="0" fillId="4" borderId="3" xfId="0" applyFill="1" applyBorder="1"/>
    <xf numFmtId="0" fontId="0" fillId="4" borderId="0" xfId="0" applyFill="1" applyAlignment="1">
      <alignment horizontal="right" vertical="center"/>
    </xf>
    <xf numFmtId="0" fontId="6" fillId="0" borderId="0" xfId="0" applyFont="1"/>
    <xf numFmtId="14" fontId="7" fillId="4" borderId="0" xfId="0" applyNumberFormat="1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4" borderId="3" xfId="0" applyFill="1" applyBorder="1" applyAlignment="1">
      <alignment horizontal="center" vertical="center"/>
    </xf>
    <xf numFmtId="44" fontId="0" fillId="5" borderId="0" xfId="0" applyNumberFormat="1" applyFill="1"/>
    <xf numFmtId="9" fontId="0" fillId="5" borderId="0" xfId="2" applyFont="1" applyFill="1"/>
    <xf numFmtId="44" fontId="0" fillId="5" borderId="0" xfId="1" applyFont="1" applyFill="1"/>
    <xf numFmtId="44" fontId="7" fillId="4" borderId="2" xfId="1" applyFont="1" applyFill="1" applyBorder="1" applyAlignment="1">
      <alignment horizontal="center"/>
    </xf>
    <xf numFmtId="165" fontId="7" fillId="4" borderId="2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4" borderId="0" xfId="0" applyFont="1" applyFill="1" applyAlignment="1">
      <alignment horizontal="right" vertical="center"/>
    </xf>
    <xf numFmtId="14" fontId="7" fillId="10" borderId="5" xfId="0" applyNumberFormat="1" applyFont="1" applyFill="1" applyBorder="1" applyAlignment="1">
      <alignment horizontal="center" vertical="center"/>
    </xf>
    <xf numFmtId="44" fontId="0" fillId="0" borderId="4" xfId="1" applyFont="1" applyFill="1" applyBorder="1" applyAlignment="1" applyProtection="1">
      <alignment horizontal="center" vertical="center"/>
      <protection locked="0"/>
    </xf>
  </cellXfs>
  <cellStyles count="3">
    <cellStyle name="Moeda" xfId="1" builtinId="4"/>
    <cellStyle name="Normal" xfId="0" builtinId="0"/>
    <cellStyle name="Porcentagem" xfId="2" builtinId="5"/>
  </cellStyles>
  <dxfs count="5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4" formatCode="0.0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9" formatCode="dd/mm/yyyy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16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16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16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Composição</a:t>
            </a:r>
            <a:r>
              <a:rPr lang="pt-BR" sz="1600" baseline="0"/>
              <a:t> do patrimônio</a:t>
            </a:r>
            <a:endParaRPr lang="pt-BR" sz="1600"/>
          </a:p>
        </c:rich>
      </c:tx>
      <c:layout>
        <c:manualLayout>
          <c:xMode val="edge"/>
          <c:yMode val="edge"/>
          <c:x val="0.12860044777253624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080406151903619"/>
          <c:y val="0.17241501824467068"/>
          <c:w val="0.72066388416369997"/>
          <c:h val="0.7892148389987836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601-4102-AAE8-9D3AA80AD1DB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01-4102-AAE8-9D3AA80AD1DB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601-4102-AAE8-9D3AA80AD1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DashBoardAux!$K$3:$K$5</c:f>
              <c:strCache>
                <c:ptCount val="3"/>
                <c:pt idx="0">
                  <c:v>Ações</c:v>
                </c:pt>
                <c:pt idx="1">
                  <c:v>FII</c:v>
                </c:pt>
                <c:pt idx="2">
                  <c:v>Caixa</c:v>
                </c:pt>
              </c:strCache>
            </c:strRef>
          </c:cat>
          <c:val>
            <c:numRef>
              <c:f>DashBoardAux!$L$3:$L$5</c:f>
              <c:numCache>
                <c:formatCode>_("R$"* #,##0.00_);_("R$"* \(#,##0.00\);_("R$"* "-"??_);_(@_)</c:formatCode>
                <c:ptCount val="3"/>
                <c:pt idx="0">
                  <c:v>25286</c:v>
                </c:pt>
                <c:pt idx="1">
                  <c:v>8421.380000000001</c:v>
                </c:pt>
                <c:pt idx="2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01-4102-AAE8-9D3AA80AD1D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9050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Maiores Valores Atuais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110135521426158"/>
          <c:y val="0.17021508260372564"/>
          <c:w val="0.71720426963956241"/>
          <c:h val="0.73571246112484112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DashBoardAux!$O$4:$O$13</c:f>
              <c:strCache>
                <c:ptCount val="10"/>
                <c:pt idx="0">
                  <c:v>-</c:v>
                </c:pt>
                <c:pt idx="1">
                  <c:v>HGBS11</c:v>
                </c:pt>
                <c:pt idx="2">
                  <c:v>HGRE11</c:v>
                </c:pt>
                <c:pt idx="3">
                  <c:v>TAEE4</c:v>
                </c:pt>
                <c:pt idx="4">
                  <c:v>KNRI11</c:v>
                </c:pt>
                <c:pt idx="5">
                  <c:v>FLRY3</c:v>
                </c:pt>
                <c:pt idx="6">
                  <c:v>HGLG11</c:v>
                </c:pt>
                <c:pt idx="7">
                  <c:v>CSNA3</c:v>
                </c:pt>
                <c:pt idx="8">
                  <c:v>ITSA4</c:v>
                </c:pt>
                <c:pt idx="9">
                  <c:v>PETR4</c:v>
                </c:pt>
              </c:strCache>
            </c:strRef>
          </c:cat>
          <c:val>
            <c:numRef>
              <c:f>DashBoardAux!$P$4:$P$13</c:f>
              <c:numCache>
                <c:formatCode>General</c:formatCode>
                <c:ptCount val="10"/>
                <c:pt idx="0">
                  <c:v>0</c:v>
                </c:pt>
                <c:pt idx="1">
                  <c:v>1593.18</c:v>
                </c:pt>
                <c:pt idx="2">
                  <c:v>1881.95</c:v>
                </c:pt>
                <c:pt idx="3">
                  <c:v>2256</c:v>
                </c:pt>
                <c:pt idx="4">
                  <c:v>2358</c:v>
                </c:pt>
                <c:pt idx="5">
                  <c:v>2368</c:v>
                </c:pt>
                <c:pt idx="6">
                  <c:v>2588.25</c:v>
                </c:pt>
                <c:pt idx="7">
                  <c:v>2727</c:v>
                </c:pt>
                <c:pt idx="8">
                  <c:v>2859</c:v>
                </c:pt>
                <c:pt idx="9">
                  <c:v>15076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F-47BB-A632-D9046EAC06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285632399"/>
        <c:axId val="285632879"/>
      </c:barChart>
      <c:catAx>
        <c:axId val="285632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5632879"/>
        <c:crosses val="autoZero"/>
        <c:auto val="1"/>
        <c:lblAlgn val="ctr"/>
        <c:lblOffset val="100"/>
        <c:noMultiLvlLbl val="0"/>
      </c:catAx>
      <c:valAx>
        <c:axId val="28563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563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Maiores</a:t>
            </a:r>
            <a:r>
              <a:rPr lang="pt-BR" baseline="0"/>
              <a:t> Valorizações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0792621372609841E-2"/>
          <c:y val="0.16030008110300081"/>
          <c:w val="0.83559261940287488"/>
          <c:h val="0.74562746262556601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DashBoardAux!$O$17:$O$26</c:f>
              <c:strCache>
                <c:ptCount val="10"/>
                <c:pt idx="0">
                  <c:v>-</c:v>
                </c:pt>
                <c:pt idx="1">
                  <c:v>FLRY3</c:v>
                </c:pt>
                <c:pt idx="2">
                  <c:v>HGRE11</c:v>
                </c:pt>
                <c:pt idx="3">
                  <c:v>KNRI11</c:v>
                </c:pt>
                <c:pt idx="4">
                  <c:v>HGBS11</c:v>
                </c:pt>
                <c:pt idx="5">
                  <c:v>CSNA3</c:v>
                </c:pt>
                <c:pt idx="6">
                  <c:v>HGLG11</c:v>
                </c:pt>
                <c:pt idx="7">
                  <c:v>ITSA4</c:v>
                </c:pt>
                <c:pt idx="8">
                  <c:v>TAEE4</c:v>
                </c:pt>
                <c:pt idx="9">
                  <c:v>PETR4</c:v>
                </c:pt>
              </c:strCache>
            </c:strRef>
          </c:cat>
          <c:val>
            <c:numRef>
              <c:f>DashBoardAux!$P$17:$P$26</c:f>
              <c:numCache>
                <c:formatCode>0%</c:formatCode>
                <c:ptCount val="10"/>
                <c:pt idx="0" formatCode="General">
                  <c:v>0</c:v>
                </c:pt>
                <c:pt idx="1">
                  <c:v>-0.4119692078470325</c:v>
                </c:pt>
                <c:pt idx="2">
                  <c:v>-0.24497606887670142</c:v>
                </c:pt>
                <c:pt idx="3">
                  <c:v>-0.10522521155086717</c:v>
                </c:pt>
                <c:pt idx="4">
                  <c:v>-7.0679849505643433E-2</c:v>
                </c:pt>
                <c:pt idx="5">
                  <c:v>-2.9537366548042732E-2</c:v>
                </c:pt>
                <c:pt idx="6">
                  <c:v>0.10100348390554736</c:v>
                </c:pt>
                <c:pt idx="7">
                  <c:v>0.1381369426751593</c:v>
                </c:pt>
                <c:pt idx="8">
                  <c:v>0.37981651376146797</c:v>
                </c:pt>
                <c:pt idx="9">
                  <c:v>1.2794073178107044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6-4B1F-B1CB-BAF86AEDEB7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858477167"/>
        <c:axId val="858480047"/>
      </c:barChart>
      <c:catAx>
        <c:axId val="858477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8480047"/>
        <c:crosses val="autoZero"/>
        <c:auto val="1"/>
        <c:lblAlgn val="ctr"/>
        <c:lblOffset val="100"/>
        <c:noMultiLvlLbl val="0"/>
      </c:catAx>
      <c:valAx>
        <c:axId val="85848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out"/>
        <c:tickLblPos val="nextTo"/>
        <c:spPr>
          <a:noFill/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847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trlProps/ctrlProp1.xml><?xml version="1.0" encoding="utf-8"?>
<formControlPr xmlns="http://schemas.microsoft.com/office/spreadsheetml/2009/9/main" objectType="Drop" dropStyle="combo" dx="26" fmlaLink="DashBoardAux!$C$8" fmlaRange="DashBoardAux!$C$3:$C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22860</xdr:rowOff>
        </xdr:from>
        <xdr:to>
          <xdr:col>2</xdr:col>
          <xdr:colOff>7620</xdr:colOff>
          <xdr:row>2</xdr:row>
          <xdr:rowOff>22860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434340</xdr:colOff>
      <xdr:row>4</xdr:row>
      <xdr:rowOff>167640</xdr:rowOff>
    </xdr:from>
    <xdr:to>
      <xdr:col>5</xdr:col>
      <xdr:colOff>670560</xdr:colOff>
      <xdr:row>15</xdr:row>
      <xdr:rowOff>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F68A44-C2A0-4A89-8B9C-1ACFE58F9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815340</xdr:colOff>
      <xdr:row>4</xdr:row>
      <xdr:rowOff>167640</xdr:rowOff>
    </xdr:from>
    <xdr:to>
      <xdr:col>6</xdr:col>
      <xdr:colOff>480060</xdr:colOff>
      <xdr:row>15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DCD580-DE35-4C55-8BCF-6AEB569F4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624840</xdr:colOff>
      <xdr:row>4</xdr:row>
      <xdr:rowOff>167640</xdr:rowOff>
    </xdr:from>
    <xdr:to>
      <xdr:col>7</xdr:col>
      <xdr:colOff>2369820</xdr:colOff>
      <xdr:row>15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1699320-65BC-416F-8347-614AF4AE2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uno Almeida de Oliveira" id="{EC3C4796-C69C-4B59-96EA-DF9042ADF62A}" userId="466191cc606bec46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o Almeida de Oliveira" refreshedDate="45689.88303020833" createdVersion="8" refreshedVersion="8" minRefreshableVersion="3" recordCount="28" xr:uid="{9FE39E7C-5375-4730-85F1-5DC056CEBD90}">
  <cacheSource type="worksheet">
    <worksheetSource name="TbAportes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SA4"/>
        <s v="CSNA3"/>
        <s v="PETR4"/>
        <s v="HGLG11"/>
        <s v="HGRE11"/>
        <s v="FLRY3"/>
        <s v="HGBS11"/>
        <s v="KNRI11"/>
        <s v="TAEE4"/>
      </sharedItems>
    </cacheField>
    <cacheField name="Qte" numFmtId="0">
      <sharedItems containsSemiMixedTypes="0" containsString="0" containsNumber="1" containsInteger="1" minValue="1" maxValue="100"/>
    </cacheField>
    <cacheField name="Valor Unitário" numFmtId="164">
      <sharedItems containsSemiMixedTypes="0" containsString="0" containsNumber="1" minValue="7.51" maxValue="194.23"/>
    </cacheField>
    <cacheField name="Custo" numFmtId="164">
      <sharedItems containsSemiMixedTypes="0" containsString="0" containsNumber="1" containsInteger="1" minValue="0" maxValue="10"/>
    </cacheField>
    <cacheField name="Total" numFmtId="164">
      <sharedItems containsSemiMixedTypes="0" containsString="0" containsNumber="1" minValue="191.74" maxValue="2042"/>
    </cacheField>
    <cacheField name="Tipo" numFmtId="0">
      <sharedItems count="2">
        <s v="EMPRESA"/>
        <s v="FII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o Almeida de Oliveira" refreshedDate="45689.883030555553" createdVersion="8" refreshedVersion="8" minRefreshableVersion="3" recordCount="71" xr:uid="{72CBFBBF-B240-4D0B-9F1F-5FE2316361BF}">
  <cacheSource type="worksheet">
    <worksheetSource name="TbProventos"/>
  </cacheSource>
  <cacheFields count="9">
    <cacheField name="Cod" numFmtId="0">
      <sharedItems containsSemiMixedTypes="0" containsString="0" containsNumber="1" containsInteger="1" minValue="13" maxValue="50"/>
    </cacheField>
    <cacheField name="Ativo" numFmtId="0">
      <sharedItems count="10">
        <s v="ITSA4"/>
        <s v="HGBS11"/>
        <s v="HGLG11"/>
        <s v="HGRE11"/>
        <s v="KNRI11"/>
        <s v="PETR4"/>
        <s v="HGBS12"/>
        <s v="FLRY3"/>
        <s v="TAEE4"/>
        <s v="CSNA3"/>
      </sharedItems>
    </cacheField>
    <cacheField name="Qte" numFmtId="0">
      <sharedItems containsSemiMixedTypes="0" containsString="0" containsNumber="1" containsInteger="1" minValue="100" maxValue="100"/>
    </cacheField>
    <cacheField name="Valor Bruto" numFmtId="164">
      <sharedItems containsSemiMixedTypes="0" containsString="0" containsNumber="1" minValue="0" maxValue="180.6"/>
    </cacheField>
    <cacheField name="IR" numFmtId="164">
      <sharedItems containsSemiMixedTypes="0" containsString="0" containsNumber="1" minValue="0" maxValue="6"/>
    </cacheField>
    <cacheField name="Valor Líquido" numFmtId="164">
      <sharedItems containsSemiMixedTypes="0" containsString="0" containsNumber="1" minValue="0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164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164">
      <sharedItems count="3">
        <s v="EMPRESA"/>
        <s v="FII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8.23"/>
    <n v="10"/>
    <n v="833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23.94"/>
    <n v="0"/>
    <n v="991.52"/>
    <x v="1"/>
    <n v="2019"/>
    <n v="2"/>
    <x v="2"/>
  </r>
  <r>
    <d v="2019-03-10T00:00:00"/>
    <x v="5"/>
    <n v="100"/>
    <n v="19.75"/>
    <n v="10"/>
    <n v="1985"/>
    <x v="0"/>
    <n v="2019"/>
    <n v="3"/>
    <x v="3"/>
  </r>
  <r>
    <d v="2019-03-10T00:00:00"/>
    <x v="6"/>
    <n v="3"/>
    <n v="183.82"/>
    <n v="0"/>
    <n v="551.46"/>
    <x v="1"/>
    <n v="2019"/>
    <n v="3"/>
    <x v="3"/>
  </r>
  <r>
    <d v="2019-04-10T00:00:00"/>
    <x v="3"/>
    <n v="2"/>
    <n v="121.34"/>
    <n v="0"/>
    <n v="242.68"/>
    <x v="1"/>
    <n v="2019"/>
    <n v="4"/>
    <x v="4"/>
  </r>
  <r>
    <d v="2019-04-10T00:00:00"/>
    <x v="7"/>
    <n v="3"/>
    <n v="131.05000000000001"/>
    <n v="0"/>
    <n v="393.15000000000003"/>
    <x v="1"/>
    <n v="2019"/>
    <n v="4"/>
    <x v="4"/>
  </r>
  <r>
    <d v="2019-05-10T00:00:00"/>
    <x v="1"/>
    <n v="100"/>
    <n v="9.4499999999999993"/>
    <n v="10"/>
    <n v="954.99999999999989"/>
    <x v="0"/>
    <n v="2019"/>
    <n v="5"/>
    <x v="5"/>
  </r>
  <r>
    <d v="2019-05-10T00:00:00"/>
    <x v="8"/>
    <n v="100"/>
    <n v="7.56"/>
    <n v="10"/>
    <n v="766"/>
    <x v="0"/>
    <n v="2019"/>
    <n v="5"/>
    <x v="5"/>
  </r>
  <r>
    <d v="2019-06-10T00:00:00"/>
    <x v="4"/>
    <n v="5"/>
    <n v="135.81"/>
    <n v="0"/>
    <n v="679.05"/>
    <x v="1"/>
    <n v="2019"/>
    <n v="6"/>
    <x v="6"/>
  </r>
  <r>
    <d v="2019-06-10T00:00:00"/>
    <x v="2"/>
    <n v="100"/>
    <n v="15.81"/>
    <n v="10"/>
    <n v="1591"/>
    <x v="0"/>
    <n v="2019"/>
    <n v="6"/>
    <x v="6"/>
  </r>
  <r>
    <d v="2019-07-10T00:00:00"/>
    <x v="5"/>
    <n v="100"/>
    <n v="20.32"/>
    <n v="10"/>
    <n v="2042"/>
    <x v="0"/>
    <n v="2019"/>
    <n v="7"/>
    <x v="7"/>
  </r>
  <r>
    <d v="2019-07-10T00:00:00"/>
    <x v="6"/>
    <n v="1"/>
    <n v="191.74"/>
    <n v="0"/>
    <n v="191.74"/>
    <x v="1"/>
    <n v="2019"/>
    <n v="7"/>
    <x v="7"/>
  </r>
  <r>
    <d v="2019-08-10T00:00:00"/>
    <x v="3"/>
    <n v="7"/>
    <n v="138.94"/>
    <n v="0"/>
    <n v="972.57999999999993"/>
    <x v="1"/>
    <n v="2019"/>
    <n v="8"/>
    <x v="8"/>
  </r>
  <r>
    <d v="2019-08-10T00:00:00"/>
    <x v="2"/>
    <n v="100"/>
    <n v="17.559999999999999"/>
    <n v="10"/>
    <n v="1765.9999999999998"/>
    <x v="0"/>
    <n v="2019"/>
    <n v="8"/>
    <x v="8"/>
  </r>
  <r>
    <d v="2019-09-10T00:00:00"/>
    <x v="1"/>
    <n v="100"/>
    <n v="10.119999999999999"/>
    <n v="10"/>
    <n v="1021.9999999999999"/>
    <x v="0"/>
    <n v="2019"/>
    <n v="9"/>
    <x v="9"/>
  </r>
  <r>
    <d v="2019-09-10T00:00:00"/>
    <x v="4"/>
    <n v="2"/>
    <n v="134.1"/>
    <n v="0"/>
    <n v="268.2"/>
    <x v="1"/>
    <n v="2019"/>
    <n v="9"/>
    <x v="9"/>
  </r>
  <r>
    <d v="2019-10-10T00:00:00"/>
    <x v="2"/>
    <n v="100"/>
    <n v="16.03"/>
    <n v="10"/>
    <n v="1613"/>
    <x v="0"/>
    <n v="2019"/>
    <n v="10"/>
    <x v="10"/>
  </r>
  <r>
    <d v="2019-10-10T00:00:00"/>
    <x v="6"/>
    <n v="5"/>
    <n v="194.23"/>
    <n v="0"/>
    <n v="971.15"/>
    <x v="1"/>
    <n v="2019"/>
    <n v="10"/>
    <x v="10"/>
  </r>
  <r>
    <d v="2019-11-10T00:00:00"/>
    <x v="0"/>
    <n v="100"/>
    <n v="9.5299999999999994"/>
    <n v="10"/>
    <n v="962.99999999999989"/>
    <x v="0"/>
    <n v="2019"/>
    <n v="11"/>
    <x v="11"/>
  </r>
  <r>
    <d v="2019-11-10T00:00:00"/>
    <x v="3"/>
    <n v="3"/>
    <n v="143.55000000000001"/>
    <n v="0"/>
    <n v="430.65000000000003"/>
    <x v="1"/>
    <n v="2019"/>
    <n v="11"/>
    <x v="11"/>
  </r>
  <r>
    <d v="2019-12-10T00:00:00"/>
    <x v="7"/>
    <n v="5"/>
    <n v="143.22999999999999"/>
    <n v="0"/>
    <n v="716.15"/>
    <x v="1"/>
    <n v="2019"/>
    <n v="12"/>
    <x v="12"/>
  </r>
  <r>
    <d v="2019-12-10T00:00:00"/>
    <x v="8"/>
    <n v="100"/>
    <n v="8.59"/>
    <n v="10"/>
    <n v="869"/>
    <x v="0"/>
    <n v="2019"/>
    <n v="12"/>
    <x v="12"/>
  </r>
  <r>
    <d v="2020-01-10T00:00:00"/>
    <x v="7"/>
    <n v="10"/>
    <n v="152.6"/>
    <n v="0"/>
    <n v="1526"/>
    <x v="1"/>
    <n v="2020"/>
    <n v="1"/>
    <x v="13"/>
  </r>
  <r>
    <d v="2020-01-10T00:00:00"/>
    <x v="4"/>
    <n v="4"/>
    <n v="138.44999999999999"/>
    <n v="0"/>
    <n v="553.79999999999995"/>
    <x v="1"/>
    <n v="2020"/>
    <n v="1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50"/>
    <x v="6"/>
    <n v="100"/>
    <n v="0"/>
    <n v="0"/>
    <n v="0"/>
    <d v="2019-02-15T00:00:00"/>
    <x v="2"/>
    <x v="2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7"/>
    <n v="100"/>
    <n v="166"/>
    <n v="2.34"/>
    <n v="163.66"/>
    <d v="2019-03-15T00:00:00"/>
    <x v="3"/>
    <x v="0"/>
  </r>
  <r>
    <n v="14"/>
    <x v="1"/>
    <n v="100"/>
    <n v="37.44"/>
    <n v="0"/>
    <n v="37.44"/>
    <d v="2019-03-17T00:00:00"/>
    <x v="3"/>
    <x v="1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8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7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9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8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8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A4A37-C70D-4BA3-ADD3-CEFFCA8ADD64}" name="Tabela dinâmica2" cacheId="4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N16" firstHeaderRow="1" firstDataRow="2" firstDataCol="1"/>
  <pivotFields count="9">
    <pivotField showAll="0"/>
    <pivotField axis="axisRow" showAll="0">
      <items count="11">
        <item x="9"/>
        <item x="7"/>
        <item x="1"/>
        <item x="6"/>
        <item x="2"/>
        <item x="3"/>
        <item x="0"/>
        <item x="4"/>
        <item x="5"/>
        <item x="8"/>
        <item t="default"/>
      </items>
    </pivotField>
    <pivotField showAll="0"/>
    <pivotField numFmtId="164" showAll="0"/>
    <pivotField numFmtId="164" showAll="0"/>
    <pivotField dataField="1" numFmtId="164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h="1" x="2"/>
        <item t="default"/>
      </items>
    </pivotField>
  </pivotFields>
  <rowFields count="2">
    <field x="8"/>
    <field x="1"/>
  </rowFields>
  <rowItems count="12">
    <i>
      <x/>
    </i>
    <i r="1">
      <x/>
    </i>
    <i r="1">
      <x v="1"/>
    </i>
    <i r="1">
      <x v="6"/>
    </i>
    <i r="1">
      <x v="8"/>
    </i>
    <i r="1">
      <x v="9"/>
    </i>
    <i>
      <x v="1"/>
    </i>
    <i r="1">
      <x v="2"/>
    </i>
    <i r="1">
      <x v="4"/>
    </i>
    <i r="1">
      <x v="5"/>
    </i>
    <i r="1">
      <x v="7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íquido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B4C2C5-A89D-4AB7-A89F-B2FD73DFBF44}" name="Tabela dinâmica1" cacheId="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showAll="0"/>
    <pivotField numFmtId="164" showAll="0"/>
    <pivotField numFmtId="164" showAll="0"/>
    <pivotField dataField="1" numFmtId="16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9DC9272-A754-4CCB-9EB8-E8B29B612CB6}" autoFormatId="16" applyNumberFormats="0" applyBorderFormats="0" applyFontFormats="0" applyPatternFormats="0" applyAlignmentFormats="0" applyWidthHeightFormats="0">
  <queryTableRefresh nextId="4">
    <queryTableFields count="3">
      <queryTableField id="1" name="Ativo" tableColumnId="1"/>
      <queryTableField id="2" name="Tipo" tableColumnId="2"/>
      <queryTableField id="3" name="Cotação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D195DF-786C-43B5-A8B7-452FC16B0A0A}" name="TbCarteira" displayName="TbCarteira" ref="A1:I11" totalsRowCount="1" headerRowDxfId="57">
  <autoFilter ref="A1:I10" xr:uid="{18D195DF-786C-43B5-A8B7-452FC16B0A0A}"/>
  <tableColumns count="9">
    <tableColumn id="1" xr3:uid="{DAFA18AB-AAD6-4487-B330-97D48FA01954}" name="Ativo" totalsRowLabel="Total"/>
    <tableColumn id="2" xr3:uid="{A925214F-8900-4C0E-8B27-83C7AE74306D}" name="Tipo" dataDxfId="56">
      <calculatedColumnFormula>VLOOKUP(TbCarteira[[#This Row],[Ativo]],TbAtivos[],2,FALSE)</calculatedColumnFormula>
    </tableColumn>
    <tableColumn id="3" xr3:uid="{E1FECCB1-2744-48CA-A684-22BB7D6EA2BA}" name="Cotação" dataDxfId="55">
      <calculatedColumnFormula>VLOOKUP(TbCarteira[[#This Row],[Ativo]],TbAtivos[],3,FALSE)</calculatedColumnFormula>
    </tableColumn>
    <tableColumn id="4" xr3:uid="{CE384B62-F8D6-43D9-A86E-C6236625C89C}" name="Total Aportado" totalsRowFunction="sum" totalsRowDxfId="54" dataCellStyle="Moeda">
      <calculatedColumnFormula>SUMIFS(TbAportes[Total],TbAportes[Ativo],TbCarteira[[#This Row],[Ativo]],TbAportes[Data],"&lt;="&amp;IF($L$1="",TODAY(),$L$1))</calculatedColumnFormula>
    </tableColumn>
    <tableColumn id="5" xr3:uid="{2399DE7E-BF75-4518-A040-9FCBA26F14D3}" name="Total qte" dataDxfId="53">
      <calculatedColumnFormula>SUMIFS(TbAportes[Qte],TbAportes[Ativo],TbCarteira[[#This Row],[Ativo]],TbAportes[Data],"&lt;="&amp;IF($L$1="",TODAY(),$L$1))</calculatedColumnFormula>
    </tableColumn>
    <tableColumn id="6" xr3:uid="{D42AE0F4-55E6-486A-B767-2242B303E1E0}" name="PM" dataCellStyle="Moeda" totalsRowCellStyle="Moeda">
      <calculatedColumnFormula>TbCarteira[[#This Row],[Total Aportado]]/TbCarteira[[#This Row],[Total qte]]</calculatedColumnFormula>
    </tableColumn>
    <tableColumn id="7" xr3:uid="{F0C588F1-9B17-4CEF-A419-57867A945ED7}" name="Total Atual" totalsRowFunction="sum" dataDxfId="52" totalsRowDxfId="51" dataCellStyle="Moeda">
      <calculatedColumnFormula>TbCarteira[[#This Row],[Cotação]]*TbCarteira[[#This Row],[Total qte]]</calculatedColumnFormula>
    </tableColumn>
    <tableColumn id="8" xr3:uid="{D87EAE54-3C46-4CC6-9929-89FE4457D6D6}" name="Valorização" totalsRowFunction="sum" dataDxfId="50" totalsRowDxfId="49" dataCellStyle="Moeda">
      <calculatedColumnFormula>TbCarteira[[#This Row],[Total Atual]]-TbCarteira[[#This Row],[Total Aportado]]</calculatedColumnFormula>
    </tableColumn>
    <tableColumn id="9" xr3:uid="{C86A88AE-70D3-467A-AEA2-50A673E0CCD8}" name="Valorização %" dataDxfId="48" totalsRowDxfId="47">
      <calculatedColumnFormula>TbCarteira[[#This Row],[Total Atual]]/TbCarteira[[#This Row],[Total Aportado]] - 1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DC7DE0-7319-4E63-8A71-A6436DC0B71F}" name="TbCarteiraAcoes" displayName="TbCarteiraAcoes" ref="A1:I7" totalsRowCount="1" headerRowDxfId="25">
  <autoFilter ref="A1:I6" xr:uid="{18D195DF-786C-43B5-A8B7-452FC16B0A0A}"/>
  <sortState xmlns:xlrd2="http://schemas.microsoft.com/office/spreadsheetml/2017/richdata2" ref="A2:I6">
    <sortCondition ref="B1:B6"/>
  </sortState>
  <tableColumns count="9">
    <tableColumn id="1" xr3:uid="{A475249A-F960-4682-947F-E2267638DB26}" name="Ativo" totalsRowLabel="Total"/>
    <tableColumn id="2" xr3:uid="{1E712EA3-B94F-4452-BB49-ECEA8B7FE8ED}" name="Tipo" dataDxfId="24">
      <calculatedColumnFormula>VLOOKUP(TbCarteiraAcoes[[#This Row],[Ativo]],TbAtivos[],2,FALSE)</calculatedColumnFormula>
    </tableColumn>
    <tableColumn id="3" xr3:uid="{C5979FA1-BAA5-4A99-B2F8-675342B10D49}" name="Cotação" dataDxfId="23">
      <calculatedColumnFormula>VLOOKUP(TbCarteiraAcoes[[#This Row],[Ativo]],TbAtivos[],3,FALSE)</calculatedColumnFormula>
    </tableColumn>
    <tableColumn id="4" xr3:uid="{FBAF795F-4800-4B19-B636-9554662F12F7}" name="Total Aportado" totalsRowFunction="sum" totalsRowDxfId="22" dataCellStyle="Moeda">
      <calculatedColumnFormula>SUMIFS(TbAportes[Total],TbAportes[Ativo],TbCarteiraAcoes[[#This Row],[Ativo]],TbAportes[Data],"&lt;="&amp;IF($L$1="",TODAY(),$L$1))</calculatedColumnFormula>
    </tableColumn>
    <tableColumn id="5" xr3:uid="{3790C899-A980-4E3E-9366-A92CA70CE8B1}" name="Total qte" dataDxfId="21">
      <calculatedColumnFormula>SUMIFS(TbAportes[Qte],TbAportes[Ativo],TbCarteiraAcoes[[#This Row],[Ativo]],TbAportes[Data],"&lt;="&amp;IF($L$1="",TODAY(),$L$1))</calculatedColumnFormula>
    </tableColumn>
    <tableColumn id="6" xr3:uid="{23F1675F-82EC-4844-B953-8E83D81682C1}" name="PM" dataCellStyle="Moeda" totalsRowCellStyle="Moeda">
      <calculatedColumnFormula>TbCarteiraAcoes[[#This Row],[Total Aportado]]/TbCarteiraAcoes[[#This Row],[Total qte]]</calculatedColumnFormula>
    </tableColumn>
    <tableColumn id="7" xr3:uid="{004801A3-5CF6-4C66-9650-F2D86B09A225}" name="Total Atual" totalsRowFunction="sum" dataDxfId="19" totalsRowDxfId="20" dataCellStyle="Moeda">
      <calculatedColumnFormula>TbCarteiraAcoes[[#This Row],[Cotação]]*TbCarteiraAcoes[[#This Row],[Total qte]]</calculatedColumnFormula>
    </tableColumn>
    <tableColumn id="8" xr3:uid="{5098A7A6-B1B2-44F6-9D80-642EDCBAE3A8}" name="Valorização" totalsRowFunction="sum" dataDxfId="17" totalsRowDxfId="18" dataCellStyle="Moeda">
      <calculatedColumnFormula>TbCarteiraAcoes[[#This Row],[Total Atual]]-TbCarteiraAcoes[[#This Row],[Total Aportado]]</calculatedColumnFormula>
    </tableColumn>
    <tableColumn id="9" xr3:uid="{6C467C42-3727-4936-88F7-E400E0D9548B}" name="Valorização %" dataDxfId="15" totalsRowDxfId="16">
      <calculatedColumnFormula>TbCarteiraAcoes[[#This Row],[Total Atual]]/TbCarteiraAcoes[[#This Row],[Total Aportado]] - 1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2B2210-193D-4315-83EF-6B3525B6CDDF}" name="TbCarteiraFII" displayName="TbCarteiraFII" ref="A1:I6" totalsRowCount="1" headerRowDxfId="14">
  <autoFilter ref="A1:I5" xr:uid="{18D195DF-786C-43B5-A8B7-452FC16B0A0A}"/>
  <sortState xmlns:xlrd2="http://schemas.microsoft.com/office/spreadsheetml/2017/richdata2" ref="A2:I5">
    <sortCondition ref="B1:B5"/>
  </sortState>
  <tableColumns count="9">
    <tableColumn id="1" xr3:uid="{838297AF-C884-4CEF-9174-6FF317E117EB}" name="Ativo" totalsRowLabel="Total"/>
    <tableColumn id="2" xr3:uid="{AA2973A7-6EF2-4FB4-9673-BB415791D5D8}" name="Tipo" dataDxfId="13">
      <calculatedColumnFormula>VLOOKUP(TbCarteiraFII[[#This Row],[Ativo]],TbAtivos[],2,FALSE)</calculatedColumnFormula>
    </tableColumn>
    <tableColumn id="3" xr3:uid="{FD2BA601-5D41-4F47-A1B4-911DBCC43B07}" name="Cotação" dataDxfId="12">
      <calculatedColumnFormula>VLOOKUP(TbCarteiraFII[[#This Row],[Ativo]],TbAtivos[],3,FALSE)</calculatedColumnFormula>
    </tableColumn>
    <tableColumn id="4" xr3:uid="{10DFFE8C-8B94-45E6-8586-5CDF91B665D0}" name="Total Aportado" totalsRowFunction="sum" totalsRowDxfId="11" dataCellStyle="Moeda">
      <calculatedColumnFormula>SUMIFS(TbAportes[Total],TbAportes[Ativo],TbCarteiraFII[[#This Row],[Ativo]],TbAportes[Data],"&lt;="&amp;IF($L$1="",TODAY(),$L$1))</calculatedColumnFormula>
    </tableColumn>
    <tableColumn id="5" xr3:uid="{33A59C09-3EC1-4CAB-8103-DEAA0596F08A}" name="Total qte" dataDxfId="10">
      <calculatedColumnFormula>SUMIFS(TbAportes[Qte],TbAportes[Ativo],TbCarteiraFII[[#This Row],[Ativo]],TbAportes[Data],"&lt;="&amp;IF($L$1="",TODAY(),$L$1))</calculatedColumnFormula>
    </tableColumn>
    <tableColumn id="6" xr3:uid="{37C55116-1E8B-46FA-848B-EFD86A1ADD14}" name="PM" dataCellStyle="Moeda" totalsRowCellStyle="Moeda">
      <calculatedColumnFormula>TbCarteiraFII[[#This Row],[Total Aportado]]/TbCarteiraFII[[#This Row],[Total qte]]</calculatedColumnFormula>
    </tableColumn>
    <tableColumn id="7" xr3:uid="{2ED45C7A-2D67-46C4-9DFC-068992F44490}" name="Total Atual" totalsRowFunction="sum" dataDxfId="8" totalsRowDxfId="9" dataCellStyle="Moeda">
      <calculatedColumnFormula>TbCarteiraFII[[#This Row],[Cotação]]*TbCarteiraFII[[#This Row],[Total qte]]</calculatedColumnFormula>
    </tableColumn>
    <tableColumn id="8" xr3:uid="{EFE2651D-1E5D-4A40-A226-78EB6C057D79}" name="Valorização" totalsRowFunction="sum" dataDxfId="6" totalsRowDxfId="7" dataCellStyle="Moeda">
      <calculatedColumnFormula>TbCarteiraFII[[#This Row],[Total Atual]]-TbCarteiraFII[[#This Row],[Total Aportado]]</calculatedColumnFormula>
    </tableColumn>
    <tableColumn id="9" xr3:uid="{6C2A1943-0A5E-44AD-91B7-247D8FCAB27F}" name="Valorização %" dataDxfId="4" totalsRowDxfId="5">
      <calculatedColumnFormula>TbCarteiraFII[[#This Row],[Total Atual]]/TbCarteiraFII[[#This Row],[Total Aportado]] - 1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DA803-F35A-4200-BFB6-D8A67BA8B15B}" name="TbAtivos" displayName="TbAtivos" ref="A1:C10" tableType="queryTable" totalsRowShown="0">
  <autoFilter ref="A1:C10" xr:uid="{0FDDA803-F35A-4200-BFB6-D8A67BA8B15B}"/>
  <tableColumns count="3">
    <tableColumn id="1" xr3:uid="{46CE694D-88F0-4EE2-A51D-B7B981153833}" uniqueName="1" name="Ativo" queryTableFieldId="1" dataDxfId="46"/>
    <tableColumn id="2" xr3:uid="{935A5575-0CA6-4BBF-9BF9-8001F9A8C2A7}" uniqueName="2" name="Tipo" queryTableFieldId="2" dataDxfId="45"/>
    <tableColumn id="3" xr3:uid="{C57511AD-79CD-4EFA-8C64-B3C1101EA144}" uniqueName="3" name="Cotação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74FF1-060D-4996-B58B-F19651CB13D0}" name="TbAportes" displayName="TbAportes" ref="A1:J29" totalsRowShown="0" headerRowDxfId="44" dataDxfId="43">
  <autoFilter ref="A1:J29" xr:uid="{7D374FF1-060D-4996-B58B-F19651CB13D0}"/>
  <tableColumns count="10">
    <tableColumn id="1" xr3:uid="{47E37827-B551-4F95-80C1-5FDD77BCF918}" name="Data" dataDxfId="42"/>
    <tableColumn id="2" xr3:uid="{CD368853-F3B2-4AD2-B740-A2ED0E64E9E6}" name="Ativo" dataDxfId="41"/>
    <tableColumn id="3" xr3:uid="{057F4E22-328F-4E08-8060-97AC317D8188}" name="Qte" dataDxfId="40"/>
    <tableColumn id="4" xr3:uid="{4F24BFBF-E82F-49B4-BDE7-E4C695CA8303}" name="Valor Unitário" dataDxfId="39"/>
    <tableColumn id="5" xr3:uid="{89EE8C58-25D0-4838-A94D-1650D07D8563}" name="Custo" dataDxfId="38"/>
    <tableColumn id="6" xr3:uid="{8606D1DB-7813-42D6-8998-46D14F7972A4}" name="Total" dataDxfId="37">
      <calculatedColumnFormula>TbAportes[[#This Row],[Valor Unitário]]*TbAportes[[#This Row],[Qte]]+TbAportes[[#This Row],[Custo]]</calculatedColumnFormula>
    </tableColumn>
    <tableColumn id="7" xr3:uid="{81EC8561-4B38-4A91-87AE-551025F1C51B}" name="Tipo" dataDxfId="36">
      <calculatedColumnFormula>VLOOKUP(TbAportes[[#This Row],[Ativo]],TbAtivos[],2,FALSE)</calculatedColumnFormula>
    </tableColumn>
    <tableColumn id="8" xr3:uid="{086EFEBA-158B-4BB2-A7EB-89F2B059DFBA}" name="Ano" dataDxfId="35">
      <calculatedColumnFormula>YEAR(TbAportes[[#This Row],[Data]])</calculatedColumnFormula>
    </tableColumn>
    <tableColumn id="9" xr3:uid="{FB75986B-DC02-45FB-A2D4-9FD8A8DD6C29}" name="Mês" dataDxfId="34">
      <calculatedColumnFormula>MONTH(TbAportes[[#This Row],[Data]])</calculatedColumnFormula>
    </tableColumn>
    <tableColumn id="10" xr3:uid="{FE0E7722-C96C-48AA-B23D-F84A510B28F6}" name="Ano/Mês" dataDxfId="33">
      <calculatedColumnFormula>CONCATENATE(TbAportes[[#This Row],[Ano]],"/",IF(TbAportes[[#This Row],[Mês]]&lt;10,0,""),TbAportes[[#This Row],[Mês]])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B14255-9246-4FDB-9B50-CD70D1FCBFDA}" name="TbProventos" displayName="TbProventos" ref="A1:I72" totalsRowShown="0" headerRowDxfId="32">
  <autoFilter ref="A1:I72" xr:uid="{2FB14255-9246-4FDB-9B50-CD70D1FCBFDA}"/>
  <tableColumns count="9">
    <tableColumn id="1" xr3:uid="{7D56C020-1455-40F6-A9A4-758B226DA98F}" name="Cod"/>
    <tableColumn id="2" xr3:uid="{B91871A1-E9A1-4520-A664-78C6DA4DB8D1}" name="Ativo"/>
    <tableColumn id="3" xr3:uid="{F68780A7-B7FF-48D9-B909-92C139289DD0}" name="Qte"/>
    <tableColumn id="4" xr3:uid="{BF0F6061-F735-40C1-A823-0360769B3066}" name="Valor Bruto" dataDxfId="31"/>
    <tableColumn id="5" xr3:uid="{1DB119E5-A6AE-40D4-BFDF-FB0DCEE6EB33}" name="IR" dataDxfId="30"/>
    <tableColumn id="6" xr3:uid="{F1352C11-6831-45A5-A7BB-6D6B9FAD0F37}" name="Valor Líquido" dataDxfId="29"/>
    <tableColumn id="7" xr3:uid="{AC9A6446-C7ED-4A40-9666-0DA7058F311C}" name="Data" dataDxfId="28"/>
    <tableColumn id="8" xr3:uid="{FC1C52D9-1C08-4ECD-A5D9-DE29EE788EC8}" name="Ano/Mês" dataDxfId="27">
      <calculatedColumnFormula>CONCATENATE(YEAR(TbProventos[[#This Row],[Data]]),"/",IF(MONTH(TbProventos[[#This Row],[Data]])&lt;10,0,""),MONTH(TbProventos[[#This Row],[Data]]))</calculatedColumnFormula>
    </tableColumn>
    <tableColumn id="9" xr3:uid="{B649A908-5C40-414F-9963-863AD101CD27}" name="Tipo" dataDxfId="26">
      <calculatedColumnFormula>VLOOKUP(TbProventos[[#This Row],[Ativo]],TbAtivos[[Ativo]:[Tipo]],2,FALSE)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5-02-01T23:30:56.63" personId="{EC3C4796-C69C-4B59-96EA-DF9042ADF62A}" id="{BD81B69E-2A32-4F4B-8A55-6B3FBEB122F5}">
    <text xml:space="preserve">Caso deseje Alterar a data,altere em ReCarteira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5-01-31T11:14:49.12" personId="{EC3C4796-C69C-4B59-96EA-DF9042ADF62A}" id="{922AD86B-C9FD-4B6B-87AD-8A81F7C01CA9}">
    <text>Deixe em branco para a data de hoje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5-01-31T11:14:49.12" personId="{EC3C4796-C69C-4B59-96EA-DF9042ADF62A}" id="{BC2E6B8C-480D-4D03-B382-4547BBACC5E1}">
    <text>Deixe em branco para a data de hoje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1" dT="2025-01-31T11:14:49.12" personId="{EC3C4796-C69C-4B59-96EA-DF9042ADF62A}" id="{4B983E3F-7388-4037-82D7-8FCF7D4B9EBC}">
    <text>Deixe em branco para a data de hoje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32CF-9CB2-44B7-BEF2-067D6264603E}">
  <dimension ref="A1:I15"/>
  <sheetViews>
    <sheetView showGridLines="0" workbookViewId="0">
      <selection activeCell="E2" sqref="E2"/>
    </sheetView>
  </sheetViews>
  <sheetFormatPr defaultRowHeight="14.4" x14ac:dyDescent="0.3"/>
  <cols>
    <col min="1" max="1" width="2.77734375" customWidth="1"/>
    <col min="2" max="2" width="37.21875" customWidth="1"/>
    <col min="3" max="3" width="6.5546875" customWidth="1"/>
    <col min="4" max="4" width="15.5546875" customWidth="1"/>
    <col min="5" max="5" width="22.6640625" customWidth="1"/>
    <col min="6" max="6" width="49.77734375" customWidth="1"/>
    <col min="7" max="7" width="33.77734375" customWidth="1"/>
    <col min="8" max="8" width="34.77734375" customWidth="1"/>
  </cols>
  <sheetData>
    <row r="1" spans="1:9" x14ac:dyDescent="0.3">
      <c r="A1" s="19"/>
      <c r="B1" s="19"/>
      <c r="C1" s="19"/>
      <c r="D1" s="19"/>
      <c r="E1" s="19"/>
      <c r="F1" s="19"/>
      <c r="G1" s="19"/>
      <c r="H1" s="19"/>
      <c r="I1" s="19"/>
    </row>
    <row r="2" spans="1:9" ht="28.8" customHeight="1" x14ac:dyDescent="0.65">
      <c r="A2" s="19" t="s">
        <v>53</v>
      </c>
      <c r="B2" s="19"/>
      <c r="C2" s="19"/>
      <c r="D2" s="21" t="s">
        <v>55</v>
      </c>
      <c r="E2" s="38">
        <v>15000</v>
      </c>
      <c r="F2" s="19"/>
      <c r="G2" s="36" t="s">
        <v>56</v>
      </c>
      <c r="H2" s="37">
        <f ca="1">IF(ReCarteira!L1="",TODAY(),ReCarteira!L1)</f>
        <v>45689</v>
      </c>
      <c r="I2" s="23"/>
    </row>
    <row r="3" spans="1:9" ht="15" thickBot="1" x14ac:dyDescent="0.35">
      <c r="A3" s="20"/>
      <c r="B3" s="20"/>
      <c r="C3" s="20"/>
      <c r="D3" s="20"/>
      <c r="E3" s="26"/>
      <c r="F3" s="20"/>
      <c r="G3" s="20"/>
      <c r="H3" s="20"/>
      <c r="I3" s="20"/>
    </row>
    <row r="5" spans="1:9" ht="15" thickBot="1" x14ac:dyDescent="0.35">
      <c r="B5" s="22" t="s">
        <v>54</v>
      </c>
    </row>
    <row r="6" spans="1:9" ht="39" customHeight="1" thickBot="1" x14ac:dyDescent="0.7">
      <c r="B6" s="30">
        <f ca="1">DashBoardAux!C13</f>
        <v>33707.380000000005</v>
      </c>
    </row>
    <row r="8" spans="1:9" ht="15" thickBot="1" x14ac:dyDescent="0.35">
      <c r="B8" s="22" t="s">
        <v>46</v>
      </c>
    </row>
    <row r="9" spans="1:9" ht="39" customHeight="1" thickBot="1" x14ac:dyDescent="0.7">
      <c r="B9" s="30">
        <f ca="1">DashBoardAux!C12</f>
        <v>26791.03</v>
      </c>
    </row>
    <row r="11" spans="1:9" ht="15" thickBot="1" x14ac:dyDescent="0.35">
      <c r="B11" t="s">
        <v>50</v>
      </c>
    </row>
    <row r="12" spans="1:9" ht="39" customHeight="1" thickBot="1" x14ac:dyDescent="0.7">
      <c r="B12" s="30">
        <f ca="1">DashBoardAux!C14</f>
        <v>6916.35</v>
      </c>
    </row>
    <row r="14" spans="1:9" ht="15" thickBot="1" x14ac:dyDescent="0.35">
      <c r="B14" t="s">
        <v>51</v>
      </c>
    </row>
    <row r="15" spans="1:9" ht="39" customHeight="1" thickBot="1" x14ac:dyDescent="0.7">
      <c r="B15" s="31">
        <f ca="1">DashBoardAux!C15</f>
        <v>0.25815916745268863</v>
      </c>
    </row>
  </sheetData>
  <sheetProtection sheet="1" objects="1" scenarios="1"/>
  <conditionalFormatting sqref="B12 B15">
    <cfRule type="cellIs" dxfId="3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1</xdr:col>
                    <xdr:colOff>7620</xdr:colOff>
                    <xdr:row>1</xdr:row>
                    <xdr:rowOff>22860</xdr:rowOff>
                  </from>
                  <to>
                    <xdr:col>2</xdr:col>
                    <xdr:colOff>7620</xdr:colOff>
                    <xdr:row>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6C7B-AFA6-4F47-AE9B-DB8AAB7FFFDE}">
  <dimension ref="B2:AE26"/>
  <sheetViews>
    <sheetView topLeftCell="K1" workbookViewId="0">
      <selection activeCell="O17" sqref="O17:P26"/>
    </sheetView>
  </sheetViews>
  <sheetFormatPr defaultRowHeight="14.4" x14ac:dyDescent="0.3"/>
  <cols>
    <col min="1" max="1" width="2.33203125" customWidth="1"/>
    <col min="2" max="2" width="18.77734375" bestFit="1" customWidth="1"/>
    <col min="3" max="3" width="26.88671875" customWidth="1"/>
    <col min="4" max="4" width="4.77734375" customWidth="1"/>
    <col min="5" max="5" width="7" customWidth="1"/>
    <col min="6" max="6" width="13.44140625" bestFit="1" customWidth="1"/>
    <col min="7" max="7" width="12.77734375" customWidth="1"/>
    <col min="8" max="8" width="12.88671875" bestFit="1" customWidth="1"/>
    <col min="9" max="9" width="11.88671875" bestFit="1" customWidth="1"/>
    <col min="10" max="10" width="4.88671875" customWidth="1"/>
    <col min="11" max="11" width="14.109375" customWidth="1"/>
    <col min="12" max="12" width="19" customWidth="1"/>
    <col min="13" max="13" width="4.77734375" customWidth="1"/>
    <col min="16" max="16" width="12.44140625" bestFit="1" customWidth="1"/>
    <col min="17" max="17" width="4.109375" customWidth="1"/>
    <col min="20" max="20" width="12.44140625" bestFit="1" customWidth="1"/>
    <col min="22" max="22" width="4.33203125" customWidth="1"/>
    <col min="25" max="25" width="12.44140625" bestFit="1" customWidth="1"/>
    <col min="27" max="27" width="3.109375" customWidth="1"/>
    <col min="30" max="30" width="22.33203125" bestFit="1" customWidth="1"/>
  </cols>
  <sheetData>
    <row r="2" spans="2:31" x14ac:dyDescent="0.3">
      <c r="B2" s="34" t="s">
        <v>57</v>
      </c>
      <c r="C2" s="34"/>
      <c r="E2" s="34" t="s">
        <v>62</v>
      </c>
      <c r="F2" s="34"/>
      <c r="G2" s="34"/>
      <c r="H2" s="34"/>
      <c r="I2" s="34"/>
      <c r="K2" s="34" t="s">
        <v>64</v>
      </c>
      <c r="L2" s="34"/>
      <c r="N2" s="33" t="s">
        <v>67</v>
      </c>
      <c r="O2" s="33"/>
      <c r="P2" s="33"/>
      <c r="R2" s="33" t="s">
        <v>70</v>
      </c>
      <c r="S2" s="33"/>
      <c r="T2" s="33"/>
      <c r="U2" s="33"/>
      <c r="W2" s="33" t="s">
        <v>72</v>
      </c>
      <c r="X2" s="33"/>
      <c r="Y2" s="33"/>
      <c r="Z2" s="33"/>
      <c r="AB2" s="33" t="s">
        <v>73</v>
      </c>
      <c r="AC2" s="33"/>
      <c r="AD2" s="33"/>
      <c r="AE2" s="33"/>
    </row>
    <row r="3" spans="2:31" x14ac:dyDescent="0.3">
      <c r="B3" s="25">
        <v>1</v>
      </c>
      <c r="C3" s="24" t="s">
        <v>58</v>
      </c>
      <c r="E3" s="25"/>
      <c r="F3" s="25"/>
      <c r="G3" s="25" t="s">
        <v>58</v>
      </c>
      <c r="H3" s="25" t="s">
        <v>59</v>
      </c>
      <c r="I3" s="25" t="s">
        <v>9</v>
      </c>
      <c r="K3" s="25" t="s">
        <v>59</v>
      </c>
      <c r="L3" s="27">
        <f ca="1">H5</f>
        <v>25286</v>
      </c>
      <c r="N3" s="25" t="s">
        <v>68</v>
      </c>
      <c r="O3" s="25" t="s">
        <v>0</v>
      </c>
      <c r="P3" s="25" t="s">
        <v>69</v>
      </c>
      <c r="R3" s="25" t="s">
        <v>68</v>
      </c>
      <c r="S3" s="25" t="s">
        <v>0</v>
      </c>
      <c r="T3" s="25" t="s">
        <v>69</v>
      </c>
      <c r="U3" s="25" t="s">
        <v>71</v>
      </c>
      <c r="W3" s="25" t="s">
        <v>68</v>
      </c>
      <c r="X3" s="25" t="s">
        <v>0</v>
      </c>
      <c r="Y3" s="25" t="s">
        <v>69</v>
      </c>
      <c r="Z3" s="25" t="s">
        <v>71</v>
      </c>
      <c r="AB3" s="25" t="s">
        <v>68</v>
      </c>
      <c r="AC3" s="25" t="s">
        <v>0</v>
      </c>
      <c r="AD3" s="25" t="s">
        <v>69</v>
      </c>
      <c r="AE3" s="25" t="s">
        <v>71</v>
      </c>
    </row>
    <row r="4" spans="2:31" x14ac:dyDescent="0.3">
      <c r="B4" s="25">
        <v>2</v>
      </c>
      <c r="C4" s="24" t="s">
        <v>59</v>
      </c>
      <c r="E4" s="25">
        <v>1</v>
      </c>
      <c r="F4" s="25" t="s">
        <v>46</v>
      </c>
      <c r="G4" s="27">
        <f ca="1">SUM(TbCarteira[Total Aportado])</f>
        <v>26791.03</v>
      </c>
      <c r="H4" s="29">
        <f ca="1">SUMIF(TbCarteira[Tipo],"EMPRESA",TbCarteira[Total Aportado])</f>
        <v>17598</v>
      </c>
      <c r="I4" s="29">
        <f ca="1">SUMIF(TbCarteira[Tipo],"FII",TbCarteira[Total Aportado])</f>
        <v>9193.0299999999988</v>
      </c>
      <c r="K4" s="25" t="s">
        <v>9</v>
      </c>
      <c r="L4" s="27">
        <f ca="1">I5</f>
        <v>8421.380000000001</v>
      </c>
      <c r="N4" s="24">
        <v>10</v>
      </c>
      <c r="O4" s="24" t="str">
        <f ca="1">IF($C$8=1,S4,IF($C$8=2,X4,AC4))</f>
        <v>-</v>
      </c>
      <c r="P4" s="24">
        <f ca="1">IF($C$8=1,T4,IF($C$8=2,Y4,AD4))</f>
        <v>0</v>
      </c>
      <c r="R4" s="24">
        <v>10</v>
      </c>
      <c r="S4" s="32" t="str" cm="1">
        <f t="array" aca="1" ref="S4" ca="1">IF(ISNA(INDEX(TbCarteira[Ativo],U4,1)),"-",INDEX(TbCarteira[Ativo],U4,1))</f>
        <v>-</v>
      </c>
      <c r="T4" s="24">
        <f ca="1">IF(ISNUMBER(LARGE(TbCarteira[Total Atual],R4)),LARGE(TbCarteira[Total Atual],R4),0)</f>
        <v>0</v>
      </c>
      <c r="U4" s="24" t="e">
        <f ca="1">MATCH(T4,TbCarteira[Total Atual],0)</f>
        <v>#N/A</v>
      </c>
      <c r="W4" s="24">
        <v>10</v>
      </c>
      <c r="X4" s="32" t="str" cm="1">
        <f t="array" aca="1" ref="X4" ca="1">IF(ISNA(INDEX(TbCarteiraAcoes[Ativo],Z4,1)),"-",INDEX(TbCarteiraAcoes[Ativo],Z4,1))</f>
        <v>-</v>
      </c>
      <c r="Y4" s="24">
        <f ca="1">IF(ISNUMBER(LARGE(TbCarteiraAcoes[Total Atual],W4)),LARGE(TbCarteiraAcoes[Total Atual],W4),0)</f>
        <v>0</v>
      </c>
      <c r="Z4" s="24" t="e">
        <f ca="1">MATCH(Y4,TbCarteiraAcoes[Total Atual],0)</f>
        <v>#N/A</v>
      </c>
      <c r="AB4" s="24">
        <v>10</v>
      </c>
      <c r="AC4" s="32" t="str" cm="1">
        <f t="array" aca="1" ref="AC4" ca="1">IF(ISNA(INDEX(TbCarteiraFII[Ativo],AE4,1)),"-",INDEX(TbCarteiraFII[Ativo],AE4,1))</f>
        <v>-</v>
      </c>
      <c r="AD4" s="24">
        <f ca="1">IF(ISNUMBER(LARGE(TbCarteiraFII[Total Atual],AB4)),LARGE(TbCarteiraFII[Total Atual],AB4),0)</f>
        <v>0</v>
      </c>
      <c r="AE4" s="24" t="e">
        <f ca="1">MATCH(AD4,TbCarteiraFII[Total Atual],0)</f>
        <v>#N/A</v>
      </c>
    </row>
    <row r="5" spans="2:31" x14ac:dyDescent="0.3">
      <c r="B5" s="25">
        <v>3</v>
      </c>
      <c r="C5" s="24" t="s">
        <v>74</v>
      </c>
      <c r="E5" s="25">
        <v>2</v>
      </c>
      <c r="F5" s="25" t="s">
        <v>54</v>
      </c>
      <c r="G5" s="27">
        <f ca="1">SUM(TbCarteira[Total Atual])</f>
        <v>33707.380000000005</v>
      </c>
      <c r="H5" s="29">
        <f ca="1">SUMIF(TbCarteira[Tipo],"EMPRESA",TbCarteira[Total Atual])</f>
        <v>25286</v>
      </c>
      <c r="I5" s="29">
        <f ca="1">SUMIF(TbCarteira[Tipo],"FII",TbCarteira[Total Atual])</f>
        <v>8421.380000000001</v>
      </c>
      <c r="K5" s="25" t="s">
        <v>65</v>
      </c>
      <c r="L5" s="27">
        <f>C9</f>
        <v>15000</v>
      </c>
      <c r="N5" s="24">
        <v>9</v>
      </c>
      <c r="O5" s="24" t="str">
        <f t="shared" ref="O5:O13" ca="1" si="0">IF($C$8=1,S5,IF($C$8=2,X5,AC5))</f>
        <v>HGBS11</v>
      </c>
      <c r="P5" s="24">
        <f t="shared" ref="P5:P13" ca="1" si="1">IF($C$8=1,T5,IF($C$8=2,Y5,AD5))</f>
        <v>1593.18</v>
      </c>
      <c r="R5" s="24">
        <v>9</v>
      </c>
      <c r="S5" s="24" t="str" cm="1">
        <f t="array" aca="1" ref="S5" ca="1">IF(ISNA(INDEX(TbCarteira[Ativo],U5,1)),"-",INDEX(TbCarteira[Ativo],U5,1))</f>
        <v>HGBS11</v>
      </c>
      <c r="T5" s="24">
        <f ca="1">IF(ISNUMBER(LARGE(TbCarteira[Total Atual],R5)),LARGE(TbCarteira[Total Atual],R5),0)</f>
        <v>1593.18</v>
      </c>
      <c r="U5" s="24">
        <f ca="1">MATCH(T5,TbCarteira[Total Atual],0)</f>
        <v>5</v>
      </c>
      <c r="W5" s="24">
        <v>9</v>
      </c>
      <c r="X5" s="32" t="str" cm="1">
        <f t="array" aca="1" ref="X5" ca="1">IF(ISNA(INDEX(TbCarteiraAcoes[Ativo],Z5,1)),"-",INDEX(TbCarteiraAcoes[Ativo],Z5,1))</f>
        <v>-</v>
      </c>
      <c r="Y5" s="24">
        <f ca="1">IF(ISNUMBER(LARGE(TbCarteiraAcoes[Total Atual],W5)),LARGE(TbCarteiraAcoes[Total Atual],W5),0)</f>
        <v>0</v>
      </c>
      <c r="Z5" s="24" t="e">
        <f ca="1">MATCH(Y5,TbCarteiraAcoes[Total Atual],0)</f>
        <v>#N/A</v>
      </c>
      <c r="AB5" s="24">
        <v>9</v>
      </c>
      <c r="AC5" s="32" t="str" cm="1">
        <f t="array" aca="1" ref="AC5" ca="1">IF(ISNA(INDEX(TbCarteiraFII[Ativo],AE5,1)),"-",INDEX(TbCarteiraFII[Ativo],AE5,1))</f>
        <v>-</v>
      </c>
      <c r="AD5" s="24">
        <f ca="1">IF(ISNUMBER(LARGE(TbCarteiraFII[Total Atual],AB5)),LARGE(TbCarteiraFII[Total Atual],AB5),0)</f>
        <v>0</v>
      </c>
      <c r="AE5" s="24" t="e">
        <f ca="1">MATCH(AD5,TbCarteiraFII[Total Atual],0)</f>
        <v>#N/A</v>
      </c>
    </row>
    <row r="6" spans="2:31" x14ac:dyDescent="0.3">
      <c r="E6" s="25">
        <v>3</v>
      </c>
      <c r="F6" s="25" t="s">
        <v>50</v>
      </c>
      <c r="G6" s="27">
        <f ca="1">SUM(TbCarteira[Valorização])</f>
        <v>6916.35</v>
      </c>
      <c r="H6" s="29">
        <f ca="1">H5-H4</f>
        <v>7688</v>
      </c>
      <c r="I6" s="29">
        <f ca="1">I5-I4</f>
        <v>-771.64999999999782</v>
      </c>
      <c r="N6" s="24">
        <v>8</v>
      </c>
      <c r="O6" s="24" t="str">
        <f t="shared" ca="1" si="0"/>
        <v>HGRE11</v>
      </c>
      <c r="P6" s="24">
        <f t="shared" ca="1" si="1"/>
        <v>1881.95</v>
      </c>
      <c r="R6" s="24">
        <v>8</v>
      </c>
      <c r="S6" s="24" t="str" cm="1">
        <f t="array" aca="1" ref="S6" ca="1">IF(ISNA(INDEX(TbCarteira[Ativo],U6,1)),"-",INDEX(TbCarteira[Ativo],U6,1))</f>
        <v>HGRE11</v>
      </c>
      <c r="T6" s="24">
        <f ca="1">IF(ISNUMBER(LARGE(TbCarteira[Total Atual],R6)),LARGE(TbCarteira[Total Atual],R6),0)</f>
        <v>1881.95</v>
      </c>
      <c r="U6" s="24">
        <f ca="1">MATCH(T6,TbCarteira[Total Atual],0)</f>
        <v>7</v>
      </c>
      <c r="W6" s="24">
        <v>8</v>
      </c>
      <c r="X6" s="32" t="str" cm="1">
        <f t="array" aca="1" ref="X6" ca="1">IF(ISNA(INDEX(TbCarteiraAcoes[Ativo],Z6,1)),"-",INDEX(TbCarteiraAcoes[Ativo],Z6,1))</f>
        <v>-</v>
      </c>
      <c r="Y6" s="24">
        <f ca="1">IF(ISNUMBER(LARGE(TbCarteiraAcoes[Total Atual],W6)),LARGE(TbCarteiraAcoes[Total Atual],W6),0)</f>
        <v>0</v>
      </c>
      <c r="Z6" s="24" t="e">
        <f ca="1">MATCH(Y6,TbCarteiraAcoes[Total Atual],0)</f>
        <v>#N/A</v>
      </c>
      <c r="AB6" s="24">
        <v>8</v>
      </c>
      <c r="AC6" s="32" t="str" cm="1">
        <f t="array" aca="1" ref="AC6" ca="1">IF(ISNA(INDEX(TbCarteiraFII[Ativo],AE6,1)),"-",INDEX(TbCarteiraFII[Ativo],AE6,1))</f>
        <v>-</v>
      </c>
      <c r="AD6" s="24">
        <f ca="1">IF(ISNUMBER(LARGE(TbCarteiraFII[Total Atual],AB6)),LARGE(TbCarteiraFII[Total Atual],AB6),0)</f>
        <v>0</v>
      </c>
      <c r="AE6" s="24" t="e">
        <f ca="1">MATCH(AD6,TbCarteiraFII[Total Atual],0)</f>
        <v>#N/A</v>
      </c>
    </row>
    <row r="7" spans="2:31" x14ac:dyDescent="0.3">
      <c r="B7" s="34" t="s">
        <v>60</v>
      </c>
      <c r="C7" s="34"/>
      <c r="E7" s="25">
        <v>4</v>
      </c>
      <c r="F7" s="25" t="s">
        <v>51</v>
      </c>
      <c r="G7" s="28">
        <f ca="1">G5/G4 - 1</f>
        <v>0.25815916745268863</v>
      </c>
      <c r="H7" s="28">
        <f ca="1">H5/H4 -1</f>
        <v>0.43686782588930551</v>
      </c>
      <c r="I7" s="28">
        <f ca="1">I5/I4 -1</f>
        <v>-8.3938592607660123E-2</v>
      </c>
      <c r="N7" s="24">
        <v>7</v>
      </c>
      <c r="O7" s="24" t="str">
        <f t="shared" ca="1" si="0"/>
        <v>TAEE4</v>
      </c>
      <c r="P7" s="24">
        <f t="shared" ca="1" si="1"/>
        <v>2256</v>
      </c>
      <c r="R7" s="24">
        <v>7</v>
      </c>
      <c r="S7" s="24" t="str" cm="1">
        <f t="array" aca="1" ref="S7" ca="1">IF(ISNA(INDEX(TbCarteira[Ativo],U7,1)),"-",INDEX(TbCarteira[Ativo],U7,1))</f>
        <v>TAEE4</v>
      </c>
      <c r="T7" s="24">
        <f ca="1">IF(ISNUMBER(LARGE(TbCarteira[Total Atual],R7)),LARGE(TbCarteira[Total Atual],R7),0)</f>
        <v>2256</v>
      </c>
      <c r="U7" s="24">
        <f ca="1">MATCH(T7,TbCarteira[Total Atual],0)</f>
        <v>9</v>
      </c>
      <c r="W7" s="24">
        <v>7</v>
      </c>
      <c r="X7" s="32" t="str" cm="1">
        <f t="array" aca="1" ref="X7" ca="1">IF(ISNA(INDEX(TbCarteiraAcoes[Ativo],Z7,1)),"-",INDEX(TbCarteiraAcoes[Ativo],Z7,1))</f>
        <v>-</v>
      </c>
      <c r="Y7" s="24">
        <f ca="1">IF(ISNUMBER(LARGE(TbCarteiraAcoes[Total Atual],W7)),LARGE(TbCarteiraAcoes[Total Atual],W7),0)</f>
        <v>0</v>
      </c>
      <c r="Z7" s="24" t="e">
        <f ca="1">MATCH(Y7,TbCarteiraAcoes[Total Atual],0)</f>
        <v>#N/A</v>
      </c>
      <c r="AB7" s="24">
        <v>7</v>
      </c>
      <c r="AC7" s="32" t="str" cm="1">
        <f t="array" aca="1" ref="AC7" ca="1">IF(ISNA(INDEX(TbCarteiraFII[Ativo],AE7,1)),"-",INDEX(TbCarteiraFII[Ativo],AE7,1))</f>
        <v>-</v>
      </c>
      <c r="AD7" s="24">
        <f ca="1">IF(ISNUMBER(LARGE(TbCarteiraFII[Total Atual],AB7)),LARGE(TbCarteiraFII[Total Atual],AB7),0)</f>
        <v>0</v>
      </c>
      <c r="AE7" s="24" t="e">
        <f ca="1">MATCH(AD7,TbCarteiraFII[Total Atual],0)</f>
        <v>#N/A</v>
      </c>
    </row>
    <row r="8" spans="2:31" x14ac:dyDescent="0.3">
      <c r="B8" s="25" t="s">
        <v>61</v>
      </c>
      <c r="C8" s="24">
        <v>1</v>
      </c>
      <c r="N8" s="24">
        <v>6</v>
      </c>
      <c r="O8" s="24" t="str">
        <f t="shared" ca="1" si="0"/>
        <v>KNRI11</v>
      </c>
      <c r="P8" s="24">
        <f t="shared" ca="1" si="1"/>
        <v>2358</v>
      </c>
      <c r="R8" s="24">
        <v>6</v>
      </c>
      <c r="S8" s="24" t="str" cm="1">
        <f t="array" aca="1" ref="S8" ca="1">IF(ISNA(INDEX(TbCarteira[Ativo],U8,1)),"-",INDEX(TbCarteira[Ativo],U8,1))</f>
        <v>KNRI11</v>
      </c>
      <c r="T8" s="24">
        <f ca="1">IF(ISNUMBER(LARGE(TbCarteira[Total Atual],R8)),LARGE(TbCarteira[Total Atual],R8),0)</f>
        <v>2358</v>
      </c>
      <c r="U8" s="24">
        <f ca="1">MATCH(T8,TbCarteira[Total Atual],0)</f>
        <v>8</v>
      </c>
      <c r="W8" s="24">
        <v>6</v>
      </c>
      <c r="X8" s="32" t="str" cm="1">
        <f t="array" aca="1" ref="X8" ca="1">IF(ISNA(INDEX(TbCarteiraAcoes[Ativo],Z8,1)),"-",INDEX(TbCarteiraAcoes[Ativo],Z8,1))</f>
        <v>-</v>
      </c>
      <c r="Y8" s="24">
        <f ca="1">IF(ISNUMBER(LARGE(TbCarteiraAcoes[Total Atual],W8)),LARGE(TbCarteiraAcoes[Total Atual],W8),0)</f>
        <v>0</v>
      </c>
      <c r="Z8" s="24" t="e">
        <f ca="1">MATCH(Y8,TbCarteiraAcoes[Total Atual],0)</f>
        <v>#N/A</v>
      </c>
      <c r="AB8" s="24">
        <v>6</v>
      </c>
      <c r="AC8" s="32" t="str" cm="1">
        <f t="array" aca="1" ref="AC8" ca="1">IF(ISNA(INDEX(TbCarteiraFII[Ativo],AE8,1)),"-",INDEX(TbCarteiraFII[Ativo],AE8,1))</f>
        <v>-</v>
      </c>
      <c r="AD8" s="24">
        <f ca="1">IF(ISNUMBER(LARGE(TbCarteiraFII[Total Atual],AB8)),LARGE(TbCarteiraFII[Total Atual],AB8),0)</f>
        <v>0</v>
      </c>
      <c r="AE8" s="24" t="e">
        <f ca="1">MATCH(AD8,TbCarteiraFII[Total Atual],0)</f>
        <v>#N/A</v>
      </c>
    </row>
    <row r="9" spans="2:31" x14ac:dyDescent="0.3">
      <c r="B9" s="25" t="s">
        <v>66</v>
      </c>
      <c r="C9" s="24">
        <f>DashBoard!E2</f>
        <v>15000</v>
      </c>
      <c r="N9" s="24">
        <v>5</v>
      </c>
      <c r="O9" s="24" t="str">
        <f t="shared" ca="1" si="0"/>
        <v>FLRY3</v>
      </c>
      <c r="P9" s="24">
        <f t="shared" ca="1" si="1"/>
        <v>2368</v>
      </c>
      <c r="R9" s="24">
        <v>5</v>
      </c>
      <c r="S9" s="24" t="str" cm="1">
        <f t="array" aca="1" ref="S9" ca="1">IF(ISNA(INDEX(TbCarteira[Ativo],U9,1)),"-",INDEX(TbCarteira[Ativo],U9,1))</f>
        <v>FLRY3</v>
      </c>
      <c r="T9" s="24">
        <f ca="1">IF(ISNUMBER(LARGE(TbCarteira[Total Atual],R9)),LARGE(TbCarteira[Total Atual],R9),0)</f>
        <v>2368</v>
      </c>
      <c r="U9" s="24">
        <f ca="1">MATCH(T9,TbCarteira[Total Atual],0)</f>
        <v>2</v>
      </c>
      <c r="W9" s="24">
        <v>5</v>
      </c>
      <c r="X9" s="32" t="str" cm="1">
        <f t="array" aca="1" ref="X9" ca="1">IF(ISNA(INDEX(TbCarteiraAcoes[Ativo],Z9,1)),"-",INDEX(TbCarteiraAcoes[Ativo],Z9,1))</f>
        <v>TAEE4</v>
      </c>
      <c r="Y9" s="24">
        <f ca="1">IF(ISNUMBER(LARGE(TbCarteiraAcoes[Total Atual],W9)),LARGE(TbCarteiraAcoes[Total Atual],W9),0)</f>
        <v>2256</v>
      </c>
      <c r="Z9" s="24">
        <f ca="1">MATCH(Y9,TbCarteiraAcoes[Total Atual],0)</f>
        <v>5</v>
      </c>
      <c r="AB9" s="24">
        <v>5</v>
      </c>
      <c r="AC9" s="32" t="str" cm="1">
        <f t="array" aca="1" ref="AC9" ca="1">IF(ISNA(INDEX(TbCarteiraFII[Ativo],AE9,1)),"-",INDEX(TbCarteiraFII[Ativo],AE9,1))</f>
        <v>-</v>
      </c>
      <c r="AD9" s="24">
        <f ca="1">IF(ISNUMBER(LARGE(TbCarteiraFII[Total Atual],AB9)),LARGE(TbCarteiraFII[Total Atual],AB9),0)</f>
        <v>0</v>
      </c>
      <c r="AE9" s="24" t="e">
        <f ca="1">MATCH(AD9,TbCarteiraFII[Total Atual],0)</f>
        <v>#N/A</v>
      </c>
    </row>
    <row r="10" spans="2:31" x14ac:dyDescent="0.3">
      <c r="N10" s="24">
        <v>4</v>
      </c>
      <c r="O10" s="24" t="str">
        <f t="shared" ca="1" si="0"/>
        <v>HGLG11</v>
      </c>
      <c r="P10" s="24">
        <f t="shared" ca="1" si="1"/>
        <v>2588.25</v>
      </c>
      <c r="R10" s="24">
        <v>4</v>
      </c>
      <c r="S10" s="24" t="str" cm="1">
        <f t="array" aca="1" ref="S10" ca="1">IF(ISNA(INDEX(TbCarteira[Ativo],U10,1)),"-",INDEX(TbCarteira[Ativo],U10,1))</f>
        <v>HGLG11</v>
      </c>
      <c r="T10" s="24">
        <f ca="1">IF(ISNUMBER(LARGE(TbCarteira[Total Atual],R10)),LARGE(TbCarteira[Total Atual],R10),0)</f>
        <v>2588.25</v>
      </c>
      <c r="U10" s="24">
        <f ca="1">MATCH(T10,TbCarteira[Total Atual],0)</f>
        <v>6</v>
      </c>
      <c r="W10" s="24">
        <v>4</v>
      </c>
      <c r="X10" s="32" t="str" cm="1">
        <f t="array" aca="1" ref="X10" ca="1">IF(ISNA(INDEX(TbCarteiraAcoes[Ativo],Z10,1)),"-",INDEX(TbCarteiraAcoes[Ativo],Z10,1))</f>
        <v>FLRY3</v>
      </c>
      <c r="Y10" s="24">
        <f ca="1">IF(ISNUMBER(LARGE(TbCarteiraAcoes[Total Atual],W10)),LARGE(TbCarteiraAcoes[Total Atual],W10),0)</f>
        <v>2368</v>
      </c>
      <c r="Z10" s="24">
        <f ca="1">MATCH(Y10,TbCarteiraAcoes[Total Atual],0)</f>
        <v>2</v>
      </c>
      <c r="AB10" s="24">
        <v>4</v>
      </c>
      <c r="AC10" s="32" t="str" cm="1">
        <f t="array" aca="1" ref="AC10" ca="1">IF(ISNA(INDEX(TbCarteiraFII[Ativo],AE10,1)),"-",INDEX(TbCarteiraFII[Ativo],AE10,1))</f>
        <v>HGBS11</v>
      </c>
      <c r="AD10" s="24">
        <f ca="1">IF(ISNUMBER(LARGE(TbCarteiraFII[Total Atual],AB10)),LARGE(TbCarteiraFII[Total Atual],AB10),0)</f>
        <v>1593.18</v>
      </c>
      <c r="AE10" s="24">
        <f ca="1">MATCH(AD10,TbCarteiraFII[Total Atual],0)</f>
        <v>1</v>
      </c>
    </row>
    <row r="11" spans="2:31" x14ac:dyDescent="0.3">
      <c r="B11" s="35" t="s">
        <v>63</v>
      </c>
      <c r="C11" s="35"/>
      <c r="N11" s="24">
        <v>3</v>
      </c>
      <c r="O11" s="24" t="str">
        <f t="shared" ca="1" si="0"/>
        <v>CSNA3</v>
      </c>
      <c r="P11" s="24">
        <f t="shared" ca="1" si="1"/>
        <v>2727</v>
      </c>
      <c r="R11" s="24">
        <v>3</v>
      </c>
      <c r="S11" s="24" t="str" cm="1">
        <f t="array" aca="1" ref="S11" ca="1">IF(ISNA(INDEX(TbCarteira[Ativo],U11,1)),"-",INDEX(TbCarteira[Ativo],U11,1))</f>
        <v>CSNA3</v>
      </c>
      <c r="T11" s="24">
        <f ca="1">IF(ISNUMBER(LARGE(TbCarteira[Total Atual],R11)),LARGE(TbCarteira[Total Atual],R11),0)</f>
        <v>2727</v>
      </c>
      <c r="U11" s="24">
        <f ca="1">MATCH(T11,TbCarteira[Total Atual],0)</f>
        <v>1</v>
      </c>
      <c r="W11" s="24">
        <v>3</v>
      </c>
      <c r="X11" s="32" t="str" cm="1">
        <f t="array" aca="1" ref="X11" ca="1">IF(ISNA(INDEX(TbCarteiraAcoes[Ativo],Z11,1)),"-",INDEX(TbCarteiraAcoes[Ativo],Z11,1))</f>
        <v>CSNA3</v>
      </c>
      <c r="Y11" s="24">
        <f ca="1">IF(ISNUMBER(LARGE(TbCarteiraAcoes[Total Atual],W11)),LARGE(TbCarteiraAcoes[Total Atual],W11),0)</f>
        <v>2727</v>
      </c>
      <c r="Z11" s="24">
        <f ca="1">MATCH(Y11,TbCarteiraAcoes[Total Atual],0)</f>
        <v>1</v>
      </c>
      <c r="AB11" s="24">
        <v>3</v>
      </c>
      <c r="AC11" s="32" t="str" cm="1">
        <f t="array" aca="1" ref="AC11" ca="1">IF(ISNA(INDEX(TbCarteiraFII[Ativo],AE11,1)),"-",INDEX(TbCarteiraFII[Ativo],AE11,1))</f>
        <v>HGRE11</v>
      </c>
      <c r="AD11" s="24">
        <f ca="1">IF(ISNUMBER(LARGE(TbCarteiraFII[Total Atual],AB11)),LARGE(TbCarteiraFII[Total Atual],AB11),0)</f>
        <v>1881.95</v>
      </c>
      <c r="AE11" s="24">
        <f ca="1">MATCH(AD11,TbCarteiraFII[Total Atual],0)</f>
        <v>3</v>
      </c>
    </row>
    <row r="12" spans="2:31" x14ac:dyDescent="0.3">
      <c r="B12" s="25" t="s">
        <v>46</v>
      </c>
      <c r="C12" s="29" cm="1">
        <f t="array" aca="1" ref="C12" ca="1">INDEX($G$4:$I$7,E4,$C$8)</f>
        <v>26791.03</v>
      </c>
      <c r="N12" s="24">
        <v>2</v>
      </c>
      <c r="O12" s="24" t="str">
        <f t="shared" ca="1" si="0"/>
        <v>ITSA4</v>
      </c>
      <c r="P12" s="24">
        <f t="shared" ca="1" si="1"/>
        <v>2859</v>
      </c>
      <c r="R12" s="24">
        <v>2</v>
      </c>
      <c r="S12" s="24" t="str" cm="1">
        <f t="array" aca="1" ref="S12" ca="1">IF(ISNA(INDEX(TbCarteira[Ativo],U12,1)),"-",INDEX(TbCarteira[Ativo],U12,1))</f>
        <v>ITSA4</v>
      </c>
      <c r="T12" s="24">
        <f ca="1">IF(ISNUMBER(LARGE(TbCarteira[Total Atual],R12)),LARGE(TbCarteira[Total Atual],R12),0)</f>
        <v>2859</v>
      </c>
      <c r="U12" s="24">
        <f ca="1">MATCH(T12,TbCarteira[Total Atual],0)</f>
        <v>3</v>
      </c>
      <c r="W12" s="24">
        <v>2</v>
      </c>
      <c r="X12" s="32" t="str" cm="1">
        <f t="array" aca="1" ref="X12" ca="1">IF(ISNA(INDEX(TbCarteiraAcoes[Ativo],Z12,1)),"-",INDEX(TbCarteiraAcoes[Ativo],Z12,1))</f>
        <v>ITSA4</v>
      </c>
      <c r="Y12" s="24">
        <f ca="1">IF(ISNUMBER(LARGE(TbCarteiraAcoes[Total Atual],W12)),LARGE(TbCarteiraAcoes[Total Atual],W12),0)</f>
        <v>2859</v>
      </c>
      <c r="Z12" s="24">
        <f ca="1">MATCH(Y12,TbCarteiraAcoes[Total Atual],0)</f>
        <v>3</v>
      </c>
      <c r="AB12" s="24">
        <v>2</v>
      </c>
      <c r="AC12" s="32" t="str" cm="1">
        <f t="array" aca="1" ref="AC12" ca="1">IF(ISNA(INDEX(TbCarteiraFII[Ativo],AE12,1)),"-",INDEX(TbCarteiraFII[Ativo],AE12,1))</f>
        <v>KNRI11</v>
      </c>
      <c r="AD12" s="24">
        <f ca="1">IF(ISNUMBER(LARGE(TbCarteiraFII[Total Atual],AB12)),LARGE(TbCarteiraFII[Total Atual],AB12),0)</f>
        <v>2358</v>
      </c>
      <c r="AE12" s="24">
        <f ca="1">MATCH(AD12,TbCarteiraFII[Total Atual],0)</f>
        <v>4</v>
      </c>
    </row>
    <row r="13" spans="2:31" x14ac:dyDescent="0.3">
      <c r="B13" s="25" t="s">
        <v>54</v>
      </c>
      <c r="C13" s="29" cm="1">
        <f t="array" aca="1" ref="C13" ca="1">INDEX($G$4:$I$7,E5,$C$8)</f>
        <v>33707.380000000005</v>
      </c>
      <c r="N13" s="24">
        <v>1</v>
      </c>
      <c r="O13" s="24" t="str">
        <f t="shared" ca="1" si="0"/>
        <v>PETR4</v>
      </c>
      <c r="P13" s="24">
        <f t="shared" ca="1" si="1"/>
        <v>15076</v>
      </c>
      <c r="R13" s="24">
        <v>1</v>
      </c>
      <c r="S13" s="24" t="str" cm="1">
        <f t="array" aca="1" ref="S13" ca="1">IF(ISNA(INDEX(TbCarteira[Ativo],U13,1)),"-",INDEX(TbCarteira[Ativo],U13,1))</f>
        <v>PETR4</v>
      </c>
      <c r="T13" s="24">
        <f ca="1">IF(ISNUMBER(LARGE(TbCarteira[Total Atual],R13)),LARGE(TbCarteira[Total Atual],R13),0)</f>
        <v>15076</v>
      </c>
      <c r="U13" s="24">
        <f ca="1">MATCH(T13,TbCarteira[Total Atual],0)</f>
        <v>4</v>
      </c>
      <c r="W13" s="24">
        <v>1</v>
      </c>
      <c r="X13" s="32" t="str" cm="1">
        <f t="array" aca="1" ref="X13" ca="1">IF(ISNA(INDEX(TbCarteiraAcoes[Ativo],Z13,1)),"-",INDEX(TbCarteiraAcoes[Ativo],Z13,1))</f>
        <v>PETR4</v>
      </c>
      <c r="Y13" s="24">
        <f ca="1">IF(ISNUMBER(LARGE(TbCarteiraAcoes[Total Atual],W13)),LARGE(TbCarteiraAcoes[Total Atual],W13),0)</f>
        <v>15076</v>
      </c>
      <c r="Z13" s="24">
        <f ca="1">MATCH(Y13,TbCarteiraAcoes[Total Atual],0)</f>
        <v>4</v>
      </c>
      <c r="AB13" s="24">
        <v>1</v>
      </c>
      <c r="AC13" s="32" t="str" cm="1">
        <f t="array" aca="1" ref="AC13" ca="1">IF(ISNA(INDEX(TbCarteiraFII[Ativo],AE13,1)),"-",INDEX(TbCarteiraFII[Ativo],AE13,1))</f>
        <v>HGLG11</v>
      </c>
      <c r="AD13" s="24">
        <f ca="1">IF(ISNUMBER(LARGE(TbCarteiraFII[Total Atual],AB13)),LARGE(TbCarteiraFII[Total Atual],AB13),0)</f>
        <v>2588.25</v>
      </c>
      <c r="AE13" s="24">
        <f ca="1">MATCH(AD13,TbCarteiraFII[Total Atual],0)</f>
        <v>2</v>
      </c>
    </row>
    <row r="14" spans="2:31" x14ac:dyDescent="0.3">
      <c r="B14" s="25" t="s">
        <v>50</v>
      </c>
      <c r="C14" s="29" cm="1">
        <f t="array" aca="1" ref="C14" ca="1">INDEX($G$4:$I$7,E6,$C$8)</f>
        <v>6916.35</v>
      </c>
    </row>
    <row r="15" spans="2:31" x14ac:dyDescent="0.3">
      <c r="B15" s="25" t="s">
        <v>51</v>
      </c>
      <c r="C15" s="28" cm="1">
        <f t="array" aca="1" ref="C15" ca="1">INDEX($G$4:$I$7,E7,$C$8)</f>
        <v>0.25815916745268863</v>
      </c>
      <c r="N15" s="33" t="s">
        <v>75</v>
      </c>
      <c r="O15" s="33"/>
      <c r="P15" s="33"/>
      <c r="R15" s="33" t="s">
        <v>76</v>
      </c>
      <c r="S15" s="33"/>
      <c r="T15" s="33"/>
      <c r="U15" s="33"/>
      <c r="W15" s="33" t="s">
        <v>77</v>
      </c>
      <c r="X15" s="33"/>
      <c r="Y15" s="33"/>
      <c r="Z15" s="33"/>
      <c r="AB15" s="33" t="s">
        <v>78</v>
      </c>
      <c r="AC15" s="33"/>
      <c r="AD15" s="33"/>
      <c r="AE15" s="33"/>
    </row>
    <row r="16" spans="2:31" x14ac:dyDescent="0.3">
      <c r="N16" s="25" t="s">
        <v>68</v>
      </c>
      <c r="O16" s="25" t="s">
        <v>0</v>
      </c>
      <c r="P16" s="25" t="s">
        <v>51</v>
      </c>
      <c r="R16" s="25" t="s">
        <v>68</v>
      </c>
      <c r="S16" s="25" t="s">
        <v>0</v>
      </c>
      <c r="T16" s="25" t="s">
        <v>51</v>
      </c>
      <c r="U16" s="25" t="s">
        <v>71</v>
      </c>
      <c r="W16" s="25" t="s">
        <v>68</v>
      </c>
      <c r="X16" s="25" t="s">
        <v>0</v>
      </c>
      <c r="Y16" s="25" t="s">
        <v>51</v>
      </c>
      <c r="Z16" s="25" t="s">
        <v>71</v>
      </c>
      <c r="AB16" s="25" t="s">
        <v>68</v>
      </c>
      <c r="AC16" s="25" t="s">
        <v>0</v>
      </c>
      <c r="AD16" s="25" t="s">
        <v>78</v>
      </c>
      <c r="AE16" s="25" t="s">
        <v>71</v>
      </c>
    </row>
    <row r="17" spans="14:31" x14ac:dyDescent="0.3">
      <c r="N17" s="24">
        <v>10</v>
      </c>
      <c r="O17" s="24" t="str">
        <f ca="1">IF($C$8=1,S17,IF($C$8=2,X17,AC17))</f>
        <v>-</v>
      </c>
      <c r="P17" s="24">
        <f ca="1">IF($C$8=1,T17,IF($C$8=2,Y17,AD17))</f>
        <v>0</v>
      </c>
      <c r="R17" s="24">
        <v>10</v>
      </c>
      <c r="S17" s="28" t="str" cm="1">
        <f t="array" aca="1" ref="S17" ca="1">IF(ISNA(INDEX(TbCarteira[Ativo],U17,1)),"-",INDEX(TbCarteira[Ativo],U17,1))</f>
        <v>-</v>
      </c>
      <c r="T17" s="28">
        <f ca="1">IF(ISNUMBER(LARGE(TbCarteira[Valorização %],R17)),LARGE(TbCarteira[Valorização %],R17),0)</f>
        <v>0</v>
      </c>
      <c r="U17" s="24" t="e">
        <f ca="1">MATCH(T17,TbCarteira[Valorização %],0)</f>
        <v>#N/A</v>
      </c>
      <c r="W17" s="24">
        <v>10</v>
      </c>
      <c r="X17" s="32" t="str" cm="1">
        <f t="array" aca="1" ref="X17" ca="1">IF(ISNA(INDEX(TbCarteiraAcoes[Valorização %],Z17,1)),"-",INDEX(TbCarteiraAcoes[Valorização %],Z17,1))</f>
        <v>-</v>
      </c>
      <c r="Y17" s="28">
        <f ca="1">IF(ISNUMBER(LARGE(TbCarteiraAcoes[Valorização %],W17)),LARGE(TbCarteiraAcoes[Valorização %],W17),0)</f>
        <v>0</v>
      </c>
      <c r="Z17" s="24" t="e">
        <f ca="1">MATCH(Y17,TbCarteiraAcoes[Valorização %],0)</f>
        <v>#N/A</v>
      </c>
      <c r="AB17" s="24">
        <v>10</v>
      </c>
      <c r="AC17" s="32" t="str" cm="1">
        <f t="array" aca="1" ref="AC17" ca="1">IF(ISNA(INDEX(TbCarteiraFII[Ativo],AE17,1)),"-",INDEX(TbCarteiraFII[Ativo],AE17,1))</f>
        <v>-</v>
      </c>
      <c r="AD17" s="24">
        <f ca="1">IF(ISNUMBER(LARGE(TbCarteiraFII[Valorização %],AB17)),LARGE(TbCarteiraFII[Valorização %],AB17),0)</f>
        <v>0</v>
      </c>
      <c r="AE17" s="24" t="e">
        <f ca="1">MATCH(AD17,TbCarteiraFII[Valorização %],0)</f>
        <v>#N/A</v>
      </c>
    </row>
    <row r="18" spans="14:31" x14ac:dyDescent="0.3">
      <c r="N18" s="24">
        <v>9</v>
      </c>
      <c r="O18" s="24" t="str">
        <f t="shared" ref="O18:O26" ca="1" si="2">IF($C$8=1,S18,IF($C$8=2,X18,AC18))</f>
        <v>FLRY3</v>
      </c>
      <c r="P18" s="28">
        <f t="shared" ref="P18:P26" ca="1" si="3">IF($C$8=1,T18,IF($C$8=2,Y18,AD18))</f>
        <v>-0.4119692078470325</v>
      </c>
      <c r="R18" s="24">
        <v>9</v>
      </c>
      <c r="S18" s="28" t="str" cm="1">
        <f t="array" aca="1" ref="S18" ca="1">IF(ISNA(INDEX(TbCarteira[Ativo],U18,1)),"-",INDEX(TbCarteira[Ativo],U18,1))</f>
        <v>FLRY3</v>
      </c>
      <c r="T18" s="28">
        <f ca="1">IF(ISNUMBER(LARGE(TbCarteira[Valorização %],R18)),LARGE(TbCarteira[Valorização %],R18),0)</f>
        <v>-0.4119692078470325</v>
      </c>
      <c r="U18" s="24">
        <f ca="1">MATCH(T18,TbCarteira[Valorização %],0)</f>
        <v>2</v>
      </c>
      <c r="W18" s="24">
        <v>9</v>
      </c>
      <c r="X18" s="32" t="str" cm="1">
        <f t="array" aca="1" ref="X18" ca="1">IF(ISNA(INDEX(TbCarteiraAcoes[Ativo],Z18,1)),"-",INDEX(TbCarteiraAcoes[Ativo],Z18,1))</f>
        <v>-</v>
      </c>
      <c r="Y18" s="28">
        <f ca="1">IF(ISNUMBER(LARGE(TbCarteiraAcoes[Valorização %],W18)),LARGE(TbCarteiraAcoes[Valorização %],W18),0)</f>
        <v>0</v>
      </c>
      <c r="Z18" s="24" t="e">
        <f ca="1">MATCH(Y18,TbCarteiraAcoes[Valorização %],0)</f>
        <v>#N/A</v>
      </c>
      <c r="AB18" s="24">
        <v>9</v>
      </c>
      <c r="AC18" s="32" t="str" cm="1">
        <f t="array" aca="1" ref="AC18" ca="1">IF(ISNA(INDEX(TbCarteiraFII[Ativo],AE18,1)),"-",INDEX(TbCarteiraFII[Ativo],AE18,1))</f>
        <v>-</v>
      </c>
      <c r="AD18" s="24">
        <f ca="1">IF(ISNUMBER(LARGE(TbCarteiraFII[Valorização %],AB18)),LARGE(TbCarteiraFII[Valorização %],AB18),0)</f>
        <v>0</v>
      </c>
      <c r="AE18" s="24" t="e">
        <f ca="1">MATCH(AD18,TbCarteiraFII[Valorização %],0)</f>
        <v>#N/A</v>
      </c>
    </row>
    <row r="19" spans="14:31" x14ac:dyDescent="0.3">
      <c r="N19" s="24">
        <v>8</v>
      </c>
      <c r="O19" s="24" t="str">
        <f t="shared" ca="1" si="2"/>
        <v>HGRE11</v>
      </c>
      <c r="P19" s="28">
        <f t="shared" ca="1" si="3"/>
        <v>-0.24497606887670142</v>
      </c>
      <c r="R19" s="24">
        <v>8</v>
      </c>
      <c r="S19" s="28" t="str" cm="1">
        <f t="array" aca="1" ref="S19" ca="1">IF(ISNA(INDEX(TbCarteira[Ativo],U19,1)),"-",INDEX(TbCarteira[Ativo],U19,1))</f>
        <v>HGRE11</v>
      </c>
      <c r="T19" s="28">
        <f ca="1">IF(ISNUMBER(LARGE(TbCarteira[Valorização %],R19)),LARGE(TbCarteira[Valorização %],R19),0)</f>
        <v>-0.24497606887670142</v>
      </c>
      <c r="U19" s="24">
        <f ca="1">MATCH(T19,TbCarteira[Valorização %],0)</f>
        <v>7</v>
      </c>
      <c r="W19" s="24">
        <v>8</v>
      </c>
      <c r="X19" s="32" t="str" cm="1">
        <f t="array" aca="1" ref="X19" ca="1">IF(ISNA(INDEX(TbCarteiraAcoes[Ativo],Z19,1)),"-",INDEX(TbCarteiraAcoes[Ativo],Z19,1))</f>
        <v>-</v>
      </c>
      <c r="Y19" s="28">
        <f ca="1">IF(ISNUMBER(LARGE(TbCarteiraAcoes[Valorização %],W19)),LARGE(TbCarteiraAcoes[Valorização %],W19),0)</f>
        <v>0</v>
      </c>
      <c r="Z19" s="24" t="e">
        <f ca="1">MATCH(Y19,TbCarteiraAcoes[Valorização %],0)</f>
        <v>#N/A</v>
      </c>
      <c r="AB19" s="24">
        <v>8</v>
      </c>
      <c r="AC19" s="32" t="str" cm="1">
        <f t="array" aca="1" ref="AC19" ca="1">IF(ISNA(INDEX(TbCarteiraFII[Ativo],AE19,1)),"-",INDEX(TbCarteiraFII[Ativo],AE19,1))</f>
        <v>-</v>
      </c>
      <c r="AD19" s="24">
        <f ca="1">IF(ISNUMBER(LARGE(TbCarteiraFII[Valorização %],AB19)),LARGE(TbCarteiraFII[Valorização %],AB19),0)</f>
        <v>0</v>
      </c>
      <c r="AE19" s="24" t="e">
        <f ca="1">MATCH(AD19,TbCarteiraFII[Valorização %],0)</f>
        <v>#N/A</v>
      </c>
    </row>
    <row r="20" spans="14:31" x14ac:dyDescent="0.3">
      <c r="N20" s="24">
        <v>7</v>
      </c>
      <c r="O20" s="24" t="str">
        <f t="shared" ca="1" si="2"/>
        <v>KNRI11</v>
      </c>
      <c r="P20" s="28">
        <f t="shared" ca="1" si="3"/>
        <v>-0.10522521155086717</v>
      </c>
      <c r="R20" s="24">
        <v>7</v>
      </c>
      <c r="S20" s="28" t="str" cm="1">
        <f t="array" aca="1" ref="S20" ca="1">IF(ISNA(INDEX(TbCarteira[Ativo],U20,1)),"-",INDEX(TbCarteira[Ativo],U20,1))</f>
        <v>KNRI11</v>
      </c>
      <c r="T20" s="28">
        <f ca="1">IF(ISNUMBER(LARGE(TbCarteira[Valorização %],R20)),LARGE(TbCarteira[Valorização %],R20),0)</f>
        <v>-0.10522521155086717</v>
      </c>
      <c r="U20" s="24">
        <f ca="1">MATCH(T20,TbCarteira[Valorização %],0)</f>
        <v>8</v>
      </c>
      <c r="W20" s="24">
        <v>7</v>
      </c>
      <c r="X20" s="32" t="str" cm="1">
        <f t="array" aca="1" ref="X20" ca="1">IF(ISNA(INDEX(TbCarteiraAcoes[Ativo],Z20,1)),"-",INDEX(TbCarteiraAcoes[Ativo],Z20,1))</f>
        <v>-</v>
      </c>
      <c r="Y20" s="28">
        <f ca="1">IF(ISNUMBER(LARGE(TbCarteiraAcoes[Valorização %],W20)),LARGE(TbCarteiraAcoes[Valorização %],W20),0)</f>
        <v>0</v>
      </c>
      <c r="Z20" s="24" t="e">
        <f ca="1">MATCH(Y20,TbCarteiraAcoes[Valorização %],0)</f>
        <v>#N/A</v>
      </c>
      <c r="AB20" s="24">
        <v>7</v>
      </c>
      <c r="AC20" s="32" t="str" cm="1">
        <f t="array" aca="1" ref="AC20" ca="1">IF(ISNA(INDEX(TbCarteiraFII[Ativo],AE20,1)),"-",INDEX(TbCarteiraFII[Ativo],AE20,1))</f>
        <v>-</v>
      </c>
      <c r="AD20" s="24">
        <f ca="1">IF(ISNUMBER(LARGE(TbCarteiraFII[Valorização %],AB20)),LARGE(TbCarteiraFII[Valorização %],AB20),0)</f>
        <v>0</v>
      </c>
      <c r="AE20" s="24" t="e">
        <f ca="1">MATCH(AD20,TbCarteiraFII[Valorização %],0)</f>
        <v>#N/A</v>
      </c>
    </row>
    <row r="21" spans="14:31" x14ac:dyDescent="0.3">
      <c r="N21" s="24">
        <v>6</v>
      </c>
      <c r="O21" s="24" t="str">
        <f t="shared" ca="1" si="2"/>
        <v>HGBS11</v>
      </c>
      <c r="P21" s="28">
        <f t="shared" ca="1" si="3"/>
        <v>-7.0679849505643433E-2</v>
      </c>
      <c r="R21" s="24">
        <v>6</v>
      </c>
      <c r="S21" s="28" t="str" cm="1">
        <f t="array" aca="1" ref="S21" ca="1">IF(ISNA(INDEX(TbCarteira[Ativo],U21,1)),"-",INDEX(TbCarteira[Ativo],U21,1))</f>
        <v>HGBS11</v>
      </c>
      <c r="T21" s="28">
        <f ca="1">IF(ISNUMBER(LARGE(TbCarteira[Valorização %],R21)),LARGE(TbCarteira[Valorização %],R21),0)</f>
        <v>-7.0679849505643433E-2</v>
      </c>
      <c r="U21" s="24">
        <f ca="1">MATCH(T21,TbCarteira[Valorização %],0)</f>
        <v>5</v>
      </c>
      <c r="W21" s="24">
        <v>6</v>
      </c>
      <c r="X21" s="32" t="str" cm="1">
        <f t="array" aca="1" ref="X21" ca="1">IF(ISNA(INDEX(TbCarteiraAcoes[Ativo],Z21,1)),"-",INDEX(TbCarteiraAcoes[Ativo],Z21,1))</f>
        <v>-</v>
      </c>
      <c r="Y21" s="28">
        <f ca="1">IF(ISNUMBER(LARGE(TbCarteiraAcoes[Valorização %],W21)),LARGE(TbCarteiraAcoes[Valorização %],W21),0)</f>
        <v>0</v>
      </c>
      <c r="Z21" s="24" t="e">
        <f ca="1">MATCH(Y21,TbCarteiraAcoes[Valorização %],0)</f>
        <v>#N/A</v>
      </c>
      <c r="AB21" s="24">
        <v>6</v>
      </c>
      <c r="AC21" s="32" t="str" cm="1">
        <f t="array" aca="1" ref="AC21" ca="1">IF(ISNA(INDEX(TbCarteiraFII[Ativo],AE21,1)),"-",INDEX(TbCarteiraFII[Ativo],AE21,1))</f>
        <v>-</v>
      </c>
      <c r="AD21" s="24">
        <f ca="1">IF(ISNUMBER(LARGE(TbCarteiraFII[Valorização %],AB21)),LARGE(TbCarteiraFII[Valorização %],AB21),0)</f>
        <v>0</v>
      </c>
      <c r="AE21" s="24" t="e">
        <f ca="1">MATCH(AD21,TbCarteiraFII[Valorização %],0)</f>
        <v>#N/A</v>
      </c>
    </row>
    <row r="22" spans="14:31" x14ac:dyDescent="0.3">
      <c r="N22" s="24">
        <v>5</v>
      </c>
      <c r="O22" s="24" t="str">
        <f t="shared" ca="1" si="2"/>
        <v>CSNA3</v>
      </c>
      <c r="P22" s="28">
        <f t="shared" ca="1" si="3"/>
        <v>-2.9537366548042732E-2</v>
      </c>
      <c r="R22" s="24">
        <v>5</v>
      </c>
      <c r="S22" s="28" t="str" cm="1">
        <f t="array" aca="1" ref="S22" ca="1">IF(ISNA(INDEX(TbCarteira[Ativo],U22,1)),"-",INDEX(TbCarteira[Ativo],U22,1))</f>
        <v>CSNA3</v>
      </c>
      <c r="T22" s="28">
        <f ca="1">IF(ISNUMBER(LARGE(TbCarteira[Valorização %],R22)),LARGE(TbCarteira[Valorização %],R22),0)</f>
        <v>-2.9537366548042732E-2</v>
      </c>
      <c r="U22" s="24">
        <f ca="1">MATCH(T22,TbCarteira[Valorização %],0)</f>
        <v>1</v>
      </c>
      <c r="W22" s="24">
        <v>5</v>
      </c>
      <c r="X22" s="32" t="str" cm="1">
        <f t="array" aca="1" ref="X22" ca="1">IF(ISNA(INDEX(TbCarteiraAcoes[Ativo],Z22,1)),"-",INDEX(TbCarteiraAcoes[Ativo],Z22,1))</f>
        <v>FLRY3</v>
      </c>
      <c r="Y22" s="28">
        <f ca="1">IF(ISNUMBER(LARGE(TbCarteiraAcoes[Valorização %],W22)),LARGE(TbCarteiraAcoes[Valorização %],W22),0)</f>
        <v>-0.4119692078470325</v>
      </c>
      <c r="Z22" s="24">
        <f ca="1">MATCH(Y22,TbCarteiraAcoes[Valorização %],0)</f>
        <v>2</v>
      </c>
      <c r="AB22" s="24">
        <v>5</v>
      </c>
      <c r="AC22" s="32" t="str" cm="1">
        <f t="array" aca="1" ref="AC22" ca="1">IF(ISNA(INDEX(TbCarteiraFII[Ativo],AE22,1)),"-",INDEX(TbCarteiraFII[Ativo],AE22,1))</f>
        <v>-</v>
      </c>
      <c r="AD22" s="24">
        <f ca="1">IF(ISNUMBER(LARGE(TbCarteiraFII[Valorização %],AB22)),LARGE(TbCarteiraFII[Valorização %],AB22),0)</f>
        <v>0</v>
      </c>
      <c r="AE22" s="24" t="e">
        <f ca="1">MATCH(AD22,TbCarteiraFII[Valorização %],0)</f>
        <v>#N/A</v>
      </c>
    </row>
    <row r="23" spans="14:31" x14ac:dyDescent="0.3">
      <c r="N23" s="24">
        <v>4</v>
      </c>
      <c r="O23" s="24" t="str">
        <f t="shared" ca="1" si="2"/>
        <v>HGLG11</v>
      </c>
      <c r="P23" s="28">
        <f t="shared" ca="1" si="3"/>
        <v>0.10100348390554736</v>
      </c>
      <c r="R23" s="24">
        <v>4</v>
      </c>
      <c r="S23" s="28" t="str" cm="1">
        <f t="array" aca="1" ref="S23" ca="1">IF(ISNA(INDEX(TbCarteira[Ativo],U23,1)),"-",INDEX(TbCarteira[Ativo],U23,1))</f>
        <v>HGLG11</v>
      </c>
      <c r="T23" s="28">
        <f ca="1">IF(ISNUMBER(LARGE(TbCarteira[Valorização %],R23)),LARGE(TbCarteira[Valorização %],R23),0)</f>
        <v>0.10100348390554736</v>
      </c>
      <c r="U23" s="24">
        <f ca="1">MATCH(T23,TbCarteira[Valorização %],0)</f>
        <v>6</v>
      </c>
      <c r="W23" s="24">
        <v>4</v>
      </c>
      <c r="X23" s="32" t="str" cm="1">
        <f t="array" aca="1" ref="X23" ca="1">IF(ISNA(INDEX(TbCarteiraAcoes[Ativo],Z23,1)),"-",INDEX(TbCarteiraAcoes[Ativo],Z23,1))</f>
        <v>CSNA3</v>
      </c>
      <c r="Y23" s="28">
        <f ca="1">IF(ISNUMBER(LARGE(TbCarteiraAcoes[Valorização %],W23)),LARGE(TbCarteiraAcoes[Valorização %],W23),0)</f>
        <v>-2.9537366548042732E-2</v>
      </c>
      <c r="Z23" s="24">
        <f ca="1">MATCH(Y23,TbCarteiraAcoes[Valorização %],0)</f>
        <v>1</v>
      </c>
      <c r="AB23" s="24">
        <v>4</v>
      </c>
      <c r="AC23" s="32" t="str" cm="1">
        <f t="array" aca="1" ref="AC23" ca="1">IF(ISNA(INDEX(TbCarteiraFII[Ativo],AE23,1)),"-",INDEX(TbCarteiraFII[Ativo],AE23,1))</f>
        <v>HGRE11</v>
      </c>
      <c r="AD23" s="28">
        <f ca="1">IF(ISNUMBER(LARGE(TbCarteiraFII[Valorização %],AB23)),LARGE(TbCarteiraFII[Valorização %],AB23),0)</f>
        <v>-0.24497606887670142</v>
      </c>
      <c r="AE23" s="24">
        <f ca="1">MATCH(AD23,TbCarteiraFII[Valorização %],0)</f>
        <v>3</v>
      </c>
    </row>
    <row r="24" spans="14:31" x14ac:dyDescent="0.3">
      <c r="N24" s="24">
        <v>3</v>
      </c>
      <c r="O24" s="24" t="str">
        <f t="shared" ca="1" si="2"/>
        <v>ITSA4</v>
      </c>
      <c r="P24" s="28">
        <f t="shared" ca="1" si="3"/>
        <v>0.1381369426751593</v>
      </c>
      <c r="R24" s="24">
        <v>3</v>
      </c>
      <c r="S24" s="28" t="str" cm="1">
        <f t="array" aca="1" ref="S24" ca="1">IF(ISNA(INDEX(TbCarteira[Ativo],U24,1)),"-",INDEX(TbCarteira[Ativo],U24,1))</f>
        <v>ITSA4</v>
      </c>
      <c r="T24" s="28">
        <f ca="1">IF(ISNUMBER(LARGE(TbCarteira[Valorização %],R24)),LARGE(TbCarteira[Valorização %],R24),0)</f>
        <v>0.1381369426751593</v>
      </c>
      <c r="U24" s="24">
        <f ca="1">MATCH(T24,TbCarteira[Valorização %],0)</f>
        <v>3</v>
      </c>
      <c r="W24" s="24">
        <v>3</v>
      </c>
      <c r="X24" s="32" t="str" cm="1">
        <f t="array" aca="1" ref="X24" ca="1">IF(ISNA(INDEX(TbCarteiraAcoes[Ativo],Z24,1)),"-",INDEX(TbCarteiraAcoes[Ativo],Z24,1))</f>
        <v>ITSA4</v>
      </c>
      <c r="Y24" s="28">
        <f ca="1">IF(ISNUMBER(LARGE(TbCarteiraAcoes[Valorização %],W24)),LARGE(TbCarteiraAcoes[Valorização %],W24),0)</f>
        <v>0.1381369426751593</v>
      </c>
      <c r="Z24" s="24">
        <f ca="1">MATCH(Y24,TbCarteiraAcoes[Valorização %],0)</f>
        <v>3</v>
      </c>
      <c r="AB24" s="24">
        <v>3</v>
      </c>
      <c r="AC24" s="32" t="str" cm="1">
        <f t="array" aca="1" ref="AC24" ca="1">IF(ISNA(INDEX(TbCarteiraFII[Ativo],AE24,1)),"-",INDEX(TbCarteiraFII[Ativo],AE24,1))</f>
        <v>KNRI11</v>
      </c>
      <c r="AD24" s="28">
        <f ca="1">IF(ISNUMBER(LARGE(TbCarteiraFII[Valorização %],AB24)),LARGE(TbCarteiraFII[Valorização %],AB24),0)</f>
        <v>-0.10522521155086717</v>
      </c>
      <c r="AE24" s="24">
        <f ca="1">MATCH(AD24,TbCarteiraFII[Valorização %],0)</f>
        <v>4</v>
      </c>
    </row>
    <row r="25" spans="14:31" x14ac:dyDescent="0.3">
      <c r="N25" s="24">
        <v>2</v>
      </c>
      <c r="O25" s="24" t="str">
        <f t="shared" ca="1" si="2"/>
        <v>TAEE4</v>
      </c>
      <c r="P25" s="28">
        <f t="shared" ca="1" si="3"/>
        <v>0.37981651376146797</v>
      </c>
      <c r="R25" s="24">
        <v>2</v>
      </c>
      <c r="S25" s="28" t="str" cm="1">
        <f t="array" aca="1" ref="S25" ca="1">IF(ISNA(INDEX(TbCarteira[Ativo],U25,1)),"-",INDEX(TbCarteira[Ativo],U25,1))</f>
        <v>TAEE4</v>
      </c>
      <c r="T25" s="28">
        <f ca="1">IF(ISNUMBER(LARGE(TbCarteira[Valorização %],R25)),LARGE(TbCarteira[Valorização %],R25),0)</f>
        <v>0.37981651376146797</v>
      </c>
      <c r="U25" s="24">
        <f ca="1">MATCH(T25,TbCarteira[Valorização %],0)</f>
        <v>9</v>
      </c>
      <c r="W25" s="24">
        <v>2</v>
      </c>
      <c r="X25" s="32" t="str" cm="1">
        <f t="array" aca="1" ref="X25" ca="1">IF(ISNA(INDEX(TbCarteiraAcoes[Ativo],Z25,1)),"-",INDEX(TbCarteiraAcoes[Ativo],Z25,1))</f>
        <v>TAEE4</v>
      </c>
      <c r="Y25" s="28">
        <f ca="1">IF(ISNUMBER(LARGE(TbCarteiraAcoes[Valorização %],W25)),LARGE(TbCarteiraAcoes[Valorização %],W25),0)</f>
        <v>0.37981651376146797</v>
      </c>
      <c r="Z25" s="24">
        <f ca="1">MATCH(Y25,TbCarteiraAcoes[Valorização %],0)</f>
        <v>5</v>
      </c>
      <c r="AB25" s="24">
        <v>2</v>
      </c>
      <c r="AC25" s="32" t="str" cm="1">
        <f t="array" aca="1" ref="AC25" ca="1">IF(ISNA(INDEX(TbCarteiraFII[Ativo],AE25,1)),"-",INDEX(TbCarteiraFII[Ativo],AE25,1))</f>
        <v>HGBS11</v>
      </c>
      <c r="AD25" s="28">
        <f ca="1">IF(ISNUMBER(LARGE(TbCarteiraFII[Valorização %],AB25)),LARGE(TbCarteiraFII[Valorização %],AB25),0)</f>
        <v>-7.0679849505643433E-2</v>
      </c>
      <c r="AE25" s="24">
        <f ca="1">MATCH(AD25,TbCarteiraFII[Valorização %],0)</f>
        <v>1</v>
      </c>
    </row>
    <row r="26" spans="14:31" x14ac:dyDescent="0.3">
      <c r="N26" s="24">
        <v>1</v>
      </c>
      <c r="O26" s="24" t="str">
        <f t="shared" ca="1" si="2"/>
        <v>PETR4</v>
      </c>
      <c r="P26" s="28">
        <f t="shared" ca="1" si="3"/>
        <v>1.2794073178107044</v>
      </c>
      <c r="R26" s="24">
        <v>1</v>
      </c>
      <c r="S26" s="28" t="str" cm="1">
        <f t="array" aca="1" ref="S26" ca="1">IF(ISNA(INDEX(TbCarteira[Ativo],U26,1)),"-",INDEX(TbCarteira[Ativo],U26,1))</f>
        <v>PETR4</v>
      </c>
      <c r="T26" s="28">
        <f ca="1">IF(ISNUMBER(LARGE(TbCarteira[Valorização %],R26)),LARGE(TbCarteira[Valorização %],R26),0)</f>
        <v>1.2794073178107044</v>
      </c>
      <c r="U26" s="24">
        <f ca="1">MATCH(T26,TbCarteira[Valorização %],0)</f>
        <v>4</v>
      </c>
      <c r="W26" s="24">
        <v>1</v>
      </c>
      <c r="X26" s="32" t="str" cm="1">
        <f t="array" aca="1" ref="X26" ca="1">IF(ISNA(INDEX(TbCarteiraAcoes[Ativo],Z26,1)),"-",INDEX(TbCarteiraAcoes[Ativo],Z26,1))</f>
        <v>PETR4</v>
      </c>
      <c r="Y26" s="28">
        <f ca="1">IF(ISNUMBER(LARGE(TbCarteiraAcoes[Valorização %],W26)),LARGE(TbCarteiraAcoes[Valorização %],W26),0)</f>
        <v>1.2794073178107044</v>
      </c>
      <c r="Z26" s="24">
        <f ca="1">MATCH(Y26,TbCarteiraAcoes[Valorização %],0)</f>
        <v>4</v>
      </c>
      <c r="AB26" s="24">
        <v>1</v>
      </c>
      <c r="AC26" s="32" t="str" cm="1">
        <f t="array" aca="1" ref="AC26" ca="1">IF(ISNA(INDEX(TbCarteiraFII[Ativo],AE26,1)),"-",INDEX(TbCarteiraFII[Ativo],AE26,1))</f>
        <v>HGLG11</v>
      </c>
      <c r="AD26" s="28">
        <f ca="1">IF(ISNUMBER(LARGE(TbCarteiraFII[Valorização %],AB26)),LARGE(TbCarteiraFII[Valorização %],AB26),0)</f>
        <v>0.10100348390554736</v>
      </c>
      <c r="AE26" s="24">
        <f ca="1">MATCH(AD26,TbCarteiraFII[Valorização %],0)</f>
        <v>2</v>
      </c>
    </row>
  </sheetData>
  <mergeCells count="13">
    <mergeCell ref="N15:P15"/>
    <mergeCell ref="R15:U15"/>
    <mergeCell ref="W15:Z15"/>
    <mergeCell ref="AB15:AE15"/>
    <mergeCell ref="W2:Z2"/>
    <mergeCell ref="AB2:AE2"/>
    <mergeCell ref="R2:U2"/>
    <mergeCell ref="B2:C2"/>
    <mergeCell ref="B7:C7"/>
    <mergeCell ref="E2:I2"/>
    <mergeCell ref="B11:C11"/>
    <mergeCell ref="K2:L2"/>
    <mergeCell ref="N2:P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236E-BB52-4DB4-9CA1-34E3C8536F8C}">
  <dimension ref="A1:L11"/>
  <sheetViews>
    <sheetView workbookViewId="0">
      <selection activeCell="K6" sqref="K6"/>
    </sheetView>
  </sheetViews>
  <sheetFormatPr defaultRowHeight="14.4" x14ac:dyDescent="0.3"/>
  <cols>
    <col min="2" max="2" width="9.109375" bestFit="1" customWidth="1"/>
    <col min="3" max="3" width="12.33203125" bestFit="1" customWidth="1"/>
    <col min="4" max="4" width="18.21875" style="15" bestFit="1" customWidth="1"/>
    <col min="5" max="5" width="12.88671875" bestFit="1" customWidth="1"/>
    <col min="6" max="6" width="10.33203125" style="15" bestFit="1" customWidth="1"/>
    <col min="7" max="7" width="14.5546875" style="15" bestFit="1" customWidth="1"/>
    <col min="8" max="8" width="15.109375" style="15" bestFit="1" customWidth="1"/>
    <col min="9" max="9" width="17" style="17" bestFit="1" customWidth="1"/>
    <col min="11" max="11" width="13.21875" bestFit="1" customWidth="1"/>
    <col min="12" max="12" width="10.5546875" bestFit="1" customWidth="1"/>
  </cols>
  <sheetData>
    <row r="1" spans="1:12" x14ac:dyDescent="0.3">
      <c r="A1" s="11" t="s">
        <v>0</v>
      </c>
      <c r="B1" s="11" t="s">
        <v>1</v>
      </c>
      <c r="C1" s="11" t="s">
        <v>2</v>
      </c>
      <c r="D1" s="14" t="s">
        <v>46</v>
      </c>
      <c r="E1" s="11" t="s">
        <v>47</v>
      </c>
      <c r="F1" s="14" t="s">
        <v>48</v>
      </c>
      <c r="G1" s="14" t="s">
        <v>49</v>
      </c>
      <c r="H1" s="14" t="s">
        <v>50</v>
      </c>
      <c r="I1" s="16" t="s">
        <v>51</v>
      </c>
      <c r="K1" s="12" t="s">
        <v>52</v>
      </c>
      <c r="L1" s="13"/>
    </row>
    <row r="2" spans="1:12" x14ac:dyDescent="0.3">
      <c r="A2" t="s">
        <v>3</v>
      </c>
      <c r="B2" t="str">
        <f>VLOOKUP(TbCarteira[[#This Row],[Ativo]],TbAtivos[],2,FALSE)</f>
        <v>EMPRESA</v>
      </c>
      <c r="C2">
        <f>VLOOKUP(TbCarteira[[#This Row],[Ativo]],TbAtivos[],3,FALSE)</f>
        <v>9.09</v>
      </c>
      <c r="D2" s="15">
        <f ca="1">SUMIFS(TbAportes[Total],TbAportes[Ativo],TbCarteira[[#This Row],[Ativo]],TbAportes[Data],"&lt;="&amp;IF($L$1="",TODAY(),$L$1))</f>
        <v>2810</v>
      </c>
      <c r="E2">
        <f ca="1">SUMIFS(TbAportes[Qte],TbAportes[Ativo],TbCarteira[[#This Row],[Ativo]],TbAportes[Data],"&lt;="&amp;IF($L$1="",TODAY(),$L$1))</f>
        <v>300</v>
      </c>
      <c r="F2" s="15">
        <f ca="1">TbCarteira[[#This Row],[Total Aportado]]/TbCarteira[[#This Row],[Total qte]]</f>
        <v>9.3666666666666671</v>
      </c>
      <c r="G2" s="15">
        <f ca="1">TbCarteira[[#This Row],[Cotação]]*TbCarteira[[#This Row],[Total qte]]</f>
        <v>2727</v>
      </c>
      <c r="H2" s="15">
        <f ca="1">TbCarteira[[#This Row],[Total Atual]]-TbCarteira[[#This Row],[Total Aportado]]</f>
        <v>-83</v>
      </c>
      <c r="I2" s="17">
        <f ca="1">TbCarteira[[#This Row],[Total Atual]]/TbCarteira[[#This Row],[Total Aportado]] - 1</f>
        <v>-2.9537366548042732E-2</v>
      </c>
    </row>
    <row r="3" spans="1:12" x14ac:dyDescent="0.3">
      <c r="A3" t="s">
        <v>5</v>
      </c>
      <c r="B3" t="str">
        <f>VLOOKUP(TbCarteira[[#This Row],[Ativo]],TbAtivos[],2,FALSE)</f>
        <v>EMPRESA</v>
      </c>
      <c r="C3">
        <f>VLOOKUP(TbCarteira[[#This Row],[Ativo]],TbAtivos[],3,FALSE)</f>
        <v>11.84</v>
      </c>
      <c r="D3" s="15">
        <f ca="1">SUMIFS(TbAportes[Total],TbAportes[Ativo],TbCarteira[[#This Row],[Ativo]],TbAportes[Data],"&lt;="&amp;IF($L$1="",TODAY(),$L$1))</f>
        <v>4027</v>
      </c>
      <c r="E3">
        <f ca="1">SUMIFS(TbAportes[Qte],TbAportes[Ativo],TbCarteira[[#This Row],[Ativo]],TbAportes[Data],"&lt;="&amp;IF($L$1="",TODAY(),$L$1))</f>
        <v>200</v>
      </c>
      <c r="F3" s="15">
        <f ca="1">TbCarteira[[#This Row],[Total Aportado]]/TbCarteira[[#This Row],[Total qte]]</f>
        <v>20.135000000000002</v>
      </c>
      <c r="G3" s="15">
        <f ca="1">TbCarteira[[#This Row],[Cotação]]*TbCarteira[[#This Row],[Total qte]]</f>
        <v>2368</v>
      </c>
      <c r="H3" s="15">
        <f ca="1">TbCarteira[[#This Row],[Total Atual]]-TbCarteira[[#This Row],[Total Aportado]]</f>
        <v>-1659</v>
      </c>
      <c r="I3" s="17">
        <f ca="1">TbCarteira[[#This Row],[Total Atual]]/TbCarteira[[#This Row],[Total Aportado]] - 1</f>
        <v>-0.4119692078470325</v>
      </c>
    </row>
    <row r="4" spans="1:12" x14ac:dyDescent="0.3">
      <c r="A4" t="s">
        <v>6</v>
      </c>
      <c r="B4" t="str">
        <f>VLOOKUP(TbCarteira[[#This Row],[Ativo]],TbAtivos[],2,FALSE)</f>
        <v>EMPRESA</v>
      </c>
      <c r="C4">
        <f>VLOOKUP(TbCarteira[[#This Row],[Ativo]],TbAtivos[],3,FALSE)</f>
        <v>9.5299999999999994</v>
      </c>
      <c r="D4" s="15">
        <f ca="1">SUMIFS(TbAportes[Total],TbAportes[Ativo],TbCarteira[[#This Row],[Ativo]],TbAportes[Data],"&lt;="&amp;IF($L$1="",TODAY(),$L$1))</f>
        <v>2512</v>
      </c>
      <c r="E4">
        <f ca="1">SUMIFS(TbAportes[Qte],TbAportes[Ativo],TbCarteira[[#This Row],[Ativo]],TbAportes[Data],"&lt;="&amp;IF($L$1="",TODAY(),$L$1))</f>
        <v>300</v>
      </c>
      <c r="F4" s="15">
        <f ca="1">TbCarteira[[#This Row],[Total Aportado]]/TbCarteira[[#This Row],[Total qte]]</f>
        <v>8.3733333333333331</v>
      </c>
      <c r="G4" s="15">
        <f ca="1">TbCarteira[[#This Row],[Cotação]]*TbCarteira[[#This Row],[Total qte]]</f>
        <v>2859</v>
      </c>
      <c r="H4" s="15">
        <f ca="1">TbCarteira[[#This Row],[Total Atual]]-TbCarteira[[#This Row],[Total Aportado]]</f>
        <v>347</v>
      </c>
      <c r="I4" s="17">
        <f ca="1">TbCarteira[[#This Row],[Total Atual]]/TbCarteira[[#This Row],[Total Aportado]] - 1</f>
        <v>0.1381369426751593</v>
      </c>
    </row>
    <row r="5" spans="1:12" x14ac:dyDescent="0.3">
      <c r="A5" t="s">
        <v>7</v>
      </c>
      <c r="B5" t="str">
        <f>VLOOKUP(TbCarteira[[#This Row],[Ativo]],TbAtivos[],2,FALSE)</f>
        <v>EMPRESA</v>
      </c>
      <c r="C5">
        <f>VLOOKUP(TbCarteira[[#This Row],[Ativo]],TbAtivos[],3,FALSE)</f>
        <v>37.69</v>
      </c>
      <c r="D5" s="15">
        <f ca="1">SUMIFS(TbAportes[Total],TbAportes[Ativo],TbCarteira[[#This Row],[Ativo]],TbAportes[Data],"&lt;="&amp;IF($L$1="",TODAY(),$L$1))</f>
        <v>6614</v>
      </c>
      <c r="E5">
        <f ca="1">SUMIFS(TbAportes[Qte],TbAportes[Ativo],TbCarteira[[#This Row],[Ativo]],TbAportes[Data],"&lt;="&amp;IF($L$1="",TODAY(),$L$1))</f>
        <v>400</v>
      </c>
      <c r="F5" s="15">
        <f ca="1">TbCarteira[[#This Row],[Total Aportado]]/TbCarteira[[#This Row],[Total qte]]</f>
        <v>16.535</v>
      </c>
      <c r="G5" s="15">
        <f ca="1">TbCarteira[[#This Row],[Cotação]]*TbCarteira[[#This Row],[Total qte]]</f>
        <v>15076</v>
      </c>
      <c r="H5" s="15">
        <f ca="1">TbCarteira[[#This Row],[Total Atual]]-TbCarteira[[#This Row],[Total Aportado]]</f>
        <v>8462</v>
      </c>
      <c r="I5" s="17">
        <f ca="1">TbCarteira[[#This Row],[Total Atual]]/TbCarteira[[#This Row],[Total Aportado]] - 1</f>
        <v>1.2794073178107044</v>
      </c>
    </row>
    <row r="6" spans="1:12" x14ac:dyDescent="0.3">
      <c r="A6" t="s">
        <v>8</v>
      </c>
      <c r="B6" t="str">
        <f>VLOOKUP(TbCarteira[[#This Row],[Ativo]],TbAtivos[],2,FALSE)</f>
        <v>FII</v>
      </c>
      <c r="C6">
        <f>VLOOKUP(TbCarteira[[#This Row],[Ativo]],TbAtivos[],3,FALSE)</f>
        <v>177.02</v>
      </c>
      <c r="D6" s="15">
        <f ca="1">SUMIFS(TbAportes[Total],TbAportes[Ativo],TbCarteira[[#This Row],[Ativo]],TbAportes[Data],"&lt;="&amp;IF($L$1="",TODAY(),$L$1))</f>
        <v>1714.35</v>
      </c>
      <c r="E6">
        <f ca="1">SUMIFS(TbAportes[Qte],TbAportes[Ativo],TbCarteira[[#This Row],[Ativo]],TbAportes[Data],"&lt;="&amp;IF($L$1="",TODAY(),$L$1))</f>
        <v>9</v>
      </c>
      <c r="F6" s="15">
        <f ca="1">TbCarteira[[#This Row],[Total Aportado]]/TbCarteira[[#This Row],[Total qte]]</f>
        <v>190.48333333333332</v>
      </c>
      <c r="G6" s="15">
        <f ca="1">TbCarteira[[#This Row],[Cotação]]*TbCarteira[[#This Row],[Total qte]]</f>
        <v>1593.18</v>
      </c>
      <c r="H6" s="15">
        <f ca="1">TbCarteira[[#This Row],[Total Atual]]-TbCarteira[[#This Row],[Total Aportado]]</f>
        <v>-121.16999999999985</v>
      </c>
      <c r="I6" s="17">
        <f ca="1">TbCarteira[[#This Row],[Total Atual]]/TbCarteira[[#This Row],[Total Aportado]] - 1</f>
        <v>-7.0679849505643433E-2</v>
      </c>
    </row>
    <row r="7" spans="1:12" x14ac:dyDescent="0.3">
      <c r="A7" t="s">
        <v>10</v>
      </c>
      <c r="B7" t="str">
        <f>VLOOKUP(TbCarteira[[#This Row],[Ativo]],TbAtivos[],2,FALSE)</f>
        <v>FII</v>
      </c>
      <c r="C7">
        <f>VLOOKUP(TbCarteira[[#This Row],[Ativo]],TbAtivos[],3,FALSE)</f>
        <v>152.25</v>
      </c>
      <c r="D7" s="15">
        <f ca="1">SUMIFS(TbAportes[Total],TbAportes[Ativo],TbCarteira[[#This Row],[Ativo]],TbAportes[Data],"&lt;="&amp;IF($L$1="",TODAY(),$L$1))</f>
        <v>2350.81</v>
      </c>
      <c r="E7">
        <f ca="1">SUMIFS(TbAportes[Qte],TbAportes[Ativo],TbCarteira[[#This Row],[Ativo]],TbAportes[Data],"&lt;="&amp;IF($L$1="",TODAY(),$L$1))</f>
        <v>17</v>
      </c>
      <c r="F7" s="15">
        <f ca="1">TbCarteira[[#This Row],[Total Aportado]]/TbCarteira[[#This Row],[Total qte]]</f>
        <v>138.28294117647059</v>
      </c>
      <c r="G7" s="15">
        <f ca="1">TbCarteira[[#This Row],[Cotação]]*TbCarteira[[#This Row],[Total qte]]</f>
        <v>2588.25</v>
      </c>
      <c r="H7" s="15">
        <f ca="1">TbCarteira[[#This Row],[Total Atual]]-TbCarteira[[#This Row],[Total Aportado]]</f>
        <v>237.44000000000005</v>
      </c>
      <c r="I7" s="17">
        <f ca="1">TbCarteira[[#This Row],[Total Atual]]/TbCarteira[[#This Row],[Total Aportado]] - 1</f>
        <v>0.10100348390554736</v>
      </c>
    </row>
    <row r="8" spans="1:12" x14ac:dyDescent="0.3">
      <c r="A8" t="s">
        <v>11</v>
      </c>
      <c r="B8" t="str">
        <f>VLOOKUP(TbCarteira[[#This Row],[Ativo]],TbAtivos[],2,FALSE)</f>
        <v>FII</v>
      </c>
      <c r="C8">
        <f>VLOOKUP(TbCarteira[[#This Row],[Ativo]],TbAtivos[],3,FALSE)</f>
        <v>99.05</v>
      </c>
      <c r="D8" s="15">
        <f ca="1">SUMIFS(TbAportes[Total],TbAportes[Ativo],TbCarteira[[#This Row],[Ativo]],TbAportes[Data],"&lt;="&amp;IF($L$1="",TODAY(),$L$1))</f>
        <v>2492.5699999999997</v>
      </c>
      <c r="E8">
        <f ca="1">SUMIFS(TbAportes[Qte],TbAportes[Ativo],TbCarteira[[#This Row],[Ativo]],TbAportes[Data],"&lt;="&amp;IF($L$1="",TODAY(),$L$1))</f>
        <v>19</v>
      </c>
      <c r="F8" s="15">
        <f ca="1">TbCarteira[[#This Row],[Total Aportado]]/TbCarteira[[#This Row],[Total qte]]</f>
        <v>131.18789473684208</v>
      </c>
      <c r="G8" s="15">
        <f ca="1">TbCarteira[[#This Row],[Cotação]]*TbCarteira[[#This Row],[Total qte]]</f>
        <v>1881.95</v>
      </c>
      <c r="H8" s="15">
        <f ca="1">TbCarteira[[#This Row],[Total Atual]]-TbCarteira[[#This Row],[Total Aportado]]</f>
        <v>-610.61999999999966</v>
      </c>
      <c r="I8" s="17">
        <f ca="1">TbCarteira[[#This Row],[Total Atual]]/TbCarteira[[#This Row],[Total Aportado]] - 1</f>
        <v>-0.24497606887670142</v>
      </c>
    </row>
    <row r="9" spans="1:12" x14ac:dyDescent="0.3">
      <c r="A9" t="s">
        <v>12</v>
      </c>
      <c r="B9" t="str">
        <f>VLOOKUP(TbCarteira[[#This Row],[Ativo]],TbAtivos[],2,FALSE)</f>
        <v>FII</v>
      </c>
      <c r="C9">
        <f>VLOOKUP(TbCarteira[[#This Row],[Ativo]],TbAtivos[],3,FALSE)</f>
        <v>131</v>
      </c>
      <c r="D9" s="15">
        <f ca="1">SUMIFS(TbAportes[Total],TbAportes[Ativo],TbCarteira[[#This Row],[Ativo]],TbAportes[Data],"&lt;="&amp;IF($L$1="",TODAY(),$L$1))</f>
        <v>2635.3</v>
      </c>
      <c r="E9">
        <f ca="1">SUMIFS(TbAportes[Qte],TbAportes[Ativo],TbCarteira[[#This Row],[Ativo]],TbAportes[Data],"&lt;="&amp;IF($L$1="",TODAY(),$L$1))</f>
        <v>18</v>
      </c>
      <c r="F9" s="15">
        <f ca="1">TbCarteira[[#This Row],[Total Aportado]]/TbCarteira[[#This Row],[Total qte]]</f>
        <v>146.40555555555557</v>
      </c>
      <c r="G9" s="15">
        <f ca="1">TbCarteira[[#This Row],[Cotação]]*TbCarteira[[#This Row],[Total qte]]</f>
        <v>2358</v>
      </c>
      <c r="H9" s="15">
        <f ca="1">TbCarteira[[#This Row],[Total Atual]]-TbCarteira[[#This Row],[Total Aportado]]</f>
        <v>-277.30000000000018</v>
      </c>
      <c r="I9" s="17">
        <f ca="1">TbCarteira[[#This Row],[Total Atual]]/TbCarteira[[#This Row],[Total Aportado]] - 1</f>
        <v>-0.10522521155086717</v>
      </c>
    </row>
    <row r="10" spans="1:12" x14ac:dyDescent="0.3">
      <c r="A10" t="s">
        <v>21</v>
      </c>
      <c r="B10" t="str">
        <f>VLOOKUP(TbCarteira[[#This Row],[Ativo]],TbAtivos[],2,FALSE)</f>
        <v>EMPRESA</v>
      </c>
      <c r="C10">
        <f>VLOOKUP(TbCarteira[[#This Row],[Ativo]],TbAtivos[],3,FALSE)</f>
        <v>11.28</v>
      </c>
      <c r="D10" s="15">
        <f ca="1">SUMIFS(TbAportes[Total],TbAportes[Ativo],TbCarteira[[#This Row],[Ativo]],TbAportes[Data],"&lt;="&amp;IF($L$1="",TODAY(),$L$1))</f>
        <v>1635</v>
      </c>
      <c r="E10">
        <f ca="1">SUMIFS(TbAportes[Qte],TbAportes[Ativo],TbCarteira[[#This Row],[Ativo]],TbAportes[Data],"&lt;="&amp;IF($L$1="",TODAY(),$L$1))</f>
        <v>200</v>
      </c>
      <c r="F10" s="15">
        <f ca="1">TbCarteira[[#This Row],[Total Aportado]]/TbCarteira[[#This Row],[Total qte]]</f>
        <v>8.1750000000000007</v>
      </c>
      <c r="G10" s="15">
        <f ca="1">TbCarteira[[#This Row],[Cotação]]*TbCarteira[[#This Row],[Total qte]]</f>
        <v>2256</v>
      </c>
      <c r="H10" s="15">
        <f ca="1">TbCarteira[[#This Row],[Total Atual]]-TbCarteira[[#This Row],[Total Aportado]]</f>
        <v>621</v>
      </c>
      <c r="I10" s="17">
        <f ca="1">TbCarteira[[#This Row],[Total Atual]]/TbCarteira[[#This Row],[Total Aportado]] - 1</f>
        <v>0.37981651376146797</v>
      </c>
    </row>
    <row r="11" spans="1:12" x14ac:dyDescent="0.3">
      <c r="A11" t="s">
        <v>17</v>
      </c>
      <c r="D11" s="18">
        <f ca="1">SUBTOTAL(109,TbCarteira[Total Aportado])</f>
        <v>26791.03</v>
      </c>
      <c r="F11"/>
      <c r="G11" s="18">
        <f ca="1">SUBTOTAL(109,TbCarteira[Total Atual])</f>
        <v>33707.380000000005</v>
      </c>
      <c r="H11" s="18">
        <f ca="1">SUBTOTAL(109,TbCarteira[Valorização])</f>
        <v>6916.35</v>
      </c>
    </row>
  </sheetData>
  <conditionalFormatting sqref="H2:H10">
    <cfRule type="cellIs" dxfId="2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1FA3-91A3-4981-AE16-741F19DB5F72}">
  <dimension ref="A1:L7"/>
  <sheetViews>
    <sheetView workbookViewId="0">
      <selection activeCell="A7" sqref="A7:A10"/>
    </sheetView>
  </sheetViews>
  <sheetFormatPr defaultRowHeight="14.4" x14ac:dyDescent="0.3"/>
  <cols>
    <col min="2" max="2" width="9.109375" bestFit="1" customWidth="1"/>
    <col min="3" max="3" width="12.33203125" bestFit="1" customWidth="1"/>
    <col min="4" max="4" width="18.21875" style="15" bestFit="1" customWidth="1"/>
    <col min="5" max="5" width="12.88671875" bestFit="1" customWidth="1"/>
    <col min="6" max="6" width="10.33203125" style="15" bestFit="1" customWidth="1"/>
    <col min="7" max="7" width="14.5546875" style="15" bestFit="1" customWidth="1"/>
    <col min="8" max="8" width="15.109375" style="15" bestFit="1" customWidth="1"/>
    <col min="9" max="9" width="17" style="17" bestFit="1" customWidth="1"/>
    <col min="11" max="11" width="13.21875" bestFit="1" customWidth="1"/>
    <col min="12" max="12" width="10.5546875" bestFit="1" customWidth="1"/>
  </cols>
  <sheetData>
    <row r="1" spans="1:12" x14ac:dyDescent="0.3">
      <c r="A1" s="11" t="s">
        <v>0</v>
      </c>
      <c r="B1" s="11" t="s">
        <v>1</v>
      </c>
      <c r="C1" s="11" t="s">
        <v>2</v>
      </c>
      <c r="D1" s="14" t="s">
        <v>46</v>
      </c>
      <c r="E1" s="11" t="s">
        <v>47</v>
      </c>
      <c r="F1" s="14" t="s">
        <v>48</v>
      </c>
      <c r="G1" s="14" t="s">
        <v>49</v>
      </c>
      <c r="H1" s="14" t="s">
        <v>50</v>
      </c>
      <c r="I1" s="16" t="s">
        <v>51</v>
      </c>
      <c r="K1" s="12" t="s">
        <v>52</v>
      </c>
      <c r="L1" s="13"/>
    </row>
    <row r="2" spans="1:12" x14ac:dyDescent="0.3">
      <c r="A2" t="s">
        <v>3</v>
      </c>
      <c r="B2" t="str">
        <f>VLOOKUP(TbCarteiraAcoes[[#This Row],[Ativo]],TbAtivos[],2,FALSE)</f>
        <v>EMPRESA</v>
      </c>
      <c r="C2">
        <f>VLOOKUP(TbCarteiraAcoes[[#This Row],[Ativo]],TbAtivos[],3,FALSE)</f>
        <v>9.09</v>
      </c>
      <c r="D2" s="15">
        <f ca="1">SUMIFS(TbAportes[Total],TbAportes[Ativo],TbCarteiraAcoes[[#This Row],[Ativo]],TbAportes[Data],"&lt;="&amp;IF($L$1="",TODAY(),$L$1))</f>
        <v>2810</v>
      </c>
      <c r="E2">
        <f ca="1">SUMIFS(TbAportes[Qte],TbAportes[Ativo],TbCarteiraAcoes[[#This Row],[Ativo]],TbAportes[Data],"&lt;="&amp;IF($L$1="",TODAY(),$L$1))</f>
        <v>300</v>
      </c>
      <c r="F2" s="15">
        <f ca="1">TbCarteiraAcoes[[#This Row],[Total Aportado]]/TbCarteiraAcoes[[#This Row],[Total qte]]</f>
        <v>9.3666666666666671</v>
      </c>
      <c r="G2" s="15">
        <f ca="1">TbCarteiraAcoes[[#This Row],[Cotação]]*TbCarteiraAcoes[[#This Row],[Total qte]]</f>
        <v>2727</v>
      </c>
      <c r="H2" s="15">
        <f ca="1">TbCarteiraAcoes[[#This Row],[Total Atual]]-TbCarteiraAcoes[[#This Row],[Total Aportado]]</f>
        <v>-83</v>
      </c>
      <c r="I2" s="17">
        <f ca="1">TbCarteiraAcoes[[#This Row],[Total Atual]]/TbCarteiraAcoes[[#This Row],[Total Aportado]] - 1</f>
        <v>-2.9537366548042732E-2</v>
      </c>
    </row>
    <row r="3" spans="1:12" x14ac:dyDescent="0.3">
      <c r="A3" t="s">
        <v>5</v>
      </c>
      <c r="B3" t="str">
        <f>VLOOKUP(TbCarteiraAcoes[[#This Row],[Ativo]],TbAtivos[],2,FALSE)</f>
        <v>EMPRESA</v>
      </c>
      <c r="C3">
        <f>VLOOKUP(TbCarteiraAcoes[[#This Row],[Ativo]],TbAtivos[],3,FALSE)</f>
        <v>11.84</v>
      </c>
      <c r="D3" s="15">
        <f ca="1">SUMIFS(TbAportes[Total],TbAportes[Ativo],TbCarteiraAcoes[[#This Row],[Ativo]],TbAportes[Data],"&lt;="&amp;IF($L$1="",TODAY(),$L$1))</f>
        <v>4027</v>
      </c>
      <c r="E3">
        <f ca="1">SUMIFS(TbAportes[Qte],TbAportes[Ativo],TbCarteiraAcoes[[#This Row],[Ativo]],TbAportes[Data],"&lt;="&amp;IF($L$1="",TODAY(),$L$1))</f>
        <v>200</v>
      </c>
      <c r="F3" s="15">
        <f ca="1">TbCarteiraAcoes[[#This Row],[Total Aportado]]/TbCarteiraAcoes[[#This Row],[Total qte]]</f>
        <v>20.135000000000002</v>
      </c>
      <c r="G3" s="15">
        <f ca="1">TbCarteiraAcoes[[#This Row],[Cotação]]*TbCarteiraAcoes[[#This Row],[Total qte]]</f>
        <v>2368</v>
      </c>
      <c r="H3" s="15">
        <f ca="1">TbCarteiraAcoes[[#This Row],[Total Atual]]-TbCarteiraAcoes[[#This Row],[Total Aportado]]</f>
        <v>-1659</v>
      </c>
      <c r="I3" s="17">
        <f ca="1">TbCarteiraAcoes[[#This Row],[Total Atual]]/TbCarteiraAcoes[[#This Row],[Total Aportado]] - 1</f>
        <v>-0.4119692078470325</v>
      </c>
    </row>
    <row r="4" spans="1:12" x14ac:dyDescent="0.3">
      <c r="A4" t="s">
        <v>6</v>
      </c>
      <c r="B4" t="str">
        <f>VLOOKUP(TbCarteiraAcoes[[#This Row],[Ativo]],TbAtivos[],2,FALSE)</f>
        <v>EMPRESA</v>
      </c>
      <c r="C4">
        <f>VLOOKUP(TbCarteiraAcoes[[#This Row],[Ativo]],TbAtivos[],3,FALSE)</f>
        <v>9.5299999999999994</v>
      </c>
      <c r="D4" s="15">
        <f ca="1">SUMIFS(TbAportes[Total],TbAportes[Ativo],TbCarteiraAcoes[[#This Row],[Ativo]],TbAportes[Data],"&lt;="&amp;IF($L$1="",TODAY(),$L$1))</f>
        <v>2512</v>
      </c>
      <c r="E4">
        <f ca="1">SUMIFS(TbAportes[Qte],TbAportes[Ativo],TbCarteiraAcoes[[#This Row],[Ativo]],TbAportes[Data],"&lt;="&amp;IF($L$1="",TODAY(),$L$1))</f>
        <v>300</v>
      </c>
      <c r="F4" s="15">
        <f ca="1">TbCarteiraAcoes[[#This Row],[Total Aportado]]/TbCarteiraAcoes[[#This Row],[Total qte]]</f>
        <v>8.3733333333333331</v>
      </c>
      <c r="G4" s="15">
        <f ca="1">TbCarteiraAcoes[[#This Row],[Cotação]]*TbCarteiraAcoes[[#This Row],[Total qte]]</f>
        <v>2859</v>
      </c>
      <c r="H4" s="15">
        <f ca="1">TbCarteiraAcoes[[#This Row],[Total Atual]]-TbCarteiraAcoes[[#This Row],[Total Aportado]]</f>
        <v>347</v>
      </c>
      <c r="I4" s="17">
        <f ca="1">TbCarteiraAcoes[[#This Row],[Total Atual]]/TbCarteiraAcoes[[#This Row],[Total Aportado]] - 1</f>
        <v>0.1381369426751593</v>
      </c>
    </row>
    <row r="5" spans="1:12" x14ac:dyDescent="0.3">
      <c r="A5" t="s">
        <v>7</v>
      </c>
      <c r="B5" t="str">
        <f>VLOOKUP(TbCarteiraAcoes[[#This Row],[Ativo]],TbAtivos[],2,FALSE)</f>
        <v>EMPRESA</v>
      </c>
      <c r="C5">
        <f>VLOOKUP(TbCarteiraAcoes[[#This Row],[Ativo]],TbAtivos[],3,FALSE)</f>
        <v>37.69</v>
      </c>
      <c r="D5" s="15">
        <f ca="1">SUMIFS(TbAportes[Total],TbAportes[Ativo],TbCarteiraAcoes[[#This Row],[Ativo]],TbAportes[Data],"&lt;="&amp;IF($L$1="",TODAY(),$L$1))</f>
        <v>6614</v>
      </c>
      <c r="E5">
        <f ca="1">SUMIFS(TbAportes[Qte],TbAportes[Ativo],TbCarteiraAcoes[[#This Row],[Ativo]],TbAportes[Data],"&lt;="&amp;IF($L$1="",TODAY(),$L$1))</f>
        <v>400</v>
      </c>
      <c r="F5" s="15">
        <f ca="1">TbCarteiraAcoes[[#This Row],[Total Aportado]]/TbCarteiraAcoes[[#This Row],[Total qte]]</f>
        <v>16.535</v>
      </c>
      <c r="G5" s="15">
        <f ca="1">TbCarteiraAcoes[[#This Row],[Cotação]]*TbCarteiraAcoes[[#This Row],[Total qte]]</f>
        <v>15076</v>
      </c>
      <c r="H5" s="15">
        <f ca="1">TbCarteiraAcoes[[#This Row],[Total Atual]]-TbCarteiraAcoes[[#This Row],[Total Aportado]]</f>
        <v>8462</v>
      </c>
      <c r="I5" s="17">
        <f ca="1">TbCarteiraAcoes[[#This Row],[Total Atual]]/TbCarteiraAcoes[[#This Row],[Total Aportado]] - 1</f>
        <v>1.2794073178107044</v>
      </c>
    </row>
    <row r="6" spans="1:12" x14ac:dyDescent="0.3">
      <c r="A6" t="s">
        <v>21</v>
      </c>
      <c r="B6" t="str">
        <f>VLOOKUP(TbCarteiraAcoes[[#This Row],[Ativo]],TbAtivos[],2,FALSE)</f>
        <v>EMPRESA</v>
      </c>
      <c r="C6">
        <f>VLOOKUP(TbCarteiraAcoes[[#This Row],[Ativo]],TbAtivos[],3,FALSE)</f>
        <v>11.28</v>
      </c>
      <c r="D6" s="15">
        <f ca="1">SUMIFS(TbAportes[Total],TbAportes[Ativo],TbCarteiraAcoes[[#This Row],[Ativo]],TbAportes[Data],"&lt;="&amp;IF($L$1="",TODAY(),$L$1))</f>
        <v>1635</v>
      </c>
      <c r="E6">
        <f ca="1">SUMIFS(TbAportes[Qte],TbAportes[Ativo],TbCarteiraAcoes[[#This Row],[Ativo]],TbAportes[Data],"&lt;="&amp;IF($L$1="",TODAY(),$L$1))</f>
        <v>200</v>
      </c>
      <c r="F6" s="15">
        <f ca="1">TbCarteiraAcoes[[#This Row],[Total Aportado]]/TbCarteiraAcoes[[#This Row],[Total qte]]</f>
        <v>8.1750000000000007</v>
      </c>
      <c r="G6" s="15">
        <f ca="1">TbCarteiraAcoes[[#This Row],[Cotação]]*TbCarteiraAcoes[[#This Row],[Total qte]]</f>
        <v>2256</v>
      </c>
      <c r="H6" s="15">
        <f ca="1">TbCarteiraAcoes[[#This Row],[Total Atual]]-TbCarteiraAcoes[[#This Row],[Total Aportado]]</f>
        <v>621</v>
      </c>
      <c r="I6" s="17">
        <f ca="1">TbCarteiraAcoes[[#This Row],[Total Atual]]/TbCarteiraAcoes[[#This Row],[Total Aportado]] - 1</f>
        <v>0.37981651376146797</v>
      </c>
    </row>
    <row r="7" spans="1:12" x14ac:dyDescent="0.3">
      <c r="A7" t="s">
        <v>17</v>
      </c>
      <c r="D7" s="18">
        <f ca="1">SUBTOTAL(109,TbCarteiraAcoes[Total Aportado])</f>
        <v>17598</v>
      </c>
      <c r="F7"/>
      <c r="G7" s="18">
        <f ca="1">SUBTOTAL(109,TbCarteiraAcoes[Total Atual])</f>
        <v>25286</v>
      </c>
      <c r="H7" s="18">
        <f ca="1">SUBTOTAL(109,TbCarteiraAcoes[Valorização])</f>
        <v>7688</v>
      </c>
    </row>
  </sheetData>
  <conditionalFormatting sqref="H2:H6">
    <cfRule type="cellIs" dxfId="1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58A5-B13E-457A-A590-2F08A6C82E96}">
  <dimension ref="A1:L6"/>
  <sheetViews>
    <sheetView workbookViewId="0">
      <selection activeCell="F4" sqref="F4"/>
    </sheetView>
  </sheetViews>
  <sheetFormatPr defaultRowHeight="14.4" x14ac:dyDescent="0.3"/>
  <cols>
    <col min="2" max="2" width="9.109375" bestFit="1" customWidth="1"/>
    <col min="3" max="3" width="12.33203125" bestFit="1" customWidth="1"/>
    <col min="4" max="4" width="18.21875" style="15" bestFit="1" customWidth="1"/>
    <col min="5" max="5" width="12.88671875" bestFit="1" customWidth="1"/>
    <col min="6" max="6" width="10.33203125" style="15" bestFit="1" customWidth="1"/>
    <col min="7" max="7" width="14.5546875" style="15" bestFit="1" customWidth="1"/>
    <col min="8" max="8" width="15.109375" style="15" bestFit="1" customWidth="1"/>
    <col min="9" max="9" width="17" style="17" bestFit="1" customWidth="1"/>
    <col min="11" max="11" width="13.21875" bestFit="1" customWidth="1"/>
    <col min="12" max="12" width="10.5546875" bestFit="1" customWidth="1"/>
  </cols>
  <sheetData>
    <row r="1" spans="1:12" x14ac:dyDescent="0.3">
      <c r="A1" s="11" t="s">
        <v>0</v>
      </c>
      <c r="B1" s="11" t="s">
        <v>1</v>
      </c>
      <c r="C1" s="11" t="s">
        <v>2</v>
      </c>
      <c r="D1" s="14" t="s">
        <v>46</v>
      </c>
      <c r="E1" s="11" t="s">
        <v>47</v>
      </c>
      <c r="F1" s="14" t="s">
        <v>48</v>
      </c>
      <c r="G1" s="14" t="s">
        <v>49</v>
      </c>
      <c r="H1" s="14" t="s">
        <v>50</v>
      </c>
      <c r="I1" s="16" t="s">
        <v>51</v>
      </c>
      <c r="K1" s="12" t="s">
        <v>52</v>
      </c>
      <c r="L1" s="13"/>
    </row>
    <row r="2" spans="1:12" x14ac:dyDescent="0.3">
      <c r="A2" t="s">
        <v>8</v>
      </c>
      <c r="B2" t="str">
        <f>VLOOKUP(TbCarteiraFII[[#This Row],[Ativo]],TbAtivos[],2,FALSE)</f>
        <v>FII</v>
      </c>
      <c r="C2">
        <f>VLOOKUP(TbCarteiraFII[[#This Row],[Ativo]],TbAtivos[],3,FALSE)</f>
        <v>177.02</v>
      </c>
      <c r="D2" s="15">
        <f ca="1">SUMIFS(TbAportes[Total],TbAportes[Ativo],TbCarteiraFII[[#This Row],[Ativo]],TbAportes[Data],"&lt;="&amp;IF($L$1="",TODAY(),$L$1))</f>
        <v>1714.35</v>
      </c>
      <c r="E2">
        <f ca="1">SUMIFS(TbAportes[Qte],TbAportes[Ativo],TbCarteiraFII[[#This Row],[Ativo]],TbAportes[Data],"&lt;="&amp;IF($L$1="",TODAY(),$L$1))</f>
        <v>9</v>
      </c>
      <c r="F2" s="15">
        <f ca="1">TbCarteiraFII[[#This Row],[Total Aportado]]/TbCarteiraFII[[#This Row],[Total qte]]</f>
        <v>190.48333333333332</v>
      </c>
      <c r="G2" s="15">
        <f ca="1">TbCarteiraFII[[#This Row],[Cotação]]*TbCarteiraFII[[#This Row],[Total qte]]</f>
        <v>1593.18</v>
      </c>
      <c r="H2" s="15">
        <f ca="1">TbCarteiraFII[[#This Row],[Total Atual]]-TbCarteiraFII[[#This Row],[Total Aportado]]</f>
        <v>-121.16999999999985</v>
      </c>
      <c r="I2" s="17">
        <f ca="1">TbCarteiraFII[[#This Row],[Total Atual]]/TbCarteiraFII[[#This Row],[Total Aportado]] - 1</f>
        <v>-7.0679849505643433E-2</v>
      </c>
    </row>
    <row r="3" spans="1:12" x14ac:dyDescent="0.3">
      <c r="A3" t="s">
        <v>10</v>
      </c>
      <c r="B3" t="str">
        <f>VLOOKUP(TbCarteiraFII[[#This Row],[Ativo]],TbAtivos[],2,FALSE)</f>
        <v>FII</v>
      </c>
      <c r="C3">
        <f>VLOOKUP(TbCarteiraFII[[#This Row],[Ativo]],TbAtivos[],3,FALSE)</f>
        <v>152.25</v>
      </c>
      <c r="D3" s="15">
        <f ca="1">SUMIFS(TbAportes[Total],TbAportes[Ativo],TbCarteiraFII[[#This Row],[Ativo]],TbAportes[Data],"&lt;="&amp;IF($L$1="",TODAY(),$L$1))</f>
        <v>2350.81</v>
      </c>
      <c r="E3">
        <f ca="1">SUMIFS(TbAportes[Qte],TbAportes[Ativo],TbCarteiraFII[[#This Row],[Ativo]],TbAportes[Data],"&lt;="&amp;IF($L$1="",TODAY(),$L$1))</f>
        <v>17</v>
      </c>
      <c r="F3" s="15">
        <f ca="1">TbCarteiraFII[[#This Row],[Total Aportado]]/TbCarteiraFII[[#This Row],[Total qte]]</f>
        <v>138.28294117647059</v>
      </c>
      <c r="G3" s="15">
        <f ca="1">TbCarteiraFII[[#This Row],[Cotação]]*TbCarteiraFII[[#This Row],[Total qte]]</f>
        <v>2588.25</v>
      </c>
      <c r="H3" s="15">
        <f ca="1">TbCarteiraFII[[#This Row],[Total Atual]]-TbCarteiraFII[[#This Row],[Total Aportado]]</f>
        <v>237.44000000000005</v>
      </c>
      <c r="I3" s="17">
        <f ca="1">TbCarteiraFII[[#This Row],[Total Atual]]/TbCarteiraFII[[#This Row],[Total Aportado]] - 1</f>
        <v>0.10100348390554736</v>
      </c>
    </row>
    <row r="4" spans="1:12" x14ac:dyDescent="0.3">
      <c r="A4" t="s">
        <v>11</v>
      </c>
      <c r="B4" t="str">
        <f>VLOOKUP(TbCarteiraFII[[#This Row],[Ativo]],TbAtivos[],2,FALSE)</f>
        <v>FII</v>
      </c>
      <c r="C4">
        <f>VLOOKUP(TbCarteiraFII[[#This Row],[Ativo]],TbAtivos[],3,FALSE)</f>
        <v>99.05</v>
      </c>
      <c r="D4" s="15">
        <f ca="1">SUMIFS(TbAportes[Total],TbAportes[Ativo],TbCarteiraFII[[#This Row],[Ativo]],TbAportes[Data],"&lt;="&amp;IF($L$1="",TODAY(),$L$1))</f>
        <v>2492.5699999999997</v>
      </c>
      <c r="E4">
        <f ca="1">SUMIFS(TbAportes[Qte],TbAportes[Ativo],TbCarteiraFII[[#This Row],[Ativo]],TbAportes[Data],"&lt;="&amp;IF($L$1="",TODAY(),$L$1))</f>
        <v>19</v>
      </c>
      <c r="F4" s="15">
        <f ca="1">TbCarteiraFII[[#This Row],[Total Aportado]]/TbCarteiraFII[[#This Row],[Total qte]]</f>
        <v>131.18789473684208</v>
      </c>
      <c r="G4" s="15">
        <f ca="1">TbCarteiraFII[[#This Row],[Cotação]]*TbCarteiraFII[[#This Row],[Total qte]]</f>
        <v>1881.95</v>
      </c>
      <c r="H4" s="15">
        <f ca="1">TbCarteiraFII[[#This Row],[Total Atual]]-TbCarteiraFII[[#This Row],[Total Aportado]]</f>
        <v>-610.61999999999966</v>
      </c>
      <c r="I4" s="17">
        <f ca="1">TbCarteiraFII[[#This Row],[Total Atual]]/TbCarteiraFII[[#This Row],[Total Aportado]] - 1</f>
        <v>-0.24497606887670142</v>
      </c>
    </row>
    <row r="5" spans="1:12" x14ac:dyDescent="0.3">
      <c r="A5" t="s">
        <v>12</v>
      </c>
      <c r="B5" t="str">
        <f>VLOOKUP(TbCarteiraFII[[#This Row],[Ativo]],TbAtivos[],2,FALSE)</f>
        <v>FII</v>
      </c>
      <c r="C5">
        <f>VLOOKUP(TbCarteiraFII[[#This Row],[Ativo]],TbAtivos[],3,FALSE)</f>
        <v>131</v>
      </c>
      <c r="D5" s="15">
        <f ca="1">SUMIFS(TbAportes[Total],TbAportes[Ativo],TbCarteiraFII[[#This Row],[Ativo]],TbAportes[Data],"&lt;="&amp;IF($L$1="",TODAY(),$L$1))</f>
        <v>2635.3</v>
      </c>
      <c r="E5">
        <f ca="1">SUMIFS(TbAportes[Qte],TbAportes[Ativo],TbCarteiraFII[[#This Row],[Ativo]],TbAportes[Data],"&lt;="&amp;IF($L$1="",TODAY(),$L$1))</f>
        <v>18</v>
      </c>
      <c r="F5" s="15">
        <f ca="1">TbCarteiraFII[[#This Row],[Total Aportado]]/TbCarteiraFII[[#This Row],[Total qte]]</f>
        <v>146.40555555555557</v>
      </c>
      <c r="G5" s="15">
        <f ca="1">TbCarteiraFII[[#This Row],[Cotação]]*TbCarteiraFII[[#This Row],[Total qte]]</f>
        <v>2358</v>
      </c>
      <c r="H5" s="15">
        <f ca="1">TbCarteiraFII[[#This Row],[Total Atual]]-TbCarteiraFII[[#This Row],[Total Aportado]]</f>
        <v>-277.30000000000018</v>
      </c>
      <c r="I5" s="17">
        <f ca="1">TbCarteiraFII[[#This Row],[Total Atual]]/TbCarteiraFII[[#This Row],[Total Aportado]] - 1</f>
        <v>-0.10522521155086717</v>
      </c>
    </row>
    <row r="6" spans="1:12" x14ac:dyDescent="0.3">
      <c r="A6" t="s">
        <v>17</v>
      </c>
      <c r="D6" s="18">
        <f ca="1">SUBTOTAL(109,TbCarteiraFII[Total Aportado])</f>
        <v>9193.0299999999988</v>
      </c>
      <c r="F6"/>
      <c r="G6" s="18">
        <f ca="1">SUBTOTAL(109,TbCarteiraFII[Total Atual])</f>
        <v>8421.380000000001</v>
      </c>
      <c r="H6" s="18">
        <f ca="1">SUBTOTAL(109,TbCarteiraFII[Valorização])</f>
        <v>-771.64999999999964</v>
      </c>
    </row>
  </sheetData>
  <conditionalFormatting sqref="H2:H5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5DAC-ECB0-4305-B172-98356F99D065}">
  <dimension ref="A3:N16"/>
  <sheetViews>
    <sheetView workbookViewId="0">
      <selection activeCell="A4" sqref="A4"/>
    </sheetView>
  </sheetViews>
  <sheetFormatPr defaultRowHeight="14.4" x14ac:dyDescent="0.3"/>
  <cols>
    <col min="1" max="1" width="20.109375" bestFit="1" customWidth="1"/>
    <col min="2" max="2" width="18.5546875" bestFit="1" customWidth="1"/>
    <col min="3" max="11" width="10" bestFit="1" customWidth="1"/>
    <col min="12" max="12" width="11.5546875" bestFit="1" customWidth="1"/>
    <col min="13" max="13" width="10" bestFit="1" customWidth="1"/>
    <col min="14" max="14" width="11.5546875" bestFit="1" customWidth="1"/>
  </cols>
  <sheetData>
    <row r="3" spans="1:14" x14ac:dyDescent="0.3">
      <c r="A3" s="8" t="s">
        <v>45</v>
      </c>
      <c r="B3" s="8" t="s">
        <v>29</v>
      </c>
    </row>
    <row r="4" spans="1:14" x14ac:dyDescent="0.3">
      <c r="A4" s="8" t="s">
        <v>27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28</v>
      </c>
    </row>
    <row r="5" spans="1:14" x14ac:dyDescent="0.3">
      <c r="A5" s="9" t="s">
        <v>4</v>
      </c>
      <c r="B5" s="2">
        <v>39.479999999999997</v>
      </c>
      <c r="C5" s="2">
        <v>61</v>
      </c>
      <c r="D5" s="2">
        <v>65.430000000000007</v>
      </c>
      <c r="E5" s="2">
        <v>163.66</v>
      </c>
      <c r="F5" s="2">
        <v>162.75</v>
      </c>
      <c r="G5" s="2">
        <v>156.13999999999999</v>
      </c>
      <c r="H5" s="2">
        <v>166</v>
      </c>
      <c r="I5" s="2">
        <v>162.75</v>
      </c>
      <c r="J5" s="2">
        <v>156.13999999999999</v>
      </c>
      <c r="K5" s="2">
        <v>166</v>
      </c>
      <c r="L5" s="2">
        <v>484.89</v>
      </c>
      <c r="M5" s="2">
        <v>162.75</v>
      </c>
      <c r="N5" s="2">
        <v>1946.99</v>
      </c>
    </row>
    <row r="6" spans="1:14" x14ac:dyDescent="0.3">
      <c r="A6" s="10" t="s">
        <v>3</v>
      </c>
      <c r="B6" s="2"/>
      <c r="C6" s="2"/>
      <c r="D6" s="2"/>
      <c r="E6" s="2"/>
      <c r="F6" s="2"/>
      <c r="G6" s="2"/>
      <c r="H6" s="2"/>
      <c r="I6" s="2"/>
      <c r="J6" s="2"/>
      <c r="K6" s="2">
        <v>166</v>
      </c>
      <c r="L6" s="2"/>
      <c r="M6" s="2"/>
      <c r="N6" s="2">
        <v>166</v>
      </c>
    </row>
    <row r="7" spans="1:14" x14ac:dyDescent="0.3">
      <c r="A7" s="10" t="s">
        <v>5</v>
      </c>
      <c r="B7" s="2"/>
      <c r="C7" s="2"/>
      <c r="D7" s="2"/>
      <c r="E7" s="2">
        <v>163.66</v>
      </c>
      <c r="F7" s="2"/>
      <c r="G7" s="2"/>
      <c r="H7" s="2"/>
      <c r="I7" s="2"/>
      <c r="J7" s="2">
        <v>156.13999999999999</v>
      </c>
      <c r="K7" s="2"/>
      <c r="L7" s="2"/>
      <c r="M7" s="2"/>
      <c r="N7" s="2">
        <v>319.79999999999995</v>
      </c>
    </row>
    <row r="8" spans="1:14" x14ac:dyDescent="0.3">
      <c r="A8" s="10" t="s">
        <v>6</v>
      </c>
      <c r="B8" s="2">
        <v>39.479999999999997</v>
      </c>
      <c r="C8" s="2"/>
      <c r="D8" s="2">
        <v>65.430000000000007</v>
      </c>
      <c r="E8" s="2"/>
      <c r="F8" s="2">
        <v>162.75</v>
      </c>
      <c r="G8" s="2"/>
      <c r="H8" s="2">
        <v>166</v>
      </c>
      <c r="I8" s="2"/>
      <c r="J8" s="2"/>
      <c r="K8" s="2"/>
      <c r="L8" s="2">
        <v>328.75</v>
      </c>
      <c r="M8" s="2"/>
      <c r="N8" s="2">
        <v>762.41</v>
      </c>
    </row>
    <row r="9" spans="1:14" x14ac:dyDescent="0.3">
      <c r="A9" s="10" t="s">
        <v>7</v>
      </c>
      <c r="B9" s="2"/>
      <c r="C9" s="2">
        <v>61</v>
      </c>
      <c r="D9" s="2"/>
      <c r="E9" s="2"/>
      <c r="F9" s="2"/>
      <c r="G9" s="2"/>
      <c r="H9" s="2"/>
      <c r="I9" s="2">
        <v>162.75</v>
      </c>
      <c r="J9" s="2"/>
      <c r="K9" s="2"/>
      <c r="L9" s="2"/>
      <c r="M9" s="2"/>
      <c r="N9" s="2">
        <v>223.75</v>
      </c>
    </row>
    <row r="10" spans="1:14" x14ac:dyDescent="0.3">
      <c r="A10" s="10" t="s">
        <v>21</v>
      </c>
      <c r="B10" s="2"/>
      <c r="C10" s="2"/>
      <c r="D10" s="2"/>
      <c r="E10" s="2"/>
      <c r="F10" s="2"/>
      <c r="G10" s="2">
        <v>156.13999999999999</v>
      </c>
      <c r="H10" s="2"/>
      <c r="I10" s="2"/>
      <c r="J10" s="2"/>
      <c r="K10" s="2"/>
      <c r="L10" s="2">
        <v>156.13999999999999</v>
      </c>
      <c r="M10" s="2">
        <v>162.75</v>
      </c>
      <c r="N10" s="2">
        <v>475.03</v>
      </c>
    </row>
    <row r="11" spans="1:14" x14ac:dyDescent="0.3">
      <c r="A11" s="9" t="s">
        <v>9</v>
      </c>
      <c r="B11" s="2">
        <v>217.66</v>
      </c>
      <c r="C11" s="2">
        <v>228.62</v>
      </c>
      <c r="D11" s="2">
        <v>358.32</v>
      </c>
      <c r="E11" s="2">
        <v>308.72000000000003</v>
      </c>
      <c r="F11" s="2">
        <v>433.18</v>
      </c>
      <c r="G11" s="2">
        <v>358.32</v>
      </c>
      <c r="H11" s="2">
        <v>308.72000000000003</v>
      </c>
      <c r="I11" s="2">
        <v>433.18</v>
      </c>
      <c r="J11" s="2">
        <v>357.29</v>
      </c>
      <c r="K11" s="2">
        <v>308.72000000000003</v>
      </c>
      <c r="L11" s="2">
        <v>1100.22</v>
      </c>
      <c r="M11" s="2">
        <v>433.18</v>
      </c>
      <c r="N11" s="2">
        <v>4846.1299999999992</v>
      </c>
    </row>
    <row r="12" spans="1:14" x14ac:dyDescent="0.3">
      <c r="A12" s="10" t="s">
        <v>8</v>
      </c>
      <c r="B12" s="2">
        <v>63</v>
      </c>
      <c r="C12" s="2">
        <v>75.709999999999994</v>
      </c>
      <c r="D12" s="2">
        <v>61</v>
      </c>
      <c r="E12" s="2">
        <v>37.44</v>
      </c>
      <c r="F12" s="2">
        <v>61</v>
      </c>
      <c r="G12" s="2">
        <v>61</v>
      </c>
      <c r="H12" s="2">
        <v>37.44</v>
      </c>
      <c r="I12" s="2">
        <v>61</v>
      </c>
      <c r="J12" s="2">
        <v>59.97</v>
      </c>
      <c r="K12" s="2">
        <v>37.44</v>
      </c>
      <c r="L12" s="2">
        <v>159.44</v>
      </c>
      <c r="M12" s="2">
        <v>61</v>
      </c>
      <c r="N12" s="2">
        <v>775.44</v>
      </c>
    </row>
    <row r="13" spans="1:14" x14ac:dyDescent="0.3">
      <c r="A13" s="10" t="s">
        <v>10</v>
      </c>
      <c r="B13" s="2">
        <v>81</v>
      </c>
      <c r="C13" s="2">
        <v>39.36</v>
      </c>
      <c r="D13" s="2">
        <v>99</v>
      </c>
      <c r="E13" s="2">
        <v>52.02</v>
      </c>
      <c r="F13" s="2">
        <v>180.6</v>
      </c>
      <c r="G13" s="2">
        <v>99</v>
      </c>
      <c r="H13" s="2">
        <v>52.02</v>
      </c>
      <c r="I13" s="2">
        <v>180.6</v>
      </c>
      <c r="J13" s="2">
        <v>99</v>
      </c>
      <c r="K13" s="2">
        <v>52.02</v>
      </c>
      <c r="L13" s="2">
        <v>331.62</v>
      </c>
      <c r="M13" s="2">
        <v>180.6</v>
      </c>
      <c r="N13" s="2">
        <v>1446.84</v>
      </c>
    </row>
    <row r="14" spans="1:14" x14ac:dyDescent="0.3">
      <c r="A14" s="10" t="s">
        <v>11</v>
      </c>
      <c r="B14" s="2">
        <v>38.89</v>
      </c>
      <c r="C14" s="2">
        <v>51.8</v>
      </c>
      <c r="D14" s="2">
        <v>99.9</v>
      </c>
      <c r="E14" s="2">
        <v>42.14</v>
      </c>
      <c r="F14" s="2">
        <v>38.4</v>
      </c>
      <c r="G14" s="2">
        <v>99.9</v>
      </c>
      <c r="H14" s="2">
        <v>42.14</v>
      </c>
      <c r="I14" s="2">
        <v>38.4</v>
      </c>
      <c r="J14" s="2">
        <v>99.9</v>
      </c>
      <c r="K14" s="2">
        <v>42.14</v>
      </c>
      <c r="L14" s="2">
        <v>180.44</v>
      </c>
      <c r="M14" s="2">
        <v>38.4</v>
      </c>
      <c r="N14" s="2">
        <v>812.44999999999993</v>
      </c>
    </row>
    <row r="15" spans="1:14" x14ac:dyDescent="0.3">
      <c r="A15" s="10" t="s">
        <v>12</v>
      </c>
      <c r="B15" s="2">
        <v>34.770000000000003</v>
      </c>
      <c r="C15" s="2">
        <v>61.75</v>
      </c>
      <c r="D15" s="2">
        <v>98.42</v>
      </c>
      <c r="E15" s="2">
        <v>177.12</v>
      </c>
      <c r="F15" s="2">
        <v>153.18</v>
      </c>
      <c r="G15" s="2">
        <v>98.42</v>
      </c>
      <c r="H15" s="2">
        <v>177.12</v>
      </c>
      <c r="I15" s="2">
        <v>153.18</v>
      </c>
      <c r="J15" s="2">
        <v>98.42</v>
      </c>
      <c r="K15" s="2">
        <v>177.12</v>
      </c>
      <c r="L15" s="2">
        <v>428.72</v>
      </c>
      <c r="M15" s="2">
        <v>153.18</v>
      </c>
      <c r="N15" s="2">
        <v>1811.4</v>
      </c>
    </row>
    <row r="16" spans="1:14" x14ac:dyDescent="0.3">
      <c r="A16" s="9" t="s">
        <v>28</v>
      </c>
      <c r="B16" s="2">
        <v>257.14</v>
      </c>
      <c r="C16" s="2">
        <v>289.62</v>
      </c>
      <c r="D16" s="2">
        <v>423.75000000000006</v>
      </c>
      <c r="E16" s="2">
        <v>472.38</v>
      </c>
      <c r="F16" s="2">
        <v>595.93000000000006</v>
      </c>
      <c r="G16" s="2">
        <v>514.45999999999992</v>
      </c>
      <c r="H16" s="2">
        <v>474.72</v>
      </c>
      <c r="I16" s="2">
        <v>595.93000000000006</v>
      </c>
      <c r="J16" s="2">
        <v>513.42999999999995</v>
      </c>
      <c r="K16" s="2">
        <v>474.72</v>
      </c>
      <c r="L16" s="2">
        <v>1585.11</v>
      </c>
      <c r="M16" s="2">
        <v>595.93000000000006</v>
      </c>
      <c r="N16" s="2">
        <v>6793.1200000000008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9187-22F6-434F-AB00-636AB12DE273}">
  <dimension ref="A3:P16"/>
  <sheetViews>
    <sheetView workbookViewId="0">
      <selection activeCell="A3" sqref="A3"/>
    </sheetView>
  </sheetViews>
  <sheetFormatPr defaultRowHeight="14.4" x14ac:dyDescent="0.3"/>
  <cols>
    <col min="1" max="1" width="17.21875" bestFit="1" customWidth="1"/>
    <col min="2" max="2" width="18.5546875" bestFit="1" customWidth="1"/>
    <col min="3" max="5" width="11.5546875" bestFit="1" customWidth="1"/>
    <col min="6" max="6" width="10" bestFit="1" customWidth="1"/>
    <col min="7" max="15" width="11.5546875" bestFit="1" customWidth="1"/>
    <col min="16" max="16" width="12.5546875" bestFit="1" customWidth="1"/>
  </cols>
  <sheetData>
    <row r="3" spans="1:16" x14ac:dyDescent="0.3">
      <c r="A3" s="8" t="s">
        <v>44</v>
      </c>
      <c r="B3" s="8" t="s">
        <v>29</v>
      </c>
    </row>
    <row r="4" spans="1:16" x14ac:dyDescent="0.3">
      <c r="A4" s="8" t="s">
        <v>27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42</v>
      </c>
      <c r="N4" t="s">
        <v>43</v>
      </c>
      <c r="O4" t="s">
        <v>41</v>
      </c>
      <c r="P4" t="s">
        <v>28</v>
      </c>
    </row>
    <row r="5" spans="1:16" x14ac:dyDescent="0.3">
      <c r="A5" s="9" t="s">
        <v>4</v>
      </c>
      <c r="B5" s="2">
        <v>1594</v>
      </c>
      <c r="C5" s="2">
        <v>1644</v>
      </c>
      <c r="D5" s="2">
        <v>788</v>
      </c>
      <c r="E5" s="2">
        <v>1985</v>
      </c>
      <c r="F5" s="2"/>
      <c r="G5" s="2">
        <v>1721</v>
      </c>
      <c r="H5" s="2">
        <v>1591</v>
      </c>
      <c r="I5" s="2">
        <v>2042</v>
      </c>
      <c r="J5" s="2">
        <v>1765.9999999999998</v>
      </c>
      <c r="K5" s="2">
        <v>1021.9999999999999</v>
      </c>
      <c r="L5" s="2">
        <v>1613</v>
      </c>
      <c r="M5" s="2">
        <v>962.99999999999989</v>
      </c>
      <c r="N5" s="2">
        <v>869</v>
      </c>
      <c r="O5" s="2"/>
      <c r="P5" s="2">
        <v>17598</v>
      </c>
    </row>
    <row r="6" spans="1:16" x14ac:dyDescent="0.3">
      <c r="A6" s="10" t="s">
        <v>3</v>
      </c>
      <c r="B6" s="2">
        <v>833</v>
      </c>
      <c r="C6" s="2"/>
      <c r="D6" s="2"/>
      <c r="E6" s="2"/>
      <c r="F6" s="2"/>
      <c r="G6" s="2">
        <v>954.99999999999989</v>
      </c>
      <c r="H6" s="2"/>
      <c r="I6" s="2"/>
      <c r="J6" s="2"/>
      <c r="K6" s="2">
        <v>1021.9999999999999</v>
      </c>
      <c r="L6" s="2"/>
      <c r="M6" s="2"/>
      <c r="N6" s="2"/>
      <c r="O6" s="2"/>
      <c r="P6" s="2">
        <v>2810</v>
      </c>
    </row>
    <row r="7" spans="1:16" x14ac:dyDescent="0.3">
      <c r="A7" s="10" t="s">
        <v>5</v>
      </c>
      <c r="B7" s="2"/>
      <c r="C7" s="2"/>
      <c r="D7" s="2"/>
      <c r="E7" s="2">
        <v>1985</v>
      </c>
      <c r="F7" s="2"/>
      <c r="G7" s="2"/>
      <c r="H7" s="2"/>
      <c r="I7" s="2">
        <v>2042</v>
      </c>
      <c r="J7" s="2"/>
      <c r="K7" s="2"/>
      <c r="L7" s="2"/>
      <c r="M7" s="2"/>
      <c r="N7" s="2"/>
      <c r="O7" s="2"/>
      <c r="P7" s="2">
        <v>4027</v>
      </c>
    </row>
    <row r="8" spans="1:16" x14ac:dyDescent="0.3">
      <c r="A8" s="10" t="s">
        <v>6</v>
      </c>
      <c r="B8" s="2">
        <v>761</v>
      </c>
      <c r="C8" s="2"/>
      <c r="D8" s="2">
        <v>788</v>
      </c>
      <c r="E8" s="2"/>
      <c r="F8" s="2"/>
      <c r="G8" s="2"/>
      <c r="H8" s="2"/>
      <c r="I8" s="2"/>
      <c r="J8" s="2"/>
      <c r="K8" s="2"/>
      <c r="L8" s="2"/>
      <c r="M8" s="2">
        <v>962.99999999999989</v>
      </c>
      <c r="N8" s="2"/>
      <c r="O8" s="2"/>
      <c r="P8" s="2">
        <v>2512</v>
      </c>
    </row>
    <row r="9" spans="1:16" x14ac:dyDescent="0.3">
      <c r="A9" s="10" t="s">
        <v>7</v>
      </c>
      <c r="B9" s="2"/>
      <c r="C9" s="2">
        <v>1644</v>
      </c>
      <c r="D9" s="2"/>
      <c r="E9" s="2"/>
      <c r="F9" s="2"/>
      <c r="G9" s="2"/>
      <c r="H9" s="2">
        <v>1591</v>
      </c>
      <c r="I9" s="2"/>
      <c r="J9" s="2">
        <v>1765.9999999999998</v>
      </c>
      <c r="K9" s="2"/>
      <c r="L9" s="2">
        <v>1613</v>
      </c>
      <c r="M9" s="2"/>
      <c r="N9" s="2"/>
      <c r="O9" s="2"/>
      <c r="P9" s="2">
        <v>6614</v>
      </c>
    </row>
    <row r="10" spans="1:16" x14ac:dyDescent="0.3">
      <c r="A10" s="10" t="s">
        <v>21</v>
      </c>
      <c r="B10" s="2"/>
      <c r="C10" s="2"/>
      <c r="D10" s="2"/>
      <c r="E10" s="2"/>
      <c r="F10" s="2"/>
      <c r="G10" s="2">
        <v>766</v>
      </c>
      <c r="H10" s="2"/>
      <c r="I10" s="2"/>
      <c r="J10" s="2"/>
      <c r="K10" s="2"/>
      <c r="L10" s="2"/>
      <c r="M10" s="2"/>
      <c r="N10" s="2">
        <v>869</v>
      </c>
      <c r="O10" s="2"/>
      <c r="P10" s="2">
        <v>1635</v>
      </c>
    </row>
    <row r="11" spans="1:16" x14ac:dyDescent="0.3">
      <c r="A11" s="9" t="s">
        <v>9</v>
      </c>
      <c r="B11" s="2"/>
      <c r="C11" s="2">
        <v>704.9</v>
      </c>
      <c r="D11" s="2">
        <v>991.52</v>
      </c>
      <c r="E11" s="2">
        <v>551.46</v>
      </c>
      <c r="F11" s="2">
        <v>635.83000000000004</v>
      </c>
      <c r="G11" s="2"/>
      <c r="H11" s="2">
        <v>679.05</v>
      </c>
      <c r="I11" s="2">
        <v>191.74</v>
      </c>
      <c r="J11" s="2">
        <v>972.57999999999993</v>
      </c>
      <c r="K11" s="2">
        <v>268.2</v>
      </c>
      <c r="L11" s="2">
        <v>971.15</v>
      </c>
      <c r="M11" s="2">
        <v>430.65000000000003</v>
      </c>
      <c r="N11" s="2">
        <v>716.15</v>
      </c>
      <c r="O11" s="2">
        <v>2079.8000000000002</v>
      </c>
      <c r="P11" s="2">
        <v>9193.0299999999988</v>
      </c>
    </row>
    <row r="12" spans="1:16" x14ac:dyDescent="0.3">
      <c r="A12" s="10" t="s">
        <v>8</v>
      </c>
      <c r="B12" s="2"/>
      <c r="C12" s="2"/>
      <c r="D12" s="2"/>
      <c r="E12" s="2">
        <v>551.46</v>
      </c>
      <c r="F12" s="2"/>
      <c r="G12" s="2"/>
      <c r="H12" s="2"/>
      <c r="I12" s="2">
        <v>191.74</v>
      </c>
      <c r="J12" s="2"/>
      <c r="K12" s="2"/>
      <c r="L12" s="2">
        <v>971.15</v>
      </c>
      <c r="M12" s="2"/>
      <c r="N12" s="2"/>
      <c r="O12" s="2"/>
      <c r="P12" s="2">
        <v>1714.35</v>
      </c>
    </row>
    <row r="13" spans="1:16" x14ac:dyDescent="0.3">
      <c r="A13" s="10" t="s">
        <v>10</v>
      </c>
      <c r="B13" s="2"/>
      <c r="C13" s="2">
        <v>704.9</v>
      </c>
      <c r="D13" s="2"/>
      <c r="E13" s="2"/>
      <c r="F13" s="2">
        <v>242.68</v>
      </c>
      <c r="G13" s="2"/>
      <c r="H13" s="2"/>
      <c r="I13" s="2"/>
      <c r="J13" s="2">
        <v>972.57999999999993</v>
      </c>
      <c r="K13" s="2"/>
      <c r="L13" s="2"/>
      <c r="M13" s="2">
        <v>430.65000000000003</v>
      </c>
      <c r="N13" s="2"/>
      <c r="O13" s="2"/>
      <c r="P13" s="2">
        <v>2350.81</v>
      </c>
    </row>
    <row r="14" spans="1:16" x14ac:dyDescent="0.3">
      <c r="A14" s="10" t="s">
        <v>11</v>
      </c>
      <c r="B14" s="2"/>
      <c r="C14" s="2"/>
      <c r="D14" s="2">
        <v>991.52</v>
      </c>
      <c r="E14" s="2"/>
      <c r="F14" s="2"/>
      <c r="G14" s="2"/>
      <c r="H14" s="2">
        <v>679.05</v>
      </c>
      <c r="I14" s="2"/>
      <c r="J14" s="2"/>
      <c r="K14" s="2">
        <v>268.2</v>
      </c>
      <c r="L14" s="2"/>
      <c r="M14" s="2"/>
      <c r="N14" s="2"/>
      <c r="O14" s="2">
        <v>553.79999999999995</v>
      </c>
      <c r="P14" s="2">
        <v>2492.5699999999997</v>
      </c>
    </row>
    <row r="15" spans="1:16" x14ac:dyDescent="0.3">
      <c r="A15" s="10" t="s">
        <v>12</v>
      </c>
      <c r="B15" s="2"/>
      <c r="C15" s="2"/>
      <c r="D15" s="2"/>
      <c r="E15" s="2"/>
      <c r="F15" s="2">
        <v>393.15000000000003</v>
      </c>
      <c r="G15" s="2"/>
      <c r="H15" s="2"/>
      <c r="I15" s="2"/>
      <c r="J15" s="2"/>
      <c r="K15" s="2"/>
      <c r="L15" s="2"/>
      <c r="M15" s="2"/>
      <c r="N15" s="2">
        <v>716.15</v>
      </c>
      <c r="O15" s="2">
        <v>1526</v>
      </c>
      <c r="P15" s="2">
        <v>2635.3</v>
      </c>
    </row>
    <row r="16" spans="1:16" x14ac:dyDescent="0.3">
      <c r="A16" s="9" t="s">
        <v>28</v>
      </c>
      <c r="B16" s="2">
        <v>1594</v>
      </c>
      <c r="C16" s="2">
        <v>2348.9</v>
      </c>
      <c r="D16" s="2">
        <v>1779.52</v>
      </c>
      <c r="E16" s="2">
        <v>2536.46</v>
      </c>
      <c r="F16" s="2">
        <v>635.83000000000004</v>
      </c>
      <c r="G16" s="2">
        <v>1721</v>
      </c>
      <c r="H16" s="2">
        <v>2270.0500000000002</v>
      </c>
      <c r="I16" s="2">
        <v>2233.7399999999998</v>
      </c>
      <c r="J16" s="2">
        <v>2738.58</v>
      </c>
      <c r="K16" s="2">
        <v>1290.1999999999998</v>
      </c>
      <c r="L16" s="2">
        <v>2584.15</v>
      </c>
      <c r="M16" s="2">
        <v>1393.6499999999999</v>
      </c>
      <c r="N16" s="2">
        <v>1585.15</v>
      </c>
      <c r="O16" s="2">
        <v>2079.8000000000002</v>
      </c>
      <c r="P16" s="2">
        <v>26791.03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0463-325E-4734-92B8-4479D973E0F9}">
  <dimension ref="A1:C10"/>
  <sheetViews>
    <sheetView workbookViewId="0">
      <selection activeCell="C10" sqref="C10"/>
    </sheetView>
  </sheetViews>
  <sheetFormatPr defaultRowHeight="14.4" x14ac:dyDescent="0.3"/>
  <cols>
    <col min="1" max="1" width="7.6640625" bestFit="1" customWidth="1"/>
    <col min="2" max="2" width="8.777343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9.09</v>
      </c>
    </row>
    <row r="3" spans="1:3" x14ac:dyDescent="0.3">
      <c r="A3" t="s">
        <v>5</v>
      </c>
      <c r="B3" t="s">
        <v>4</v>
      </c>
      <c r="C3">
        <v>11.84</v>
      </c>
    </row>
    <row r="4" spans="1:3" x14ac:dyDescent="0.3">
      <c r="A4" t="s">
        <v>6</v>
      </c>
      <c r="B4" t="s">
        <v>4</v>
      </c>
      <c r="C4">
        <v>9.5299999999999994</v>
      </c>
    </row>
    <row r="5" spans="1:3" x14ac:dyDescent="0.3">
      <c r="A5" t="s">
        <v>7</v>
      </c>
      <c r="B5" t="s">
        <v>4</v>
      </c>
      <c r="C5">
        <v>37.69</v>
      </c>
    </row>
    <row r="6" spans="1:3" x14ac:dyDescent="0.3">
      <c r="A6" t="s">
        <v>8</v>
      </c>
      <c r="B6" t="s">
        <v>9</v>
      </c>
      <c r="C6">
        <v>177.02</v>
      </c>
    </row>
    <row r="7" spans="1:3" x14ac:dyDescent="0.3">
      <c r="A7" t="s">
        <v>10</v>
      </c>
      <c r="B7" t="s">
        <v>9</v>
      </c>
      <c r="C7">
        <v>152.25</v>
      </c>
    </row>
    <row r="8" spans="1:3" x14ac:dyDescent="0.3">
      <c r="A8" t="s">
        <v>11</v>
      </c>
      <c r="B8" t="s">
        <v>9</v>
      </c>
      <c r="C8">
        <v>99.05</v>
      </c>
    </row>
    <row r="9" spans="1:3" x14ac:dyDescent="0.3">
      <c r="A9" t="s">
        <v>12</v>
      </c>
      <c r="B9" t="s">
        <v>9</v>
      </c>
      <c r="C9">
        <v>131</v>
      </c>
    </row>
    <row r="10" spans="1:3" x14ac:dyDescent="0.3">
      <c r="A10" t="s">
        <v>21</v>
      </c>
      <c r="B10" t="s">
        <v>4</v>
      </c>
      <c r="C10">
        <v>11.28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2" workbookViewId="0">
      <selection activeCell="D4" sqref="D4"/>
    </sheetView>
  </sheetViews>
  <sheetFormatPr defaultRowHeight="19.95" customHeight="1" x14ac:dyDescent="0.3"/>
  <cols>
    <col min="1" max="1" width="10.5546875" bestFit="1" customWidth="1"/>
    <col min="4" max="4" width="14.5546875" customWidth="1"/>
    <col min="6" max="6" width="11.44140625" bestFit="1" customWidth="1"/>
    <col min="10" max="10" width="10.77734375" customWidth="1"/>
  </cols>
  <sheetData>
    <row r="1" spans="1:10" s="3" customFormat="1" ht="19.95" customHeight="1" x14ac:dyDescent="0.3">
      <c r="A1" s="3" t="s">
        <v>13</v>
      </c>
      <c r="B1" s="3" t="s">
        <v>0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</v>
      </c>
      <c r="H1" s="3" t="s">
        <v>18</v>
      </c>
      <c r="I1" s="3" t="s">
        <v>19</v>
      </c>
      <c r="J1" s="3" t="s">
        <v>20</v>
      </c>
    </row>
    <row r="2" spans="1:10" s="3" customFormat="1" ht="19.95" customHeight="1" x14ac:dyDescent="0.3">
      <c r="A2" s="4">
        <v>43444</v>
      </c>
      <c r="B2" s="3" t="s">
        <v>6</v>
      </c>
      <c r="C2" s="3">
        <v>100</v>
      </c>
      <c r="D2" s="5">
        <v>7.51</v>
      </c>
      <c r="E2" s="5">
        <v>10</v>
      </c>
      <c r="F2" s="6">
        <f>TbAportes[[#This Row],[Valor Unitário]]*TbAportes[[#This Row],[Qte]]+TbAportes[[#This Row],[Custo]]</f>
        <v>761</v>
      </c>
      <c r="G2" s="7" t="str">
        <f>VLOOKUP(TbAportes[[#This Row],[Ativo]],TbAtivos[],2,FALSE)</f>
        <v>EMPRESA</v>
      </c>
      <c r="H2" s="7">
        <f>YEAR(TbAportes[[#This Row],[Data]])</f>
        <v>2018</v>
      </c>
      <c r="I2" s="7">
        <f>MONTH(TbAportes[[#This Row],[Data]])</f>
        <v>12</v>
      </c>
      <c r="J2" s="7" t="str">
        <f>CONCATENATE(TbAportes[[#This Row],[Ano]],"/",IF(TbAportes[[#This Row],[Mês]]&lt;10,0,""),TbAportes[[#This Row],[Mês]])</f>
        <v>2018/12</v>
      </c>
    </row>
    <row r="3" spans="1:10" s="3" customFormat="1" ht="19.95" customHeight="1" x14ac:dyDescent="0.3">
      <c r="A3" s="4">
        <v>43444</v>
      </c>
      <c r="B3" s="3" t="s">
        <v>3</v>
      </c>
      <c r="C3" s="3">
        <v>100</v>
      </c>
      <c r="D3" s="5">
        <v>8.23</v>
      </c>
      <c r="E3" s="5">
        <v>10</v>
      </c>
      <c r="F3" s="6">
        <f>TbAportes[[#This Row],[Valor Unitário]]*TbAportes[[#This Row],[Qte]]+TbAportes[[#This Row],[Custo]]</f>
        <v>833</v>
      </c>
      <c r="G3" s="7" t="str">
        <f>VLOOKUP(TbAportes[[#This Row],[Ativo]],TbAtivos[],2,FALSE)</f>
        <v>EMPRESA</v>
      </c>
      <c r="H3" s="7">
        <f>YEAR(TbAportes[[#This Row],[Data]])</f>
        <v>2018</v>
      </c>
      <c r="I3" s="7">
        <f>MONTH(TbAportes[[#This Row],[Data]])</f>
        <v>12</v>
      </c>
      <c r="J3" s="7" t="str">
        <f>CONCATENATE(TbAportes[[#This Row],[Ano]],"/",IF(TbAportes[[#This Row],[Mês]]&lt;10,0,""),TbAportes[[#This Row],[Mês]])</f>
        <v>2018/12</v>
      </c>
    </row>
    <row r="4" spans="1:10" s="3" customFormat="1" ht="19.95" customHeight="1" x14ac:dyDescent="0.3">
      <c r="A4" s="4">
        <v>43475</v>
      </c>
      <c r="B4" s="3" t="s">
        <v>7</v>
      </c>
      <c r="C4" s="3">
        <v>100</v>
      </c>
      <c r="D4" s="5">
        <v>16.34</v>
      </c>
      <c r="E4" s="5">
        <v>10</v>
      </c>
      <c r="F4" s="6">
        <f>TbAportes[[#This Row],[Valor Unitário]]*TbAportes[[#This Row],[Qte]]+TbAportes[[#This Row],[Custo]]</f>
        <v>1644</v>
      </c>
      <c r="G4" s="7" t="str">
        <f>VLOOKUP(TbAportes[[#This Row],[Ativo]],TbAtivos[],2,FALSE)</f>
        <v>EMPRESA</v>
      </c>
      <c r="H4" s="7">
        <f>YEAR(TbAportes[[#This Row],[Data]])</f>
        <v>2019</v>
      </c>
      <c r="I4" s="7">
        <f>MONTH(TbAportes[[#This Row],[Data]])</f>
        <v>1</v>
      </c>
      <c r="J4" s="7" t="str">
        <f>CONCATENATE(TbAportes[[#This Row],[Ano]],"/",IF(TbAportes[[#This Row],[Mês]]&lt;10,0,""),TbAportes[[#This Row],[Mês]])</f>
        <v>2019/01</v>
      </c>
    </row>
    <row r="5" spans="1:10" s="3" customFormat="1" ht="19.95" customHeight="1" x14ac:dyDescent="0.3">
      <c r="A5" s="4">
        <v>43475</v>
      </c>
      <c r="B5" s="3" t="s">
        <v>10</v>
      </c>
      <c r="C5" s="3">
        <v>5</v>
      </c>
      <c r="D5" s="5">
        <v>140.97999999999999</v>
      </c>
      <c r="E5" s="5">
        <v>0</v>
      </c>
      <c r="F5" s="6">
        <f>TbAportes[[#This Row],[Valor Unitário]]*TbAportes[[#This Row],[Qte]]+TbAportes[[#This Row],[Custo]]</f>
        <v>704.9</v>
      </c>
      <c r="G5" s="7" t="str">
        <f>VLOOKUP(TbAportes[[#This Row],[Ativo]],TbAtivos[],2,FALSE)</f>
        <v>FII</v>
      </c>
      <c r="H5" s="7">
        <f>YEAR(TbAportes[[#This Row],[Data]])</f>
        <v>2019</v>
      </c>
      <c r="I5" s="7">
        <f>MONTH(TbAportes[[#This Row],[Data]])</f>
        <v>1</v>
      </c>
      <c r="J5" s="7" t="str">
        <f>CONCATENATE(TbAportes[[#This Row],[Ano]],"/",IF(TbAportes[[#This Row],[Mês]]&lt;10,0,""),TbAportes[[#This Row],[Mês]])</f>
        <v>2019/01</v>
      </c>
    </row>
    <row r="6" spans="1:10" s="3" customFormat="1" ht="19.95" customHeight="1" x14ac:dyDescent="0.3">
      <c r="A6" s="4">
        <v>43506</v>
      </c>
      <c r="B6" s="3" t="s">
        <v>6</v>
      </c>
      <c r="C6" s="3">
        <v>100</v>
      </c>
      <c r="D6" s="5">
        <v>7.78</v>
      </c>
      <c r="E6" s="5">
        <v>10</v>
      </c>
      <c r="F6" s="6">
        <f>TbAportes[[#This Row],[Valor Unitário]]*TbAportes[[#This Row],[Qte]]+TbAportes[[#This Row],[Custo]]</f>
        <v>788</v>
      </c>
      <c r="G6" s="7" t="str">
        <f>VLOOKUP(TbAportes[[#This Row],[Ativo]],TbAtivos[],2,FALSE)</f>
        <v>EMPRESA</v>
      </c>
      <c r="H6" s="7">
        <f>YEAR(TbAportes[[#This Row],[Data]])</f>
        <v>2019</v>
      </c>
      <c r="I6" s="7">
        <f>MONTH(TbAportes[[#This Row],[Data]])</f>
        <v>2</v>
      </c>
      <c r="J6" s="7" t="str">
        <f>CONCATENATE(TbAportes[[#This Row],[Ano]],"/",IF(TbAportes[[#This Row],[Mês]]&lt;10,0,""),TbAportes[[#This Row],[Mês]])</f>
        <v>2019/02</v>
      </c>
    </row>
    <row r="7" spans="1:10" s="3" customFormat="1" ht="19.95" customHeight="1" x14ac:dyDescent="0.3">
      <c r="A7" s="4">
        <v>43506</v>
      </c>
      <c r="B7" s="3" t="s">
        <v>11</v>
      </c>
      <c r="C7" s="3">
        <v>8</v>
      </c>
      <c r="D7" s="5">
        <v>123.94</v>
      </c>
      <c r="E7" s="5">
        <v>0</v>
      </c>
      <c r="F7" s="6">
        <f>TbAportes[[#This Row],[Valor Unitário]]*TbAportes[[#This Row],[Qte]]+TbAportes[[#This Row],[Custo]]</f>
        <v>991.52</v>
      </c>
      <c r="G7" s="7" t="str">
        <f>VLOOKUP(TbAportes[[#This Row],[Ativo]],TbAtivos[],2,FALSE)</f>
        <v>FII</v>
      </c>
      <c r="H7" s="7">
        <f>YEAR(TbAportes[[#This Row],[Data]])</f>
        <v>2019</v>
      </c>
      <c r="I7" s="7">
        <f>MONTH(TbAportes[[#This Row],[Data]])</f>
        <v>2</v>
      </c>
      <c r="J7" s="7" t="str">
        <f>CONCATENATE(TbAportes[[#This Row],[Ano]],"/",IF(TbAportes[[#This Row],[Mês]]&lt;10,0,""),TbAportes[[#This Row],[Mês]])</f>
        <v>2019/02</v>
      </c>
    </row>
    <row r="8" spans="1:10" s="3" customFormat="1" ht="19.95" customHeight="1" x14ac:dyDescent="0.3">
      <c r="A8" s="4">
        <v>43534</v>
      </c>
      <c r="B8" s="3" t="s">
        <v>5</v>
      </c>
      <c r="C8" s="3">
        <v>100</v>
      </c>
      <c r="D8" s="5">
        <v>19.75</v>
      </c>
      <c r="E8" s="5">
        <v>10</v>
      </c>
      <c r="F8" s="6">
        <f>TbAportes[[#This Row],[Valor Unitário]]*TbAportes[[#This Row],[Qte]]+TbAportes[[#This Row],[Custo]]</f>
        <v>1985</v>
      </c>
      <c r="G8" s="7" t="str">
        <f>VLOOKUP(TbAportes[[#This Row],[Ativo]],TbAtivos[],2,FALSE)</f>
        <v>EMPRESA</v>
      </c>
      <c r="H8" s="7">
        <f>YEAR(TbAportes[[#This Row],[Data]])</f>
        <v>2019</v>
      </c>
      <c r="I8" s="7">
        <f>MONTH(TbAportes[[#This Row],[Data]])</f>
        <v>3</v>
      </c>
      <c r="J8" s="7" t="str">
        <f>CONCATENATE(TbAportes[[#This Row],[Ano]],"/",IF(TbAportes[[#This Row],[Mês]]&lt;10,0,""),TbAportes[[#This Row],[Mês]])</f>
        <v>2019/03</v>
      </c>
    </row>
    <row r="9" spans="1:10" s="3" customFormat="1" ht="19.95" customHeight="1" x14ac:dyDescent="0.3">
      <c r="A9" s="4">
        <v>43534</v>
      </c>
      <c r="B9" s="3" t="s">
        <v>8</v>
      </c>
      <c r="C9" s="3">
        <v>3</v>
      </c>
      <c r="D9" s="5">
        <v>183.82</v>
      </c>
      <c r="E9" s="5">
        <v>0</v>
      </c>
      <c r="F9" s="6">
        <f>TbAportes[[#This Row],[Valor Unitário]]*TbAportes[[#This Row],[Qte]]+TbAportes[[#This Row],[Custo]]</f>
        <v>551.46</v>
      </c>
      <c r="G9" s="7" t="str">
        <f>VLOOKUP(TbAportes[[#This Row],[Ativo]],TbAtivos[],2,FALSE)</f>
        <v>FII</v>
      </c>
      <c r="H9" s="7">
        <f>YEAR(TbAportes[[#This Row],[Data]])</f>
        <v>2019</v>
      </c>
      <c r="I9" s="7">
        <f>MONTH(TbAportes[[#This Row],[Data]])</f>
        <v>3</v>
      </c>
      <c r="J9" s="7" t="str">
        <f>CONCATENATE(TbAportes[[#This Row],[Ano]],"/",IF(TbAportes[[#This Row],[Mês]]&lt;10,0,""),TbAportes[[#This Row],[Mês]])</f>
        <v>2019/03</v>
      </c>
    </row>
    <row r="10" spans="1:10" s="3" customFormat="1" ht="19.95" customHeight="1" x14ac:dyDescent="0.3">
      <c r="A10" s="4">
        <v>43565</v>
      </c>
      <c r="B10" s="3" t="s">
        <v>10</v>
      </c>
      <c r="C10" s="3">
        <v>2</v>
      </c>
      <c r="D10" s="5">
        <v>121.34</v>
      </c>
      <c r="E10" s="5">
        <v>0</v>
      </c>
      <c r="F10" s="6">
        <f>TbAportes[[#This Row],[Valor Unitário]]*TbAportes[[#This Row],[Qte]]+TbAportes[[#This Row],[Custo]]</f>
        <v>242.68</v>
      </c>
      <c r="G10" s="7" t="str">
        <f>VLOOKUP(TbAportes[[#This Row],[Ativo]],TbAtivos[],2,FALSE)</f>
        <v>FII</v>
      </c>
      <c r="H10" s="7">
        <f>YEAR(TbAportes[[#This Row],[Data]])</f>
        <v>2019</v>
      </c>
      <c r="I10" s="7">
        <f>MONTH(TbAportes[[#This Row],[Data]])</f>
        <v>4</v>
      </c>
      <c r="J10" s="7" t="str">
        <f>CONCATENATE(TbAportes[[#This Row],[Ano]],"/",IF(TbAportes[[#This Row],[Mês]]&lt;10,0,""),TbAportes[[#This Row],[Mês]])</f>
        <v>2019/04</v>
      </c>
    </row>
    <row r="11" spans="1:10" s="3" customFormat="1" ht="19.95" customHeight="1" x14ac:dyDescent="0.3">
      <c r="A11" s="4">
        <v>43565</v>
      </c>
      <c r="B11" s="3" t="s">
        <v>12</v>
      </c>
      <c r="C11" s="3">
        <v>3</v>
      </c>
      <c r="D11" s="5">
        <v>131.05000000000001</v>
      </c>
      <c r="E11" s="5">
        <v>0</v>
      </c>
      <c r="F11" s="6">
        <f>TbAportes[[#This Row],[Valor Unitário]]*TbAportes[[#This Row],[Qte]]+TbAportes[[#This Row],[Custo]]</f>
        <v>393.15000000000003</v>
      </c>
      <c r="G11" s="7" t="str">
        <f>VLOOKUP(TbAportes[[#This Row],[Ativo]],TbAtivos[],2,FALSE)</f>
        <v>FII</v>
      </c>
      <c r="H11" s="7">
        <f>YEAR(TbAportes[[#This Row],[Data]])</f>
        <v>2019</v>
      </c>
      <c r="I11" s="7">
        <f>MONTH(TbAportes[[#This Row],[Data]])</f>
        <v>4</v>
      </c>
      <c r="J11" s="7" t="str">
        <f>CONCATENATE(TbAportes[[#This Row],[Ano]],"/",IF(TbAportes[[#This Row],[Mês]]&lt;10,0,""),TbAportes[[#This Row],[Mês]])</f>
        <v>2019/04</v>
      </c>
    </row>
    <row r="12" spans="1:10" s="3" customFormat="1" ht="19.95" customHeight="1" x14ac:dyDescent="0.3">
      <c r="A12" s="4">
        <v>43595</v>
      </c>
      <c r="B12" s="3" t="s">
        <v>3</v>
      </c>
      <c r="C12" s="3">
        <v>100</v>
      </c>
      <c r="D12" s="5">
        <v>9.4499999999999993</v>
      </c>
      <c r="E12" s="5">
        <v>10</v>
      </c>
      <c r="F12" s="6">
        <f>TbAportes[[#This Row],[Valor Unitário]]*TbAportes[[#This Row],[Qte]]+TbAportes[[#This Row],[Custo]]</f>
        <v>954.99999999999989</v>
      </c>
      <c r="G12" s="7" t="str">
        <f>VLOOKUP(TbAportes[[#This Row],[Ativo]],TbAtivos[],2,FALSE)</f>
        <v>EMPRESA</v>
      </c>
      <c r="H12" s="7">
        <f>YEAR(TbAportes[[#This Row],[Data]])</f>
        <v>2019</v>
      </c>
      <c r="I12" s="7">
        <f>MONTH(TbAportes[[#This Row],[Data]])</f>
        <v>5</v>
      </c>
      <c r="J12" s="7" t="str">
        <f>CONCATENATE(TbAportes[[#This Row],[Ano]],"/",IF(TbAportes[[#This Row],[Mês]]&lt;10,0,""),TbAportes[[#This Row],[Mês]])</f>
        <v>2019/05</v>
      </c>
    </row>
    <row r="13" spans="1:10" s="3" customFormat="1" ht="19.95" customHeight="1" x14ac:dyDescent="0.3">
      <c r="A13" s="4">
        <v>43595</v>
      </c>
      <c r="B13" s="3" t="s">
        <v>21</v>
      </c>
      <c r="C13" s="3">
        <v>100</v>
      </c>
      <c r="D13" s="5">
        <v>7.56</v>
      </c>
      <c r="E13" s="5">
        <v>10</v>
      </c>
      <c r="F13" s="6">
        <f>TbAportes[[#This Row],[Valor Unitário]]*TbAportes[[#This Row],[Qte]]+TbAportes[[#This Row],[Custo]]</f>
        <v>766</v>
      </c>
      <c r="G13" s="7" t="str">
        <f>VLOOKUP(TbAportes[[#This Row],[Ativo]],TbAtivos[],2,FALSE)</f>
        <v>EMPRESA</v>
      </c>
      <c r="H13" s="7">
        <f>YEAR(TbAportes[[#This Row],[Data]])</f>
        <v>2019</v>
      </c>
      <c r="I13" s="7">
        <f>MONTH(TbAportes[[#This Row],[Data]])</f>
        <v>5</v>
      </c>
      <c r="J13" s="7" t="str">
        <f>CONCATENATE(TbAportes[[#This Row],[Ano]],"/",IF(TbAportes[[#This Row],[Mês]]&lt;10,0,""),TbAportes[[#This Row],[Mês]])</f>
        <v>2019/05</v>
      </c>
    </row>
    <row r="14" spans="1:10" s="3" customFormat="1" ht="19.95" customHeight="1" x14ac:dyDescent="0.3">
      <c r="A14" s="4">
        <v>43626</v>
      </c>
      <c r="B14" s="3" t="s">
        <v>11</v>
      </c>
      <c r="C14" s="3">
        <v>5</v>
      </c>
      <c r="D14" s="5">
        <v>135.81</v>
      </c>
      <c r="E14" s="5">
        <v>0</v>
      </c>
      <c r="F14" s="6">
        <f>TbAportes[[#This Row],[Valor Unitário]]*TbAportes[[#This Row],[Qte]]+TbAportes[[#This Row],[Custo]]</f>
        <v>679.05</v>
      </c>
      <c r="G14" s="7" t="str">
        <f>VLOOKUP(TbAportes[[#This Row],[Ativo]],TbAtivos[],2,FALSE)</f>
        <v>FII</v>
      </c>
      <c r="H14" s="7">
        <f>YEAR(TbAportes[[#This Row],[Data]])</f>
        <v>2019</v>
      </c>
      <c r="I14" s="7">
        <f>MONTH(TbAportes[[#This Row],[Data]])</f>
        <v>6</v>
      </c>
      <c r="J14" s="7" t="str">
        <f>CONCATENATE(TbAportes[[#This Row],[Ano]],"/",IF(TbAportes[[#This Row],[Mês]]&lt;10,0,""),TbAportes[[#This Row],[Mês]])</f>
        <v>2019/06</v>
      </c>
    </row>
    <row r="15" spans="1:10" s="3" customFormat="1" ht="19.95" customHeight="1" x14ac:dyDescent="0.3">
      <c r="A15" s="4">
        <v>43626</v>
      </c>
      <c r="B15" s="3" t="s">
        <v>7</v>
      </c>
      <c r="C15" s="3">
        <v>100</v>
      </c>
      <c r="D15" s="5">
        <v>15.81</v>
      </c>
      <c r="E15" s="5">
        <v>10</v>
      </c>
      <c r="F15" s="6">
        <f>TbAportes[[#This Row],[Valor Unitário]]*TbAportes[[#This Row],[Qte]]+TbAportes[[#This Row],[Custo]]</f>
        <v>1591</v>
      </c>
      <c r="G15" s="7" t="str">
        <f>VLOOKUP(TbAportes[[#This Row],[Ativo]],TbAtivos[],2,FALSE)</f>
        <v>EMPRESA</v>
      </c>
      <c r="H15" s="7">
        <f>YEAR(TbAportes[[#This Row],[Data]])</f>
        <v>2019</v>
      </c>
      <c r="I15" s="7">
        <f>MONTH(TbAportes[[#This Row],[Data]])</f>
        <v>6</v>
      </c>
      <c r="J15" s="7" t="str">
        <f>CONCATENATE(TbAportes[[#This Row],[Ano]],"/",IF(TbAportes[[#This Row],[Mês]]&lt;10,0,""),TbAportes[[#This Row],[Mês]])</f>
        <v>2019/06</v>
      </c>
    </row>
    <row r="16" spans="1:10" s="3" customFormat="1" ht="19.95" customHeight="1" x14ac:dyDescent="0.3">
      <c r="A16" s="4">
        <v>43656</v>
      </c>
      <c r="B16" s="3" t="s">
        <v>5</v>
      </c>
      <c r="C16" s="3">
        <v>100</v>
      </c>
      <c r="D16" s="5">
        <v>20.32</v>
      </c>
      <c r="E16" s="5">
        <v>10</v>
      </c>
      <c r="F16" s="6">
        <f>TbAportes[[#This Row],[Valor Unitário]]*TbAportes[[#This Row],[Qte]]+TbAportes[[#This Row],[Custo]]</f>
        <v>2042</v>
      </c>
      <c r="G16" s="7" t="str">
        <f>VLOOKUP(TbAportes[[#This Row],[Ativo]],TbAtivos[],2,FALSE)</f>
        <v>EMPRESA</v>
      </c>
      <c r="H16" s="7">
        <f>YEAR(TbAportes[[#This Row],[Data]])</f>
        <v>2019</v>
      </c>
      <c r="I16" s="7">
        <f>MONTH(TbAportes[[#This Row],[Data]])</f>
        <v>7</v>
      </c>
      <c r="J16" s="7" t="str">
        <f>CONCATENATE(TbAportes[[#This Row],[Ano]],"/",IF(TbAportes[[#This Row],[Mês]]&lt;10,0,""),TbAportes[[#This Row],[Mês]])</f>
        <v>2019/07</v>
      </c>
    </row>
    <row r="17" spans="1:10" s="3" customFormat="1" ht="19.95" customHeight="1" x14ac:dyDescent="0.3">
      <c r="A17" s="4">
        <v>43656</v>
      </c>
      <c r="B17" s="3" t="s">
        <v>8</v>
      </c>
      <c r="C17" s="3">
        <v>1</v>
      </c>
      <c r="D17" s="5">
        <v>191.74</v>
      </c>
      <c r="E17" s="5">
        <v>0</v>
      </c>
      <c r="F17" s="6">
        <f>TbAportes[[#This Row],[Valor Unitário]]*TbAportes[[#This Row],[Qte]]+TbAportes[[#This Row],[Custo]]</f>
        <v>191.74</v>
      </c>
      <c r="G17" s="7" t="str">
        <f>VLOOKUP(TbAportes[[#This Row],[Ativo]],TbAtivos[],2,FALSE)</f>
        <v>FII</v>
      </c>
      <c r="H17" s="7">
        <f>YEAR(TbAportes[[#This Row],[Data]])</f>
        <v>2019</v>
      </c>
      <c r="I17" s="7">
        <f>MONTH(TbAportes[[#This Row],[Data]])</f>
        <v>7</v>
      </c>
      <c r="J17" s="7" t="str">
        <f>CONCATENATE(TbAportes[[#This Row],[Ano]],"/",IF(TbAportes[[#This Row],[Mês]]&lt;10,0,""),TbAportes[[#This Row],[Mês]])</f>
        <v>2019/07</v>
      </c>
    </row>
    <row r="18" spans="1:10" s="3" customFormat="1" ht="19.95" customHeight="1" x14ac:dyDescent="0.3">
      <c r="A18" s="4">
        <v>43687</v>
      </c>
      <c r="B18" s="3" t="s">
        <v>10</v>
      </c>
      <c r="C18" s="3">
        <v>7</v>
      </c>
      <c r="D18" s="5">
        <v>138.94</v>
      </c>
      <c r="E18" s="5">
        <v>0</v>
      </c>
      <c r="F18" s="6">
        <f>TbAportes[[#This Row],[Valor Unitário]]*TbAportes[[#This Row],[Qte]]+TbAportes[[#This Row],[Custo]]</f>
        <v>972.57999999999993</v>
      </c>
      <c r="G18" s="7" t="str">
        <f>VLOOKUP(TbAportes[[#This Row],[Ativo]],TbAtivos[],2,FALSE)</f>
        <v>FII</v>
      </c>
      <c r="H18" s="7">
        <f>YEAR(TbAportes[[#This Row],[Data]])</f>
        <v>2019</v>
      </c>
      <c r="I18" s="7">
        <f>MONTH(TbAportes[[#This Row],[Data]])</f>
        <v>8</v>
      </c>
      <c r="J18" s="7" t="str">
        <f>CONCATENATE(TbAportes[[#This Row],[Ano]],"/",IF(TbAportes[[#This Row],[Mês]]&lt;10,0,""),TbAportes[[#This Row],[Mês]])</f>
        <v>2019/08</v>
      </c>
    </row>
    <row r="19" spans="1:10" s="3" customFormat="1" ht="19.95" customHeight="1" x14ac:dyDescent="0.3">
      <c r="A19" s="4">
        <v>43687</v>
      </c>
      <c r="B19" s="3" t="s">
        <v>7</v>
      </c>
      <c r="C19" s="3">
        <v>100</v>
      </c>
      <c r="D19" s="5">
        <v>17.559999999999999</v>
      </c>
      <c r="E19" s="5">
        <v>10</v>
      </c>
      <c r="F19" s="6">
        <f>TbAportes[[#This Row],[Valor Unitário]]*TbAportes[[#This Row],[Qte]]+TbAportes[[#This Row],[Custo]]</f>
        <v>1765.9999999999998</v>
      </c>
      <c r="G19" s="7" t="str">
        <f>VLOOKUP(TbAportes[[#This Row],[Ativo]],TbAtivos[],2,FALSE)</f>
        <v>EMPRESA</v>
      </c>
      <c r="H19" s="7">
        <f>YEAR(TbAportes[[#This Row],[Data]])</f>
        <v>2019</v>
      </c>
      <c r="I19" s="7">
        <f>MONTH(TbAportes[[#This Row],[Data]])</f>
        <v>8</v>
      </c>
      <c r="J19" s="7" t="str">
        <f>CONCATENATE(TbAportes[[#This Row],[Ano]],"/",IF(TbAportes[[#This Row],[Mês]]&lt;10,0,""),TbAportes[[#This Row],[Mês]])</f>
        <v>2019/08</v>
      </c>
    </row>
    <row r="20" spans="1:10" s="3" customFormat="1" ht="19.95" customHeight="1" x14ac:dyDescent="0.3">
      <c r="A20" s="4">
        <v>43718</v>
      </c>
      <c r="B20" s="3" t="s">
        <v>3</v>
      </c>
      <c r="C20" s="3">
        <v>100</v>
      </c>
      <c r="D20" s="5">
        <v>10.119999999999999</v>
      </c>
      <c r="E20" s="5">
        <v>10</v>
      </c>
      <c r="F20" s="6">
        <f>TbAportes[[#This Row],[Valor Unitário]]*TbAportes[[#This Row],[Qte]]+TbAportes[[#This Row],[Custo]]</f>
        <v>1021.9999999999999</v>
      </c>
      <c r="G20" s="7" t="str">
        <f>VLOOKUP(TbAportes[[#This Row],[Ativo]],TbAtivos[],2,FALSE)</f>
        <v>EMPRESA</v>
      </c>
      <c r="H20" s="7">
        <f>YEAR(TbAportes[[#This Row],[Data]])</f>
        <v>2019</v>
      </c>
      <c r="I20" s="7">
        <f>MONTH(TbAportes[[#This Row],[Data]])</f>
        <v>9</v>
      </c>
      <c r="J20" s="7" t="str">
        <f>CONCATENATE(TbAportes[[#This Row],[Ano]],"/",IF(TbAportes[[#This Row],[Mês]]&lt;10,0,""),TbAportes[[#This Row],[Mês]])</f>
        <v>2019/09</v>
      </c>
    </row>
    <row r="21" spans="1:10" s="3" customFormat="1" ht="19.95" customHeight="1" x14ac:dyDescent="0.3">
      <c r="A21" s="4">
        <v>43718</v>
      </c>
      <c r="B21" s="3" t="s">
        <v>11</v>
      </c>
      <c r="C21" s="3">
        <v>2</v>
      </c>
      <c r="D21" s="5">
        <v>134.1</v>
      </c>
      <c r="E21" s="5">
        <v>0</v>
      </c>
      <c r="F21" s="6">
        <f>TbAportes[[#This Row],[Valor Unitário]]*TbAportes[[#This Row],[Qte]]+TbAportes[[#This Row],[Custo]]</f>
        <v>268.2</v>
      </c>
      <c r="G21" s="7" t="str">
        <f>VLOOKUP(TbAportes[[#This Row],[Ativo]],TbAtivos[],2,FALSE)</f>
        <v>FII</v>
      </c>
      <c r="H21" s="7">
        <f>YEAR(TbAportes[[#This Row],[Data]])</f>
        <v>2019</v>
      </c>
      <c r="I21" s="7">
        <f>MONTH(TbAportes[[#This Row],[Data]])</f>
        <v>9</v>
      </c>
      <c r="J21" s="7" t="str">
        <f>CONCATENATE(TbAportes[[#This Row],[Ano]],"/",IF(TbAportes[[#This Row],[Mês]]&lt;10,0,""),TbAportes[[#This Row],[Mês]])</f>
        <v>2019/09</v>
      </c>
    </row>
    <row r="22" spans="1:10" s="3" customFormat="1" ht="19.95" customHeight="1" x14ac:dyDescent="0.3">
      <c r="A22" s="4">
        <v>43748</v>
      </c>
      <c r="B22" s="3" t="s">
        <v>7</v>
      </c>
      <c r="C22" s="3">
        <v>100</v>
      </c>
      <c r="D22" s="5">
        <v>16.03</v>
      </c>
      <c r="E22" s="5">
        <v>10</v>
      </c>
      <c r="F22" s="6">
        <f>TbAportes[[#This Row],[Valor Unitário]]*TbAportes[[#This Row],[Qte]]+TbAportes[[#This Row],[Custo]]</f>
        <v>1613</v>
      </c>
      <c r="G22" s="7" t="str">
        <f>VLOOKUP(TbAportes[[#This Row],[Ativo]],TbAtivos[],2,FALSE)</f>
        <v>EMPRESA</v>
      </c>
      <c r="H22" s="7">
        <f>YEAR(TbAportes[[#This Row],[Data]])</f>
        <v>2019</v>
      </c>
      <c r="I22" s="7">
        <f>MONTH(TbAportes[[#This Row],[Data]])</f>
        <v>10</v>
      </c>
      <c r="J22" s="7" t="str">
        <f>CONCATENATE(TbAportes[[#This Row],[Ano]],"/",IF(TbAportes[[#This Row],[Mês]]&lt;10,0,""),TbAportes[[#This Row],[Mês]])</f>
        <v>2019/10</v>
      </c>
    </row>
    <row r="23" spans="1:10" s="3" customFormat="1" ht="19.95" customHeight="1" x14ac:dyDescent="0.3">
      <c r="A23" s="4">
        <v>43748</v>
      </c>
      <c r="B23" s="3" t="s">
        <v>8</v>
      </c>
      <c r="C23" s="3">
        <v>5</v>
      </c>
      <c r="D23" s="5">
        <v>194.23</v>
      </c>
      <c r="E23" s="5">
        <v>0</v>
      </c>
      <c r="F23" s="6">
        <f>TbAportes[[#This Row],[Valor Unitário]]*TbAportes[[#This Row],[Qte]]+TbAportes[[#This Row],[Custo]]</f>
        <v>971.15</v>
      </c>
      <c r="G23" s="7" t="str">
        <f>VLOOKUP(TbAportes[[#This Row],[Ativo]],TbAtivos[],2,FALSE)</f>
        <v>FII</v>
      </c>
      <c r="H23" s="7">
        <f>YEAR(TbAportes[[#This Row],[Data]])</f>
        <v>2019</v>
      </c>
      <c r="I23" s="7">
        <f>MONTH(TbAportes[[#This Row],[Data]])</f>
        <v>10</v>
      </c>
      <c r="J23" s="7" t="str">
        <f>CONCATENATE(TbAportes[[#This Row],[Ano]],"/",IF(TbAportes[[#This Row],[Mês]]&lt;10,0,""),TbAportes[[#This Row],[Mês]])</f>
        <v>2019/10</v>
      </c>
    </row>
    <row r="24" spans="1:10" s="3" customFormat="1" ht="19.95" customHeight="1" x14ac:dyDescent="0.3">
      <c r="A24" s="4">
        <v>43779</v>
      </c>
      <c r="B24" s="3" t="s">
        <v>6</v>
      </c>
      <c r="C24" s="3">
        <v>100</v>
      </c>
      <c r="D24" s="5">
        <v>9.5299999999999994</v>
      </c>
      <c r="E24" s="5">
        <v>10</v>
      </c>
      <c r="F24" s="6">
        <f>TbAportes[[#This Row],[Valor Unitário]]*TbAportes[[#This Row],[Qte]]+TbAportes[[#This Row],[Custo]]</f>
        <v>962.99999999999989</v>
      </c>
      <c r="G24" s="7" t="str">
        <f>VLOOKUP(TbAportes[[#This Row],[Ativo]],TbAtivos[],2,FALSE)</f>
        <v>EMPRESA</v>
      </c>
      <c r="H24" s="7">
        <f>YEAR(TbAportes[[#This Row],[Data]])</f>
        <v>2019</v>
      </c>
      <c r="I24" s="7">
        <f>MONTH(TbAportes[[#This Row],[Data]])</f>
        <v>11</v>
      </c>
      <c r="J24" s="7" t="str">
        <f>CONCATENATE(TbAportes[[#This Row],[Ano]],"/",IF(TbAportes[[#This Row],[Mês]]&lt;10,0,""),TbAportes[[#This Row],[Mês]])</f>
        <v>2019/11</v>
      </c>
    </row>
    <row r="25" spans="1:10" s="3" customFormat="1" ht="19.95" customHeight="1" x14ac:dyDescent="0.3">
      <c r="A25" s="4">
        <v>43779</v>
      </c>
      <c r="B25" s="3" t="s">
        <v>10</v>
      </c>
      <c r="C25" s="3">
        <v>3</v>
      </c>
      <c r="D25" s="5">
        <v>143.55000000000001</v>
      </c>
      <c r="E25" s="5">
        <v>0</v>
      </c>
      <c r="F25" s="6">
        <f>TbAportes[[#This Row],[Valor Unitário]]*TbAportes[[#This Row],[Qte]]+TbAportes[[#This Row],[Custo]]</f>
        <v>430.65000000000003</v>
      </c>
      <c r="G25" s="7" t="str">
        <f>VLOOKUP(TbAportes[[#This Row],[Ativo]],TbAtivos[],2,FALSE)</f>
        <v>FII</v>
      </c>
      <c r="H25" s="7">
        <f>YEAR(TbAportes[[#This Row],[Data]])</f>
        <v>2019</v>
      </c>
      <c r="I25" s="7">
        <f>MONTH(TbAportes[[#This Row],[Data]])</f>
        <v>11</v>
      </c>
      <c r="J25" s="7" t="str">
        <f>CONCATENATE(TbAportes[[#This Row],[Ano]],"/",IF(TbAportes[[#This Row],[Mês]]&lt;10,0,""),TbAportes[[#This Row],[Mês]])</f>
        <v>2019/11</v>
      </c>
    </row>
    <row r="26" spans="1:10" s="3" customFormat="1" ht="19.95" customHeight="1" x14ac:dyDescent="0.3">
      <c r="A26" s="4">
        <v>43809</v>
      </c>
      <c r="B26" s="3" t="s">
        <v>12</v>
      </c>
      <c r="C26" s="3">
        <v>5</v>
      </c>
      <c r="D26" s="5">
        <v>143.22999999999999</v>
      </c>
      <c r="E26" s="5">
        <v>0</v>
      </c>
      <c r="F26" s="6">
        <f>TbAportes[[#This Row],[Valor Unitário]]*TbAportes[[#This Row],[Qte]]+TbAportes[[#This Row],[Custo]]</f>
        <v>716.15</v>
      </c>
      <c r="G26" s="7" t="str">
        <f>VLOOKUP(TbAportes[[#This Row],[Ativo]],TbAtivos[],2,FALSE)</f>
        <v>FII</v>
      </c>
      <c r="H26" s="7">
        <f>YEAR(TbAportes[[#This Row],[Data]])</f>
        <v>2019</v>
      </c>
      <c r="I26" s="7">
        <f>MONTH(TbAportes[[#This Row],[Data]])</f>
        <v>12</v>
      </c>
      <c r="J26" s="7" t="str">
        <f>CONCATENATE(TbAportes[[#This Row],[Ano]],"/",IF(TbAportes[[#This Row],[Mês]]&lt;10,0,""),TbAportes[[#This Row],[Mês]])</f>
        <v>2019/12</v>
      </c>
    </row>
    <row r="27" spans="1:10" s="3" customFormat="1" ht="19.95" customHeight="1" x14ac:dyDescent="0.3">
      <c r="A27" s="4">
        <v>43809</v>
      </c>
      <c r="B27" s="3" t="s">
        <v>21</v>
      </c>
      <c r="C27" s="3">
        <v>100</v>
      </c>
      <c r="D27" s="5">
        <v>8.59</v>
      </c>
      <c r="E27" s="5">
        <v>10</v>
      </c>
      <c r="F27" s="6">
        <f>TbAportes[[#This Row],[Valor Unitário]]*TbAportes[[#This Row],[Qte]]+TbAportes[[#This Row],[Custo]]</f>
        <v>869</v>
      </c>
      <c r="G27" s="7" t="str">
        <f>VLOOKUP(TbAportes[[#This Row],[Ativo]],TbAtivos[],2,FALSE)</f>
        <v>EMPRESA</v>
      </c>
      <c r="H27" s="7">
        <f>YEAR(TbAportes[[#This Row],[Data]])</f>
        <v>2019</v>
      </c>
      <c r="I27" s="7">
        <f>MONTH(TbAportes[[#This Row],[Data]])</f>
        <v>12</v>
      </c>
      <c r="J27" s="7" t="str">
        <f>CONCATENATE(TbAportes[[#This Row],[Ano]],"/",IF(TbAportes[[#This Row],[Mês]]&lt;10,0,""),TbAportes[[#This Row],[Mês]])</f>
        <v>2019/12</v>
      </c>
    </row>
    <row r="28" spans="1:10" s="3" customFormat="1" ht="19.95" customHeight="1" x14ac:dyDescent="0.3">
      <c r="A28" s="4">
        <v>43840</v>
      </c>
      <c r="B28" s="3" t="s">
        <v>12</v>
      </c>
      <c r="C28" s="3">
        <v>10</v>
      </c>
      <c r="D28" s="5">
        <v>152.6</v>
      </c>
      <c r="E28" s="5">
        <v>0</v>
      </c>
      <c r="F28" s="6">
        <f>TbAportes[[#This Row],[Valor Unitário]]*TbAportes[[#This Row],[Qte]]+TbAportes[[#This Row],[Custo]]</f>
        <v>1526</v>
      </c>
      <c r="G28" s="7" t="str">
        <f>VLOOKUP(TbAportes[[#This Row],[Ativo]],TbAtivos[],2,FALSE)</f>
        <v>FII</v>
      </c>
      <c r="H28" s="7">
        <f>YEAR(TbAportes[[#This Row],[Data]])</f>
        <v>2020</v>
      </c>
      <c r="I28" s="7">
        <f>MONTH(TbAportes[[#This Row],[Data]])</f>
        <v>1</v>
      </c>
      <c r="J28" s="7" t="str">
        <f>CONCATENATE(TbAportes[[#This Row],[Ano]],"/",IF(TbAportes[[#This Row],[Mês]]&lt;10,0,""),TbAportes[[#This Row],[Mês]])</f>
        <v>2020/01</v>
      </c>
    </row>
    <row r="29" spans="1:10" s="3" customFormat="1" ht="19.95" customHeight="1" x14ac:dyDescent="0.3">
      <c r="A29" s="4">
        <v>43840</v>
      </c>
      <c r="B29" s="3" t="s">
        <v>11</v>
      </c>
      <c r="C29" s="3">
        <v>4</v>
      </c>
      <c r="D29" s="5">
        <v>138.44999999999999</v>
      </c>
      <c r="E29" s="5">
        <v>0</v>
      </c>
      <c r="F29" s="6">
        <f>TbAportes[[#This Row],[Valor Unitário]]*TbAportes[[#This Row],[Qte]]+TbAportes[[#This Row],[Custo]]</f>
        <v>553.79999999999995</v>
      </c>
      <c r="G29" s="7" t="str">
        <f>VLOOKUP(TbAportes[[#This Row],[Ativo]],TbAtivos[],2,FALSE)</f>
        <v>FII</v>
      </c>
      <c r="H29" s="7">
        <f>YEAR(TbAportes[[#This Row],[Data]])</f>
        <v>2020</v>
      </c>
      <c r="I29" s="7">
        <f>MONTH(TbAportes[[#This Row],[Data]])</f>
        <v>1</v>
      </c>
      <c r="J29" s="7" t="str">
        <f>CONCATENATE(TbAportes[[#This Row],[Ano]],"/",IF(TbAportes[[#This Row],[Mês]]&lt;10,0,""),TbAportes[[#This Row],[Mês]])</f>
        <v>2020/01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61A4-68B6-439F-AE02-CB76E1437AE4}">
  <dimension ref="A1:I72"/>
  <sheetViews>
    <sheetView tabSelected="1" topLeftCell="A2" workbookViewId="0">
      <selection activeCell="K4" sqref="K4"/>
    </sheetView>
  </sheetViews>
  <sheetFormatPr defaultRowHeight="19.95" customHeight="1" x14ac:dyDescent="0.3"/>
  <cols>
    <col min="4" max="4" width="13.77734375" customWidth="1"/>
    <col min="6" max="6" width="15.33203125" customWidth="1"/>
    <col min="7" max="7" width="10.5546875" bestFit="1" customWidth="1"/>
    <col min="8" max="8" width="12.44140625" bestFit="1" customWidth="1"/>
  </cols>
  <sheetData>
    <row r="1" spans="1:9" ht="19.95" customHeight="1" x14ac:dyDescent="0.3">
      <c r="A1" t="s">
        <v>22</v>
      </c>
      <c r="B1" t="s">
        <v>0</v>
      </c>
      <c r="C1" t="s">
        <v>14</v>
      </c>
      <c r="D1" s="2" t="s">
        <v>23</v>
      </c>
      <c r="E1" s="2" t="s">
        <v>24</v>
      </c>
      <c r="F1" s="2" t="s">
        <v>25</v>
      </c>
      <c r="G1" s="1" t="s">
        <v>13</v>
      </c>
      <c r="H1" s="2" t="s">
        <v>20</v>
      </c>
      <c r="I1" s="2" t="s">
        <v>1</v>
      </c>
    </row>
    <row r="2" spans="1:9" ht="19.95" customHeight="1" x14ac:dyDescent="0.3">
      <c r="A2">
        <v>13</v>
      </c>
      <c r="B2" t="s">
        <v>6</v>
      </c>
      <c r="C2">
        <v>100</v>
      </c>
      <c r="D2" s="2">
        <v>39.479999999999997</v>
      </c>
      <c r="E2" s="2">
        <v>0</v>
      </c>
      <c r="F2" s="2">
        <v>39.479999999999997</v>
      </c>
      <c r="G2" s="1">
        <v>43449</v>
      </c>
      <c r="H2" s="2" t="str">
        <f>CONCATENATE(YEAR(TbProventos[[#This Row],[Data]]),"/",IF(MONTH(TbProventos[[#This Row],[Data]])&lt;10,0,""),MONTH(TbProventos[[#This Row],[Data]]))</f>
        <v>2018/12</v>
      </c>
      <c r="I2" s="2" t="str">
        <f>VLOOKUP(TbProventos[[#This Row],[Ativo]],TbAtivos[[Ativo]:[Tipo]],2,FALSE)</f>
        <v>EMPRESA</v>
      </c>
    </row>
    <row r="3" spans="1:9" ht="19.95" customHeight="1" x14ac:dyDescent="0.3">
      <c r="A3">
        <v>14</v>
      </c>
      <c r="B3" t="s">
        <v>8</v>
      </c>
      <c r="C3">
        <v>100</v>
      </c>
      <c r="D3" s="2">
        <v>63</v>
      </c>
      <c r="E3" s="2">
        <v>0</v>
      </c>
      <c r="F3" s="2">
        <v>63</v>
      </c>
      <c r="G3" s="1">
        <v>43451</v>
      </c>
      <c r="H3" s="2" t="str">
        <f>CONCATENATE(YEAR(TbProventos[[#This Row],[Data]]),"/",IF(MONTH(TbProventos[[#This Row],[Data]])&lt;10,0,""),MONTH(TbProventos[[#This Row],[Data]]))</f>
        <v>2018/12</v>
      </c>
      <c r="I3" s="2" t="str">
        <f>VLOOKUP(TbProventos[[#This Row],[Ativo]],TbAtivos[[Ativo]:[Tipo]],2,FALSE)</f>
        <v>FII</v>
      </c>
    </row>
    <row r="4" spans="1:9" ht="19.95" customHeight="1" x14ac:dyDescent="0.3">
      <c r="A4">
        <v>14</v>
      </c>
      <c r="B4" t="s">
        <v>10</v>
      </c>
      <c r="C4">
        <v>100</v>
      </c>
      <c r="D4" s="2">
        <v>81</v>
      </c>
      <c r="E4" s="2">
        <v>0</v>
      </c>
      <c r="F4" s="2">
        <v>81</v>
      </c>
      <c r="G4" s="1">
        <v>43451</v>
      </c>
      <c r="H4" s="2" t="str">
        <f>CONCATENATE(YEAR(TbProventos[[#This Row],[Data]]),"/",IF(MONTH(TbProventos[[#This Row],[Data]])&lt;10,0,""),MONTH(TbProventos[[#This Row],[Data]]))</f>
        <v>2018/12</v>
      </c>
      <c r="I4" s="2" t="str">
        <f>VLOOKUP(TbProventos[[#This Row],[Ativo]],TbAtivos[[Ativo]:[Tipo]],2,FALSE)</f>
        <v>FII</v>
      </c>
    </row>
    <row r="5" spans="1:9" ht="19.95" customHeight="1" x14ac:dyDescent="0.3">
      <c r="A5">
        <v>14</v>
      </c>
      <c r="B5" t="s">
        <v>11</v>
      </c>
      <c r="C5">
        <v>100</v>
      </c>
      <c r="D5" s="2">
        <v>38.89</v>
      </c>
      <c r="E5" s="2">
        <v>0</v>
      </c>
      <c r="F5" s="2">
        <v>38.89</v>
      </c>
      <c r="G5" s="1">
        <v>43451</v>
      </c>
      <c r="H5" s="2" t="str">
        <f>CONCATENATE(YEAR(TbProventos[[#This Row],[Data]]),"/",IF(MONTH(TbProventos[[#This Row],[Data]])&lt;10,0,""),MONTH(TbProventos[[#This Row],[Data]]))</f>
        <v>2018/12</v>
      </c>
      <c r="I5" s="2" t="str">
        <f>VLOOKUP(TbProventos[[#This Row],[Ativo]],TbAtivos[[Ativo]:[Tipo]],2,FALSE)</f>
        <v>FII</v>
      </c>
    </row>
    <row r="6" spans="1:9" ht="19.95" customHeight="1" x14ac:dyDescent="0.3">
      <c r="A6">
        <v>14</v>
      </c>
      <c r="B6" t="s">
        <v>12</v>
      </c>
      <c r="C6">
        <v>100</v>
      </c>
      <c r="D6" s="2">
        <v>34.770000000000003</v>
      </c>
      <c r="E6" s="2">
        <v>0</v>
      </c>
      <c r="F6" s="2">
        <v>34.770000000000003</v>
      </c>
      <c r="G6" s="1">
        <v>43451</v>
      </c>
      <c r="H6" s="2" t="str">
        <f>CONCATENATE(YEAR(TbProventos[[#This Row],[Data]]),"/",IF(MONTH(TbProventos[[#This Row],[Data]])&lt;10,0,""),MONTH(TbProventos[[#This Row],[Data]]))</f>
        <v>2018/12</v>
      </c>
      <c r="I6" s="2" t="str">
        <f>VLOOKUP(TbProventos[[#This Row],[Ativo]],TbAtivos[[Ativo]:[Tipo]],2,FALSE)</f>
        <v>FII</v>
      </c>
    </row>
    <row r="7" spans="1:9" ht="19.95" customHeight="1" x14ac:dyDescent="0.3">
      <c r="A7">
        <v>13</v>
      </c>
      <c r="B7" t="s">
        <v>7</v>
      </c>
      <c r="C7">
        <v>100</v>
      </c>
      <c r="D7" s="2">
        <v>67</v>
      </c>
      <c r="E7" s="2">
        <v>6</v>
      </c>
      <c r="F7" s="2">
        <v>61</v>
      </c>
      <c r="G7" s="1">
        <v>43480</v>
      </c>
      <c r="H7" s="2" t="str">
        <f>CONCATENATE(YEAR(TbProventos[[#This Row],[Data]]),"/",IF(MONTH(TbProventos[[#This Row],[Data]])&lt;10,0,""),MONTH(TbProventos[[#This Row],[Data]]))</f>
        <v>2019/01</v>
      </c>
      <c r="I7" s="2" t="str">
        <f>VLOOKUP(TbProventos[[#This Row],[Ativo]],TbAtivos[[Ativo]:[Tipo]],2,FALSE)</f>
        <v>EMPRESA</v>
      </c>
    </row>
    <row r="8" spans="1:9" ht="19.95" customHeight="1" x14ac:dyDescent="0.3">
      <c r="A8">
        <v>14</v>
      </c>
      <c r="B8" t="s">
        <v>8</v>
      </c>
      <c r="C8">
        <v>100</v>
      </c>
      <c r="D8" s="2">
        <v>75.709999999999994</v>
      </c>
      <c r="E8" s="2">
        <v>0</v>
      </c>
      <c r="F8" s="2">
        <v>75.709999999999994</v>
      </c>
      <c r="G8" s="1">
        <v>43482</v>
      </c>
      <c r="H8" s="2" t="str">
        <f>CONCATENATE(YEAR(TbProventos[[#This Row],[Data]]),"/",IF(MONTH(TbProventos[[#This Row],[Data]])&lt;10,0,""),MONTH(TbProventos[[#This Row],[Data]]))</f>
        <v>2019/01</v>
      </c>
      <c r="I8" s="2" t="str">
        <f>VLOOKUP(TbProventos[[#This Row],[Ativo]],TbAtivos[[Ativo]:[Tipo]],2,FALSE)</f>
        <v>FII</v>
      </c>
    </row>
    <row r="9" spans="1:9" ht="19.95" customHeight="1" x14ac:dyDescent="0.3">
      <c r="A9">
        <v>14</v>
      </c>
      <c r="B9" t="s">
        <v>10</v>
      </c>
      <c r="C9">
        <v>100</v>
      </c>
      <c r="D9" s="2">
        <v>39.36</v>
      </c>
      <c r="E9" s="2">
        <v>0</v>
      </c>
      <c r="F9" s="2">
        <v>39.36</v>
      </c>
      <c r="G9" s="1">
        <v>43482</v>
      </c>
      <c r="H9" s="2" t="str">
        <f>CONCATENATE(YEAR(TbProventos[[#This Row],[Data]]),"/",IF(MONTH(TbProventos[[#This Row],[Data]])&lt;10,0,""),MONTH(TbProventos[[#This Row],[Data]]))</f>
        <v>2019/01</v>
      </c>
      <c r="I9" s="2" t="str">
        <f>VLOOKUP(TbProventos[[#This Row],[Ativo]],TbAtivos[[Ativo]:[Tipo]],2,FALSE)</f>
        <v>FII</v>
      </c>
    </row>
    <row r="10" spans="1:9" ht="19.95" customHeight="1" x14ac:dyDescent="0.3">
      <c r="A10">
        <v>14</v>
      </c>
      <c r="B10" t="s">
        <v>11</v>
      </c>
      <c r="C10">
        <v>100</v>
      </c>
      <c r="D10" s="2">
        <v>51.8</v>
      </c>
      <c r="E10" s="2">
        <v>0</v>
      </c>
      <c r="F10" s="2">
        <v>51.8</v>
      </c>
      <c r="G10" s="1">
        <v>43482</v>
      </c>
      <c r="H10" s="2" t="str">
        <f>CONCATENATE(YEAR(TbProventos[[#This Row],[Data]]),"/",IF(MONTH(TbProventos[[#This Row],[Data]])&lt;10,0,""),MONTH(TbProventos[[#This Row],[Data]]))</f>
        <v>2019/01</v>
      </c>
      <c r="I10" s="2" t="str">
        <f>VLOOKUP(TbProventos[[#This Row],[Ativo]],TbAtivos[[Ativo]:[Tipo]],2,FALSE)</f>
        <v>FII</v>
      </c>
    </row>
    <row r="11" spans="1:9" ht="19.95" customHeight="1" x14ac:dyDescent="0.3">
      <c r="A11">
        <v>14</v>
      </c>
      <c r="B11" t="s">
        <v>12</v>
      </c>
      <c r="C11">
        <v>100</v>
      </c>
      <c r="D11" s="2">
        <v>61.75</v>
      </c>
      <c r="E11" s="2">
        <v>0</v>
      </c>
      <c r="F11" s="2">
        <v>61.75</v>
      </c>
      <c r="G11" s="1">
        <v>43482</v>
      </c>
      <c r="H11" s="2" t="str">
        <f>CONCATENATE(YEAR(TbProventos[[#This Row],[Data]]),"/",IF(MONTH(TbProventos[[#This Row],[Data]])&lt;10,0,""),MONTH(TbProventos[[#This Row],[Data]]))</f>
        <v>2019/01</v>
      </c>
      <c r="I11" s="2" t="str">
        <f>VLOOKUP(TbProventos[[#This Row],[Ativo]],TbAtivos[[Ativo]:[Tipo]],2,FALSE)</f>
        <v>FII</v>
      </c>
    </row>
    <row r="12" spans="1:9" ht="19.95" customHeight="1" x14ac:dyDescent="0.3">
      <c r="A12">
        <v>13</v>
      </c>
      <c r="B12" t="s">
        <v>6</v>
      </c>
      <c r="C12">
        <v>100</v>
      </c>
      <c r="D12" s="2">
        <v>65.430000000000007</v>
      </c>
      <c r="E12" s="2">
        <v>0</v>
      </c>
      <c r="F12" s="2">
        <v>65.430000000000007</v>
      </c>
      <c r="G12" s="1">
        <v>43511</v>
      </c>
      <c r="H12" s="2" t="str">
        <f>CONCATENATE(YEAR(TbProventos[[#This Row],[Data]]),"/",IF(MONTH(TbProventos[[#This Row],[Data]])&lt;10,0,""),MONTH(TbProventos[[#This Row],[Data]]))</f>
        <v>2019/02</v>
      </c>
      <c r="I12" s="2" t="str">
        <f>VLOOKUP(TbProventos[[#This Row],[Ativo]],TbAtivos[[Ativo]:[Tipo]],2,FALSE)</f>
        <v>EMPRESA</v>
      </c>
    </row>
    <row r="13" spans="1:9" ht="19.95" customHeight="1" x14ac:dyDescent="0.3">
      <c r="A13">
        <v>50</v>
      </c>
      <c r="B13" t="s">
        <v>26</v>
      </c>
      <c r="C13">
        <v>100</v>
      </c>
      <c r="D13" s="2">
        <v>0</v>
      </c>
      <c r="E13" s="2">
        <v>0</v>
      </c>
      <c r="F13" s="2">
        <v>0</v>
      </c>
      <c r="G13" s="1">
        <v>43511</v>
      </c>
      <c r="H13" s="2" t="str">
        <f>CONCATENATE(YEAR(TbProventos[[#This Row],[Data]]),"/",IF(MONTH(TbProventos[[#This Row],[Data]])&lt;10,0,""),MONTH(TbProventos[[#This Row],[Data]]))</f>
        <v>2019/02</v>
      </c>
      <c r="I13" s="2" t="e">
        <f>VLOOKUP(TbProventos[[#This Row],[Ativo]],TbAtivos[[Ativo]:[Tipo]],2,FALSE)</f>
        <v>#N/A</v>
      </c>
    </row>
    <row r="14" spans="1:9" ht="19.95" customHeight="1" x14ac:dyDescent="0.3">
      <c r="A14">
        <v>14</v>
      </c>
      <c r="B14" t="s">
        <v>8</v>
      </c>
      <c r="C14">
        <v>100</v>
      </c>
      <c r="D14" s="2">
        <v>61</v>
      </c>
      <c r="E14" s="2">
        <v>0</v>
      </c>
      <c r="F14" s="2">
        <v>61</v>
      </c>
      <c r="G14" s="1">
        <v>43513</v>
      </c>
      <c r="H14" s="2" t="str">
        <f>CONCATENATE(YEAR(TbProventos[[#This Row],[Data]]),"/",IF(MONTH(TbProventos[[#This Row],[Data]])&lt;10,0,""),MONTH(TbProventos[[#This Row],[Data]]))</f>
        <v>2019/02</v>
      </c>
      <c r="I14" s="2" t="str">
        <f>VLOOKUP(TbProventos[[#This Row],[Ativo]],TbAtivos[[Ativo]:[Tipo]],2,FALSE)</f>
        <v>FII</v>
      </c>
    </row>
    <row r="15" spans="1:9" ht="19.95" customHeight="1" x14ac:dyDescent="0.3">
      <c r="A15">
        <v>14</v>
      </c>
      <c r="B15" t="s">
        <v>10</v>
      </c>
      <c r="C15">
        <v>100</v>
      </c>
      <c r="D15" s="2">
        <v>99</v>
      </c>
      <c r="E15" s="2">
        <v>0</v>
      </c>
      <c r="F15" s="2">
        <v>99</v>
      </c>
      <c r="G15" s="1">
        <v>43513</v>
      </c>
      <c r="H15" s="2" t="str">
        <f>CONCATENATE(YEAR(TbProventos[[#This Row],[Data]]),"/",IF(MONTH(TbProventos[[#This Row],[Data]])&lt;10,0,""),MONTH(TbProventos[[#This Row],[Data]]))</f>
        <v>2019/02</v>
      </c>
      <c r="I15" s="2" t="str">
        <f>VLOOKUP(TbProventos[[#This Row],[Ativo]],TbAtivos[[Ativo]:[Tipo]],2,FALSE)</f>
        <v>FII</v>
      </c>
    </row>
    <row r="16" spans="1:9" ht="19.95" customHeight="1" x14ac:dyDescent="0.3">
      <c r="A16">
        <v>14</v>
      </c>
      <c r="B16" t="s">
        <v>11</v>
      </c>
      <c r="C16">
        <v>100</v>
      </c>
      <c r="D16" s="2">
        <v>99.9</v>
      </c>
      <c r="E16" s="2">
        <v>0</v>
      </c>
      <c r="F16" s="2">
        <v>99.9</v>
      </c>
      <c r="G16" s="1">
        <v>43513</v>
      </c>
      <c r="H16" s="2" t="str">
        <f>CONCATENATE(YEAR(TbProventos[[#This Row],[Data]]),"/",IF(MONTH(TbProventos[[#This Row],[Data]])&lt;10,0,""),MONTH(TbProventos[[#This Row],[Data]]))</f>
        <v>2019/02</v>
      </c>
      <c r="I16" s="2" t="str">
        <f>VLOOKUP(TbProventos[[#This Row],[Ativo]],TbAtivos[[Ativo]:[Tipo]],2,FALSE)</f>
        <v>FII</v>
      </c>
    </row>
    <row r="17" spans="1:9" ht="19.95" customHeight="1" x14ac:dyDescent="0.3">
      <c r="A17">
        <v>14</v>
      </c>
      <c r="B17" t="s">
        <v>12</v>
      </c>
      <c r="C17">
        <v>100</v>
      </c>
      <c r="D17" s="2">
        <v>98.42</v>
      </c>
      <c r="E17" s="2">
        <v>0</v>
      </c>
      <c r="F17" s="2">
        <v>98.42</v>
      </c>
      <c r="G17" s="1">
        <v>43513</v>
      </c>
      <c r="H17" s="2" t="str">
        <f>CONCATENATE(YEAR(TbProventos[[#This Row],[Data]]),"/",IF(MONTH(TbProventos[[#This Row],[Data]])&lt;10,0,""),MONTH(TbProventos[[#This Row],[Data]]))</f>
        <v>2019/02</v>
      </c>
      <c r="I17" s="2" t="str">
        <f>VLOOKUP(TbProventos[[#This Row],[Ativo]],TbAtivos[[Ativo]:[Tipo]],2,FALSE)</f>
        <v>FII</v>
      </c>
    </row>
    <row r="18" spans="1:9" ht="19.95" customHeight="1" x14ac:dyDescent="0.3">
      <c r="A18">
        <v>13</v>
      </c>
      <c r="B18" t="s">
        <v>5</v>
      </c>
      <c r="C18">
        <v>100</v>
      </c>
      <c r="D18" s="2">
        <v>166</v>
      </c>
      <c r="E18" s="2">
        <v>2.34</v>
      </c>
      <c r="F18" s="2">
        <v>163.66</v>
      </c>
      <c r="G18" s="1">
        <v>43539</v>
      </c>
      <c r="H18" s="2" t="str">
        <f>CONCATENATE(YEAR(TbProventos[[#This Row],[Data]]),"/",IF(MONTH(TbProventos[[#This Row],[Data]])&lt;10,0,""),MONTH(TbProventos[[#This Row],[Data]]))</f>
        <v>2019/03</v>
      </c>
      <c r="I18" s="2" t="str">
        <f>VLOOKUP(TbProventos[[#This Row],[Ativo]],TbAtivos[[Ativo]:[Tipo]],2,FALSE)</f>
        <v>EMPRESA</v>
      </c>
    </row>
    <row r="19" spans="1:9" ht="19.95" customHeight="1" x14ac:dyDescent="0.3">
      <c r="A19">
        <v>14</v>
      </c>
      <c r="B19" t="s">
        <v>8</v>
      </c>
      <c r="C19">
        <v>100</v>
      </c>
      <c r="D19" s="2">
        <v>37.44</v>
      </c>
      <c r="E19" s="2">
        <v>0</v>
      </c>
      <c r="F19" s="2">
        <v>37.44</v>
      </c>
      <c r="G19" s="1">
        <v>43541</v>
      </c>
      <c r="H19" s="2" t="str">
        <f>CONCATENATE(YEAR(TbProventos[[#This Row],[Data]]),"/",IF(MONTH(TbProventos[[#This Row],[Data]])&lt;10,0,""),MONTH(TbProventos[[#This Row],[Data]]))</f>
        <v>2019/03</v>
      </c>
      <c r="I19" s="2" t="str">
        <f>VLOOKUP(TbProventos[[#This Row],[Ativo]],TbAtivos[[Ativo]:[Tipo]],2,FALSE)</f>
        <v>FII</v>
      </c>
    </row>
    <row r="20" spans="1:9" ht="19.95" customHeight="1" x14ac:dyDescent="0.3">
      <c r="A20">
        <v>14</v>
      </c>
      <c r="B20" t="s">
        <v>10</v>
      </c>
      <c r="C20">
        <v>100</v>
      </c>
      <c r="D20" s="2">
        <v>52.02</v>
      </c>
      <c r="E20" s="2">
        <v>0</v>
      </c>
      <c r="F20" s="2">
        <v>52.02</v>
      </c>
      <c r="G20" s="1">
        <v>43541</v>
      </c>
      <c r="H20" s="2" t="str">
        <f>CONCATENATE(YEAR(TbProventos[[#This Row],[Data]]),"/",IF(MONTH(TbProventos[[#This Row],[Data]])&lt;10,0,""),MONTH(TbProventos[[#This Row],[Data]]))</f>
        <v>2019/03</v>
      </c>
      <c r="I20" s="2" t="str">
        <f>VLOOKUP(TbProventos[[#This Row],[Ativo]],TbAtivos[[Ativo]:[Tipo]],2,FALSE)</f>
        <v>FII</v>
      </c>
    </row>
    <row r="21" spans="1:9" ht="19.95" customHeight="1" x14ac:dyDescent="0.3">
      <c r="A21">
        <v>14</v>
      </c>
      <c r="B21" t="s">
        <v>11</v>
      </c>
      <c r="C21">
        <v>100</v>
      </c>
      <c r="D21" s="2">
        <v>42.14</v>
      </c>
      <c r="E21" s="2">
        <v>0</v>
      </c>
      <c r="F21" s="2">
        <v>42.14</v>
      </c>
      <c r="G21" s="1">
        <v>43541</v>
      </c>
      <c r="H21" s="2" t="str">
        <f>CONCATENATE(YEAR(TbProventos[[#This Row],[Data]]),"/",IF(MONTH(TbProventos[[#This Row],[Data]])&lt;10,0,""),MONTH(TbProventos[[#This Row],[Data]]))</f>
        <v>2019/03</v>
      </c>
      <c r="I21" s="2" t="str">
        <f>VLOOKUP(TbProventos[[#This Row],[Ativo]],TbAtivos[[Ativo]:[Tipo]],2,FALSE)</f>
        <v>FII</v>
      </c>
    </row>
    <row r="22" spans="1:9" ht="19.95" customHeight="1" x14ac:dyDescent="0.3">
      <c r="A22">
        <v>14</v>
      </c>
      <c r="B22" t="s">
        <v>12</v>
      </c>
      <c r="C22">
        <v>100</v>
      </c>
      <c r="D22" s="2">
        <v>177.12</v>
      </c>
      <c r="E22" s="2">
        <v>0</v>
      </c>
      <c r="F22" s="2">
        <v>177.12</v>
      </c>
      <c r="G22" s="1">
        <v>43541</v>
      </c>
      <c r="H22" s="2" t="str">
        <f>CONCATENATE(YEAR(TbProventos[[#This Row],[Data]]),"/",IF(MONTH(TbProventos[[#This Row],[Data]])&lt;10,0,""),MONTH(TbProventos[[#This Row],[Data]]))</f>
        <v>2019/03</v>
      </c>
      <c r="I22" s="2" t="str">
        <f>VLOOKUP(TbProventos[[#This Row],[Ativo]],TbAtivos[[Ativo]:[Tipo]],2,FALSE)</f>
        <v>FII</v>
      </c>
    </row>
    <row r="23" spans="1:9" ht="19.95" customHeight="1" x14ac:dyDescent="0.3">
      <c r="A23">
        <v>13</v>
      </c>
      <c r="B23" t="s">
        <v>6</v>
      </c>
      <c r="C23">
        <v>100</v>
      </c>
      <c r="D23" s="2">
        <v>162.75</v>
      </c>
      <c r="E23" s="2">
        <v>0</v>
      </c>
      <c r="F23" s="2">
        <v>162.75</v>
      </c>
      <c r="G23" s="1">
        <v>43570</v>
      </c>
      <c r="H23" s="2" t="str">
        <f>CONCATENATE(YEAR(TbProventos[[#This Row],[Data]]),"/",IF(MONTH(TbProventos[[#This Row],[Data]])&lt;10,0,""),MONTH(TbProventos[[#This Row],[Data]]))</f>
        <v>2019/04</v>
      </c>
      <c r="I23" s="2" t="str">
        <f>VLOOKUP(TbProventos[[#This Row],[Ativo]],TbAtivos[[Ativo]:[Tipo]],2,FALSE)</f>
        <v>EMPRESA</v>
      </c>
    </row>
    <row r="24" spans="1:9" ht="19.95" customHeight="1" x14ac:dyDescent="0.3">
      <c r="A24">
        <v>14</v>
      </c>
      <c r="B24" t="s">
        <v>8</v>
      </c>
      <c r="C24">
        <v>100</v>
      </c>
      <c r="D24" s="2">
        <v>61</v>
      </c>
      <c r="E24" s="2">
        <v>0</v>
      </c>
      <c r="F24" s="2">
        <v>61</v>
      </c>
      <c r="G24" s="1">
        <v>43572</v>
      </c>
      <c r="H24" s="2" t="str">
        <f>CONCATENATE(YEAR(TbProventos[[#This Row],[Data]]),"/",IF(MONTH(TbProventos[[#This Row],[Data]])&lt;10,0,""),MONTH(TbProventos[[#This Row],[Data]]))</f>
        <v>2019/04</v>
      </c>
      <c r="I24" s="2" t="str">
        <f>VLOOKUP(TbProventos[[#This Row],[Ativo]],TbAtivos[[Ativo]:[Tipo]],2,FALSE)</f>
        <v>FII</v>
      </c>
    </row>
    <row r="25" spans="1:9" ht="19.95" customHeight="1" x14ac:dyDescent="0.3">
      <c r="A25">
        <v>14</v>
      </c>
      <c r="B25" t="s">
        <v>10</v>
      </c>
      <c r="C25">
        <v>100</v>
      </c>
      <c r="D25" s="2">
        <v>180.6</v>
      </c>
      <c r="E25" s="2">
        <v>0</v>
      </c>
      <c r="F25" s="2">
        <v>180.6</v>
      </c>
      <c r="G25" s="1">
        <v>43572</v>
      </c>
      <c r="H25" s="2" t="str">
        <f>CONCATENATE(YEAR(TbProventos[[#This Row],[Data]]),"/",IF(MONTH(TbProventos[[#This Row],[Data]])&lt;10,0,""),MONTH(TbProventos[[#This Row],[Data]]))</f>
        <v>2019/04</v>
      </c>
      <c r="I25" s="2" t="str">
        <f>VLOOKUP(TbProventos[[#This Row],[Ativo]],TbAtivos[[Ativo]:[Tipo]],2,FALSE)</f>
        <v>FII</v>
      </c>
    </row>
    <row r="26" spans="1:9" ht="19.95" customHeight="1" x14ac:dyDescent="0.3">
      <c r="A26">
        <v>14</v>
      </c>
      <c r="B26" t="s">
        <v>11</v>
      </c>
      <c r="C26">
        <v>100</v>
      </c>
      <c r="D26" s="2">
        <v>38.4</v>
      </c>
      <c r="E26" s="2">
        <v>0</v>
      </c>
      <c r="F26" s="2">
        <v>38.4</v>
      </c>
      <c r="G26" s="1">
        <v>43572</v>
      </c>
      <c r="H26" s="2" t="str">
        <f>CONCATENATE(YEAR(TbProventos[[#This Row],[Data]]),"/",IF(MONTH(TbProventos[[#This Row],[Data]])&lt;10,0,""),MONTH(TbProventos[[#This Row],[Data]]))</f>
        <v>2019/04</v>
      </c>
      <c r="I26" s="2" t="str">
        <f>VLOOKUP(TbProventos[[#This Row],[Ativo]],TbAtivos[[Ativo]:[Tipo]],2,FALSE)</f>
        <v>FII</v>
      </c>
    </row>
    <row r="27" spans="1:9" ht="19.95" customHeight="1" x14ac:dyDescent="0.3">
      <c r="A27">
        <v>14</v>
      </c>
      <c r="B27" t="s">
        <v>12</v>
      </c>
      <c r="C27">
        <v>100</v>
      </c>
      <c r="D27" s="2">
        <v>153.18</v>
      </c>
      <c r="E27" s="2">
        <v>0</v>
      </c>
      <c r="F27" s="2">
        <v>153.18</v>
      </c>
      <c r="G27" s="1">
        <v>43572</v>
      </c>
      <c r="H27" s="2" t="str">
        <f>CONCATENATE(YEAR(TbProventos[[#This Row],[Data]]),"/",IF(MONTH(TbProventos[[#This Row],[Data]])&lt;10,0,""),MONTH(TbProventos[[#This Row],[Data]]))</f>
        <v>2019/04</v>
      </c>
      <c r="I27" s="2" t="str">
        <f>VLOOKUP(TbProventos[[#This Row],[Ativo]],TbAtivos[[Ativo]:[Tipo]],2,FALSE)</f>
        <v>FII</v>
      </c>
    </row>
    <row r="28" spans="1:9" ht="19.95" customHeight="1" x14ac:dyDescent="0.3">
      <c r="A28">
        <v>13</v>
      </c>
      <c r="B28" t="s">
        <v>21</v>
      </c>
      <c r="C28">
        <v>100</v>
      </c>
      <c r="D28" s="2">
        <v>156.13999999999999</v>
      </c>
      <c r="E28" s="2">
        <v>0</v>
      </c>
      <c r="F28" s="2">
        <v>156.13999999999999</v>
      </c>
      <c r="G28" s="1">
        <v>43600</v>
      </c>
      <c r="H28" s="2" t="str">
        <f>CONCATENATE(YEAR(TbProventos[[#This Row],[Data]]),"/",IF(MONTH(TbProventos[[#This Row],[Data]])&lt;10,0,""),MONTH(TbProventos[[#This Row],[Data]]))</f>
        <v>2019/05</v>
      </c>
      <c r="I28" s="2" t="str">
        <f>VLOOKUP(TbProventos[[#This Row],[Ativo]],TbAtivos[[Ativo]:[Tipo]],2,FALSE)</f>
        <v>EMPRESA</v>
      </c>
    </row>
    <row r="29" spans="1:9" ht="19.95" customHeight="1" x14ac:dyDescent="0.3">
      <c r="A29">
        <v>14</v>
      </c>
      <c r="B29" t="s">
        <v>8</v>
      </c>
      <c r="C29">
        <v>100</v>
      </c>
      <c r="D29" s="2">
        <v>61</v>
      </c>
      <c r="E29" s="2">
        <v>0</v>
      </c>
      <c r="F29" s="2">
        <v>61</v>
      </c>
      <c r="G29" s="1">
        <v>43602</v>
      </c>
      <c r="H29" s="2" t="str">
        <f>CONCATENATE(YEAR(TbProventos[[#This Row],[Data]]),"/",IF(MONTH(TbProventos[[#This Row],[Data]])&lt;10,0,""),MONTH(TbProventos[[#This Row],[Data]]))</f>
        <v>2019/05</v>
      </c>
      <c r="I29" s="2" t="str">
        <f>VLOOKUP(TbProventos[[#This Row],[Ativo]],TbAtivos[[Ativo]:[Tipo]],2,FALSE)</f>
        <v>FII</v>
      </c>
    </row>
    <row r="30" spans="1:9" ht="19.95" customHeight="1" x14ac:dyDescent="0.3">
      <c r="A30">
        <v>14</v>
      </c>
      <c r="B30" t="s">
        <v>10</v>
      </c>
      <c r="C30">
        <v>100</v>
      </c>
      <c r="D30" s="2">
        <v>99</v>
      </c>
      <c r="E30" s="2">
        <v>0</v>
      </c>
      <c r="F30" s="2">
        <v>99</v>
      </c>
      <c r="G30" s="1">
        <v>43602</v>
      </c>
      <c r="H30" s="2" t="str">
        <f>CONCATENATE(YEAR(TbProventos[[#This Row],[Data]]),"/",IF(MONTH(TbProventos[[#This Row],[Data]])&lt;10,0,""),MONTH(TbProventos[[#This Row],[Data]]))</f>
        <v>2019/05</v>
      </c>
      <c r="I30" s="2" t="str">
        <f>VLOOKUP(TbProventos[[#This Row],[Ativo]],TbAtivos[[Ativo]:[Tipo]],2,FALSE)</f>
        <v>FII</v>
      </c>
    </row>
    <row r="31" spans="1:9" ht="19.95" customHeight="1" x14ac:dyDescent="0.3">
      <c r="A31">
        <v>14</v>
      </c>
      <c r="B31" t="s">
        <v>11</v>
      </c>
      <c r="C31">
        <v>100</v>
      </c>
      <c r="D31" s="2">
        <v>99.9</v>
      </c>
      <c r="E31" s="2">
        <v>0</v>
      </c>
      <c r="F31" s="2">
        <v>99.9</v>
      </c>
      <c r="G31" s="1">
        <v>43602</v>
      </c>
      <c r="H31" s="2" t="str">
        <f>CONCATENATE(YEAR(TbProventos[[#This Row],[Data]]),"/",IF(MONTH(TbProventos[[#This Row],[Data]])&lt;10,0,""),MONTH(TbProventos[[#This Row],[Data]]))</f>
        <v>2019/05</v>
      </c>
      <c r="I31" s="2" t="str">
        <f>VLOOKUP(TbProventos[[#This Row],[Ativo]],TbAtivos[[Ativo]:[Tipo]],2,FALSE)</f>
        <v>FII</v>
      </c>
    </row>
    <row r="32" spans="1:9" ht="19.95" customHeight="1" x14ac:dyDescent="0.3">
      <c r="A32">
        <v>14</v>
      </c>
      <c r="B32" t="s">
        <v>12</v>
      </c>
      <c r="C32">
        <v>100</v>
      </c>
      <c r="D32" s="2">
        <v>98.42</v>
      </c>
      <c r="E32" s="2">
        <v>0</v>
      </c>
      <c r="F32" s="2">
        <v>98.42</v>
      </c>
      <c r="G32" s="1">
        <v>43602</v>
      </c>
      <c r="H32" s="2" t="str">
        <f>CONCATENATE(YEAR(TbProventos[[#This Row],[Data]]),"/",IF(MONTH(TbProventos[[#This Row],[Data]])&lt;10,0,""),MONTH(TbProventos[[#This Row],[Data]]))</f>
        <v>2019/05</v>
      </c>
      <c r="I32" s="2" t="str">
        <f>VLOOKUP(TbProventos[[#This Row],[Ativo]],TbAtivos[[Ativo]:[Tipo]],2,FALSE)</f>
        <v>FII</v>
      </c>
    </row>
    <row r="33" spans="1:9" ht="19.95" customHeight="1" x14ac:dyDescent="0.3">
      <c r="A33">
        <v>13</v>
      </c>
      <c r="B33" t="s">
        <v>6</v>
      </c>
      <c r="C33">
        <v>100</v>
      </c>
      <c r="D33" s="2">
        <v>166</v>
      </c>
      <c r="E33" s="2">
        <v>0</v>
      </c>
      <c r="F33" s="2">
        <v>166</v>
      </c>
      <c r="G33" s="1">
        <v>43631</v>
      </c>
      <c r="H33" s="2" t="str">
        <f>CONCATENATE(YEAR(TbProventos[[#This Row],[Data]]),"/",IF(MONTH(TbProventos[[#This Row],[Data]])&lt;10,0,""),MONTH(TbProventos[[#This Row],[Data]]))</f>
        <v>2019/06</v>
      </c>
      <c r="I33" s="2" t="str">
        <f>VLOOKUP(TbProventos[[#This Row],[Ativo]],TbAtivos[[Ativo]:[Tipo]],2,FALSE)</f>
        <v>EMPRESA</v>
      </c>
    </row>
    <row r="34" spans="1:9" ht="19.95" customHeight="1" x14ac:dyDescent="0.3">
      <c r="A34">
        <v>14</v>
      </c>
      <c r="B34" t="s">
        <v>8</v>
      </c>
      <c r="C34">
        <v>100</v>
      </c>
      <c r="D34" s="2">
        <v>37.44</v>
      </c>
      <c r="E34" s="2">
        <v>0</v>
      </c>
      <c r="F34" s="2">
        <v>37.44</v>
      </c>
      <c r="G34" s="1">
        <v>43633</v>
      </c>
      <c r="H34" s="2" t="str">
        <f>CONCATENATE(YEAR(TbProventos[[#This Row],[Data]]),"/",IF(MONTH(TbProventos[[#This Row],[Data]])&lt;10,0,""),MONTH(TbProventos[[#This Row],[Data]]))</f>
        <v>2019/06</v>
      </c>
      <c r="I34" s="2" t="str">
        <f>VLOOKUP(TbProventos[[#This Row],[Ativo]],TbAtivos[[Ativo]:[Tipo]],2,FALSE)</f>
        <v>FII</v>
      </c>
    </row>
    <row r="35" spans="1:9" ht="19.95" customHeight="1" x14ac:dyDescent="0.3">
      <c r="A35">
        <v>14</v>
      </c>
      <c r="B35" t="s">
        <v>10</v>
      </c>
      <c r="C35">
        <v>100</v>
      </c>
      <c r="D35" s="2">
        <v>52.02</v>
      </c>
      <c r="E35" s="2">
        <v>0</v>
      </c>
      <c r="F35" s="2">
        <v>52.02</v>
      </c>
      <c r="G35" s="1">
        <v>43633</v>
      </c>
      <c r="H35" s="2" t="str">
        <f>CONCATENATE(YEAR(TbProventos[[#This Row],[Data]]),"/",IF(MONTH(TbProventos[[#This Row],[Data]])&lt;10,0,""),MONTH(TbProventos[[#This Row],[Data]]))</f>
        <v>2019/06</v>
      </c>
      <c r="I35" s="2" t="str">
        <f>VLOOKUP(TbProventos[[#This Row],[Ativo]],TbAtivos[[Ativo]:[Tipo]],2,FALSE)</f>
        <v>FII</v>
      </c>
    </row>
    <row r="36" spans="1:9" ht="19.95" customHeight="1" x14ac:dyDescent="0.3">
      <c r="A36">
        <v>14</v>
      </c>
      <c r="B36" t="s">
        <v>11</v>
      </c>
      <c r="C36">
        <v>100</v>
      </c>
      <c r="D36" s="2">
        <v>42.14</v>
      </c>
      <c r="E36" s="2">
        <v>0</v>
      </c>
      <c r="F36" s="2">
        <v>42.14</v>
      </c>
      <c r="G36" s="1">
        <v>43633</v>
      </c>
      <c r="H36" s="2" t="str">
        <f>CONCATENATE(YEAR(TbProventos[[#This Row],[Data]]),"/",IF(MONTH(TbProventos[[#This Row],[Data]])&lt;10,0,""),MONTH(TbProventos[[#This Row],[Data]]))</f>
        <v>2019/06</v>
      </c>
      <c r="I36" s="2" t="str">
        <f>VLOOKUP(TbProventos[[#This Row],[Ativo]],TbAtivos[[Ativo]:[Tipo]],2,FALSE)</f>
        <v>FII</v>
      </c>
    </row>
    <row r="37" spans="1:9" ht="19.95" customHeight="1" x14ac:dyDescent="0.3">
      <c r="A37">
        <v>14</v>
      </c>
      <c r="B37" t="s">
        <v>12</v>
      </c>
      <c r="C37">
        <v>100</v>
      </c>
      <c r="D37" s="2">
        <v>177.12</v>
      </c>
      <c r="E37" s="2">
        <v>0</v>
      </c>
      <c r="F37" s="2">
        <v>177.12</v>
      </c>
      <c r="G37" s="1">
        <v>43633</v>
      </c>
      <c r="H37" s="2" t="str">
        <f>CONCATENATE(YEAR(TbProventos[[#This Row],[Data]]),"/",IF(MONTH(TbProventos[[#This Row],[Data]])&lt;10,0,""),MONTH(TbProventos[[#This Row],[Data]]))</f>
        <v>2019/06</v>
      </c>
      <c r="I37" s="2" t="str">
        <f>VLOOKUP(TbProventos[[#This Row],[Ativo]],TbAtivos[[Ativo]:[Tipo]],2,FALSE)</f>
        <v>FII</v>
      </c>
    </row>
    <row r="38" spans="1:9" ht="19.95" customHeight="1" x14ac:dyDescent="0.3">
      <c r="A38">
        <v>13</v>
      </c>
      <c r="B38" t="s">
        <v>7</v>
      </c>
      <c r="C38">
        <v>100</v>
      </c>
      <c r="D38" s="2">
        <v>162.75</v>
      </c>
      <c r="E38" s="2">
        <v>0</v>
      </c>
      <c r="F38" s="2">
        <v>162.75</v>
      </c>
      <c r="G38" s="1">
        <v>43661</v>
      </c>
      <c r="H38" s="2" t="str">
        <f>CONCATENATE(YEAR(TbProventos[[#This Row],[Data]]),"/",IF(MONTH(TbProventos[[#This Row],[Data]])&lt;10,0,""),MONTH(TbProventos[[#This Row],[Data]]))</f>
        <v>2019/07</v>
      </c>
      <c r="I38" s="2" t="str">
        <f>VLOOKUP(TbProventos[[#This Row],[Ativo]],TbAtivos[[Ativo]:[Tipo]],2,FALSE)</f>
        <v>EMPRESA</v>
      </c>
    </row>
    <row r="39" spans="1:9" ht="19.95" customHeight="1" x14ac:dyDescent="0.3">
      <c r="A39">
        <v>14</v>
      </c>
      <c r="B39" t="s">
        <v>8</v>
      </c>
      <c r="C39">
        <v>100</v>
      </c>
      <c r="D39" s="2">
        <v>61</v>
      </c>
      <c r="E39" s="2">
        <v>0</v>
      </c>
      <c r="F39" s="2">
        <v>61</v>
      </c>
      <c r="G39" s="1">
        <v>43663</v>
      </c>
      <c r="H39" s="2" t="str">
        <f>CONCATENATE(YEAR(TbProventos[[#This Row],[Data]]),"/",IF(MONTH(TbProventos[[#This Row],[Data]])&lt;10,0,""),MONTH(TbProventos[[#This Row],[Data]]))</f>
        <v>2019/07</v>
      </c>
      <c r="I39" s="2" t="str">
        <f>VLOOKUP(TbProventos[[#This Row],[Ativo]],TbAtivos[[Ativo]:[Tipo]],2,FALSE)</f>
        <v>FII</v>
      </c>
    </row>
    <row r="40" spans="1:9" ht="19.95" customHeight="1" x14ac:dyDescent="0.3">
      <c r="A40">
        <v>14</v>
      </c>
      <c r="B40" t="s">
        <v>10</v>
      </c>
      <c r="C40">
        <v>100</v>
      </c>
      <c r="D40" s="2">
        <v>180.6</v>
      </c>
      <c r="E40" s="2">
        <v>0</v>
      </c>
      <c r="F40" s="2">
        <v>180.6</v>
      </c>
      <c r="G40" s="1">
        <v>43663</v>
      </c>
      <c r="H40" s="2" t="str">
        <f>CONCATENATE(YEAR(TbProventos[[#This Row],[Data]]),"/",IF(MONTH(TbProventos[[#This Row],[Data]])&lt;10,0,""),MONTH(TbProventos[[#This Row],[Data]]))</f>
        <v>2019/07</v>
      </c>
      <c r="I40" s="2" t="str">
        <f>VLOOKUP(TbProventos[[#This Row],[Ativo]],TbAtivos[[Ativo]:[Tipo]],2,FALSE)</f>
        <v>FII</v>
      </c>
    </row>
    <row r="41" spans="1:9" ht="19.95" customHeight="1" x14ac:dyDescent="0.3">
      <c r="A41">
        <v>14</v>
      </c>
      <c r="B41" t="s">
        <v>11</v>
      </c>
      <c r="C41">
        <v>100</v>
      </c>
      <c r="D41" s="2">
        <v>38.4</v>
      </c>
      <c r="E41" s="2">
        <v>0</v>
      </c>
      <c r="F41" s="2">
        <v>38.4</v>
      </c>
      <c r="G41" s="1">
        <v>43663</v>
      </c>
      <c r="H41" s="2" t="str">
        <f>CONCATENATE(YEAR(TbProventos[[#This Row],[Data]]),"/",IF(MONTH(TbProventos[[#This Row],[Data]])&lt;10,0,""),MONTH(TbProventos[[#This Row],[Data]]))</f>
        <v>2019/07</v>
      </c>
      <c r="I41" s="2" t="str">
        <f>VLOOKUP(TbProventos[[#This Row],[Ativo]],TbAtivos[[Ativo]:[Tipo]],2,FALSE)</f>
        <v>FII</v>
      </c>
    </row>
    <row r="42" spans="1:9" ht="19.95" customHeight="1" x14ac:dyDescent="0.3">
      <c r="A42">
        <v>14</v>
      </c>
      <c r="B42" t="s">
        <v>12</v>
      </c>
      <c r="C42">
        <v>100</v>
      </c>
      <c r="D42" s="2">
        <v>153.18</v>
      </c>
      <c r="E42" s="2">
        <v>0</v>
      </c>
      <c r="F42" s="2">
        <v>153.18</v>
      </c>
      <c r="G42" s="1">
        <v>43663</v>
      </c>
      <c r="H42" s="2" t="str">
        <f>CONCATENATE(YEAR(TbProventos[[#This Row],[Data]]),"/",IF(MONTH(TbProventos[[#This Row],[Data]])&lt;10,0,""),MONTH(TbProventos[[#This Row],[Data]]))</f>
        <v>2019/07</v>
      </c>
      <c r="I42" s="2" t="str">
        <f>VLOOKUP(TbProventos[[#This Row],[Ativo]],TbAtivos[[Ativo]:[Tipo]],2,FALSE)</f>
        <v>FII</v>
      </c>
    </row>
    <row r="43" spans="1:9" ht="19.95" customHeight="1" x14ac:dyDescent="0.3">
      <c r="A43">
        <v>13</v>
      </c>
      <c r="B43" t="s">
        <v>5</v>
      </c>
      <c r="C43">
        <v>100</v>
      </c>
      <c r="D43" s="2">
        <v>156.13999999999999</v>
      </c>
      <c r="E43" s="2">
        <v>0</v>
      </c>
      <c r="F43" s="2">
        <v>156.13999999999999</v>
      </c>
      <c r="G43" s="1">
        <v>43692</v>
      </c>
      <c r="H43" s="2" t="str">
        <f>CONCATENATE(YEAR(TbProventos[[#This Row],[Data]]),"/",IF(MONTH(TbProventos[[#This Row],[Data]])&lt;10,0,""),MONTH(TbProventos[[#This Row],[Data]]))</f>
        <v>2019/08</v>
      </c>
      <c r="I43" s="2" t="str">
        <f>VLOOKUP(TbProventos[[#This Row],[Ativo]],TbAtivos[[Ativo]:[Tipo]],2,FALSE)</f>
        <v>EMPRESA</v>
      </c>
    </row>
    <row r="44" spans="1:9" ht="19.95" customHeight="1" x14ac:dyDescent="0.3">
      <c r="A44">
        <v>14</v>
      </c>
      <c r="B44" t="s">
        <v>8</v>
      </c>
      <c r="C44">
        <v>100</v>
      </c>
      <c r="D44" s="2">
        <v>61</v>
      </c>
      <c r="E44" s="2">
        <v>1.03</v>
      </c>
      <c r="F44" s="2">
        <v>59.97</v>
      </c>
      <c r="G44" s="1">
        <v>43694</v>
      </c>
      <c r="H44" s="2" t="str">
        <f>CONCATENATE(YEAR(TbProventos[[#This Row],[Data]]),"/",IF(MONTH(TbProventos[[#This Row],[Data]])&lt;10,0,""),MONTH(TbProventos[[#This Row],[Data]]))</f>
        <v>2019/08</v>
      </c>
      <c r="I44" s="2" t="str">
        <f>VLOOKUP(TbProventos[[#This Row],[Ativo]],TbAtivos[[Ativo]:[Tipo]],2,FALSE)</f>
        <v>FII</v>
      </c>
    </row>
    <row r="45" spans="1:9" ht="19.95" customHeight="1" x14ac:dyDescent="0.3">
      <c r="A45">
        <v>14</v>
      </c>
      <c r="B45" t="s">
        <v>10</v>
      </c>
      <c r="C45">
        <v>100</v>
      </c>
      <c r="D45" s="2">
        <v>99</v>
      </c>
      <c r="E45" s="2">
        <v>0</v>
      </c>
      <c r="F45" s="2">
        <v>99</v>
      </c>
      <c r="G45" s="1">
        <v>43694</v>
      </c>
      <c r="H45" s="2" t="str">
        <f>CONCATENATE(YEAR(TbProventos[[#This Row],[Data]]),"/",IF(MONTH(TbProventos[[#This Row],[Data]])&lt;10,0,""),MONTH(TbProventos[[#This Row],[Data]]))</f>
        <v>2019/08</v>
      </c>
      <c r="I45" s="2" t="str">
        <f>VLOOKUP(TbProventos[[#This Row],[Ativo]],TbAtivos[[Ativo]:[Tipo]],2,FALSE)</f>
        <v>FII</v>
      </c>
    </row>
    <row r="46" spans="1:9" ht="19.95" customHeight="1" x14ac:dyDescent="0.3">
      <c r="A46">
        <v>14</v>
      </c>
      <c r="B46" t="s">
        <v>11</v>
      </c>
      <c r="C46">
        <v>100</v>
      </c>
      <c r="D46" s="2">
        <v>99.9</v>
      </c>
      <c r="E46" s="2">
        <v>0</v>
      </c>
      <c r="F46" s="2">
        <v>99.9</v>
      </c>
      <c r="G46" s="1">
        <v>43694</v>
      </c>
      <c r="H46" s="2" t="str">
        <f>CONCATENATE(YEAR(TbProventos[[#This Row],[Data]]),"/",IF(MONTH(TbProventos[[#This Row],[Data]])&lt;10,0,""),MONTH(TbProventos[[#This Row],[Data]]))</f>
        <v>2019/08</v>
      </c>
      <c r="I46" s="2" t="str">
        <f>VLOOKUP(TbProventos[[#This Row],[Ativo]],TbAtivos[[Ativo]:[Tipo]],2,FALSE)</f>
        <v>FII</v>
      </c>
    </row>
    <row r="47" spans="1:9" ht="19.95" customHeight="1" x14ac:dyDescent="0.3">
      <c r="A47">
        <v>14</v>
      </c>
      <c r="B47" t="s">
        <v>12</v>
      </c>
      <c r="C47">
        <v>100</v>
      </c>
      <c r="D47" s="2">
        <v>98.42</v>
      </c>
      <c r="E47" s="2">
        <v>0</v>
      </c>
      <c r="F47" s="2">
        <v>98.42</v>
      </c>
      <c r="G47" s="1">
        <v>43694</v>
      </c>
      <c r="H47" s="2" t="str">
        <f>CONCATENATE(YEAR(TbProventos[[#This Row],[Data]]),"/",IF(MONTH(TbProventos[[#This Row],[Data]])&lt;10,0,""),MONTH(TbProventos[[#This Row],[Data]]))</f>
        <v>2019/08</v>
      </c>
      <c r="I47" s="2" t="str">
        <f>VLOOKUP(TbProventos[[#This Row],[Ativo]],TbAtivos[[Ativo]:[Tipo]],2,FALSE)</f>
        <v>FII</v>
      </c>
    </row>
    <row r="48" spans="1:9" ht="19.95" customHeight="1" x14ac:dyDescent="0.3">
      <c r="A48">
        <v>13</v>
      </c>
      <c r="B48" t="s">
        <v>3</v>
      </c>
      <c r="C48">
        <v>100</v>
      </c>
      <c r="D48" s="2">
        <v>166</v>
      </c>
      <c r="E48" s="2">
        <v>0</v>
      </c>
      <c r="F48" s="2">
        <v>166</v>
      </c>
      <c r="G48" s="1">
        <v>43723</v>
      </c>
      <c r="H48" s="2" t="str">
        <f>CONCATENATE(YEAR(TbProventos[[#This Row],[Data]]),"/",IF(MONTH(TbProventos[[#This Row],[Data]])&lt;10,0,""),MONTH(TbProventos[[#This Row],[Data]]))</f>
        <v>2019/09</v>
      </c>
      <c r="I48" s="2" t="str">
        <f>VLOOKUP(TbProventos[[#This Row],[Ativo]],TbAtivos[[Ativo]:[Tipo]],2,FALSE)</f>
        <v>EMPRESA</v>
      </c>
    </row>
    <row r="49" spans="1:9" ht="19.95" customHeight="1" x14ac:dyDescent="0.3">
      <c r="A49">
        <v>14</v>
      </c>
      <c r="B49" t="s">
        <v>8</v>
      </c>
      <c r="C49">
        <v>100</v>
      </c>
      <c r="D49" s="2">
        <v>37.44</v>
      </c>
      <c r="E49" s="2">
        <v>0</v>
      </c>
      <c r="F49" s="2">
        <v>37.44</v>
      </c>
      <c r="G49" s="1">
        <v>43725</v>
      </c>
      <c r="H49" s="2" t="str">
        <f>CONCATENATE(YEAR(TbProventos[[#This Row],[Data]]),"/",IF(MONTH(TbProventos[[#This Row],[Data]])&lt;10,0,""),MONTH(TbProventos[[#This Row],[Data]]))</f>
        <v>2019/09</v>
      </c>
      <c r="I49" s="2" t="str">
        <f>VLOOKUP(TbProventos[[#This Row],[Ativo]],TbAtivos[[Ativo]:[Tipo]],2,FALSE)</f>
        <v>FII</v>
      </c>
    </row>
    <row r="50" spans="1:9" ht="19.95" customHeight="1" x14ac:dyDescent="0.3">
      <c r="A50">
        <v>14</v>
      </c>
      <c r="B50" t="s">
        <v>10</v>
      </c>
      <c r="C50">
        <v>100</v>
      </c>
      <c r="D50" s="2">
        <v>52.02</v>
      </c>
      <c r="E50" s="2">
        <v>0</v>
      </c>
      <c r="F50" s="2">
        <v>52.02</v>
      </c>
      <c r="G50" s="1">
        <v>43725</v>
      </c>
      <c r="H50" s="2" t="str">
        <f>CONCATENATE(YEAR(TbProventos[[#This Row],[Data]]),"/",IF(MONTH(TbProventos[[#This Row],[Data]])&lt;10,0,""),MONTH(TbProventos[[#This Row],[Data]]))</f>
        <v>2019/09</v>
      </c>
      <c r="I50" s="2" t="str">
        <f>VLOOKUP(TbProventos[[#This Row],[Ativo]],TbAtivos[[Ativo]:[Tipo]],2,FALSE)</f>
        <v>FII</v>
      </c>
    </row>
    <row r="51" spans="1:9" ht="19.95" customHeight="1" x14ac:dyDescent="0.3">
      <c r="A51">
        <v>14</v>
      </c>
      <c r="B51" t="s">
        <v>11</v>
      </c>
      <c r="C51">
        <v>100</v>
      </c>
      <c r="D51" s="2">
        <v>42.14</v>
      </c>
      <c r="E51" s="2">
        <v>0</v>
      </c>
      <c r="F51" s="2">
        <v>42.14</v>
      </c>
      <c r="G51" s="1">
        <v>43725</v>
      </c>
      <c r="H51" s="2" t="str">
        <f>CONCATENATE(YEAR(TbProventos[[#This Row],[Data]]),"/",IF(MONTH(TbProventos[[#This Row],[Data]])&lt;10,0,""),MONTH(TbProventos[[#This Row],[Data]]))</f>
        <v>2019/09</v>
      </c>
      <c r="I51" s="2" t="str">
        <f>VLOOKUP(TbProventos[[#This Row],[Ativo]],TbAtivos[[Ativo]:[Tipo]],2,FALSE)</f>
        <v>FII</v>
      </c>
    </row>
    <row r="52" spans="1:9" ht="19.95" customHeight="1" x14ac:dyDescent="0.3">
      <c r="A52">
        <v>14</v>
      </c>
      <c r="B52" t="s">
        <v>12</v>
      </c>
      <c r="C52">
        <v>100</v>
      </c>
      <c r="D52" s="2">
        <v>177.12</v>
      </c>
      <c r="E52" s="2">
        <v>0</v>
      </c>
      <c r="F52" s="2">
        <v>177.12</v>
      </c>
      <c r="G52" s="1">
        <v>43725</v>
      </c>
      <c r="H52" s="2" t="str">
        <f>CONCATENATE(YEAR(TbProventos[[#This Row],[Data]]),"/",IF(MONTH(TbProventos[[#This Row],[Data]])&lt;10,0,""),MONTH(TbProventos[[#This Row],[Data]]))</f>
        <v>2019/09</v>
      </c>
      <c r="I52" s="2" t="str">
        <f>VLOOKUP(TbProventos[[#This Row],[Ativo]],TbAtivos[[Ativo]:[Tipo]],2,FALSE)</f>
        <v>FII</v>
      </c>
    </row>
    <row r="53" spans="1:9" ht="19.95" customHeight="1" x14ac:dyDescent="0.3">
      <c r="A53">
        <v>13</v>
      </c>
      <c r="B53" t="s">
        <v>6</v>
      </c>
      <c r="C53">
        <v>100</v>
      </c>
      <c r="D53" s="2">
        <v>162.75</v>
      </c>
      <c r="E53" s="2">
        <v>0</v>
      </c>
      <c r="F53" s="2">
        <v>162.75</v>
      </c>
      <c r="G53" s="1">
        <v>43753</v>
      </c>
      <c r="H53" s="2" t="str">
        <f>CONCATENATE(YEAR(TbProventos[[#This Row],[Data]]),"/",IF(MONTH(TbProventos[[#This Row],[Data]])&lt;10,0,""),MONTH(TbProventos[[#This Row],[Data]]))</f>
        <v>2019/10</v>
      </c>
      <c r="I53" s="2" t="str">
        <f>VLOOKUP(TbProventos[[#This Row],[Ativo]],TbAtivos[[Ativo]:[Tipo]],2,FALSE)</f>
        <v>EMPRESA</v>
      </c>
    </row>
    <row r="54" spans="1:9" ht="19.95" customHeight="1" x14ac:dyDescent="0.3">
      <c r="A54">
        <v>14</v>
      </c>
      <c r="B54" t="s">
        <v>8</v>
      </c>
      <c r="C54">
        <v>100</v>
      </c>
      <c r="D54" s="2">
        <v>61</v>
      </c>
      <c r="E54" s="2">
        <v>0</v>
      </c>
      <c r="F54" s="2">
        <v>61</v>
      </c>
      <c r="G54" s="1">
        <v>43755</v>
      </c>
      <c r="H54" s="2" t="str">
        <f>CONCATENATE(YEAR(TbProventos[[#This Row],[Data]]),"/",IF(MONTH(TbProventos[[#This Row],[Data]])&lt;10,0,""),MONTH(TbProventos[[#This Row],[Data]]))</f>
        <v>2019/10</v>
      </c>
      <c r="I54" s="2" t="str">
        <f>VLOOKUP(TbProventos[[#This Row],[Ativo]],TbAtivos[[Ativo]:[Tipo]],2,FALSE)</f>
        <v>FII</v>
      </c>
    </row>
    <row r="55" spans="1:9" ht="19.95" customHeight="1" x14ac:dyDescent="0.3">
      <c r="A55">
        <v>14</v>
      </c>
      <c r="B55" t="s">
        <v>10</v>
      </c>
      <c r="C55">
        <v>100</v>
      </c>
      <c r="D55" s="2">
        <v>180.6</v>
      </c>
      <c r="E55" s="2">
        <v>0</v>
      </c>
      <c r="F55" s="2">
        <v>180.6</v>
      </c>
      <c r="G55" s="1">
        <v>43755</v>
      </c>
      <c r="H55" s="2" t="str">
        <f>CONCATENATE(YEAR(TbProventos[[#This Row],[Data]]),"/",IF(MONTH(TbProventos[[#This Row],[Data]])&lt;10,0,""),MONTH(TbProventos[[#This Row],[Data]]))</f>
        <v>2019/10</v>
      </c>
      <c r="I55" s="2" t="str">
        <f>VLOOKUP(TbProventos[[#This Row],[Ativo]],TbAtivos[[Ativo]:[Tipo]],2,FALSE)</f>
        <v>FII</v>
      </c>
    </row>
    <row r="56" spans="1:9" ht="19.95" customHeight="1" x14ac:dyDescent="0.3">
      <c r="A56">
        <v>14</v>
      </c>
      <c r="B56" t="s">
        <v>11</v>
      </c>
      <c r="C56">
        <v>100</v>
      </c>
      <c r="D56" s="2">
        <v>38.4</v>
      </c>
      <c r="E56" s="2">
        <v>0</v>
      </c>
      <c r="F56" s="2">
        <v>38.4</v>
      </c>
      <c r="G56" s="1">
        <v>43755</v>
      </c>
      <c r="H56" s="2" t="str">
        <f>CONCATENATE(YEAR(TbProventos[[#This Row],[Data]]),"/",IF(MONTH(TbProventos[[#This Row],[Data]])&lt;10,0,""),MONTH(TbProventos[[#This Row],[Data]]))</f>
        <v>2019/10</v>
      </c>
      <c r="I56" s="2" t="str">
        <f>VLOOKUP(TbProventos[[#This Row],[Ativo]],TbAtivos[[Ativo]:[Tipo]],2,FALSE)</f>
        <v>FII</v>
      </c>
    </row>
    <row r="57" spans="1:9" ht="19.95" customHeight="1" x14ac:dyDescent="0.3">
      <c r="A57">
        <v>14</v>
      </c>
      <c r="B57" t="s">
        <v>12</v>
      </c>
      <c r="C57">
        <v>100</v>
      </c>
      <c r="D57" s="2">
        <v>153.18</v>
      </c>
      <c r="E57" s="2">
        <v>0</v>
      </c>
      <c r="F57" s="2">
        <v>153.18</v>
      </c>
      <c r="G57" s="1">
        <v>43755</v>
      </c>
      <c r="H57" s="2" t="str">
        <f>CONCATENATE(YEAR(TbProventos[[#This Row],[Data]]),"/",IF(MONTH(TbProventos[[#This Row],[Data]])&lt;10,0,""),MONTH(TbProventos[[#This Row],[Data]]))</f>
        <v>2019/10</v>
      </c>
      <c r="I57" s="2" t="str">
        <f>VLOOKUP(TbProventos[[#This Row],[Ativo]],TbAtivos[[Ativo]:[Tipo]],2,FALSE)</f>
        <v>FII</v>
      </c>
    </row>
    <row r="58" spans="1:9" ht="19.95" customHeight="1" x14ac:dyDescent="0.3">
      <c r="A58">
        <v>13</v>
      </c>
      <c r="B58" t="s">
        <v>21</v>
      </c>
      <c r="C58">
        <v>100</v>
      </c>
      <c r="D58" s="2">
        <v>156.13999999999999</v>
      </c>
      <c r="E58" s="2">
        <v>0</v>
      </c>
      <c r="F58" s="2">
        <v>156.13999999999999</v>
      </c>
      <c r="G58" s="1">
        <v>43753</v>
      </c>
      <c r="H58" s="2" t="str">
        <f>CONCATENATE(YEAR(TbProventos[[#This Row],[Data]]),"/",IF(MONTH(TbProventos[[#This Row],[Data]])&lt;10,0,""),MONTH(TbProventos[[#This Row],[Data]]))</f>
        <v>2019/10</v>
      </c>
      <c r="I58" s="2" t="str">
        <f>VLOOKUP(TbProventos[[#This Row],[Ativo]],TbAtivos[[Ativo]:[Tipo]],2,FALSE)</f>
        <v>EMPRESA</v>
      </c>
    </row>
    <row r="59" spans="1:9" ht="19.95" customHeight="1" x14ac:dyDescent="0.3">
      <c r="A59">
        <v>14</v>
      </c>
      <c r="B59" t="s">
        <v>8</v>
      </c>
      <c r="C59">
        <v>100</v>
      </c>
      <c r="D59" s="2">
        <v>61</v>
      </c>
      <c r="E59" s="2">
        <v>0</v>
      </c>
      <c r="F59" s="2">
        <v>61</v>
      </c>
      <c r="G59" s="1">
        <v>43755</v>
      </c>
      <c r="H59" s="2" t="str">
        <f>CONCATENATE(YEAR(TbProventos[[#This Row],[Data]]),"/",IF(MONTH(TbProventos[[#This Row],[Data]])&lt;10,0,""),MONTH(TbProventos[[#This Row],[Data]]))</f>
        <v>2019/10</v>
      </c>
      <c r="I59" s="2" t="str">
        <f>VLOOKUP(TbProventos[[#This Row],[Ativo]],TbAtivos[[Ativo]:[Tipo]],2,FALSE)</f>
        <v>FII</v>
      </c>
    </row>
    <row r="60" spans="1:9" ht="19.95" customHeight="1" x14ac:dyDescent="0.3">
      <c r="A60">
        <v>14</v>
      </c>
      <c r="B60" t="s">
        <v>10</v>
      </c>
      <c r="C60">
        <v>100</v>
      </c>
      <c r="D60" s="2">
        <v>99</v>
      </c>
      <c r="E60" s="2">
        <v>0</v>
      </c>
      <c r="F60" s="2">
        <v>99</v>
      </c>
      <c r="G60" s="1">
        <v>43755</v>
      </c>
      <c r="H60" s="2" t="str">
        <f>CONCATENATE(YEAR(TbProventos[[#This Row],[Data]]),"/",IF(MONTH(TbProventos[[#This Row],[Data]])&lt;10,0,""),MONTH(TbProventos[[#This Row],[Data]]))</f>
        <v>2019/10</v>
      </c>
      <c r="I60" s="2" t="str">
        <f>VLOOKUP(TbProventos[[#This Row],[Ativo]],TbAtivos[[Ativo]:[Tipo]],2,FALSE)</f>
        <v>FII</v>
      </c>
    </row>
    <row r="61" spans="1:9" ht="19.95" customHeight="1" x14ac:dyDescent="0.3">
      <c r="A61">
        <v>14</v>
      </c>
      <c r="B61" t="s">
        <v>11</v>
      </c>
      <c r="C61">
        <v>100</v>
      </c>
      <c r="D61" s="2">
        <v>99.9</v>
      </c>
      <c r="E61" s="2">
        <v>0</v>
      </c>
      <c r="F61" s="2">
        <v>99.9</v>
      </c>
      <c r="G61" s="1">
        <v>43755</v>
      </c>
      <c r="H61" s="2" t="str">
        <f>CONCATENATE(YEAR(TbProventos[[#This Row],[Data]]),"/",IF(MONTH(TbProventos[[#This Row],[Data]])&lt;10,0,""),MONTH(TbProventos[[#This Row],[Data]]))</f>
        <v>2019/10</v>
      </c>
      <c r="I61" s="2" t="str">
        <f>VLOOKUP(TbProventos[[#This Row],[Ativo]],TbAtivos[[Ativo]:[Tipo]],2,FALSE)</f>
        <v>FII</v>
      </c>
    </row>
    <row r="62" spans="1:9" ht="19.95" customHeight="1" x14ac:dyDescent="0.3">
      <c r="A62">
        <v>14</v>
      </c>
      <c r="B62" t="s">
        <v>12</v>
      </c>
      <c r="C62">
        <v>100</v>
      </c>
      <c r="D62" s="2">
        <v>98.42</v>
      </c>
      <c r="E62" s="2">
        <v>0</v>
      </c>
      <c r="F62" s="2">
        <v>98.42</v>
      </c>
      <c r="G62" s="1">
        <v>43755</v>
      </c>
      <c r="H62" s="2" t="str">
        <f>CONCATENATE(YEAR(TbProventos[[#This Row],[Data]]),"/",IF(MONTH(TbProventos[[#This Row],[Data]])&lt;10,0,""),MONTH(TbProventos[[#This Row],[Data]]))</f>
        <v>2019/10</v>
      </c>
      <c r="I62" s="2" t="str">
        <f>VLOOKUP(TbProventos[[#This Row],[Ativo]],TbAtivos[[Ativo]:[Tipo]],2,FALSE)</f>
        <v>FII</v>
      </c>
    </row>
    <row r="63" spans="1:9" ht="19.95" customHeight="1" x14ac:dyDescent="0.3">
      <c r="A63">
        <v>13</v>
      </c>
      <c r="B63" t="s">
        <v>6</v>
      </c>
      <c r="C63">
        <v>100</v>
      </c>
      <c r="D63" s="2">
        <v>166</v>
      </c>
      <c r="E63" s="2">
        <v>0</v>
      </c>
      <c r="F63" s="2">
        <v>166</v>
      </c>
      <c r="G63" s="1">
        <v>43753</v>
      </c>
      <c r="H63" s="2" t="str">
        <f>CONCATENATE(YEAR(TbProventos[[#This Row],[Data]]),"/",IF(MONTH(TbProventos[[#This Row],[Data]])&lt;10,0,""),MONTH(TbProventos[[#This Row],[Data]]))</f>
        <v>2019/10</v>
      </c>
      <c r="I63" s="2" t="str">
        <f>VLOOKUP(TbProventos[[#This Row],[Ativo]],TbAtivos[[Ativo]:[Tipo]],2,FALSE)</f>
        <v>EMPRESA</v>
      </c>
    </row>
    <row r="64" spans="1:9" ht="19.95" customHeight="1" x14ac:dyDescent="0.3">
      <c r="A64">
        <v>14</v>
      </c>
      <c r="B64" t="s">
        <v>8</v>
      </c>
      <c r="C64">
        <v>100</v>
      </c>
      <c r="D64" s="2">
        <v>37.44</v>
      </c>
      <c r="E64" s="2">
        <v>0</v>
      </c>
      <c r="F64" s="2">
        <v>37.44</v>
      </c>
      <c r="G64" s="1">
        <v>43755</v>
      </c>
      <c r="H64" s="2" t="str">
        <f>CONCATENATE(YEAR(TbProventos[[#This Row],[Data]]),"/",IF(MONTH(TbProventos[[#This Row],[Data]])&lt;10,0,""),MONTH(TbProventos[[#This Row],[Data]]))</f>
        <v>2019/10</v>
      </c>
      <c r="I64" s="2" t="str">
        <f>VLOOKUP(TbProventos[[#This Row],[Ativo]],TbAtivos[[Ativo]:[Tipo]],2,FALSE)</f>
        <v>FII</v>
      </c>
    </row>
    <row r="65" spans="1:9" ht="19.95" customHeight="1" x14ac:dyDescent="0.3">
      <c r="A65">
        <v>14</v>
      </c>
      <c r="B65" t="s">
        <v>10</v>
      </c>
      <c r="C65">
        <v>100</v>
      </c>
      <c r="D65" s="2">
        <v>52.02</v>
      </c>
      <c r="E65" s="2">
        <v>0</v>
      </c>
      <c r="F65" s="2">
        <v>52.02</v>
      </c>
      <c r="G65" s="1">
        <v>43755</v>
      </c>
      <c r="H65" s="2" t="str">
        <f>CONCATENATE(YEAR(TbProventos[[#This Row],[Data]]),"/",IF(MONTH(TbProventos[[#This Row],[Data]])&lt;10,0,""),MONTH(TbProventos[[#This Row],[Data]]))</f>
        <v>2019/10</v>
      </c>
      <c r="I65" s="2" t="str">
        <f>VLOOKUP(TbProventos[[#This Row],[Ativo]],TbAtivos[[Ativo]:[Tipo]],2,FALSE)</f>
        <v>FII</v>
      </c>
    </row>
    <row r="66" spans="1:9" ht="19.95" customHeight="1" x14ac:dyDescent="0.3">
      <c r="A66">
        <v>14</v>
      </c>
      <c r="B66" t="s">
        <v>11</v>
      </c>
      <c r="C66">
        <v>100</v>
      </c>
      <c r="D66" s="2">
        <v>42.14</v>
      </c>
      <c r="E66" s="2">
        <v>0</v>
      </c>
      <c r="F66" s="2">
        <v>42.14</v>
      </c>
      <c r="G66" s="1">
        <v>43755</v>
      </c>
      <c r="H66" s="2" t="str">
        <f>CONCATENATE(YEAR(TbProventos[[#This Row],[Data]]),"/",IF(MONTH(TbProventos[[#This Row],[Data]])&lt;10,0,""),MONTH(TbProventos[[#This Row],[Data]]))</f>
        <v>2019/10</v>
      </c>
      <c r="I66" s="2" t="str">
        <f>VLOOKUP(TbProventos[[#This Row],[Ativo]],TbAtivos[[Ativo]:[Tipo]],2,FALSE)</f>
        <v>FII</v>
      </c>
    </row>
    <row r="67" spans="1:9" ht="19.95" customHeight="1" x14ac:dyDescent="0.3">
      <c r="A67">
        <v>14</v>
      </c>
      <c r="B67" t="s">
        <v>12</v>
      </c>
      <c r="C67">
        <v>100</v>
      </c>
      <c r="D67" s="2">
        <v>177.12</v>
      </c>
      <c r="E67" s="2">
        <v>0</v>
      </c>
      <c r="F67" s="2">
        <v>177.12</v>
      </c>
      <c r="G67" s="1">
        <v>43755</v>
      </c>
      <c r="H67" s="2" t="str">
        <f>CONCATENATE(YEAR(TbProventos[[#This Row],[Data]]),"/",IF(MONTH(TbProventos[[#This Row],[Data]])&lt;10,0,""),MONTH(TbProventos[[#This Row],[Data]]))</f>
        <v>2019/10</v>
      </c>
      <c r="I67" s="2" t="str">
        <f>VLOOKUP(TbProventos[[#This Row],[Ativo]],TbAtivos[[Ativo]:[Tipo]],2,FALSE)</f>
        <v>FII</v>
      </c>
    </row>
    <row r="68" spans="1:9" ht="19.95" customHeight="1" x14ac:dyDescent="0.3">
      <c r="A68">
        <v>14</v>
      </c>
      <c r="B68" t="s">
        <v>21</v>
      </c>
      <c r="C68">
        <v>100</v>
      </c>
      <c r="D68" s="2">
        <v>162.75</v>
      </c>
      <c r="E68" s="2">
        <v>0</v>
      </c>
      <c r="F68" s="2">
        <v>162.75</v>
      </c>
      <c r="G68" s="1">
        <v>43845</v>
      </c>
      <c r="H68" s="2" t="str">
        <f>CONCATENATE(YEAR(TbProventos[[#This Row],[Data]]),"/",IF(MONTH(TbProventos[[#This Row],[Data]])&lt;10,0,""),MONTH(TbProventos[[#This Row],[Data]]))</f>
        <v>2020/01</v>
      </c>
      <c r="I68" s="2" t="str">
        <f>VLOOKUP(TbProventos[[#This Row],[Ativo]],TbAtivos[[Ativo]:[Tipo]],2,FALSE)</f>
        <v>EMPRESA</v>
      </c>
    </row>
    <row r="69" spans="1:9" ht="19.95" customHeight="1" x14ac:dyDescent="0.3">
      <c r="A69">
        <v>14</v>
      </c>
      <c r="B69" t="s">
        <v>8</v>
      </c>
      <c r="C69">
        <v>100</v>
      </c>
      <c r="D69" s="2">
        <v>61</v>
      </c>
      <c r="E69" s="2">
        <v>0</v>
      </c>
      <c r="F69" s="2">
        <v>61</v>
      </c>
      <c r="G69" s="1">
        <v>43847</v>
      </c>
      <c r="H69" s="2" t="str">
        <f>CONCATENATE(YEAR(TbProventos[[#This Row],[Data]]),"/",IF(MONTH(TbProventos[[#This Row],[Data]])&lt;10,0,""),MONTH(TbProventos[[#This Row],[Data]]))</f>
        <v>2020/01</v>
      </c>
      <c r="I69" s="2" t="str">
        <f>VLOOKUP(TbProventos[[#This Row],[Ativo]],TbAtivos[[Ativo]:[Tipo]],2,FALSE)</f>
        <v>FII</v>
      </c>
    </row>
    <row r="70" spans="1:9" ht="19.95" customHeight="1" x14ac:dyDescent="0.3">
      <c r="A70">
        <v>14</v>
      </c>
      <c r="B70" t="s">
        <v>10</v>
      </c>
      <c r="C70">
        <v>100</v>
      </c>
      <c r="D70" s="2">
        <v>180.6</v>
      </c>
      <c r="E70" s="2">
        <v>0</v>
      </c>
      <c r="F70" s="2">
        <v>180.6</v>
      </c>
      <c r="G70" s="1">
        <v>43847</v>
      </c>
      <c r="H70" s="2" t="str">
        <f>CONCATENATE(YEAR(TbProventos[[#This Row],[Data]]),"/",IF(MONTH(TbProventos[[#This Row],[Data]])&lt;10,0,""),MONTH(TbProventos[[#This Row],[Data]]))</f>
        <v>2020/01</v>
      </c>
      <c r="I70" s="2" t="str">
        <f>VLOOKUP(TbProventos[[#This Row],[Ativo]],TbAtivos[[Ativo]:[Tipo]],2,FALSE)</f>
        <v>FII</v>
      </c>
    </row>
    <row r="71" spans="1:9" ht="19.95" customHeight="1" x14ac:dyDescent="0.3">
      <c r="A71">
        <v>14</v>
      </c>
      <c r="B71" t="s">
        <v>11</v>
      </c>
      <c r="C71">
        <v>100</v>
      </c>
      <c r="D71" s="2">
        <v>38.4</v>
      </c>
      <c r="E71" s="2">
        <v>0</v>
      </c>
      <c r="F71" s="2">
        <v>38.4</v>
      </c>
      <c r="G71" s="1">
        <v>43847</v>
      </c>
      <c r="H71" s="2" t="str">
        <f>CONCATENATE(YEAR(TbProventos[[#This Row],[Data]]),"/",IF(MONTH(TbProventos[[#This Row],[Data]])&lt;10,0,""),MONTH(TbProventos[[#This Row],[Data]]))</f>
        <v>2020/01</v>
      </c>
      <c r="I71" s="2" t="str">
        <f>VLOOKUP(TbProventos[[#This Row],[Ativo]],TbAtivos[[Ativo]:[Tipo]],2,FALSE)</f>
        <v>FII</v>
      </c>
    </row>
    <row r="72" spans="1:9" ht="19.95" customHeight="1" x14ac:dyDescent="0.3">
      <c r="A72">
        <v>14</v>
      </c>
      <c r="B72" t="s">
        <v>12</v>
      </c>
      <c r="C72">
        <v>100</v>
      </c>
      <c r="D72" s="2">
        <v>153.18</v>
      </c>
      <c r="E72" s="2">
        <v>0</v>
      </c>
      <c r="F72" s="2">
        <v>153.18</v>
      </c>
      <c r="G72" s="1">
        <v>43847</v>
      </c>
      <c r="H72" s="2" t="str">
        <f>CONCATENATE(YEAR(TbProventos[[#This Row],[Data]]),"/",IF(MONTH(TbProventos[[#This Row],[Data]])&lt;10,0,""),MONTH(TbProventos[[#This Row],[Data]]))</f>
        <v>2020/01</v>
      </c>
      <c r="I72" s="2" t="str">
        <f>VLOOKUP(TbProventos[[#This Row],[Ativo]],TbAtivos[[Ativo]:[Tipo]],2,FALSE)</f>
        <v>FII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6F9D2-33C9-40D5-A787-CF8963E99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DashBoard</vt:lpstr>
      <vt:lpstr>DashBoardAux</vt:lpstr>
      <vt:lpstr>ReCarteira</vt:lpstr>
      <vt:lpstr>ReCarteiraAções</vt:lpstr>
      <vt:lpstr>ReCarteiraFII</vt:lpstr>
      <vt:lpstr>ReProventos</vt:lpstr>
      <vt:lpstr>ReAportes</vt:lpstr>
      <vt:lpstr>TbAtivos</vt:lpstr>
      <vt:lpstr>TbAportes</vt:lpstr>
      <vt:lpstr>TbProventos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Almeida de Oliveira</dc:creator>
  <cp:lastModifiedBy>Bruno Almeida de Oliveira</cp:lastModifiedBy>
  <dcterms:created xsi:type="dcterms:W3CDTF">2015-06-05T18:19:34Z</dcterms:created>
  <dcterms:modified xsi:type="dcterms:W3CDTF">2025-02-02T00:33:07Z</dcterms:modified>
</cp:coreProperties>
</file>