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2120" windowHeight="8130" tabRatio="771" activeTab="6"/>
  </bookViews>
  <sheets>
    <sheet name="Documentation" sheetId="9" r:id="rId1"/>
    <sheet name="Loan Analysis" sheetId="11" r:id="rId2"/>
    <sheet name="Depreciation" sheetId="5" r:id="rId3"/>
    <sheet name="Income Statement" sheetId="4" r:id="rId4"/>
    <sheet name="Cash Flow" sheetId="7" r:id="rId5"/>
    <sheet name="Balance Sheet" sheetId="8" r:id="rId6"/>
    <sheet name="Profitability" sheetId="1" r:id="rId7"/>
  </sheets>
  <definedNames>
    <definedName name="CostofGoods">Profitability!#REF!</definedName>
    <definedName name="InitialLoan">'Loan Analysis'!$B$3</definedName>
    <definedName name="PercentCost">'Income Statement'!$B$4</definedName>
    <definedName name="_xlnm.Print_Titles" localSheetId="1">'Loan Analysis'!$1:$2</definedName>
    <definedName name="StartUpCost">Profitability!#REF!</definedName>
    <definedName name="TaxRate">Profitability!#REF!</definedName>
  </definedNames>
  <calcPr calcId="125725"/>
</workbook>
</file>

<file path=xl/calcChain.xml><?xml version="1.0" encoding="utf-8"?>
<calcChain xmlns="http://schemas.openxmlformats.org/spreadsheetml/2006/main">
  <c r="B14" i="1"/>
  <c r="B13"/>
  <c r="D9"/>
  <c r="C9"/>
  <c r="E9"/>
  <c r="F9"/>
  <c r="B9"/>
  <c r="D13" i="8"/>
  <c r="E13"/>
  <c r="F13"/>
  <c r="G13"/>
  <c r="C13"/>
  <c r="G9"/>
  <c r="D9"/>
  <c r="E9"/>
  <c r="F9"/>
  <c r="C9"/>
  <c r="C26" i="4"/>
  <c r="D26"/>
  <c r="E26"/>
  <c r="F26"/>
  <c r="B26"/>
  <c r="C23"/>
  <c r="D23"/>
  <c r="E23"/>
  <c r="F23"/>
  <c r="B23"/>
  <c r="C20"/>
  <c r="D20"/>
  <c r="E20"/>
  <c r="F20"/>
  <c r="B20"/>
  <c r="C11" i="7"/>
  <c r="D11"/>
  <c r="E11"/>
  <c r="F11"/>
  <c r="B11"/>
  <c r="C10"/>
  <c r="D10"/>
  <c r="E10"/>
  <c r="F10"/>
  <c r="B10"/>
  <c r="C6"/>
  <c r="D6"/>
  <c r="E6"/>
  <c r="F6"/>
  <c r="B6"/>
  <c r="C14" i="5"/>
  <c r="D14"/>
  <c r="E14"/>
  <c r="F14"/>
  <c r="G14"/>
  <c r="H14"/>
  <c r="I14"/>
  <c r="B14"/>
  <c r="C10"/>
  <c r="D10"/>
  <c r="E10"/>
  <c r="F10"/>
  <c r="G10"/>
  <c r="H10"/>
  <c r="I10"/>
  <c r="B10"/>
  <c r="B5"/>
  <c r="E28" i="11"/>
  <c r="F28"/>
  <c r="G28"/>
  <c r="H28"/>
  <c r="D28"/>
  <c r="E27"/>
  <c r="F27"/>
  <c r="G27"/>
  <c r="H27"/>
  <c r="D2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4"/>
  <c r="B9"/>
  <c r="B7"/>
  <c r="B8"/>
  <c r="B5" i="9"/>
  <c r="A8" i="1"/>
  <c r="B13" i="8"/>
  <c r="B9"/>
  <c r="B4" i="5"/>
  <c r="F4" i="1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C8" i="4"/>
  <c r="D8"/>
  <c r="F8"/>
  <c r="B8"/>
  <c r="H29" i="11"/>
  <c r="G29"/>
  <c r="F29"/>
  <c r="E29"/>
  <c r="D29"/>
  <c r="I29" s="1"/>
  <c r="I28"/>
  <c r="I27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B9" i="4" l="1"/>
  <c r="F9"/>
  <c r="C9"/>
  <c r="D9"/>
  <c r="E8" s="1"/>
  <c r="E9"/>
  <c r="B17" i="8"/>
  <c r="B19" s="1"/>
  <c r="B7"/>
  <c r="B15" i="5"/>
  <c r="B16" s="1"/>
  <c r="B11"/>
  <c r="B12" s="1"/>
  <c r="B17" i="4"/>
  <c r="C17"/>
  <c r="D17"/>
  <c r="E17"/>
  <c r="F17"/>
  <c r="E19"/>
  <c r="D19" l="1"/>
  <c r="C19"/>
  <c r="F19"/>
  <c r="F21" s="1"/>
  <c r="B19"/>
  <c r="B21"/>
  <c r="C21"/>
  <c r="D21"/>
  <c r="E21"/>
  <c r="B11" i="8"/>
  <c r="C15" i="5"/>
  <c r="C16" s="1"/>
  <c r="C11"/>
  <c r="C12" s="1"/>
  <c r="F5" i="7" l="1"/>
  <c r="F7" s="1"/>
  <c r="E5"/>
  <c r="E7" s="1"/>
  <c r="D5"/>
  <c r="D7" s="1"/>
  <c r="C5"/>
  <c r="C7" s="1"/>
  <c r="B5"/>
  <c r="B7" s="1"/>
  <c r="D15" i="5"/>
  <c r="D16" s="1"/>
  <c r="D11"/>
  <c r="D12" s="1"/>
  <c r="E15" l="1"/>
  <c r="E16" s="1"/>
  <c r="E11"/>
  <c r="E12" s="1"/>
  <c r="F15" l="1"/>
  <c r="F11"/>
  <c r="F12" l="1"/>
  <c r="G11"/>
  <c r="F16"/>
  <c r="G15"/>
  <c r="B24" i="4"/>
  <c r="B27" s="1"/>
  <c r="F24"/>
  <c r="E24"/>
  <c r="D24"/>
  <c r="C24"/>
  <c r="H15" i="5" l="1"/>
  <c r="G16"/>
  <c r="H11"/>
  <c r="G12"/>
  <c r="C9" i="7"/>
  <c r="D9"/>
  <c r="D12" s="1"/>
  <c r="D14" s="1"/>
  <c r="D8" i="1" s="1"/>
  <c r="E9" i="7"/>
  <c r="E12" s="1"/>
  <c r="E14" s="1"/>
  <c r="E8" i="1" s="1"/>
  <c r="F9" i="7"/>
  <c r="F12" s="1"/>
  <c r="F14" s="1"/>
  <c r="F8" i="1" s="1"/>
  <c r="B9" i="7"/>
  <c r="B12" s="1"/>
  <c r="B14" s="1"/>
  <c r="B8" i="1" s="1"/>
  <c r="H12" i="5" l="1"/>
  <c r="I11"/>
  <c r="I12" s="1"/>
  <c r="H16"/>
  <c r="I15"/>
  <c r="I16" s="1"/>
  <c r="C12" i="7"/>
  <c r="C14" s="1"/>
  <c r="C8" i="1" s="1"/>
  <c r="C5" i="8"/>
  <c r="C7" s="1"/>
  <c r="C11" s="1"/>
  <c r="C15"/>
  <c r="F27" i="4"/>
  <c r="E27"/>
  <c r="D27"/>
  <c r="C27"/>
  <c r="D5" i="8" l="1"/>
  <c r="E5" s="1"/>
  <c r="D15"/>
  <c r="C17"/>
  <c r="C19" s="1"/>
  <c r="D7" l="1"/>
  <c r="D11" s="1"/>
  <c r="E7"/>
  <c r="E11" s="1"/>
  <c r="F5"/>
  <c r="D17"/>
  <c r="D19" s="1"/>
  <c r="E15"/>
  <c r="E17" l="1"/>
  <c r="E19" s="1"/>
  <c r="F15"/>
  <c r="F7"/>
  <c r="F11" s="1"/>
  <c r="G5"/>
  <c r="G7" s="1"/>
  <c r="G11" s="1"/>
  <c r="F17" l="1"/>
  <c r="F19" s="1"/>
  <c r="G15"/>
  <c r="G17" s="1"/>
  <c r="G19" s="1"/>
</calcChain>
</file>

<file path=xl/sharedStrings.xml><?xml version="1.0" encoding="utf-8"?>
<sst xmlns="http://schemas.openxmlformats.org/spreadsheetml/2006/main" count="135" uniqueCount="101">
  <si>
    <t>Years</t>
  </si>
  <si>
    <t>Interest</t>
  </si>
  <si>
    <t>Year 1</t>
  </si>
  <si>
    <t>Year 2</t>
  </si>
  <si>
    <t>Year 3</t>
  </si>
  <si>
    <t>Year 4</t>
  </si>
  <si>
    <t>Year 5</t>
  </si>
  <si>
    <t>Revenues</t>
  </si>
  <si>
    <t>Cost of Sales</t>
  </si>
  <si>
    <t>Gross Profit</t>
  </si>
  <si>
    <t>Accounting</t>
  </si>
  <si>
    <t>Advertising &amp; Promotion</t>
  </si>
  <si>
    <t>Insurance</t>
  </si>
  <si>
    <t>Maintenance</t>
  </si>
  <si>
    <t>Utilities</t>
  </si>
  <si>
    <t>Miscellaneous</t>
  </si>
  <si>
    <t>Earnings before Interest, Depr. &amp; Tax</t>
  </si>
  <si>
    <t>Operating Profit</t>
  </si>
  <si>
    <t>Earnings Before Taxes</t>
  </si>
  <si>
    <t>Net Income</t>
  </si>
  <si>
    <t>Year</t>
  </si>
  <si>
    <t>Total</t>
  </si>
  <si>
    <t>Net Cash Flow</t>
  </si>
  <si>
    <t>Cash</t>
  </si>
  <si>
    <t>Total Current Assets</t>
  </si>
  <si>
    <t>Plant &amp; Equipment</t>
  </si>
  <si>
    <t>Long-Term Debt</t>
  </si>
  <si>
    <t>Retained Earnings</t>
  </si>
  <si>
    <t>Total Liabilities and Equity</t>
  </si>
  <si>
    <t>Principal</t>
  </si>
  <si>
    <t>Total Cash Inflows</t>
  </si>
  <si>
    <t>Total Cash Outflows</t>
  </si>
  <si>
    <t>Initial</t>
  </si>
  <si>
    <t>Total Equity</t>
  </si>
  <si>
    <t>Total Current and Noncurrent Assets</t>
  </si>
  <si>
    <t>Total General Expenses</t>
  </si>
  <si>
    <t>Depreciation of Assets</t>
  </si>
  <si>
    <t>Salvage Value</t>
  </si>
  <si>
    <t>Cumulative Depreciation</t>
  </si>
  <si>
    <t>Inventory</t>
  </si>
  <si>
    <t>Amortization Table</t>
  </si>
  <si>
    <t>Debt Payment</t>
  </si>
  <si>
    <t>Annual  Rate</t>
  </si>
  <si>
    <t>Asset Value</t>
  </si>
  <si>
    <t>Straight-Line (SLN)</t>
  </si>
  <si>
    <t>Interest Expense</t>
  </si>
  <si>
    <t>Estimated Tax</t>
  </si>
  <si>
    <t>Income Tax</t>
  </si>
  <si>
    <t>Author</t>
  </si>
  <si>
    <t>Date</t>
  </si>
  <si>
    <t>Loan (PV)</t>
  </si>
  <si>
    <t>Total Payment</t>
  </si>
  <si>
    <t>Depreciation Expense</t>
  </si>
  <si>
    <t>Depreciation Add Back</t>
  </si>
  <si>
    <t>Other Equity</t>
  </si>
  <si>
    <t>Payback Period</t>
  </si>
  <si>
    <t>Initial Investment</t>
  </si>
  <si>
    <t>Cumulative Net Cash Flow</t>
  </si>
  <si>
    <t>Profitability of Investment</t>
  </si>
  <si>
    <t>Rate of Return</t>
  </si>
  <si>
    <t>Net Present Value</t>
  </si>
  <si>
    <t>Internal Rate of Return</t>
  </si>
  <si>
    <t>Percent Cost of Goods Sold</t>
  </si>
  <si>
    <t>Declining Balance (DB)</t>
  </si>
  <si>
    <t>CaseGrader 2007</t>
  </si>
  <si>
    <t>Case 9 - Developing a Financial Analysis</t>
  </si>
  <si>
    <r>
      <t xml:space="preserve">NewLeaf </t>
    </r>
    <r>
      <rPr>
        <b/>
        <sz val="22"/>
        <color theme="4" tint="-0.249977111117893"/>
        <rFont val="Georgia"/>
        <family val="1"/>
      </rPr>
      <t>Paper</t>
    </r>
  </si>
  <si>
    <t>Rate per Period (RATE)</t>
  </si>
  <si>
    <t>Periods per Year</t>
  </si>
  <si>
    <t>Period</t>
  </si>
  <si>
    <t>Interest and Principle Payments per Year</t>
  </si>
  <si>
    <t>Period Payment (PMT)</t>
  </si>
  <si>
    <t>Interest Payment</t>
  </si>
  <si>
    <t>Principal Payment</t>
  </si>
  <si>
    <t>Remaining Principal</t>
  </si>
  <si>
    <t>Loan Conditions</t>
  </si>
  <si>
    <t>Number of Periods (NPER)</t>
  </si>
  <si>
    <t>TaxRate</t>
  </si>
  <si>
    <t>Cash Flow Summary</t>
  </si>
  <si>
    <t>Projected Five Year Balance Sheet</t>
  </si>
  <si>
    <t>Projected Five Year Cash Flow</t>
  </si>
  <si>
    <t>Projected Five Year Income Statement</t>
  </si>
  <si>
    <t>Initial Asset Cost</t>
  </si>
  <si>
    <t>Life of Asset (in Years)</t>
  </si>
  <si>
    <t>Delisea Powell</t>
  </si>
  <si>
    <t>DO NOT DELETE--&gt;</t>
  </si>
  <si>
    <t>82A15E867F6DB060</t>
  </si>
  <si>
    <t>CA04u37y089z8xv282</t>
  </si>
  <si>
    <t>cdkhrdz!onvdkk</t>
  </si>
  <si>
    <t>7F59x82b534c3ay737</t>
  </si>
  <si>
    <t>bcjgqcy!nmucjj</t>
  </si>
  <si>
    <t>BA48e71i423j2hf626</t>
  </si>
  <si>
    <t>abifpbx!mltbii</t>
  </si>
  <si>
    <t>F860o93s645t4rp848</t>
  </si>
  <si>
    <t>zaheoaw!lksahh</t>
  </si>
  <si>
    <t>8626e59i201j0hf404</t>
  </si>
  <si>
    <t>yzgdnzv!kjrzgg</t>
  </si>
  <si>
    <t>6A48c71g423h2fd626</t>
  </si>
  <si>
    <t>xyfcmyu!jiqyff</t>
  </si>
  <si>
    <t>CE48y71c423d2bz626</t>
  </si>
  <si>
    <t>wxeblxt!ihpxee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</si>
</sst>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"/>
    <numFmt numFmtId="165" formatCode="0.0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7" tint="-0.499984740745262"/>
      <name val="Calibri"/>
      <family val="2"/>
      <scheme val="minor"/>
    </font>
    <font>
      <b/>
      <sz val="16"/>
      <color theme="7" tint="-0.499984740745262"/>
      <name val="Calibri"/>
      <family val="2"/>
      <scheme val="minor"/>
    </font>
    <font>
      <i/>
      <sz val="11"/>
      <color theme="7" tint="-0.499984740745262"/>
      <name val="Calibri"/>
      <family val="2"/>
    </font>
    <font>
      <sz val="11"/>
      <color theme="7" tint="-0.499984740745262"/>
      <name val="Calibri"/>
      <family val="2"/>
      <scheme val="minor"/>
    </font>
    <font>
      <b/>
      <sz val="22"/>
      <color theme="1"/>
      <name val="Georgia"/>
      <family val="1"/>
    </font>
    <font>
      <b/>
      <sz val="22"/>
      <color theme="4" tint="-0.249977111117893"/>
      <name val="Georgia"/>
      <family val="1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6"/>
      <color theme="0"/>
      <name val="Rockwell"/>
      <family val="1"/>
    </font>
    <font>
      <b/>
      <sz val="14"/>
      <name val="Arial"/>
      <family val="2"/>
    </font>
    <font>
      <b/>
      <sz val="14"/>
      <color rgb="FFFFFFCC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ck">
        <color theme="3"/>
      </left>
      <right style="thin">
        <color indexed="64"/>
      </right>
      <top style="thick">
        <color theme="3"/>
      </top>
      <bottom style="thin">
        <color indexed="64"/>
      </bottom>
      <diagonal/>
    </border>
    <border>
      <left style="thin">
        <color indexed="64"/>
      </left>
      <right style="thick">
        <color theme="3"/>
      </right>
      <top style="thick">
        <color theme="3"/>
      </top>
      <bottom style="thin">
        <color indexed="64"/>
      </bottom>
      <diagonal/>
    </border>
    <border>
      <left style="thick">
        <color theme="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/>
      </right>
      <top style="thin">
        <color indexed="64"/>
      </top>
      <bottom style="thin">
        <color indexed="64"/>
      </bottom>
      <diagonal/>
    </border>
    <border>
      <left style="thick">
        <color theme="3"/>
      </left>
      <right style="thin">
        <color indexed="64"/>
      </right>
      <top style="thin">
        <color indexed="64"/>
      </top>
      <bottom style="thick">
        <color theme="3"/>
      </bottom>
      <diagonal/>
    </border>
    <border>
      <left style="thin">
        <color indexed="64"/>
      </left>
      <right style="thick">
        <color theme="3"/>
      </right>
      <top style="thin">
        <color indexed="64"/>
      </top>
      <bottom style="thick">
        <color theme="3"/>
      </bottom>
      <diagonal/>
    </border>
    <border>
      <left style="medium">
        <color indexed="64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/>
      <top/>
      <bottom style="thick">
        <color theme="4" tint="0.59996337778862885"/>
      </bottom>
      <diagonal/>
    </border>
    <border>
      <left style="thick">
        <color theme="3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9" borderId="0" xfId="0" applyFill="1"/>
    <xf numFmtId="0" fontId="5" fillId="10" borderId="0" xfId="0" applyFont="1" applyFill="1"/>
    <xf numFmtId="0" fontId="8" fillId="5" borderId="0" xfId="0" applyFont="1" applyFill="1"/>
    <xf numFmtId="0" fontId="13" fillId="0" borderId="0" xfId="0" applyFont="1"/>
    <xf numFmtId="0" fontId="14" fillId="6" borderId="1" xfId="2" applyFont="1" applyFill="1" applyAlignment="1">
      <alignment horizontal="center"/>
    </xf>
    <xf numFmtId="6" fontId="13" fillId="0" borderId="0" xfId="0" applyNumberFormat="1" applyFont="1"/>
    <xf numFmtId="0" fontId="15" fillId="0" borderId="2" xfId="5" applyFont="1"/>
    <xf numFmtId="6" fontId="15" fillId="0" borderId="2" xfId="5" applyNumberFormat="1" applyFont="1"/>
    <xf numFmtId="0" fontId="16" fillId="0" borderId="0" xfId="4" applyFont="1" applyFill="1" applyBorder="1"/>
    <xf numFmtId="0" fontId="14" fillId="6" borderId="14" xfId="2" applyFont="1" applyFill="1" applyBorder="1" applyAlignment="1">
      <alignment horizontal="center" vertical="center" wrapText="1"/>
    </xf>
    <xf numFmtId="9" fontId="18" fillId="13" borderId="13" xfId="9" applyFont="1" applyFill="1" applyBorder="1" applyAlignment="1">
      <alignment horizontal="center" vertical="center" wrapText="1"/>
    </xf>
    <xf numFmtId="6" fontId="13" fillId="0" borderId="0" xfId="1" applyNumberFormat="1" applyFont="1"/>
    <xf numFmtId="8" fontId="13" fillId="0" borderId="0" xfId="0" applyNumberFormat="1" applyFont="1"/>
    <xf numFmtId="0" fontId="19" fillId="7" borderId="1" xfId="2" applyFont="1" applyFill="1" applyAlignment="1">
      <alignment horizontal="center"/>
    </xf>
    <xf numFmtId="6" fontId="13" fillId="8" borderId="0" xfId="0" applyNumberFormat="1" applyFont="1" applyFill="1"/>
    <xf numFmtId="41" fontId="13" fillId="8" borderId="0" xfId="0" applyNumberFormat="1" applyFont="1" applyFill="1"/>
    <xf numFmtId="41" fontId="13" fillId="0" borderId="0" xfId="0" applyNumberFormat="1" applyFont="1"/>
    <xf numFmtId="0" fontId="13" fillId="0" borderId="2" xfId="5" applyFont="1"/>
    <xf numFmtId="6" fontId="13" fillId="8" borderId="2" xfId="5" applyNumberFormat="1" applyFont="1" applyFill="1"/>
    <xf numFmtId="6" fontId="13" fillId="0" borderId="2" xfId="5" applyNumberFormat="1" applyFont="1"/>
    <xf numFmtId="164" fontId="13" fillId="8" borderId="0" xfId="0" applyNumberFormat="1" applyFont="1" applyFill="1"/>
    <xf numFmtId="164" fontId="13" fillId="0" borderId="0" xfId="0" applyNumberFormat="1" applyFont="1"/>
    <xf numFmtId="42" fontId="13" fillId="8" borderId="0" xfId="0" applyNumberFormat="1" applyFont="1" applyFill="1"/>
    <xf numFmtId="42" fontId="13" fillId="0" borderId="0" xfId="0" applyNumberFormat="1" applyFont="1"/>
    <xf numFmtId="0" fontId="15" fillId="0" borderId="2" xfId="7" applyFont="1" applyFill="1" applyBorder="1"/>
    <xf numFmtId="6" fontId="15" fillId="8" borderId="2" xfId="7" applyNumberFormat="1" applyFont="1" applyFill="1" applyBorder="1"/>
    <xf numFmtId="6" fontId="15" fillId="0" borderId="2" xfId="7" applyNumberFormat="1" applyFont="1" applyFill="1" applyBorder="1"/>
    <xf numFmtId="0" fontId="13" fillId="0" borderId="2" xfId="7" applyFont="1" applyFill="1" applyBorder="1"/>
    <xf numFmtId="164" fontId="13" fillId="8" borderId="2" xfId="7" applyNumberFormat="1" applyFont="1" applyFill="1" applyBorder="1"/>
    <xf numFmtId="164" fontId="13" fillId="0" borderId="2" xfId="7" applyNumberFormat="1" applyFont="1" applyFill="1" applyBorder="1"/>
    <xf numFmtId="0" fontId="15" fillId="0" borderId="2" xfId="8" applyFont="1" applyFill="1" applyBorder="1"/>
    <xf numFmtId="164" fontId="15" fillId="8" borderId="2" xfId="8" applyNumberFormat="1" applyFont="1" applyFill="1" applyBorder="1"/>
    <xf numFmtId="164" fontId="15" fillId="0" borderId="2" xfId="8" applyNumberFormat="1" applyFont="1" applyFill="1" applyBorder="1"/>
    <xf numFmtId="0" fontId="14" fillId="12" borderId="0" xfId="3" applyFont="1" applyFill="1" applyAlignment="1">
      <alignment horizontal="center"/>
    </xf>
    <xf numFmtId="0" fontId="14" fillId="12" borderId="1" xfId="2" applyFont="1" applyFill="1" applyAlignment="1">
      <alignment horizontal="right"/>
    </xf>
    <xf numFmtId="6" fontId="13" fillId="12" borderId="0" xfId="0" applyNumberFormat="1" applyFont="1" applyFill="1"/>
    <xf numFmtId="6" fontId="13" fillId="6" borderId="0" xfId="0" applyNumberFormat="1" applyFont="1" applyFill="1"/>
    <xf numFmtId="0" fontId="14" fillId="0" borderId="0" xfId="3" applyFont="1"/>
    <xf numFmtId="0" fontId="13" fillId="2" borderId="0" xfId="6" applyFont="1"/>
    <xf numFmtId="9" fontId="13" fillId="0" borderId="0" xfId="0" applyNumberFormat="1" applyFont="1"/>
    <xf numFmtId="10" fontId="13" fillId="0" borderId="0" xfId="0" applyNumberFormat="1" applyFont="1"/>
    <xf numFmtId="0" fontId="15" fillId="2" borderId="2" xfId="5" applyFont="1" applyFill="1"/>
    <xf numFmtId="164" fontId="15" fillId="0" borderId="2" xfId="5" applyNumberFormat="1" applyFont="1"/>
    <xf numFmtId="165" fontId="13" fillId="0" borderId="0" xfId="0" applyNumberFormat="1" applyFont="1"/>
    <xf numFmtId="0" fontId="12" fillId="6" borderId="1" xfId="2" applyFont="1" applyFill="1" applyBorder="1" applyAlignment="1">
      <alignment horizontal="center" wrapText="1"/>
    </xf>
    <xf numFmtId="0" fontId="14" fillId="6" borderId="4" xfId="2" applyFont="1" applyFill="1" applyBorder="1" applyAlignment="1">
      <alignment horizontal="left" wrapText="1"/>
    </xf>
    <xf numFmtId="164" fontId="13" fillId="0" borderId="5" xfId="0" applyNumberFormat="1" applyFont="1" applyBorder="1"/>
    <xf numFmtId="0" fontId="14" fillId="6" borderId="6" xfId="2" applyFont="1" applyFill="1" applyBorder="1" applyAlignment="1">
      <alignment horizontal="left" wrapText="1"/>
    </xf>
    <xf numFmtId="10" fontId="13" fillId="0" borderId="7" xfId="0" applyNumberFormat="1" applyFont="1" applyBorder="1"/>
    <xf numFmtId="0" fontId="13" fillId="12" borderId="0" xfId="6" applyFont="1" applyFill="1" applyBorder="1" applyAlignment="1">
      <alignment horizontal="center"/>
    </xf>
    <xf numFmtId="164" fontId="13" fillId="6" borderId="0" xfId="0" applyNumberFormat="1" applyFont="1" applyFill="1" applyBorder="1"/>
    <xf numFmtId="6" fontId="13" fillId="0" borderId="0" xfId="0" applyNumberFormat="1" applyFont="1" applyBorder="1"/>
    <xf numFmtId="6" fontId="13" fillId="6" borderId="0" xfId="0" applyNumberFormat="1" applyFont="1" applyFill="1" applyBorder="1"/>
    <xf numFmtId="0" fontId="13" fillId="0" borderId="7" xfId="0" applyFont="1" applyBorder="1"/>
    <xf numFmtId="0" fontId="14" fillId="6" borderId="8" xfId="2" applyFont="1" applyFill="1" applyBorder="1" applyAlignment="1">
      <alignment horizontal="left" wrapText="1"/>
    </xf>
    <xf numFmtId="6" fontId="13" fillId="0" borderId="9" xfId="0" applyNumberFormat="1" applyFont="1" applyBorder="1"/>
    <xf numFmtId="0" fontId="14" fillId="6" borderId="12" xfId="2" applyFont="1" applyFill="1" applyBorder="1" applyAlignment="1"/>
    <xf numFmtId="0" fontId="14" fillId="6" borderId="1" xfId="2" applyFont="1" applyFill="1" applyBorder="1" applyAlignment="1">
      <alignment horizontal="center"/>
    </xf>
    <xf numFmtId="6" fontId="15" fillId="0" borderId="2" xfId="5" applyNumberFormat="1" applyFont="1" applyBorder="1"/>
    <xf numFmtId="0" fontId="21" fillId="9" borderId="0" xfId="0" applyFont="1" applyFill="1"/>
    <xf numFmtId="0" fontId="22" fillId="0" borderId="0" xfId="0" applyFont="1"/>
    <xf numFmtId="14" fontId="9" fillId="5" borderId="0" xfId="0" applyNumberFormat="1" applyFont="1" applyFill="1"/>
    <xf numFmtId="0" fontId="6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3" fillId="12" borderId="2" xfId="6" applyFont="1" applyFill="1" applyBorder="1" applyAlignment="1">
      <alignment horizontal="right"/>
    </xf>
    <xf numFmtId="0" fontId="17" fillId="11" borderId="10" xfId="0" applyFont="1" applyFill="1" applyBorder="1" applyAlignment="1">
      <alignment horizontal="center"/>
    </xf>
    <xf numFmtId="0" fontId="17" fillId="11" borderId="11" xfId="0" applyFont="1" applyFill="1" applyBorder="1" applyAlignment="1">
      <alignment horizontal="center"/>
    </xf>
    <xf numFmtId="0" fontId="17" fillId="11" borderId="0" xfId="0" applyFont="1" applyFill="1" applyBorder="1" applyAlignment="1">
      <alignment horizontal="center"/>
    </xf>
    <xf numFmtId="0" fontId="13" fillId="12" borderId="0" xfId="6" applyFont="1" applyFill="1" applyBorder="1" applyAlignment="1">
      <alignment horizontal="right"/>
    </xf>
    <xf numFmtId="0" fontId="14" fillId="6" borderId="0" xfId="3" applyFont="1" applyFill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20" fillId="14" borderId="15" xfId="3" applyFont="1" applyFill="1" applyBorder="1" applyAlignment="1">
      <alignment horizontal="center"/>
    </xf>
  </cellXfs>
  <cellStyles count="10">
    <cellStyle name="20% - Accent3" xfId="6" builtinId="38"/>
    <cellStyle name="20% - Accent5" xfId="7" builtinId="46"/>
    <cellStyle name="40% - Accent6" xfId="8" builtinId="51"/>
    <cellStyle name="Currency" xfId="1" builtinId="4"/>
    <cellStyle name="Explanatory Text" xfId="4" builtinId="53"/>
    <cellStyle name="Heading 3" xfId="2" builtinId="18"/>
    <cellStyle name="Heading 4" xfId="3" builtinId="19"/>
    <cellStyle name="Normal" xfId="0" builtinId="0"/>
    <cellStyle name="Percent" xfId="9" builtinId="5"/>
    <cellStyle name="Total" xfId="5" builtinId="25"/>
  </cellStyles>
  <dxfs count="0"/>
  <tableStyles count="0" defaultTableStyle="TableStyleMedium9" defaultPivotStyle="PivotStyleLight16"/>
  <colors>
    <mruColors>
      <color rgb="FFFFFFCC"/>
      <color rgb="FFFF9900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B6" sqref="B6"/>
    </sheetView>
  </sheetViews>
  <sheetFormatPr defaultRowHeight="15"/>
  <cols>
    <col min="1" max="1" width="24.42578125" style="1" customWidth="1"/>
    <col min="2" max="2" width="50.7109375" style="1" customWidth="1"/>
    <col min="3" max="16384" width="9.140625" style="1"/>
  </cols>
  <sheetData>
    <row r="1" spans="1:12" ht="33.75">
      <c r="A1" s="63" t="s">
        <v>64</v>
      </c>
      <c r="B1" s="63"/>
    </row>
    <row r="2" spans="1:12" ht="21">
      <c r="A2" s="64" t="s">
        <v>65</v>
      </c>
      <c r="B2" s="64"/>
      <c r="J2" s="1" t="s">
        <v>85</v>
      </c>
      <c r="L2" s="1" t="s">
        <v>86</v>
      </c>
    </row>
    <row r="4" spans="1:12">
      <c r="A4" s="2" t="s">
        <v>48</v>
      </c>
      <c r="B4" s="3" t="s">
        <v>84</v>
      </c>
    </row>
    <row r="5" spans="1:12">
      <c r="A5" s="2" t="s">
        <v>49</v>
      </c>
      <c r="B5" s="62">
        <f ca="1">TODAY()</f>
        <v>40128</v>
      </c>
    </row>
    <row r="30" spans="16:16">
      <c r="P30" s="60" t="s">
        <v>87</v>
      </c>
    </row>
    <row r="31" spans="16:16">
      <c r="P31" s="60" t="s">
        <v>88</v>
      </c>
    </row>
    <row r="61" spans="17:17">
      <c r="Q61" s="60" t="s">
        <v>84</v>
      </c>
    </row>
  </sheetData>
  <mergeCells count="2">
    <mergeCell ref="A1:B1"/>
    <mergeCell ref="A2:B2"/>
  </mergeCells>
  <dataValidations count="3">
    <dataValidation allowBlank="1" showInputMessage="1" showErrorMessage="1" error="                                                                                                " prompt="This file was created specifically for Delisea Powell.  No other student should use this file." sqref="B4"/>
    <dataValidation allowBlank="1" showInputMessage="1" showErrorMessage="1" error="                                                                                                " sqref="J2"/>
    <dataValidation allowBlank="1" showInputMessage="1" showErrorMessage="1" error="                                                                                                " sqref="B5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H28" sqref="H28"/>
    </sheetView>
  </sheetViews>
  <sheetFormatPr defaultRowHeight="18.75"/>
  <cols>
    <col min="1" max="1" width="33.140625" style="4" customWidth="1"/>
    <col min="2" max="2" width="15.7109375" style="4" customWidth="1"/>
    <col min="3" max="3" width="2.28515625" style="4" customWidth="1"/>
    <col min="4" max="9" width="20.42578125" style="4" customWidth="1"/>
    <col min="10" max="16384" width="9.140625" style="4"/>
  </cols>
  <sheetData>
    <row r="1" spans="1:9" ht="27">
      <c r="A1" s="65" t="s">
        <v>66</v>
      </c>
      <c r="B1" s="65"/>
      <c r="C1" s="65"/>
      <c r="D1" s="65"/>
      <c r="E1" s="65"/>
      <c r="F1" s="65"/>
      <c r="G1" s="65"/>
      <c r="H1" s="65"/>
      <c r="I1" s="65"/>
    </row>
    <row r="2" spans="1:9" ht="21" thickBot="1">
      <c r="A2" s="67" t="s">
        <v>75</v>
      </c>
      <c r="B2" s="68"/>
      <c r="D2" s="69" t="s">
        <v>40</v>
      </c>
      <c r="E2" s="69"/>
      <c r="F2" s="69"/>
      <c r="G2" s="69"/>
      <c r="H2" s="69"/>
      <c r="I2" s="69"/>
    </row>
    <row r="3" spans="1:9" ht="19.5" customHeight="1" thickTop="1" thickBot="1">
      <c r="A3" s="46" t="s">
        <v>50</v>
      </c>
      <c r="B3" s="47">
        <v>750000</v>
      </c>
      <c r="D3" s="45" t="s">
        <v>20</v>
      </c>
      <c r="E3" s="45" t="s">
        <v>69</v>
      </c>
      <c r="F3" s="45" t="s">
        <v>74</v>
      </c>
      <c r="G3" s="45" t="s">
        <v>72</v>
      </c>
      <c r="H3" s="45" t="s">
        <v>73</v>
      </c>
      <c r="I3" s="45" t="s">
        <v>51</v>
      </c>
    </row>
    <row r="4" spans="1:9">
      <c r="A4" s="48" t="s">
        <v>42</v>
      </c>
      <c r="B4" s="49">
        <v>7.4999999999999997E-2</v>
      </c>
      <c r="D4" s="50">
        <v>1</v>
      </c>
      <c r="E4" s="50">
        <v>1</v>
      </c>
      <c r="F4" s="51">
        <f>InitialLoan</f>
        <v>750000</v>
      </c>
      <c r="G4" s="52">
        <f t="shared" ref="G4:G23" si="0">IPMT($B$7,E4,$B$8,InitialLoan)</f>
        <v>-14062.5</v>
      </c>
      <c r="H4" s="52">
        <f t="shared" ref="H4:H23" si="1">PPMT($B$7,E4,$B$8,InitialLoan)</f>
        <v>-31253.609741951375</v>
      </c>
      <c r="I4" s="53">
        <f>G4+H4</f>
        <v>-45316.109741951375</v>
      </c>
    </row>
    <row r="5" spans="1:9">
      <c r="A5" s="48" t="s">
        <v>0</v>
      </c>
      <c r="B5" s="54">
        <v>5</v>
      </c>
      <c r="D5" s="50">
        <v>1</v>
      </c>
      <c r="E5" s="50">
        <v>2</v>
      </c>
      <c r="F5" s="53">
        <f>F4+H4</f>
        <v>718746.39025804866</v>
      </c>
      <c r="G5" s="52">
        <f t="shared" si="0"/>
        <v>-13476.494817338409</v>
      </c>
      <c r="H5" s="52">
        <f t="shared" si="1"/>
        <v>-31839.614924612964</v>
      </c>
      <c r="I5" s="53">
        <f>G5+H5</f>
        <v>-45316.109741951375</v>
      </c>
    </row>
    <row r="6" spans="1:9">
      <c r="A6" s="48" t="s">
        <v>68</v>
      </c>
      <c r="B6" s="54">
        <v>4</v>
      </c>
      <c r="D6" s="50">
        <v>1</v>
      </c>
      <c r="E6" s="50">
        <v>3</v>
      </c>
      <c r="F6" s="53">
        <f t="shared" ref="F6:F23" si="2">F5+H5</f>
        <v>686906.77533343574</v>
      </c>
      <c r="G6" s="52">
        <f t="shared" si="0"/>
        <v>-12879.502037501918</v>
      </c>
      <c r="H6" s="52">
        <f t="shared" si="1"/>
        <v>-32436.60770444946</v>
      </c>
      <c r="I6" s="53">
        <f t="shared" ref="I6:I23" si="3">G6+H6</f>
        <v>-45316.109741951375</v>
      </c>
    </row>
    <row r="7" spans="1:9">
      <c r="A7" s="48" t="s">
        <v>67</v>
      </c>
      <c r="B7" s="49">
        <f>B4/B6</f>
        <v>1.8749999999999999E-2</v>
      </c>
      <c r="D7" s="50">
        <v>1</v>
      </c>
      <c r="E7" s="50">
        <v>4</v>
      </c>
      <c r="F7" s="53">
        <f t="shared" si="2"/>
        <v>654470.1676289863</v>
      </c>
      <c r="G7" s="52">
        <f t="shared" si="0"/>
        <v>-12271.315643043488</v>
      </c>
      <c r="H7" s="52">
        <f t="shared" si="1"/>
        <v>-33044.794098907885</v>
      </c>
      <c r="I7" s="53">
        <f t="shared" si="3"/>
        <v>-45316.109741951375</v>
      </c>
    </row>
    <row r="8" spans="1:9">
      <c r="A8" s="48" t="s">
        <v>76</v>
      </c>
      <c r="B8" s="54">
        <f>B5*B6</f>
        <v>20</v>
      </c>
      <c r="D8" s="50">
        <v>2</v>
      </c>
      <c r="E8" s="50">
        <v>5</v>
      </c>
      <c r="F8" s="53">
        <f t="shared" si="2"/>
        <v>621425.37353007845</v>
      </c>
      <c r="G8" s="52">
        <f t="shared" si="0"/>
        <v>-11651.72575368897</v>
      </c>
      <c r="H8" s="52">
        <f t="shared" si="1"/>
        <v>-33664.383988262402</v>
      </c>
      <c r="I8" s="53">
        <f t="shared" si="3"/>
        <v>-45316.109741951368</v>
      </c>
    </row>
    <row r="9" spans="1:9" ht="19.5" thickBot="1">
      <c r="A9" s="55" t="s">
        <v>71</v>
      </c>
      <c r="B9" s="56">
        <f>PMT(B7,B8,InitialLoan)</f>
        <v>-45316.109741951375</v>
      </c>
      <c r="D9" s="50">
        <v>2</v>
      </c>
      <c r="E9" s="50">
        <v>6</v>
      </c>
      <c r="F9" s="53">
        <f t="shared" si="2"/>
        <v>587760.98954181606</v>
      </c>
      <c r="G9" s="52">
        <f t="shared" si="0"/>
        <v>-11020.518553909051</v>
      </c>
      <c r="H9" s="52">
        <f t="shared" si="1"/>
        <v>-34295.591188042323</v>
      </c>
      <c r="I9" s="53">
        <f t="shared" si="3"/>
        <v>-45316.109741951375</v>
      </c>
    </row>
    <row r="10" spans="1:9" ht="19.5" thickTop="1">
      <c r="D10" s="50">
        <v>2</v>
      </c>
      <c r="E10" s="50">
        <v>7</v>
      </c>
      <c r="F10" s="53">
        <f t="shared" si="2"/>
        <v>553465.39835377375</v>
      </c>
      <c r="G10" s="52">
        <f t="shared" si="0"/>
        <v>-10377.476219133257</v>
      </c>
      <c r="H10" s="52">
        <f t="shared" si="1"/>
        <v>-34938.63352281812</v>
      </c>
      <c r="I10" s="53">
        <f t="shared" si="3"/>
        <v>-45316.109741951375</v>
      </c>
    </row>
    <row r="11" spans="1:9">
      <c r="D11" s="50">
        <v>2</v>
      </c>
      <c r="E11" s="50">
        <v>8</v>
      </c>
      <c r="F11" s="53">
        <f t="shared" si="2"/>
        <v>518526.76483095565</v>
      </c>
      <c r="G11" s="52">
        <f t="shared" si="0"/>
        <v>-9722.3768405804149</v>
      </c>
      <c r="H11" s="52">
        <f t="shared" si="1"/>
        <v>-35593.73290137096</v>
      </c>
      <c r="I11" s="53">
        <f t="shared" si="3"/>
        <v>-45316.109741951375</v>
      </c>
    </row>
    <row r="12" spans="1:9">
      <c r="D12" s="50">
        <v>3</v>
      </c>
      <c r="E12" s="50">
        <v>9</v>
      </c>
      <c r="F12" s="53">
        <f t="shared" si="2"/>
        <v>482933.03192958469</v>
      </c>
      <c r="G12" s="52">
        <f t="shared" si="0"/>
        <v>-9054.9943486797147</v>
      </c>
      <c r="H12" s="52">
        <f t="shared" si="1"/>
        <v>-36261.115393271662</v>
      </c>
      <c r="I12" s="53">
        <f t="shared" si="3"/>
        <v>-45316.109741951375</v>
      </c>
    </row>
    <row r="13" spans="1:9">
      <c r="D13" s="50">
        <v>3</v>
      </c>
      <c r="E13" s="50">
        <v>10</v>
      </c>
      <c r="F13" s="53">
        <f t="shared" si="2"/>
        <v>446671.91653631302</v>
      </c>
      <c r="G13" s="52">
        <f t="shared" si="0"/>
        <v>-8375.0984350558701</v>
      </c>
      <c r="H13" s="52">
        <f t="shared" si="1"/>
        <v>-36941.011306895503</v>
      </c>
      <c r="I13" s="53">
        <f t="shared" si="3"/>
        <v>-45316.109741951375</v>
      </c>
    </row>
    <row r="14" spans="1:9">
      <c r="D14" s="50">
        <v>3</v>
      </c>
      <c r="E14" s="50">
        <v>11</v>
      </c>
      <c r="F14" s="53">
        <f t="shared" si="2"/>
        <v>409730.90522941749</v>
      </c>
      <c r="G14" s="52">
        <f t="shared" si="0"/>
        <v>-7682.4544730515772</v>
      </c>
      <c r="H14" s="52">
        <f t="shared" si="1"/>
        <v>-37633.655268899798</v>
      </c>
      <c r="I14" s="53">
        <f t="shared" si="3"/>
        <v>-45316.109741951375</v>
      </c>
    </row>
    <row r="15" spans="1:9">
      <c r="D15" s="50">
        <v>3</v>
      </c>
      <c r="E15" s="50">
        <v>12</v>
      </c>
      <c r="F15" s="53">
        <f t="shared" si="2"/>
        <v>372097.24996051769</v>
      </c>
      <c r="G15" s="52">
        <f t="shared" si="0"/>
        <v>-6976.8234367597079</v>
      </c>
      <c r="H15" s="52">
        <f t="shared" si="1"/>
        <v>-38339.286305191665</v>
      </c>
      <c r="I15" s="53">
        <f t="shared" si="3"/>
        <v>-45316.109741951375</v>
      </c>
    </row>
    <row r="16" spans="1:9">
      <c r="D16" s="50">
        <v>4</v>
      </c>
      <c r="E16" s="50">
        <v>13</v>
      </c>
      <c r="F16" s="53">
        <f t="shared" si="2"/>
        <v>333757.96365532605</v>
      </c>
      <c r="G16" s="52">
        <f t="shared" si="0"/>
        <v>-6257.9618185373656</v>
      </c>
      <c r="H16" s="52">
        <f t="shared" si="1"/>
        <v>-39058.147923414013</v>
      </c>
      <c r="I16" s="53">
        <f t="shared" si="3"/>
        <v>-45316.109741951383</v>
      </c>
    </row>
    <row r="17" spans="2:16">
      <c r="D17" s="50">
        <v>4</v>
      </c>
      <c r="E17" s="50">
        <v>14</v>
      </c>
      <c r="F17" s="53">
        <f t="shared" si="2"/>
        <v>294699.81573191204</v>
      </c>
      <c r="G17" s="52">
        <f t="shared" si="0"/>
        <v>-5525.6215449733572</v>
      </c>
      <c r="H17" s="52">
        <f t="shared" si="1"/>
        <v>-39790.488196978018</v>
      </c>
      <c r="I17" s="53">
        <f t="shared" si="3"/>
        <v>-45316.109741951375</v>
      </c>
    </row>
    <row r="18" spans="2:16">
      <c r="D18" s="50">
        <v>4</v>
      </c>
      <c r="E18" s="50">
        <v>15</v>
      </c>
      <c r="F18" s="53">
        <f t="shared" si="2"/>
        <v>254909.32753493401</v>
      </c>
      <c r="G18" s="52">
        <f t="shared" si="0"/>
        <v>-4779.5498912800194</v>
      </c>
      <c r="H18" s="52">
        <f t="shared" si="1"/>
        <v>-40536.559850671358</v>
      </c>
      <c r="I18" s="53">
        <f t="shared" si="3"/>
        <v>-45316.109741951375</v>
      </c>
    </row>
    <row r="19" spans="2:16">
      <c r="D19" s="50">
        <v>4</v>
      </c>
      <c r="E19" s="50">
        <v>16</v>
      </c>
      <c r="F19" s="53">
        <f t="shared" si="2"/>
        <v>214372.76768426265</v>
      </c>
      <c r="G19" s="52">
        <f t="shared" si="0"/>
        <v>-4019.4893940799257</v>
      </c>
      <c r="H19" s="52">
        <f t="shared" si="1"/>
        <v>-41296.620347871452</v>
      </c>
      <c r="I19" s="53">
        <f t="shared" si="3"/>
        <v>-45316.109741951375</v>
      </c>
    </row>
    <row r="20" spans="2:16">
      <c r="D20" s="50">
        <v>5</v>
      </c>
      <c r="E20" s="50">
        <v>17</v>
      </c>
      <c r="F20" s="53">
        <f t="shared" si="2"/>
        <v>173076.14733639121</v>
      </c>
      <c r="G20" s="52">
        <f t="shared" si="0"/>
        <v>-3245.177762557345</v>
      </c>
      <c r="H20" s="52">
        <f t="shared" si="1"/>
        <v>-42070.93197939403</v>
      </c>
      <c r="I20" s="53">
        <f t="shared" si="3"/>
        <v>-45316.109741951375</v>
      </c>
    </row>
    <row r="21" spans="2:16">
      <c r="D21" s="50">
        <v>5</v>
      </c>
      <c r="E21" s="50">
        <v>18</v>
      </c>
      <c r="F21" s="53">
        <f t="shared" si="2"/>
        <v>131005.21535699719</v>
      </c>
      <c r="G21" s="52">
        <f t="shared" si="0"/>
        <v>-2456.3477879437064</v>
      </c>
      <c r="H21" s="52">
        <f t="shared" si="1"/>
        <v>-42859.76195400767</v>
      </c>
      <c r="I21" s="53">
        <f t="shared" si="3"/>
        <v>-45316.109741951375</v>
      </c>
    </row>
    <row r="22" spans="2:16">
      <c r="D22" s="50">
        <v>5</v>
      </c>
      <c r="E22" s="50">
        <v>19</v>
      </c>
      <c r="F22" s="53">
        <f t="shared" si="2"/>
        <v>88145.453402989515</v>
      </c>
      <c r="G22" s="52">
        <f t="shared" si="0"/>
        <v>-1652.727251306067</v>
      </c>
      <c r="H22" s="52">
        <f t="shared" si="1"/>
        <v>-43663.382490645308</v>
      </c>
      <c r="I22" s="53">
        <f t="shared" si="3"/>
        <v>-45316.109741951375</v>
      </c>
    </row>
    <row r="23" spans="2:16">
      <c r="D23" s="50">
        <v>5</v>
      </c>
      <c r="E23" s="50">
        <v>20</v>
      </c>
      <c r="F23" s="53">
        <f t="shared" si="2"/>
        <v>44482.070912344207</v>
      </c>
      <c r="G23" s="52">
        <f t="shared" si="0"/>
        <v>-834.03882960646581</v>
      </c>
      <c r="H23" s="52">
        <f t="shared" si="1"/>
        <v>-44482.070912344912</v>
      </c>
      <c r="I23" s="53">
        <f t="shared" si="3"/>
        <v>-45316.109741951375</v>
      </c>
    </row>
    <row r="25" spans="2:16" ht="20.25">
      <c r="B25" s="69" t="s">
        <v>70</v>
      </c>
      <c r="C25" s="69"/>
      <c r="D25" s="69"/>
      <c r="E25" s="69"/>
      <c r="F25" s="69"/>
      <c r="G25" s="69"/>
      <c r="H25" s="69"/>
      <c r="I25" s="69"/>
    </row>
    <row r="26" spans="2:16" ht="19.5" thickBot="1">
      <c r="B26" s="57"/>
      <c r="C26" s="57"/>
      <c r="D26" s="5">
        <v>1</v>
      </c>
      <c r="E26" s="5">
        <v>2</v>
      </c>
      <c r="F26" s="5">
        <v>3</v>
      </c>
      <c r="G26" s="5">
        <v>4</v>
      </c>
      <c r="H26" s="5">
        <v>5</v>
      </c>
      <c r="I26" s="58" t="s">
        <v>21</v>
      </c>
    </row>
    <row r="27" spans="2:16" ht="19.5" thickTop="1">
      <c r="B27" s="70" t="s">
        <v>1</v>
      </c>
      <c r="C27" s="70"/>
      <c r="D27" s="52">
        <f>SUMIF($D$4:$D$23,D26,$G$4:$G$23)</f>
        <v>-52689.812497883817</v>
      </c>
      <c r="E27" s="52">
        <f t="shared" ref="E27:H27" si="4">SUMIF($D$4:$D$23,E26,$G$4:$G$23)</f>
        <v>-42772.09736731169</v>
      </c>
      <c r="F27" s="52">
        <f t="shared" si="4"/>
        <v>-32089.370693546869</v>
      </c>
      <c r="G27" s="52">
        <f t="shared" si="4"/>
        <v>-20582.622648870671</v>
      </c>
      <c r="H27" s="52">
        <f t="shared" si="4"/>
        <v>-8188.2916314135846</v>
      </c>
      <c r="I27" s="52">
        <f>SUM(D27:H27)</f>
        <v>-156322.19483902663</v>
      </c>
    </row>
    <row r="28" spans="2:16">
      <c r="B28" s="70" t="s">
        <v>29</v>
      </c>
      <c r="C28" s="70"/>
      <c r="D28" s="52">
        <f>SUMIF($D$4:$D$23,D26,$H$4:$H$23)</f>
        <v>-128574.62646992167</v>
      </c>
      <c r="E28" s="52">
        <f t="shared" ref="E28:H28" si="5">SUMIF($D$4:$D$23,E26,$H$4:$H$23)</f>
        <v>-138492.34160049382</v>
      </c>
      <c r="F28" s="52">
        <f t="shared" si="5"/>
        <v>-149175.06827425864</v>
      </c>
      <c r="G28" s="52">
        <f t="shared" si="5"/>
        <v>-160681.81631893484</v>
      </c>
      <c r="H28" s="52">
        <f t="shared" si="5"/>
        <v>-173076.14733639191</v>
      </c>
      <c r="I28" s="52">
        <f>SUM(D28:H28)</f>
        <v>-750000.00000000093</v>
      </c>
    </row>
    <row r="29" spans="2:16" ht="19.5" thickBot="1">
      <c r="B29" s="66" t="s">
        <v>21</v>
      </c>
      <c r="C29" s="66"/>
      <c r="D29" s="8">
        <f>D27+D28</f>
        <v>-181264.43896780547</v>
      </c>
      <c r="E29" s="8">
        <f t="shared" ref="E29:H29" si="6">E27+E28</f>
        <v>-181264.4389678055</v>
      </c>
      <c r="F29" s="8">
        <f t="shared" si="6"/>
        <v>-181264.4389678055</v>
      </c>
      <c r="G29" s="8">
        <f t="shared" si="6"/>
        <v>-181264.4389678055</v>
      </c>
      <c r="H29" s="8">
        <f t="shared" si="6"/>
        <v>-181264.4389678055</v>
      </c>
      <c r="I29" s="59">
        <f>SUM(D29:H29)</f>
        <v>-906322.19483902736</v>
      </c>
    </row>
    <row r="30" spans="2:16" ht="19.5" thickTop="1">
      <c r="P30" s="61" t="s">
        <v>89</v>
      </c>
    </row>
    <row r="31" spans="2:16">
      <c r="P31" s="61" t="s">
        <v>90</v>
      </c>
    </row>
    <row r="61" spans="17:17">
      <c r="Q61" s="61" t="s">
        <v>84</v>
      </c>
    </row>
  </sheetData>
  <mergeCells count="7">
    <mergeCell ref="A1:I1"/>
    <mergeCell ref="B29:C29"/>
    <mergeCell ref="A2:B2"/>
    <mergeCell ref="D2:I2"/>
    <mergeCell ref="B25:I25"/>
    <mergeCell ref="B27:C27"/>
    <mergeCell ref="B28:C28"/>
  </mergeCells>
  <dataValidations count="2">
    <dataValidation allowBlank="1" showInputMessage="1" showErrorMessage="1" error="                                                                                                " sqref="B4"/>
    <dataValidation allowBlank="1" showInputMessage="1" showErrorMessage="1" error="                                                                                                " sqref="B5"/>
  </dataValidations>
  <pageMargins left="0.7" right="0.7" top="0.75" bottom="0.75" header="0.3" footer="0.3"/>
  <pageSetup orientation="landscape" verticalDpi="300" r:id="rId1"/>
  <headerFooter>
    <oddHeader>&amp;LBent Cycling
&amp;CLoan Proposal&amp;R&amp;D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Q61"/>
  <sheetViews>
    <sheetView topLeftCell="A8" workbookViewId="0">
      <selection activeCell="B14" sqref="B14:I14"/>
    </sheetView>
  </sheetViews>
  <sheetFormatPr defaultRowHeight="18.75"/>
  <cols>
    <col min="1" max="1" width="28.7109375" style="4" bestFit="1" customWidth="1"/>
    <col min="2" max="9" width="17.140625" style="4" customWidth="1"/>
    <col min="10" max="10" width="17" style="4" customWidth="1"/>
    <col min="11" max="16384" width="9.140625" style="4"/>
  </cols>
  <sheetData>
    <row r="1" spans="1:9" ht="27">
      <c r="A1" s="65" t="s">
        <v>66</v>
      </c>
      <c r="B1" s="65"/>
      <c r="C1" s="65"/>
      <c r="D1" s="65"/>
      <c r="E1" s="65"/>
      <c r="F1" s="65"/>
      <c r="G1" s="65"/>
      <c r="H1" s="65"/>
      <c r="I1" s="65"/>
    </row>
    <row r="2" spans="1:9" ht="20.25">
      <c r="A2" s="72" t="s">
        <v>36</v>
      </c>
      <c r="B2" s="69"/>
      <c r="C2" s="69"/>
      <c r="D2" s="69"/>
      <c r="E2" s="69"/>
      <c r="F2" s="69"/>
      <c r="G2" s="69"/>
      <c r="H2" s="69"/>
      <c r="I2" s="69"/>
    </row>
    <row r="4" spans="1:9">
      <c r="A4" s="39" t="s">
        <v>82</v>
      </c>
      <c r="B4" s="22">
        <f>InitialLoan</f>
        <v>750000</v>
      </c>
    </row>
    <row r="5" spans="1:9">
      <c r="A5" s="39" t="s">
        <v>37</v>
      </c>
      <c r="B5" s="22">
        <f>B4/5</f>
        <v>150000</v>
      </c>
    </row>
    <row r="6" spans="1:9">
      <c r="A6" s="39" t="s">
        <v>83</v>
      </c>
      <c r="B6" s="4">
        <v>8</v>
      </c>
    </row>
    <row r="8" spans="1:9">
      <c r="B8" s="71" t="s">
        <v>20</v>
      </c>
      <c r="C8" s="71"/>
      <c r="D8" s="71"/>
      <c r="E8" s="71"/>
      <c r="F8" s="71"/>
      <c r="G8" s="71"/>
      <c r="H8" s="71"/>
      <c r="I8" s="71"/>
    </row>
    <row r="9" spans="1:9" ht="19.5" thickBot="1">
      <c r="B9" s="5">
        <v>1</v>
      </c>
      <c r="C9" s="5">
        <v>2</v>
      </c>
      <c r="D9" s="5">
        <v>3</v>
      </c>
      <c r="E9" s="5">
        <v>4</v>
      </c>
      <c r="F9" s="5">
        <v>5</v>
      </c>
      <c r="G9" s="5">
        <v>6</v>
      </c>
      <c r="H9" s="5">
        <v>7</v>
      </c>
      <c r="I9" s="5">
        <v>8</v>
      </c>
    </row>
    <row r="10" spans="1:9">
      <c r="A10" s="39" t="s">
        <v>44</v>
      </c>
      <c r="B10" s="22">
        <f>SLN($B$4,$B$5,$B$6)</f>
        <v>75000</v>
      </c>
      <c r="C10" s="22">
        <f t="shared" ref="C10:I10" si="0">SLN($B$4,$B$5,$B$6)</f>
        <v>75000</v>
      </c>
      <c r="D10" s="22">
        <f t="shared" si="0"/>
        <v>75000</v>
      </c>
      <c r="E10" s="22">
        <f t="shared" si="0"/>
        <v>75000</v>
      </c>
      <c r="F10" s="22">
        <f t="shared" si="0"/>
        <v>75000</v>
      </c>
      <c r="G10" s="22">
        <f t="shared" si="0"/>
        <v>75000</v>
      </c>
      <c r="H10" s="22">
        <f t="shared" si="0"/>
        <v>75000</v>
      </c>
      <c r="I10" s="22">
        <f t="shared" si="0"/>
        <v>75000</v>
      </c>
    </row>
    <row r="11" spans="1:9">
      <c r="A11" s="39" t="s">
        <v>38</v>
      </c>
      <c r="B11" s="22">
        <f>B10</f>
        <v>75000</v>
      </c>
      <c r="C11" s="22">
        <f>C10+B11</f>
        <v>150000</v>
      </c>
      <c r="D11" s="22">
        <f t="shared" ref="D11:F11" si="1">D10+C11</f>
        <v>225000</v>
      </c>
      <c r="E11" s="22">
        <f t="shared" si="1"/>
        <v>300000</v>
      </c>
      <c r="F11" s="22">
        <f t="shared" si="1"/>
        <v>375000</v>
      </c>
      <c r="G11" s="22">
        <f t="shared" ref="G11" si="2">G10+F11</f>
        <v>450000</v>
      </c>
      <c r="H11" s="22">
        <f t="shared" ref="H11" si="3">H10+G11</f>
        <v>525000</v>
      </c>
      <c r="I11" s="22">
        <f t="shared" ref="I11" si="4">I10+H11</f>
        <v>600000</v>
      </c>
    </row>
    <row r="12" spans="1:9" ht="19.5" thickBot="1">
      <c r="A12" s="42" t="s">
        <v>43</v>
      </c>
      <c r="B12" s="43">
        <f t="shared" ref="B12:I12" si="5">InitialLoan-B11</f>
        <v>675000</v>
      </c>
      <c r="C12" s="43">
        <f t="shared" si="5"/>
        <v>600000</v>
      </c>
      <c r="D12" s="43">
        <f t="shared" si="5"/>
        <v>525000</v>
      </c>
      <c r="E12" s="43">
        <f t="shared" si="5"/>
        <v>450000</v>
      </c>
      <c r="F12" s="43">
        <f t="shared" si="5"/>
        <v>375000</v>
      </c>
      <c r="G12" s="43">
        <f t="shared" si="5"/>
        <v>300000</v>
      </c>
      <c r="H12" s="43">
        <f t="shared" si="5"/>
        <v>225000</v>
      </c>
      <c r="I12" s="43">
        <f t="shared" si="5"/>
        <v>150000</v>
      </c>
    </row>
    <row r="13" spans="1:9" ht="19.5" thickTop="1"/>
    <row r="14" spans="1:9">
      <c r="A14" s="39" t="s">
        <v>63</v>
      </c>
      <c r="B14" s="22">
        <f>DB($B$4,$B$5,$B$6,B9)</f>
        <v>136500</v>
      </c>
      <c r="C14" s="22">
        <f t="shared" ref="C14:I14" si="6">DB($B$4,$B$5,$B$6,C9)</f>
        <v>111657</v>
      </c>
      <c r="D14" s="22">
        <f t="shared" si="6"/>
        <v>91335.425999999992</v>
      </c>
      <c r="E14" s="22">
        <f t="shared" si="6"/>
        <v>74712.378467999995</v>
      </c>
      <c r="F14" s="22">
        <f t="shared" si="6"/>
        <v>61114.725586824003</v>
      </c>
      <c r="G14" s="22">
        <f t="shared" si="6"/>
        <v>49991.845530022038</v>
      </c>
      <c r="H14" s="22">
        <f t="shared" si="6"/>
        <v>40893.329643558027</v>
      </c>
      <c r="I14" s="22">
        <f t="shared" si="6"/>
        <v>33450.743648430464</v>
      </c>
    </row>
    <row r="15" spans="1:9">
      <c r="A15" s="39" t="s">
        <v>38</v>
      </c>
      <c r="B15" s="22">
        <f>B14</f>
        <v>136500</v>
      </c>
      <c r="C15" s="22">
        <f>C14+B15</f>
        <v>248157</v>
      </c>
      <c r="D15" s="22">
        <f t="shared" ref="D15" si="7">D14+C15</f>
        <v>339492.42599999998</v>
      </c>
      <c r="E15" s="22">
        <f t="shared" ref="E15" si="8">E14+D15</f>
        <v>414204.80446799996</v>
      </c>
      <c r="F15" s="22">
        <f t="shared" ref="F15" si="9">F14+E15</f>
        <v>475319.53005482396</v>
      </c>
      <c r="G15" s="22">
        <f t="shared" ref="G15" si="10">G14+F15</f>
        <v>525311.37558484601</v>
      </c>
      <c r="H15" s="22">
        <f t="shared" ref="H15" si="11">H14+G15</f>
        <v>566204.70522840403</v>
      </c>
      <c r="I15" s="22">
        <f t="shared" ref="I15" si="12">I14+H15</f>
        <v>599655.44887683447</v>
      </c>
    </row>
    <row r="16" spans="1:9" ht="19.5" thickBot="1">
      <c r="A16" s="42" t="s">
        <v>43</v>
      </c>
      <c r="B16" s="43">
        <f t="shared" ref="B16:I16" si="13">InitialLoan-B15</f>
        <v>613500</v>
      </c>
      <c r="C16" s="43">
        <f t="shared" si="13"/>
        <v>501843</v>
      </c>
      <c r="D16" s="43">
        <f t="shared" si="13"/>
        <v>410507.57400000002</v>
      </c>
      <c r="E16" s="43">
        <f t="shared" si="13"/>
        <v>335795.19553200004</v>
      </c>
      <c r="F16" s="43">
        <f t="shared" si="13"/>
        <v>274680.46994517604</v>
      </c>
      <c r="G16" s="43">
        <f t="shared" si="13"/>
        <v>224688.62441515399</v>
      </c>
      <c r="H16" s="43">
        <f t="shared" si="13"/>
        <v>183795.29477159597</v>
      </c>
      <c r="I16" s="43">
        <f t="shared" si="13"/>
        <v>150344.55112316553</v>
      </c>
    </row>
    <row r="17" spans="3:16" ht="19.5" thickTop="1"/>
    <row r="19" spans="3:16">
      <c r="C19" s="44"/>
      <c r="D19" s="44"/>
      <c r="E19" s="44"/>
      <c r="F19" s="44"/>
    </row>
    <row r="30" spans="3:16">
      <c r="P30" s="61" t="s">
        <v>91</v>
      </c>
    </row>
    <row r="31" spans="3:16">
      <c r="P31" s="61" t="s">
        <v>92</v>
      </c>
    </row>
    <row r="61" spans="17:17">
      <c r="Q61" s="61" t="s">
        <v>84</v>
      </c>
    </row>
  </sheetData>
  <mergeCells count="3">
    <mergeCell ref="B8:I8"/>
    <mergeCell ref="A2:I2"/>
    <mergeCell ref="A1:I1"/>
  </mergeCells>
  <dataValidations count="2">
    <dataValidation allowBlank="1" showInputMessage="1" showErrorMessage="1" error="                                                                                                " sqref="B4"/>
    <dataValidation allowBlank="1" showInputMessage="1" showErrorMessage="1" error="                                                                                                " sqref="B5"/>
  </dataValidations>
  <pageMargins left="0.7" right="0.7" top="0.75" bottom="0.75" header="0.3" footer="0.3"/>
  <pageSetup orientation="landscape" verticalDpi="300" r:id="rId1"/>
  <headerFooter>
    <oddHeader>&amp;LBent Cycling&amp;CDepreciation of Assets&amp;R&amp;D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B26" sqref="B26:F26"/>
    </sheetView>
  </sheetViews>
  <sheetFormatPr defaultRowHeight="18.75"/>
  <cols>
    <col min="1" max="1" width="44.85546875" style="4" customWidth="1"/>
    <col min="2" max="6" width="19.140625" style="4" customWidth="1"/>
    <col min="7" max="16384" width="9.140625" style="4"/>
  </cols>
  <sheetData>
    <row r="1" spans="1:8" ht="27">
      <c r="A1" s="65" t="s">
        <v>66</v>
      </c>
      <c r="B1" s="65"/>
      <c r="C1" s="65"/>
      <c r="D1" s="65"/>
      <c r="E1" s="65"/>
      <c r="F1" s="65"/>
    </row>
    <row r="2" spans="1:8" ht="20.25">
      <c r="A2" s="72" t="s">
        <v>81</v>
      </c>
      <c r="B2" s="69"/>
      <c r="C2" s="69"/>
      <c r="D2" s="69"/>
      <c r="E2" s="69"/>
      <c r="F2" s="69"/>
    </row>
    <row r="3" spans="1:8" ht="19.5" thickBot="1"/>
    <row r="4" spans="1:8" ht="20.25" thickTop="1" thickBot="1">
      <c r="A4" s="10" t="s">
        <v>62</v>
      </c>
      <c r="B4" s="11">
        <v>0.8</v>
      </c>
      <c r="E4" s="10" t="s">
        <v>77</v>
      </c>
      <c r="F4" s="11">
        <v>0.38</v>
      </c>
    </row>
    <row r="5" spans="1:8" ht="19.5" thickTop="1"/>
    <row r="6" spans="1:8" ht="19.5" thickBot="1"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</row>
    <row r="7" spans="1:8">
      <c r="A7" s="4" t="s">
        <v>7</v>
      </c>
      <c r="B7" s="6">
        <v>3500000</v>
      </c>
      <c r="C7" s="6">
        <v>3925000</v>
      </c>
      <c r="D7" s="6">
        <v>4350000</v>
      </c>
      <c r="E7" s="6">
        <v>4775000</v>
      </c>
      <c r="F7" s="6">
        <v>5200000</v>
      </c>
    </row>
    <row r="8" spans="1:8">
      <c r="A8" s="4" t="s">
        <v>8</v>
      </c>
      <c r="B8" s="12">
        <f>-B7*PercentCost</f>
        <v>-2800000</v>
      </c>
      <c r="C8" s="12">
        <f>-C7*PercentCost</f>
        <v>-3140000</v>
      </c>
      <c r="D8" s="12">
        <f>-D7*PercentCost</f>
        <v>-3480000</v>
      </c>
      <c r="E8" s="12">
        <f>-E7*PercentCost</f>
        <v>-3820000</v>
      </c>
      <c r="F8" s="12">
        <f>-F7*PercentCost</f>
        <v>-4160000</v>
      </c>
    </row>
    <row r="9" spans="1:8" ht="19.5" thickBot="1">
      <c r="A9" s="7" t="s">
        <v>9</v>
      </c>
      <c r="B9" s="8">
        <f t="shared" ref="B9:F9" si="0">SUM(B7:B8)</f>
        <v>700000</v>
      </c>
      <c r="C9" s="8">
        <f t="shared" si="0"/>
        <v>785000</v>
      </c>
      <c r="D9" s="8">
        <f t="shared" si="0"/>
        <v>870000</v>
      </c>
      <c r="E9" s="8">
        <f t="shared" si="0"/>
        <v>955000</v>
      </c>
      <c r="F9" s="8">
        <f t="shared" si="0"/>
        <v>1040000</v>
      </c>
      <c r="H9" s="13"/>
    </row>
    <row r="10" spans="1:8" ht="19.5" thickTop="1"/>
    <row r="11" spans="1:8">
      <c r="A11" s="4" t="s">
        <v>10</v>
      </c>
      <c r="B11" s="12">
        <v>-12600</v>
      </c>
      <c r="C11" s="12">
        <v>-13300</v>
      </c>
      <c r="D11" s="12">
        <v>-14100</v>
      </c>
      <c r="E11" s="12">
        <v>-14800</v>
      </c>
      <c r="F11" s="12">
        <v>-15500</v>
      </c>
    </row>
    <row r="12" spans="1:8">
      <c r="A12" s="4" t="s">
        <v>11</v>
      </c>
      <c r="B12" s="12">
        <v>-37800</v>
      </c>
      <c r="C12" s="12">
        <v>-68400</v>
      </c>
      <c r="D12" s="12">
        <v>-75600</v>
      </c>
      <c r="E12" s="12">
        <v>-81000</v>
      </c>
      <c r="F12" s="12">
        <v>-86400</v>
      </c>
    </row>
    <row r="13" spans="1:8">
      <c r="A13" s="4" t="s">
        <v>12</v>
      </c>
      <c r="B13" s="12">
        <v>-3600</v>
      </c>
      <c r="C13" s="12">
        <v>-5800</v>
      </c>
      <c r="D13" s="12">
        <v>-6200</v>
      </c>
      <c r="E13" s="12">
        <v>-6500</v>
      </c>
      <c r="F13" s="12">
        <v>-7200</v>
      </c>
    </row>
    <row r="14" spans="1:8">
      <c r="A14" s="4" t="s">
        <v>13</v>
      </c>
      <c r="B14" s="12">
        <v>-8640</v>
      </c>
      <c r="C14" s="12">
        <v>-13700</v>
      </c>
      <c r="D14" s="12">
        <v>-15100</v>
      </c>
      <c r="E14" s="12">
        <v>-16600</v>
      </c>
      <c r="F14" s="12">
        <v>-18000</v>
      </c>
    </row>
    <row r="15" spans="1:8">
      <c r="A15" s="4" t="s">
        <v>14</v>
      </c>
      <c r="B15" s="12">
        <v>-13680</v>
      </c>
      <c r="C15" s="12">
        <v>-18700</v>
      </c>
      <c r="D15" s="12">
        <v>-20200</v>
      </c>
      <c r="E15" s="12">
        <v>-21600</v>
      </c>
      <c r="F15" s="12">
        <v>-23800</v>
      </c>
    </row>
    <row r="16" spans="1:8">
      <c r="A16" s="4" t="s">
        <v>15</v>
      </c>
      <c r="B16" s="12">
        <v>-4300</v>
      </c>
      <c r="C16" s="12">
        <v>-8000</v>
      </c>
      <c r="D16" s="12">
        <v>-9000</v>
      </c>
      <c r="E16" s="12">
        <v>-10000</v>
      </c>
      <c r="F16" s="12">
        <v>-12000</v>
      </c>
    </row>
    <row r="17" spans="1:16" ht="19.5" thickBot="1">
      <c r="A17" s="7" t="s">
        <v>35</v>
      </c>
      <c r="B17" s="8">
        <f t="shared" ref="B17:F17" si="1">SUM(B11:B16)</f>
        <v>-80620</v>
      </c>
      <c r="C17" s="8">
        <f t="shared" si="1"/>
        <v>-127900</v>
      </c>
      <c r="D17" s="8">
        <f t="shared" si="1"/>
        <v>-140200</v>
      </c>
      <c r="E17" s="8">
        <f t="shared" si="1"/>
        <v>-150500</v>
      </c>
      <c r="F17" s="8">
        <f t="shared" si="1"/>
        <v>-162900</v>
      </c>
    </row>
    <row r="18" spans="1:16" ht="19.5" thickTop="1"/>
    <row r="19" spans="1:16">
      <c r="A19" s="4" t="s">
        <v>16</v>
      </c>
      <c r="B19" s="6">
        <f>B9+B17</f>
        <v>619380</v>
      </c>
      <c r="C19" s="6">
        <f t="shared" ref="C19:F19" si="2">C9+C17</f>
        <v>657100</v>
      </c>
      <c r="D19" s="6">
        <f t="shared" si="2"/>
        <v>729800</v>
      </c>
      <c r="E19" s="6">
        <f t="shared" si="2"/>
        <v>804500</v>
      </c>
      <c r="F19" s="6">
        <f t="shared" si="2"/>
        <v>877100</v>
      </c>
    </row>
    <row r="20" spans="1:16">
      <c r="A20" s="4" t="s">
        <v>52</v>
      </c>
      <c r="B20" s="6">
        <f>Depreciation!B14</f>
        <v>136500</v>
      </c>
      <c r="C20" s="6">
        <f>Depreciation!C14</f>
        <v>111657</v>
      </c>
      <c r="D20" s="6">
        <f>Depreciation!D14</f>
        <v>91335.425999999992</v>
      </c>
      <c r="E20" s="6">
        <f>Depreciation!E14</f>
        <v>74712.378467999995</v>
      </c>
      <c r="F20" s="6">
        <f>Depreciation!F14</f>
        <v>61114.725586824003</v>
      </c>
    </row>
    <row r="21" spans="1:16" ht="19.5" thickBot="1">
      <c r="A21" s="7" t="s">
        <v>17</v>
      </c>
      <c r="B21" s="8">
        <f t="shared" ref="B21:E21" si="3">SUM(B19:B20)</f>
        <v>755880</v>
      </c>
      <c r="C21" s="8">
        <f t="shared" si="3"/>
        <v>768757</v>
      </c>
      <c r="D21" s="8">
        <f t="shared" si="3"/>
        <v>821135.42599999998</v>
      </c>
      <c r="E21" s="8">
        <f t="shared" si="3"/>
        <v>879212.37846799998</v>
      </c>
      <c r="F21" s="8">
        <f>SUM(F19:F20)</f>
        <v>938214.725586824</v>
      </c>
    </row>
    <row r="22" spans="1:16" ht="19.5" thickTop="1">
      <c r="B22" s="6"/>
      <c r="C22" s="6"/>
      <c r="D22" s="6"/>
      <c r="E22" s="6"/>
      <c r="F22" s="6"/>
    </row>
    <row r="23" spans="1:16">
      <c r="A23" s="4" t="s">
        <v>45</v>
      </c>
      <c r="B23" s="6">
        <f>'Loan Analysis'!D27</f>
        <v>-52689.812497883817</v>
      </c>
      <c r="C23" s="6">
        <f>'Loan Analysis'!E27</f>
        <v>-42772.09736731169</v>
      </c>
      <c r="D23" s="6">
        <f>'Loan Analysis'!F27</f>
        <v>-32089.370693546869</v>
      </c>
      <c r="E23" s="6">
        <f>'Loan Analysis'!G27</f>
        <v>-20582.622648870671</v>
      </c>
      <c r="F23" s="6">
        <f>'Loan Analysis'!H27</f>
        <v>-8188.2916314135846</v>
      </c>
    </row>
    <row r="24" spans="1:16" ht="19.5" thickBot="1">
      <c r="A24" s="7" t="s">
        <v>18</v>
      </c>
      <c r="B24" s="8">
        <f>B21+B23</f>
        <v>703190.1875021162</v>
      </c>
      <c r="C24" s="8">
        <f t="shared" ref="C24:F24" si="4">C21+C23</f>
        <v>725984.90263268829</v>
      </c>
      <c r="D24" s="8">
        <f t="shared" si="4"/>
        <v>789046.05530645314</v>
      </c>
      <c r="E24" s="8">
        <f t="shared" si="4"/>
        <v>858629.75581912929</v>
      </c>
      <c r="F24" s="8">
        <f t="shared" si="4"/>
        <v>930026.43395541038</v>
      </c>
    </row>
    <row r="25" spans="1:16" ht="19.5" thickTop="1"/>
    <row r="26" spans="1:16">
      <c r="A26" s="4" t="s">
        <v>46</v>
      </c>
      <c r="B26" s="6">
        <f>-B24*$F$4</f>
        <v>-267212.27125080413</v>
      </c>
      <c r="C26" s="6">
        <f t="shared" ref="C26:F26" si="5">-C24*$F$4</f>
        <v>-275874.26300042158</v>
      </c>
      <c r="D26" s="6">
        <f t="shared" si="5"/>
        <v>-299837.50101645221</v>
      </c>
      <c r="E26" s="6">
        <f t="shared" si="5"/>
        <v>-326279.30721126916</v>
      </c>
      <c r="F26" s="6">
        <f t="shared" si="5"/>
        <v>-353410.04490305594</v>
      </c>
    </row>
    <row r="27" spans="1:16" ht="19.5" thickBot="1">
      <c r="A27" s="7" t="s">
        <v>19</v>
      </c>
      <c r="B27" s="8">
        <f>B24+B26</f>
        <v>435977.91625131207</v>
      </c>
      <c r="C27" s="8">
        <f t="shared" ref="C27:F27" si="6">C24+C26</f>
        <v>450110.63963226671</v>
      </c>
      <c r="D27" s="8">
        <f t="shared" si="6"/>
        <v>489208.55429000093</v>
      </c>
      <c r="E27" s="8">
        <f t="shared" si="6"/>
        <v>532350.44860786013</v>
      </c>
      <c r="F27" s="8">
        <f t="shared" si="6"/>
        <v>576616.3890523545</v>
      </c>
    </row>
    <row r="28" spans="1:16" ht="19.5" thickTop="1"/>
    <row r="30" spans="1:16">
      <c r="D30" s="13"/>
      <c r="P30" s="61" t="s">
        <v>93</v>
      </c>
    </row>
    <row r="31" spans="1:16">
      <c r="P31" s="61" t="s">
        <v>94</v>
      </c>
    </row>
    <row r="61" spans="17:17">
      <c r="Q61" s="61" t="s">
        <v>84</v>
      </c>
    </row>
  </sheetData>
  <mergeCells count="2">
    <mergeCell ref="A2:F2"/>
    <mergeCell ref="A1:F1"/>
  </mergeCells>
  <dataValidations count="2">
    <dataValidation allowBlank="1" showInputMessage="1" showErrorMessage="1" error="                                                                                                " sqref="B4"/>
    <dataValidation allowBlank="1" showInputMessage="1" showErrorMessage="1" error="                                                                                                " sqref="B5"/>
  </dataValidations>
  <pageMargins left="0.7" right="0.7" top="0.75" bottom="0.75" header="0.3" footer="0.3"/>
  <pageSetup orientation="landscape" verticalDpi="0" r:id="rId1"/>
  <headerFooter>
    <oddHeader>&amp;LBent Cycling
&amp;CProjected Five-Year Income Statement&amp;R&amp;D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B9" sqref="B9"/>
    </sheetView>
  </sheetViews>
  <sheetFormatPr defaultRowHeight="18.75"/>
  <cols>
    <col min="1" max="1" width="34.7109375" style="4" customWidth="1"/>
    <col min="2" max="6" width="18.140625" style="4" customWidth="1"/>
    <col min="7" max="16384" width="9.140625" style="4"/>
  </cols>
  <sheetData>
    <row r="1" spans="1:6" ht="27">
      <c r="A1" s="65" t="s">
        <v>66</v>
      </c>
      <c r="B1" s="65"/>
      <c r="C1" s="65"/>
      <c r="D1" s="65"/>
      <c r="E1" s="65"/>
      <c r="F1" s="65"/>
    </row>
    <row r="2" spans="1:6" ht="20.25">
      <c r="A2" s="72" t="s">
        <v>80</v>
      </c>
      <c r="B2" s="69"/>
      <c r="C2" s="69"/>
      <c r="D2" s="69"/>
      <c r="E2" s="69"/>
      <c r="F2" s="69"/>
    </row>
    <row r="4" spans="1:6" ht="19.5" thickBot="1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</row>
    <row r="5" spans="1:6">
      <c r="A5" s="4" t="s">
        <v>17</v>
      </c>
      <c r="B5" s="6">
        <f>'Income Statement'!B21</f>
        <v>755880</v>
      </c>
      <c r="C5" s="6">
        <f>'Income Statement'!C21</f>
        <v>768757</v>
      </c>
      <c r="D5" s="6">
        <f>'Income Statement'!D21</f>
        <v>821135.42599999998</v>
      </c>
      <c r="E5" s="6">
        <f>'Income Statement'!E21</f>
        <v>879212.37846799998</v>
      </c>
      <c r="F5" s="6">
        <f>'Income Statement'!F21</f>
        <v>938214.725586824</v>
      </c>
    </row>
    <row r="6" spans="1:6">
      <c r="A6" s="4" t="s">
        <v>53</v>
      </c>
      <c r="B6" s="6">
        <f>Depreciation!B14</f>
        <v>136500</v>
      </c>
      <c r="C6" s="6">
        <f>Depreciation!C14</f>
        <v>111657</v>
      </c>
      <c r="D6" s="6">
        <f>Depreciation!D14</f>
        <v>91335.425999999992</v>
      </c>
      <c r="E6" s="6">
        <f>Depreciation!E14</f>
        <v>74712.378467999995</v>
      </c>
      <c r="F6" s="6">
        <f>Depreciation!F14</f>
        <v>61114.725586824003</v>
      </c>
    </row>
    <row r="7" spans="1:6" ht="19.5" thickBot="1">
      <c r="A7" s="7" t="s">
        <v>30</v>
      </c>
      <c r="B7" s="8">
        <f t="shared" ref="B7:F7" si="0">SUM(B5:B6)</f>
        <v>892380</v>
      </c>
      <c r="C7" s="8">
        <f t="shared" si="0"/>
        <v>880414</v>
      </c>
      <c r="D7" s="8">
        <f t="shared" si="0"/>
        <v>912470.85199999996</v>
      </c>
      <c r="E7" s="8">
        <f t="shared" si="0"/>
        <v>953924.75693599996</v>
      </c>
      <c r="F7" s="8">
        <f t="shared" si="0"/>
        <v>999329.45117364801</v>
      </c>
    </row>
    <row r="8" spans="1:6" ht="19.5" thickTop="1"/>
    <row r="9" spans="1:6">
      <c r="A9" s="4" t="s">
        <v>47</v>
      </c>
      <c r="B9" s="6">
        <f>'Income Statement'!B26</f>
        <v>-267212.27125080413</v>
      </c>
      <c r="C9" s="6">
        <f>'Income Statement'!C26</f>
        <v>-275874.26300042158</v>
      </c>
      <c r="D9" s="6">
        <f>'Income Statement'!D26</f>
        <v>-299837.50101645221</v>
      </c>
      <c r="E9" s="6">
        <f>'Income Statement'!E26</f>
        <v>-326279.30721126916</v>
      </c>
      <c r="F9" s="6">
        <f>'Income Statement'!F26</f>
        <v>-353410.04490305594</v>
      </c>
    </row>
    <row r="10" spans="1:6">
      <c r="A10" s="4" t="s">
        <v>45</v>
      </c>
      <c r="B10" s="6">
        <f>'Loan Analysis'!D27</f>
        <v>-52689.812497883817</v>
      </c>
      <c r="C10" s="6">
        <f>'Loan Analysis'!E27</f>
        <v>-42772.09736731169</v>
      </c>
      <c r="D10" s="6">
        <f>'Loan Analysis'!F27</f>
        <v>-32089.370693546869</v>
      </c>
      <c r="E10" s="6">
        <f>'Loan Analysis'!G27</f>
        <v>-20582.622648870671</v>
      </c>
      <c r="F10" s="6">
        <f>'Loan Analysis'!H27</f>
        <v>-8188.2916314135846</v>
      </c>
    </row>
    <row r="11" spans="1:6">
      <c r="A11" s="4" t="s">
        <v>41</v>
      </c>
      <c r="B11" s="6">
        <f>'Loan Analysis'!D28</f>
        <v>-128574.62646992167</v>
      </c>
      <c r="C11" s="6">
        <f>'Loan Analysis'!E28</f>
        <v>-138492.34160049382</v>
      </c>
      <c r="D11" s="6">
        <f>'Loan Analysis'!F28</f>
        <v>-149175.06827425864</v>
      </c>
      <c r="E11" s="6">
        <f>'Loan Analysis'!G28</f>
        <v>-160681.81631893484</v>
      </c>
      <c r="F11" s="6">
        <f>'Loan Analysis'!H28</f>
        <v>-173076.14733639191</v>
      </c>
    </row>
    <row r="12" spans="1:6" ht="19.5" thickBot="1">
      <c r="A12" s="7" t="s">
        <v>31</v>
      </c>
      <c r="B12" s="8">
        <f t="shared" ref="B12:F12" si="1">SUM(B9:B11)</f>
        <v>-448476.7102186096</v>
      </c>
      <c r="C12" s="8">
        <f>SUM(C9:C11)</f>
        <v>-457138.70196822711</v>
      </c>
      <c r="D12" s="8">
        <f t="shared" si="1"/>
        <v>-481101.93998425774</v>
      </c>
      <c r="E12" s="8">
        <f t="shared" si="1"/>
        <v>-507543.74617907469</v>
      </c>
      <c r="F12" s="8">
        <f t="shared" si="1"/>
        <v>-534674.48387086135</v>
      </c>
    </row>
    <row r="13" spans="1:6" ht="19.5" thickTop="1"/>
    <row r="14" spans="1:6" ht="19.5" thickBot="1">
      <c r="A14" s="7" t="s">
        <v>22</v>
      </c>
      <c r="B14" s="8">
        <f>B7+B12</f>
        <v>443903.2897813904</v>
      </c>
      <c r="C14" s="8">
        <f t="shared" ref="C14:F14" si="2">C7+C12</f>
        <v>423275.29803177289</v>
      </c>
      <c r="D14" s="8">
        <f t="shared" si="2"/>
        <v>431368.91201574221</v>
      </c>
      <c r="E14" s="8">
        <f t="shared" si="2"/>
        <v>446381.01075692527</v>
      </c>
      <c r="F14" s="8">
        <f t="shared" si="2"/>
        <v>464654.96730278665</v>
      </c>
    </row>
    <row r="15" spans="1:6" ht="19.5" thickTop="1"/>
    <row r="16" spans="1:6">
      <c r="A16" s="9"/>
      <c r="B16" s="6"/>
      <c r="C16" s="6"/>
      <c r="D16" s="6"/>
      <c r="E16" s="6"/>
      <c r="F16" s="6"/>
    </row>
    <row r="30" spans="16:16">
      <c r="P30" s="61" t="s">
        <v>95</v>
      </c>
    </row>
    <row r="31" spans="16:16">
      <c r="P31" s="61" t="s">
        <v>96</v>
      </c>
    </row>
    <row r="61" spans="17:17">
      <c r="Q61" s="61" t="s">
        <v>84</v>
      </c>
    </row>
  </sheetData>
  <mergeCells count="2">
    <mergeCell ref="A2:F2"/>
    <mergeCell ref="A1:F1"/>
  </mergeCells>
  <dataValidations count="2">
    <dataValidation allowBlank="1" showInputMessage="1" showErrorMessage="1" error="                                                                                                " sqref="B4"/>
    <dataValidation allowBlank="1" showInputMessage="1" showErrorMessage="1" error="                                                                                                " sqref="B5"/>
  </dataValidations>
  <pageMargins left="0.7" right="0.7" top="0.75" bottom="0.75" header="0.3" footer="0.3"/>
  <pageSetup orientation="landscape" verticalDpi="0" r:id="rId1"/>
  <headerFooter>
    <oddHeader>&amp;LBent Cycling
&amp;CProjected Five-Year Cash Flow&amp;R&amp;D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E13" sqref="E13"/>
    </sheetView>
  </sheetViews>
  <sheetFormatPr defaultRowHeight="18.75"/>
  <cols>
    <col min="1" max="1" width="44.42578125" style="4" customWidth="1"/>
    <col min="2" max="7" width="20.5703125" style="4" customWidth="1"/>
    <col min="8" max="16384" width="9.140625" style="4"/>
  </cols>
  <sheetData>
    <row r="1" spans="1:7" ht="27">
      <c r="A1" s="65" t="s">
        <v>66</v>
      </c>
      <c r="B1" s="65"/>
      <c r="C1" s="65"/>
      <c r="D1" s="65"/>
      <c r="E1" s="65"/>
      <c r="F1" s="65"/>
      <c r="G1" s="65"/>
    </row>
    <row r="2" spans="1:7" ht="20.25">
      <c r="A2" s="72" t="s">
        <v>79</v>
      </c>
      <c r="B2" s="69"/>
      <c r="C2" s="69"/>
      <c r="D2" s="69"/>
      <c r="E2" s="69"/>
      <c r="F2" s="69"/>
      <c r="G2" s="69"/>
    </row>
    <row r="4" spans="1:7" ht="19.5" thickBot="1">
      <c r="B4" s="14" t="s">
        <v>32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</row>
    <row r="5" spans="1:7">
      <c r="A5" s="4" t="s">
        <v>23</v>
      </c>
      <c r="B5" s="15">
        <v>400000</v>
      </c>
      <c r="C5" s="6">
        <f>B5+'Cash Flow'!B14</f>
        <v>843903.28978139046</v>
      </c>
      <c r="D5" s="6">
        <f>C5+'Cash Flow'!C14</f>
        <v>1267178.5878131634</v>
      </c>
      <c r="E5" s="6">
        <f>D5+'Cash Flow'!D14</f>
        <v>1698547.4998289056</v>
      </c>
      <c r="F5" s="6">
        <f>E5+'Cash Flow'!E14</f>
        <v>2144928.510585831</v>
      </c>
      <c r="G5" s="6">
        <f>F5+'Cash Flow'!F14</f>
        <v>2609583.4778886177</v>
      </c>
    </row>
    <row r="6" spans="1:7">
      <c r="A6" s="4" t="s">
        <v>39</v>
      </c>
      <c r="B6" s="16">
        <v>850000</v>
      </c>
      <c r="C6" s="17">
        <v>900000</v>
      </c>
      <c r="D6" s="17">
        <v>950000</v>
      </c>
      <c r="E6" s="17">
        <v>1000000</v>
      </c>
      <c r="F6" s="17">
        <v>1050000</v>
      </c>
      <c r="G6" s="17">
        <v>1100000</v>
      </c>
    </row>
    <row r="7" spans="1:7" ht="19.5" thickBot="1">
      <c r="A7" s="18" t="s">
        <v>24</v>
      </c>
      <c r="B7" s="19">
        <f>SUM(B5:B6)</f>
        <v>1250000</v>
      </c>
      <c r="C7" s="20">
        <f>SUM(C5:C6)</f>
        <v>1743903.2897813905</v>
      </c>
      <c r="D7" s="20">
        <f t="shared" ref="D7:G7" si="0">SUM(D5:D6)</f>
        <v>2217178.5878131632</v>
      </c>
      <c r="E7" s="20">
        <f t="shared" si="0"/>
        <v>2698547.4998289058</v>
      </c>
      <c r="F7" s="20">
        <f t="shared" si="0"/>
        <v>3194928.510585831</v>
      </c>
      <c r="G7" s="20">
        <f t="shared" si="0"/>
        <v>3709583.4778886177</v>
      </c>
    </row>
    <row r="8" spans="1:7" ht="19.5" thickTop="1">
      <c r="B8" s="16"/>
      <c r="C8" s="17"/>
      <c r="D8" s="17"/>
      <c r="E8" s="17"/>
      <c r="F8" s="17"/>
      <c r="G8" s="17"/>
    </row>
    <row r="9" spans="1:7">
      <c r="A9" s="4" t="s">
        <v>25</v>
      </c>
      <c r="B9" s="21">
        <f>InitialLoan</f>
        <v>750000</v>
      </c>
      <c r="C9" s="22">
        <f>Depreciation!B16</f>
        <v>613500</v>
      </c>
      <c r="D9" s="22">
        <f>Depreciation!C16</f>
        <v>501843</v>
      </c>
      <c r="E9" s="22">
        <f>Depreciation!D16</f>
        <v>410507.57400000002</v>
      </c>
      <c r="F9" s="22">
        <f>Depreciation!E16</f>
        <v>335795.19553200004</v>
      </c>
      <c r="G9" s="22">
        <f>Depreciation!F16</f>
        <v>274680.46994517604</v>
      </c>
    </row>
    <row r="10" spans="1:7">
      <c r="B10" s="23"/>
      <c r="C10" s="24"/>
      <c r="D10" s="24"/>
      <c r="E10" s="24"/>
      <c r="F10" s="24"/>
      <c r="G10" s="24"/>
    </row>
    <row r="11" spans="1:7" ht="19.5" thickBot="1">
      <c r="A11" s="25" t="s">
        <v>34</v>
      </c>
      <c r="B11" s="26">
        <f>B7+B9</f>
        <v>2000000</v>
      </c>
      <c r="C11" s="27">
        <f>C7+C9</f>
        <v>2357403.2897813907</v>
      </c>
      <c r="D11" s="27">
        <f t="shared" ref="D11:G11" si="1">D7+D9</f>
        <v>2719021.5878131632</v>
      </c>
      <c r="E11" s="27">
        <f t="shared" si="1"/>
        <v>3109055.0738289058</v>
      </c>
      <c r="F11" s="27">
        <f t="shared" si="1"/>
        <v>3530723.7061178312</v>
      </c>
      <c r="G11" s="27">
        <f t="shared" si="1"/>
        <v>3984263.9478337937</v>
      </c>
    </row>
    <row r="12" spans="1:7" ht="19.5" thickTop="1">
      <c r="B12" s="23"/>
      <c r="C12" s="24"/>
      <c r="D12" s="24"/>
      <c r="E12" s="24"/>
      <c r="F12" s="24"/>
      <c r="G12" s="24"/>
    </row>
    <row r="13" spans="1:7">
      <c r="A13" s="4" t="s">
        <v>26</v>
      </c>
      <c r="B13" s="21">
        <f>InitialLoan</f>
        <v>750000</v>
      </c>
      <c r="C13" s="22">
        <f>'Loan Analysis'!D28</f>
        <v>-128574.62646992167</v>
      </c>
      <c r="D13" s="22">
        <f>'Loan Analysis'!E28</f>
        <v>-138492.34160049382</v>
      </c>
      <c r="E13" s="22">
        <f>'Loan Analysis'!F28</f>
        <v>-149175.06827425864</v>
      </c>
      <c r="F13" s="22">
        <f>'Loan Analysis'!G28</f>
        <v>-160681.81631893484</v>
      </c>
      <c r="G13" s="22">
        <f>'Loan Analysis'!H28</f>
        <v>-173076.14733639191</v>
      </c>
    </row>
    <row r="14" spans="1:7">
      <c r="B14" s="16"/>
      <c r="C14" s="17"/>
      <c r="D14" s="17"/>
      <c r="E14" s="17"/>
      <c r="F14" s="17"/>
      <c r="G14" s="17"/>
    </row>
    <row r="15" spans="1:7">
      <c r="A15" s="4" t="s">
        <v>27</v>
      </c>
      <c r="B15" s="16">
        <v>400000</v>
      </c>
      <c r="C15" s="17">
        <f>B15+'Income Statement'!B27</f>
        <v>835977.91625131201</v>
      </c>
      <c r="D15" s="17">
        <f>C15+'Income Statement'!C27</f>
        <v>1286088.5558835787</v>
      </c>
      <c r="E15" s="17">
        <f>D15+'Income Statement'!D27</f>
        <v>1775297.1101735798</v>
      </c>
      <c r="F15" s="17">
        <f>E15+'Income Statement'!E27</f>
        <v>2307647.5587814399</v>
      </c>
      <c r="G15" s="17">
        <f>F15+'Income Statement'!F27</f>
        <v>2884263.9478337942</v>
      </c>
    </row>
    <row r="16" spans="1:7">
      <c r="A16" s="4" t="s">
        <v>54</v>
      </c>
      <c r="B16" s="16">
        <v>850000</v>
      </c>
      <c r="C16" s="17">
        <v>900000</v>
      </c>
      <c r="D16" s="17">
        <v>950000</v>
      </c>
      <c r="E16" s="17">
        <v>1000000</v>
      </c>
      <c r="F16" s="17">
        <v>1050000</v>
      </c>
      <c r="G16" s="17">
        <v>1100000</v>
      </c>
    </row>
    <row r="17" spans="1:16" ht="19.5" thickBot="1">
      <c r="A17" s="28" t="s">
        <v>33</v>
      </c>
      <c r="B17" s="29">
        <f>SUM(B15:B16)</f>
        <v>1250000</v>
      </c>
      <c r="C17" s="30">
        <f>SUM(C15:C16)</f>
        <v>1735977.916251312</v>
      </c>
      <c r="D17" s="30">
        <f t="shared" ref="D17:G17" si="2">SUM(D15:D16)</f>
        <v>2236088.555883579</v>
      </c>
      <c r="E17" s="30">
        <f t="shared" si="2"/>
        <v>2775297.1101735798</v>
      </c>
      <c r="F17" s="30">
        <f t="shared" si="2"/>
        <v>3357647.5587814399</v>
      </c>
      <c r="G17" s="30">
        <f t="shared" si="2"/>
        <v>3984263.9478337942</v>
      </c>
    </row>
    <row r="18" spans="1:16" ht="19.5" thickTop="1">
      <c r="B18" s="23"/>
      <c r="C18" s="24"/>
      <c r="D18" s="24"/>
      <c r="E18" s="24"/>
      <c r="F18" s="24"/>
      <c r="G18" s="24"/>
    </row>
    <row r="19" spans="1:16" ht="19.5" thickBot="1">
      <c r="A19" s="31" t="s">
        <v>28</v>
      </c>
      <c r="B19" s="32">
        <f>B13+B17</f>
        <v>2000000</v>
      </c>
      <c r="C19" s="33">
        <f>C13+C17</f>
        <v>1607403.2897813902</v>
      </c>
      <c r="D19" s="33">
        <f t="shared" ref="D19:G19" si="3">D13+D17</f>
        <v>2097596.214283085</v>
      </c>
      <c r="E19" s="33">
        <f t="shared" si="3"/>
        <v>2626122.0418993211</v>
      </c>
      <c r="F19" s="33">
        <f t="shared" si="3"/>
        <v>3196965.7424625051</v>
      </c>
      <c r="G19" s="33">
        <f t="shared" si="3"/>
        <v>3811187.8004974024</v>
      </c>
    </row>
    <row r="20" spans="1:16" ht="19.5" thickTop="1"/>
    <row r="30" spans="1:16">
      <c r="P30" s="61" t="s">
        <v>97</v>
      </c>
    </row>
    <row r="31" spans="1:16">
      <c r="P31" s="61" t="s">
        <v>98</v>
      </c>
    </row>
    <row r="61" spans="17:17">
      <c r="Q61" s="61" t="s">
        <v>84</v>
      </c>
    </row>
  </sheetData>
  <mergeCells count="2">
    <mergeCell ref="A1:G1"/>
    <mergeCell ref="A2:G2"/>
  </mergeCells>
  <dataValidations count="2">
    <dataValidation allowBlank="1" showInputMessage="1" showErrorMessage="1" error="                                                                                                " sqref="B4"/>
    <dataValidation allowBlank="1" showInputMessage="1" showErrorMessage="1" error="                                                                                                " sqref="B5"/>
  </dataValidations>
  <pageMargins left="0.7" right="0.7" top="0.75" bottom="0.75" header="0.3" footer="0.3"/>
  <pageSetup orientation="landscape" verticalDpi="0" r:id="rId1"/>
  <headerFooter>
    <oddHeader>&amp;LBent Cycling
&amp;CProjected Five-Year Balance Sheet&amp;R&amp;D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Q61"/>
  <sheetViews>
    <sheetView tabSelected="1" topLeftCell="A6" workbookViewId="0">
      <selection activeCell="B15" sqref="B15"/>
    </sheetView>
  </sheetViews>
  <sheetFormatPr defaultRowHeight="18.75"/>
  <cols>
    <col min="1" max="1" width="35.5703125" style="4" customWidth="1"/>
    <col min="2" max="6" width="20" style="4" customWidth="1"/>
    <col min="7" max="16384" width="9.140625" style="4"/>
  </cols>
  <sheetData>
    <row r="1" spans="1:6" ht="27">
      <c r="A1" s="65" t="s">
        <v>66</v>
      </c>
      <c r="B1" s="65"/>
      <c r="C1" s="65"/>
      <c r="D1" s="65"/>
      <c r="E1" s="65"/>
      <c r="F1" s="65"/>
    </row>
    <row r="2" spans="1:6" ht="20.25">
      <c r="A2" s="72" t="s">
        <v>58</v>
      </c>
      <c r="B2" s="69"/>
      <c r="C2" s="69"/>
      <c r="D2" s="69"/>
      <c r="E2" s="69"/>
      <c r="F2" s="69"/>
    </row>
    <row r="4" spans="1:6">
      <c r="C4" s="13"/>
    </row>
    <row r="5" spans="1:6" ht="19.5" thickBot="1">
      <c r="A5" s="73" t="s">
        <v>55</v>
      </c>
      <c r="B5" s="73"/>
      <c r="C5" s="73"/>
      <c r="D5" s="73"/>
      <c r="E5" s="73"/>
      <c r="F5" s="73"/>
    </row>
    <row r="6" spans="1:6">
      <c r="A6" s="34"/>
      <c r="B6" s="71" t="s">
        <v>78</v>
      </c>
      <c r="C6" s="71"/>
      <c r="D6" s="71"/>
      <c r="E6" s="71"/>
      <c r="F6" s="71"/>
    </row>
    <row r="7" spans="1:6" ht="19.5" thickBot="1">
      <c r="A7" s="35" t="s">
        <v>56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</row>
    <row r="8" spans="1:6">
      <c r="A8" s="36">
        <f>-InitialLoan</f>
        <v>-750000</v>
      </c>
      <c r="B8" s="37">
        <f>'Cash Flow'!B14</f>
        <v>443903.2897813904</v>
      </c>
      <c r="C8" s="37">
        <f>'Cash Flow'!C14</f>
        <v>423275.29803177289</v>
      </c>
      <c r="D8" s="37">
        <f>'Cash Flow'!D14</f>
        <v>431368.91201574221</v>
      </c>
      <c r="E8" s="37">
        <f>'Cash Flow'!E14</f>
        <v>446381.01075692527</v>
      </c>
      <c r="F8" s="37">
        <f>'Cash Flow'!F14</f>
        <v>464654.96730278665</v>
      </c>
    </row>
    <row r="9" spans="1:6" ht="19.5" thickBot="1">
      <c r="A9" s="7" t="s">
        <v>57</v>
      </c>
      <c r="B9" s="8">
        <f>A8+B8</f>
        <v>-306096.7102186096</v>
      </c>
      <c r="C9" s="8">
        <f>C8+B9</f>
        <v>117178.58781316329</v>
      </c>
      <c r="D9" s="8">
        <f>D8+C9</f>
        <v>548547.49982890557</v>
      </c>
      <c r="E9" s="8">
        <f t="shared" ref="D9:F9" si="0">E8+D9</f>
        <v>994928.51058583078</v>
      </c>
      <c r="F9" s="8">
        <f t="shared" si="0"/>
        <v>1459583.4778886174</v>
      </c>
    </row>
    <row r="10" spans="1:6" ht="19.5" thickTop="1"/>
    <row r="11" spans="1:6">
      <c r="A11" s="38" t="s">
        <v>58</v>
      </c>
    </row>
    <row r="12" spans="1:6">
      <c r="A12" s="39" t="s">
        <v>59</v>
      </c>
      <c r="B12" s="40">
        <v>0.18</v>
      </c>
    </row>
    <row r="13" spans="1:6">
      <c r="A13" s="39" t="s">
        <v>60</v>
      </c>
      <c r="B13" s="6">
        <f>NPV(B12,B9:F9)</f>
        <v>1309785.2364595679</v>
      </c>
    </row>
    <row r="14" spans="1:6">
      <c r="A14" s="39" t="s">
        <v>61</v>
      </c>
      <c r="B14" s="41">
        <f>IRR(B9:F9)</f>
        <v>1.2459646516299931</v>
      </c>
      <c r="E14" s="13"/>
    </row>
    <row r="30" spans="16:16">
      <c r="P30" s="61" t="s">
        <v>99</v>
      </c>
    </row>
    <row r="31" spans="16:16">
      <c r="P31" s="61" t="s">
        <v>100</v>
      </c>
    </row>
    <row r="61" spans="17:17">
      <c r="Q61" s="61" t="s">
        <v>84</v>
      </c>
    </row>
  </sheetData>
  <mergeCells count="4">
    <mergeCell ref="A2:F2"/>
    <mergeCell ref="A1:F1"/>
    <mergeCell ref="A5:F5"/>
    <mergeCell ref="B6:F6"/>
  </mergeCells>
  <dataValidations count="2">
    <dataValidation allowBlank="1" showInputMessage="1" showErrorMessage="1" error="                                                                                                " sqref="B4"/>
    <dataValidation allowBlank="1" showInputMessage="1" showErrorMessage="1" error="                                                                                                " sqref="B5"/>
  </dataValidations>
  <pageMargins left="0.7" right="0.7" top="0.75" bottom="0.75" header="0.3" footer="0.3"/>
  <pageSetup orientation="landscape" verticalDpi="0" r:id="rId1"/>
  <headerFooter>
    <oddHeader>&amp;LBent Cycling
&amp;CBusiness Proposal&amp;R&amp;D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Documentation</vt:lpstr>
      <vt:lpstr>Loan Analysis</vt:lpstr>
      <vt:lpstr>Depreciation</vt:lpstr>
      <vt:lpstr>Income Statement</vt:lpstr>
      <vt:lpstr>Cash Flow</vt:lpstr>
      <vt:lpstr>Balance Sheet</vt:lpstr>
      <vt:lpstr>Profitability</vt:lpstr>
      <vt:lpstr>InitialLoan</vt:lpstr>
      <vt:lpstr>PercentCost</vt:lpstr>
      <vt:lpstr>'Loan Analysis'!Print_Titles</vt:lpstr>
    </vt:vector>
  </TitlesOfParts>
  <Company>Carey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Tha Ram</cp:lastModifiedBy>
  <cp:lastPrinted>2007-01-25T21:21:46Z</cp:lastPrinted>
  <dcterms:created xsi:type="dcterms:W3CDTF">2007-01-09T19:56:32Z</dcterms:created>
  <dcterms:modified xsi:type="dcterms:W3CDTF">2009-11-12T05:38:16Z</dcterms:modified>
</cp:coreProperties>
</file>