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 tabRatio="771" activeTab="2"/>
  </bookViews>
  <sheets>
    <sheet name="Documentation" sheetId="9" r:id="rId1"/>
    <sheet name="Loan Analysis" sheetId="14" r:id="rId2"/>
    <sheet name="Depreciation" sheetId="13" r:id="rId3"/>
  </sheets>
  <externalReferences>
    <externalReference r:id="rId4"/>
    <externalReference r:id="rId5"/>
  </externalReferences>
  <definedNames>
    <definedName name="CostofGoods" localSheetId="2">[1]Profitability!#REF!</definedName>
    <definedName name="CostofGoods" localSheetId="1">[2]Profitability!#REF!</definedName>
    <definedName name="CostofGoods">#REF!</definedName>
    <definedName name="InitialLoan" localSheetId="2">'[1]Loan Analysis'!$B$3</definedName>
    <definedName name="InitialLoan" localSheetId="1">'Loan Analysis'!$B$3</definedName>
    <definedName name="InitialLoan">#REF!</definedName>
    <definedName name="PercentCost" localSheetId="2">'[1]Income Statement'!$B$4</definedName>
    <definedName name="PercentCost" localSheetId="1">'[2]Income Statement'!$B$4</definedName>
    <definedName name="PercentCost">#REF!</definedName>
    <definedName name="_xlnm.Print_Titles" localSheetId="1">'Loan Analysis'!$1:$2</definedName>
    <definedName name="StartUpCost" localSheetId="2">[1]Profitability!#REF!</definedName>
    <definedName name="StartUpCost" localSheetId="1">[2]Profitability!#REF!</definedName>
    <definedName name="StartUpCost">#REF!</definedName>
    <definedName name="TaxRate" localSheetId="2">[1]Profitability!#REF!</definedName>
    <definedName name="TaxRate" localSheetId="1">[2]Profitability!#REF!</definedName>
    <definedName name="TaxRate">#REF!</definedName>
  </definedNames>
  <calcPr calcId="125725"/>
</workbook>
</file>

<file path=xl/calcChain.xml><?xml version="1.0" encoding="utf-8"?>
<calcChain xmlns="http://schemas.openxmlformats.org/spreadsheetml/2006/main">
  <c r="C14" i="13"/>
  <c r="D14"/>
  <c r="E14"/>
  <c r="F14"/>
  <c r="G14"/>
  <c r="H14"/>
  <c r="B14"/>
  <c r="C10"/>
  <c r="D10"/>
  <c r="E10"/>
  <c r="F10"/>
  <c r="G10"/>
  <c r="H10"/>
  <c r="B10"/>
  <c r="B5"/>
  <c r="E27" i="14"/>
  <c r="F27"/>
  <c r="G27"/>
  <c r="H27"/>
  <c r="D27"/>
  <c r="E28"/>
  <c r="F28"/>
  <c r="G28"/>
  <c r="H28"/>
  <c r="D28"/>
  <c r="G19"/>
  <c r="H19"/>
  <c r="G20"/>
  <c r="H20"/>
  <c r="G21"/>
  <c r="H21"/>
  <c r="G22"/>
  <c r="H22"/>
  <c r="G23"/>
  <c r="H23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H4"/>
  <c r="G4"/>
  <c r="B9"/>
  <c r="B8"/>
  <c r="B7"/>
  <c r="B5" i="9"/>
  <c r="H29" i="14"/>
  <c r="G29"/>
  <c r="F29"/>
  <c r="E29"/>
  <c r="D29"/>
  <c r="I29" s="1"/>
  <c r="I28"/>
  <c r="I27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B11" i="13" l="1"/>
  <c r="C11" s="1"/>
  <c r="D11" s="1"/>
  <c r="D12" s="1"/>
  <c r="B12" l="1"/>
  <c r="C12"/>
  <c r="B15"/>
  <c r="B16" s="1"/>
  <c r="C15" l="1"/>
  <c r="C16" s="1"/>
  <c r="E11"/>
  <c r="E12" s="1"/>
  <c r="D15" l="1"/>
  <c r="D16" s="1"/>
  <c r="F11"/>
  <c r="F12" s="1"/>
  <c r="E15" l="1"/>
  <c r="E16" s="1"/>
  <c r="G11"/>
  <c r="G12" s="1"/>
  <c r="F15" l="1"/>
  <c r="F16" s="1"/>
  <c r="H11"/>
  <c r="H12" s="1"/>
  <c r="G15" l="1"/>
  <c r="G16" s="1"/>
  <c r="H15" l="1"/>
  <c r="H16" s="1"/>
</calcChain>
</file>

<file path=xl/sharedStrings.xml><?xml version="1.0" encoding="utf-8"?>
<sst xmlns="http://schemas.openxmlformats.org/spreadsheetml/2006/main" count="43" uniqueCount="37">
  <si>
    <t>Years</t>
  </si>
  <si>
    <t>Interest</t>
  </si>
  <si>
    <t>Year</t>
  </si>
  <si>
    <t>Total</t>
  </si>
  <si>
    <t>Principal</t>
  </si>
  <si>
    <t>Annual  Rate</t>
  </si>
  <si>
    <t>Date</t>
  </si>
  <si>
    <t>Loan (PV)</t>
  </si>
  <si>
    <t>Total Payment</t>
  </si>
  <si>
    <t>Rate per Period (RATE)</t>
  </si>
  <si>
    <t>Periods per Year</t>
  </si>
  <si>
    <t>Period</t>
  </si>
  <si>
    <t>Interest and Principle Payments per Year</t>
  </si>
  <si>
    <t>Period Payment (PMT)</t>
  </si>
  <si>
    <t>Interest Payment</t>
  </si>
  <si>
    <t>Principal Payment</t>
  </si>
  <si>
    <t>Remaining Principal</t>
  </si>
  <si>
    <t>Loan Conditions</t>
  </si>
  <si>
    <t>Number of Periods (NPER)</t>
  </si>
  <si>
    <t>Homework 9 - Developing a Financial Analysis</t>
  </si>
  <si>
    <t>Name</t>
  </si>
  <si>
    <r>
      <t xml:space="preserve">NewLeaf </t>
    </r>
    <r>
      <rPr>
        <b/>
        <sz val="22"/>
        <color theme="4" tint="-0.249977111117893"/>
        <rFont val="Georgia"/>
        <family val="1"/>
      </rPr>
      <t>Paper</t>
    </r>
  </si>
  <si>
    <t>Depreciation of Assets</t>
  </si>
  <si>
    <t>Initial Asset Cost</t>
  </si>
  <si>
    <t>Salvage Value</t>
  </si>
  <si>
    <t>Life of Asset (in Years)</t>
  </si>
  <si>
    <t>Straight-Line (SLN)</t>
  </si>
  <si>
    <t>Cumulative Depreciation</t>
  </si>
  <si>
    <t>Asset Value</t>
  </si>
  <si>
    <t>Declining Balance (DB)</t>
  </si>
  <si>
    <t>EF40gj0jf83k580716</t>
  </si>
  <si>
    <t>gxplk!tofdeq</t>
  </si>
  <si>
    <t>Jason Wright</t>
  </si>
  <si>
    <t>Amortization Table</t>
  </si>
  <si>
    <t>9651vy1yu94z691827</t>
  </si>
  <si>
    <t>hyqml!upgefr</t>
  </si>
  <si>
    <t>Kenneth Robinson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</si>
</sst>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&quot;$&quot;#,##0"/>
    <numFmt numFmtId="165" formatCode="0.0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7" tint="-0.499984740745262"/>
      <name val="Calibri"/>
      <family val="2"/>
      <scheme val="minor"/>
    </font>
    <font>
      <b/>
      <sz val="16"/>
      <color theme="7" tint="-0.499984740745262"/>
      <name val="Calibri"/>
      <family val="2"/>
      <scheme val="minor"/>
    </font>
    <font>
      <i/>
      <sz val="11"/>
      <color theme="7" tint="-0.499984740745262"/>
      <name val="Calibri"/>
      <family val="2"/>
    </font>
    <font>
      <sz val="11"/>
      <color theme="7" tint="-0.499984740745262"/>
      <name val="Calibri"/>
      <family val="2"/>
      <scheme val="minor"/>
    </font>
    <font>
      <b/>
      <sz val="22"/>
      <color theme="1"/>
      <name val="Georgia"/>
      <family val="1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Rockwell"/>
      <family val="1"/>
    </font>
    <font>
      <b/>
      <sz val="22"/>
      <color theme="4" tint="-0.249977111117893"/>
      <name val="Georgia"/>
      <family val="1"/>
    </font>
    <font>
      <sz val="14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3"/>
      </left>
      <right style="thin">
        <color indexed="64"/>
      </right>
      <top style="thick">
        <color theme="3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ck">
        <color theme="3"/>
      </top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n">
        <color indexed="64"/>
      </bottom>
      <diagonal/>
    </border>
    <border>
      <left style="thick">
        <color theme="3"/>
      </left>
      <right style="thin">
        <color indexed="64"/>
      </right>
      <top style="thin">
        <color indexed="64"/>
      </top>
      <bottom style="thick">
        <color theme="3"/>
      </bottom>
      <diagonal/>
    </border>
    <border>
      <left style="thin">
        <color indexed="64"/>
      </left>
      <right style="thick">
        <color theme="3"/>
      </right>
      <top style="thin">
        <color indexed="64"/>
      </top>
      <bottom style="thick">
        <color theme="3"/>
      </bottom>
      <diagonal/>
    </border>
    <border>
      <left style="medium">
        <color indexed="64"/>
      </left>
      <right/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/>
      <right/>
      <top/>
      <bottom style="thick">
        <color theme="4" tint="0.59996337778862885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5" borderId="0" xfId="0" applyFill="1"/>
    <xf numFmtId="0" fontId="4" fillId="6" borderId="0" xfId="0" applyFont="1" applyFill="1"/>
    <xf numFmtId="0" fontId="7" fillId="3" borderId="0" xfId="0" applyFont="1" applyFill="1"/>
    <xf numFmtId="0" fontId="11" fillId="0" borderId="0" xfId="0" applyFont="1"/>
    <xf numFmtId="0" fontId="12" fillId="4" borderId="1" xfId="1" applyFont="1" applyFill="1" applyAlignment="1">
      <alignment horizontal="center"/>
    </xf>
    <xf numFmtId="6" fontId="13" fillId="0" borderId="2" xfId="2" applyNumberFormat="1" applyFont="1"/>
    <xf numFmtId="0" fontId="10" fillId="4" borderId="1" xfId="1" applyFont="1" applyFill="1" applyBorder="1" applyAlignment="1">
      <alignment horizontal="center" wrapText="1"/>
    </xf>
    <xf numFmtId="0" fontId="12" fillId="4" borderId="3" xfId="1" applyFont="1" applyFill="1" applyBorder="1" applyAlignment="1">
      <alignment horizontal="left" wrapText="1"/>
    </xf>
    <xf numFmtId="164" fontId="11" fillId="0" borderId="4" xfId="0" applyNumberFormat="1" applyFont="1" applyBorder="1"/>
    <xf numFmtId="0" fontId="12" fillId="4" borderId="5" xfId="1" applyFont="1" applyFill="1" applyBorder="1" applyAlignment="1">
      <alignment horizontal="left" wrapText="1"/>
    </xf>
    <xf numFmtId="10" fontId="11" fillId="0" borderId="6" xfId="0" applyNumberFormat="1" applyFont="1" applyBorder="1"/>
    <xf numFmtId="0" fontId="11" fillId="8" borderId="0" xfId="3" applyFont="1" applyFill="1" applyBorder="1" applyAlignment="1">
      <alignment horizontal="center"/>
    </xf>
    <xf numFmtId="6" fontId="11" fillId="0" borderId="0" xfId="0" applyNumberFormat="1" applyFont="1" applyBorder="1"/>
    <xf numFmtId="6" fontId="11" fillId="4" borderId="0" xfId="0" applyNumberFormat="1" applyFont="1" applyFill="1" applyBorder="1"/>
    <xf numFmtId="0" fontId="11" fillId="0" borderId="6" xfId="0" applyFont="1" applyBorder="1"/>
    <xf numFmtId="0" fontId="12" fillId="4" borderId="7" xfId="1" applyFont="1" applyFill="1" applyBorder="1" applyAlignment="1">
      <alignment horizontal="left" wrapText="1"/>
    </xf>
    <xf numFmtId="6" fontId="11" fillId="0" borderId="8" xfId="0" applyNumberFormat="1" applyFont="1" applyBorder="1"/>
    <xf numFmtId="0" fontId="12" fillId="4" borderId="11" xfId="1" applyFont="1" applyFill="1" applyBorder="1" applyAlignment="1"/>
    <xf numFmtId="0" fontId="12" fillId="4" borderId="1" xfId="1" applyFont="1" applyFill="1" applyBorder="1" applyAlignment="1">
      <alignment horizontal="center"/>
    </xf>
    <xf numFmtId="0" fontId="11" fillId="2" borderId="0" xfId="3" applyFont="1"/>
    <xf numFmtId="164" fontId="11" fillId="0" borderId="0" xfId="0" applyNumberFormat="1" applyFont="1"/>
    <xf numFmtId="0" fontId="13" fillId="2" borderId="2" xfId="2" applyFont="1" applyFill="1"/>
    <xf numFmtId="164" fontId="13" fillId="0" borderId="2" xfId="2" applyNumberFormat="1" applyFont="1"/>
    <xf numFmtId="165" fontId="11" fillId="0" borderId="0" xfId="0" applyNumberFormat="1" applyFont="1"/>
    <xf numFmtId="0" fontId="16" fillId="0" borderId="0" xfId="0" applyFont="1"/>
    <xf numFmtId="6" fontId="13" fillId="0" borderId="2" xfId="2" applyNumberFormat="1" applyFont="1" applyBorder="1"/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1" fillId="8" borderId="2" xfId="3" applyFont="1" applyFill="1" applyBorder="1" applyAlignment="1">
      <alignment horizontal="right"/>
    </xf>
    <xf numFmtId="0" fontId="9" fillId="0" borderId="0" xfId="0" applyFont="1" applyAlignment="1">
      <alignment horizontal="left"/>
    </xf>
    <xf numFmtId="0" fontId="14" fillId="7" borderId="9" xfId="0" applyFont="1" applyFill="1" applyBorder="1" applyAlignment="1">
      <alignment horizontal="center"/>
    </xf>
    <xf numFmtId="0" fontId="14" fillId="7" borderId="10" xfId="0" applyFont="1" applyFill="1" applyBorder="1" applyAlignment="1">
      <alignment horizontal="center"/>
    </xf>
    <xf numFmtId="0" fontId="14" fillId="7" borderId="0" xfId="0" applyFont="1" applyFill="1" applyBorder="1" applyAlignment="1">
      <alignment horizontal="center"/>
    </xf>
    <xf numFmtId="0" fontId="11" fillId="8" borderId="0" xfId="3" applyFont="1" applyFill="1" applyBorder="1" applyAlignment="1">
      <alignment horizontal="right"/>
    </xf>
    <xf numFmtId="0" fontId="14" fillId="7" borderId="12" xfId="0" applyFont="1" applyFill="1" applyBorder="1" applyAlignment="1">
      <alignment horizontal="center"/>
    </xf>
    <xf numFmtId="0" fontId="12" fillId="4" borderId="0" xfId="4" applyFont="1" applyFill="1" applyAlignment="1">
      <alignment horizontal="center"/>
    </xf>
    <xf numFmtId="14" fontId="8" fillId="3" borderId="0" xfId="0" applyNumberFormat="1" applyFont="1" applyFill="1"/>
  </cellXfs>
  <cellStyles count="5">
    <cellStyle name="20% - Accent3" xfId="3" builtinId="38"/>
    <cellStyle name="Heading 3" xfId="1" builtinId="18"/>
    <cellStyle name="Heading 4" xfId="4" builtinId="19"/>
    <cellStyle name="Normal" xfId="0" builtinId="0"/>
    <cellStyle name="Total" xfId="2" builtinId="25"/>
  </cellStyles>
  <dxfs count="0"/>
  <tableStyles count="0" defaultTableStyle="TableStyleMedium9" defaultPivotStyle="PivotStyleLight16"/>
  <colors>
    <mruColors>
      <color rgb="FFFFFFCC"/>
      <color rgb="FFFF9900"/>
      <color rgb="FFCCFF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THARAM~1\LOCALS~1\Temp\Case09_JasonWright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.ua.edu\Department\Home\kimwright\User%20Profile\Desktop\Case09_JasonWright_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Loan Analysis"/>
      <sheetName val="Depreciation"/>
      <sheetName val="Income Statement"/>
      <sheetName val="Cash Flow"/>
      <sheetName val="Balance Sheet"/>
      <sheetName val="Profitability"/>
    </sheetNames>
    <sheetDataSet>
      <sheetData sheetId="0"/>
      <sheetData sheetId="1">
        <row r="3">
          <cell r="B3">
            <v>750000</v>
          </cell>
        </row>
      </sheetData>
      <sheetData sheetId="2"/>
      <sheetData sheetId="3">
        <row r="4">
          <cell r="B4">
            <v>0.8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ocumentation"/>
      <sheetName val="Loan Analysis"/>
      <sheetName val="Depreciation"/>
      <sheetName val="Income Statement"/>
      <sheetName val="Cash Flow"/>
      <sheetName val="Balance Sheet"/>
      <sheetName val="Profitability"/>
    </sheetNames>
    <sheetDataSet>
      <sheetData sheetId="0"/>
      <sheetData sheetId="1"/>
      <sheetData sheetId="2"/>
      <sheetData sheetId="3">
        <row r="4">
          <cell r="B4">
            <v>0.8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6" sqref="B6"/>
    </sheetView>
  </sheetViews>
  <sheetFormatPr defaultRowHeight="15"/>
  <cols>
    <col min="1" max="1" width="24.42578125" style="1" customWidth="1"/>
    <col min="2" max="2" width="50.7109375" style="1" customWidth="1"/>
    <col min="3" max="16384" width="9.140625" style="1"/>
  </cols>
  <sheetData>
    <row r="1" spans="1:3" ht="33.75">
      <c r="A1" s="27"/>
      <c r="B1" s="27"/>
    </row>
    <row r="2" spans="1:3" ht="21">
      <c r="A2" s="28" t="s">
        <v>19</v>
      </c>
      <c r="B2" s="28"/>
    </row>
    <row r="4" spans="1:3">
      <c r="A4" s="2" t="s">
        <v>20</v>
      </c>
      <c r="B4" s="3" t="s">
        <v>36</v>
      </c>
      <c r="C4" s="1">
        <v>10217353</v>
      </c>
    </row>
    <row r="5" spans="1:3">
      <c r="A5" s="2" t="s">
        <v>6</v>
      </c>
      <c r="B5" s="37">
        <f ca="1">TODAY()</f>
        <v>40122</v>
      </c>
    </row>
  </sheetData>
  <mergeCells count="2">
    <mergeCell ref="A1:B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1"/>
  <sheetViews>
    <sheetView zoomScale="90" zoomScaleNormal="90" workbookViewId="0">
      <selection activeCell="F24" sqref="F24"/>
    </sheetView>
  </sheetViews>
  <sheetFormatPr defaultRowHeight="18.75"/>
  <cols>
    <col min="1" max="1" width="33.140625" style="4" customWidth="1"/>
    <col min="2" max="2" width="15.7109375" style="4" customWidth="1"/>
    <col min="3" max="3" width="2.28515625" style="4" customWidth="1"/>
    <col min="4" max="4" width="18.7109375" style="4" customWidth="1"/>
    <col min="5" max="9" width="20.42578125" style="4" customWidth="1"/>
    <col min="10" max="16384" width="9.140625" style="4"/>
  </cols>
  <sheetData>
    <row r="1" spans="1:9" ht="27">
      <c r="A1" s="30" t="s">
        <v>21</v>
      </c>
      <c r="B1" s="30"/>
      <c r="C1" s="30"/>
      <c r="D1" s="30"/>
      <c r="E1" s="30"/>
      <c r="F1" s="30"/>
      <c r="G1" s="30"/>
      <c r="H1" s="30"/>
      <c r="I1" s="30"/>
    </row>
    <row r="2" spans="1:9" ht="21" thickBot="1">
      <c r="A2" s="31" t="s">
        <v>17</v>
      </c>
      <c r="B2" s="32"/>
      <c r="D2" s="33" t="s">
        <v>33</v>
      </c>
      <c r="E2" s="33"/>
      <c r="F2" s="33"/>
      <c r="G2" s="33"/>
      <c r="H2" s="33"/>
      <c r="I2" s="33"/>
    </row>
    <row r="3" spans="1:9" ht="19.5" customHeight="1" thickTop="1" thickBot="1">
      <c r="A3" s="8" t="s">
        <v>7</v>
      </c>
      <c r="B3" s="9">
        <v>500000</v>
      </c>
      <c r="D3" s="7" t="s">
        <v>2</v>
      </c>
      <c r="E3" s="7" t="s">
        <v>11</v>
      </c>
      <c r="F3" s="7" t="s">
        <v>16</v>
      </c>
      <c r="G3" s="7" t="s">
        <v>14</v>
      </c>
      <c r="H3" s="7" t="s">
        <v>15</v>
      </c>
      <c r="I3" s="7" t="s">
        <v>8</v>
      </c>
    </row>
    <row r="4" spans="1:9">
      <c r="A4" s="10" t="s">
        <v>5</v>
      </c>
      <c r="B4" s="11">
        <v>6.5000000000000002E-2</v>
      </c>
      <c r="D4" s="12">
        <v>1</v>
      </c>
      <c r="E4" s="12">
        <v>1</v>
      </c>
      <c r="F4" s="14">
        <f>InitialLoan</f>
        <v>500000</v>
      </c>
      <c r="G4" s="13">
        <f>IPMT($B$7,E4,$B$8,InitialLoan)</f>
        <v>-8125</v>
      </c>
      <c r="H4" s="13">
        <f>PPMT($B$7,E4,$B$8,InitialLoan)</f>
        <v>-21357.985406846848</v>
      </c>
      <c r="I4" s="14">
        <f>G4+H4</f>
        <v>-29482.985406846848</v>
      </c>
    </row>
    <row r="5" spans="1:9">
      <c r="A5" s="10" t="s">
        <v>0</v>
      </c>
      <c r="B5" s="15">
        <v>5</v>
      </c>
      <c r="D5" s="12">
        <v>1</v>
      </c>
      <c r="E5" s="12">
        <v>2</v>
      </c>
      <c r="F5" s="14">
        <f>F4+H4</f>
        <v>478642.01459315314</v>
      </c>
      <c r="G5" s="13">
        <f>IPMT($B$7,E5,$B$8,InitialLoan)</f>
        <v>-7777.9327371387371</v>
      </c>
      <c r="H5" s="13">
        <f>PPMT($B$7,E5,$B$8,InitialLoan)</f>
        <v>-21705.052669708111</v>
      </c>
      <c r="I5" s="14">
        <f>G5+H5</f>
        <v>-29482.985406846848</v>
      </c>
    </row>
    <row r="6" spans="1:9">
      <c r="A6" s="10" t="s">
        <v>10</v>
      </c>
      <c r="B6" s="15">
        <v>4</v>
      </c>
      <c r="D6" s="12">
        <v>1</v>
      </c>
      <c r="E6" s="12">
        <v>3</v>
      </c>
      <c r="F6" s="14">
        <f t="shared" ref="F6:F23" si="0">F5+H5</f>
        <v>456936.96192344505</v>
      </c>
      <c r="G6" s="13">
        <f>IPMT($B$7,E6,$B$8,InitialLoan)</f>
        <v>-7425.2256312559757</v>
      </c>
      <c r="H6" s="13">
        <f>PPMT($B$7,E6,$B$8,InitialLoan)</f>
        <v>-22057.759775590872</v>
      </c>
      <c r="I6" s="14">
        <f t="shared" ref="I6:I23" si="1">G6+H6</f>
        <v>-29482.985406846848</v>
      </c>
    </row>
    <row r="7" spans="1:9">
      <c r="A7" s="10" t="s">
        <v>9</v>
      </c>
      <c r="B7" s="11">
        <f>B4/B6</f>
        <v>1.6250000000000001E-2</v>
      </c>
      <c r="D7" s="12">
        <v>1</v>
      </c>
      <c r="E7" s="12">
        <v>4</v>
      </c>
      <c r="F7" s="14">
        <f t="shared" si="0"/>
        <v>434879.2021478542</v>
      </c>
      <c r="G7" s="13">
        <f>IPMT($B$7,E7,$B$8,InitialLoan)</f>
        <v>-7066.7870349026216</v>
      </c>
      <c r="H7" s="13">
        <f>PPMT($B$7,E7,$B$8,InitialLoan)</f>
        <v>-22416.198371944229</v>
      </c>
      <c r="I7" s="14">
        <f t="shared" si="1"/>
        <v>-29482.985406846848</v>
      </c>
    </row>
    <row r="8" spans="1:9">
      <c r="A8" s="10" t="s">
        <v>18</v>
      </c>
      <c r="B8" s="15">
        <f>B5*B6</f>
        <v>20</v>
      </c>
      <c r="D8" s="12">
        <v>2</v>
      </c>
      <c r="E8" s="12">
        <v>5</v>
      </c>
      <c r="F8" s="14">
        <f t="shared" si="0"/>
        <v>412463.00377590995</v>
      </c>
      <c r="G8" s="13">
        <f>IPMT($B$7,E8,$B$8,InitialLoan)</f>
        <v>-6702.5238113585265</v>
      </c>
      <c r="H8" s="13">
        <f>PPMT($B$7,E8,$B$8,InitialLoan)</f>
        <v>-22780.461595488323</v>
      </c>
      <c r="I8" s="14">
        <f t="shared" si="1"/>
        <v>-29482.985406846848</v>
      </c>
    </row>
    <row r="9" spans="1:9" ht="19.5" thickBot="1">
      <c r="A9" s="16" t="s">
        <v>13</v>
      </c>
      <c r="B9" s="17">
        <f>PMT(B7,B8,InitialLoan)</f>
        <v>-29482.985406846848</v>
      </c>
      <c r="D9" s="12">
        <v>2</v>
      </c>
      <c r="E9" s="12">
        <v>6</v>
      </c>
      <c r="F9" s="14">
        <f t="shared" si="0"/>
        <v>389682.54218042165</v>
      </c>
      <c r="G9" s="13">
        <f>IPMT($B$7,E9,$B$8,InitialLoan)</f>
        <v>-6332.3413104318388</v>
      </c>
      <c r="H9" s="13">
        <f>PPMT($B$7,E9,$B$8,InitialLoan)</f>
        <v>-23150.64409641501</v>
      </c>
      <c r="I9" s="14">
        <f t="shared" si="1"/>
        <v>-29482.985406846848</v>
      </c>
    </row>
    <row r="10" spans="1:9" ht="19.5" thickTop="1">
      <c r="D10" s="12">
        <v>2</v>
      </c>
      <c r="E10" s="12">
        <v>7</v>
      </c>
      <c r="F10" s="14">
        <f t="shared" si="0"/>
        <v>366531.89808400662</v>
      </c>
      <c r="G10" s="13">
        <f>IPMT($B$7,E10,$B$8,InitialLoan)</f>
        <v>-5956.1433438650884</v>
      </c>
      <c r="H10" s="13">
        <f>PPMT($B$7,E10,$B$8,InitialLoan)</f>
        <v>-23526.842062981759</v>
      </c>
      <c r="I10" s="14">
        <f t="shared" si="1"/>
        <v>-29482.985406846848</v>
      </c>
    </row>
    <row r="11" spans="1:9">
      <c r="D11" s="12">
        <v>2</v>
      </c>
      <c r="E11" s="12">
        <v>8</v>
      </c>
      <c r="F11" s="14">
        <f t="shared" si="0"/>
        <v>343005.05602102488</v>
      </c>
      <c r="G11" s="13">
        <f>IPMT($B$7,E11,$B$8,InitialLoan)</f>
        <v>-5573.8321603416298</v>
      </c>
      <c r="H11" s="13">
        <f>PPMT($B$7,E11,$B$8,InitialLoan)</f>
        <v>-23909.153246505219</v>
      </c>
      <c r="I11" s="14">
        <f t="shared" si="1"/>
        <v>-29482.985406846848</v>
      </c>
    </row>
    <row r="12" spans="1:9">
      <c r="D12" s="12">
        <v>3</v>
      </c>
      <c r="E12" s="12">
        <v>9</v>
      </c>
      <c r="F12" s="14">
        <f t="shared" si="0"/>
        <v>319095.90277451964</v>
      </c>
      <c r="G12" s="13">
        <f>IPMT($B$7,E12,$B$8,InitialLoan)</f>
        <v>-5185.3084200859221</v>
      </c>
      <c r="H12" s="13">
        <f>PPMT($B$7,E12,$B$8,InitialLoan)</f>
        <v>-24297.676986760926</v>
      </c>
      <c r="I12" s="14">
        <f t="shared" si="1"/>
        <v>-29482.985406846848</v>
      </c>
    </row>
    <row r="13" spans="1:9">
      <c r="D13" s="12">
        <v>3</v>
      </c>
      <c r="E13" s="12">
        <v>10</v>
      </c>
      <c r="F13" s="14">
        <f t="shared" si="0"/>
        <v>294798.22578775871</v>
      </c>
      <c r="G13" s="13">
        <f>IPMT($B$7,E13,$B$8,InitialLoan)</f>
        <v>-4790.4711690510567</v>
      </c>
      <c r="H13" s="13">
        <f>PPMT($B$7,E13,$B$8,InitialLoan)</f>
        <v>-24692.514237795793</v>
      </c>
      <c r="I13" s="14">
        <f t="shared" si="1"/>
        <v>-29482.985406846848</v>
      </c>
    </row>
    <row r="14" spans="1:9">
      <c r="D14" s="12">
        <v>3</v>
      </c>
      <c r="E14" s="12">
        <v>11</v>
      </c>
      <c r="F14" s="14">
        <f t="shared" si="0"/>
        <v>270105.71154996293</v>
      </c>
      <c r="G14" s="13">
        <f>IPMT($B$7,E14,$B$8,InitialLoan)</f>
        <v>-4389.2178126868685</v>
      </c>
      <c r="H14" s="13">
        <f>PPMT($B$7,E14,$B$8,InitialLoan)</f>
        <v>-25093.767594159981</v>
      </c>
      <c r="I14" s="14">
        <f t="shared" si="1"/>
        <v>-29482.985406846848</v>
      </c>
    </row>
    <row r="15" spans="1:9">
      <c r="D15" s="12">
        <v>3</v>
      </c>
      <c r="E15" s="12">
        <v>12</v>
      </c>
      <c r="F15" s="14">
        <f t="shared" si="0"/>
        <v>245011.94395580294</v>
      </c>
      <c r="G15" s="13">
        <f>IPMT($B$7,E15,$B$8,InitialLoan)</f>
        <v>-3981.4440892817656</v>
      </c>
      <c r="H15" s="13">
        <f>PPMT($B$7,E15,$B$8,InitialLoan)</f>
        <v>-25501.541317565083</v>
      </c>
      <c r="I15" s="14">
        <f t="shared" si="1"/>
        <v>-29482.985406846848</v>
      </c>
    </row>
    <row r="16" spans="1:9">
      <c r="D16" s="12">
        <v>4</v>
      </c>
      <c r="E16" s="12">
        <v>13</v>
      </c>
      <c r="F16" s="14">
        <f t="shared" si="0"/>
        <v>219510.40263823787</v>
      </c>
      <c r="G16" s="13">
        <f>IPMT($B$7,E16,$B$8,InitialLoan)</f>
        <v>-3567.0440428713296</v>
      </c>
      <c r="H16" s="13">
        <f>PPMT($B$7,E16,$B$8,InitialLoan)</f>
        <v>-25915.941363975518</v>
      </c>
      <c r="I16" s="14">
        <f t="shared" si="1"/>
        <v>-29482.985406846848</v>
      </c>
    </row>
    <row r="17" spans="2:16">
      <c r="D17" s="12">
        <v>4</v>
      </c>
      <c r="E17" s="12">
        <v>14</v>
      </c>
      <c r="F17" s="14">
        <f t="shared" si="0"/>
        <v>193594.46127426234</v>
      </c>
      <c r="G17" s="13">
        <f>IPMT($B$7,E17,$B$8,InitialLoan)</f>
        <v>-3145.9099957067233</v>
      </c>
      <c r="H17" s="13">
        <f>PPMT($B$7,E17,$B$8,InitialLoan)</f>
        <v>-26337.075411140126</v>
      </c>
      <c r="I17" s="14">
        <f t="shared" si="1"/>
        <v>-29482.985406846848</v>
      </c>
    </row>
    <row r="18" spans="2:16">
      <c r="D18" s="12">
        <v>4</v>
      </c>
      <c r="E18" s="12">
        <v>15</v>
      </c>
      <c r="F18" s="14">
        <f t="shared" si="0"/>
        <v>167257.38586312221</v>
      </c>
      <c r="G18" s="13">
        <f>IPMT($B$7,E18,$B$8,InitialLoan)</f>
        <v>-2717.9325202756941</v>
      </c>
      <c r="H18" s="13">
        <f>PPMT($B$7,E18,$B$8,InitialLoan)</f>
        <v>-26765.052886571153</v>
      </c>
      <c r="I18" s="14">
        <f t="shared" si="1"/>
        <v>-29482.985406846848</v>
      </c>
    </row>
    <row r="19" spans="2:16">
      <c r="D19" s="12">
        <v>4</v>
      </c>
      <c r="E19" s="12">
        <v>16</v>
      </c>
      <c r="F19" s="14">
        <f t="shared" si="0"/>
        <v>140492.33297655106</v>
      </c>
      <c r="G19" s="13">
        <f>IPMT($B$7,E19,$B$8,InitialLoan)</f>
        <v>-2283.0004108689081</v>
      </c>
      <c r="H19" s="13">
        <f>PPMT($B$7,E19,$B$8,InitialLoan)</f>
        <v>-27199.984995977939</v>
      </c>
      <c r="I19" s="14">
        <f t="shared" si="1"/>
        <v>-29482.985406846848</v>
      </c>
    </row>
    <row r="20" spans="2:16">
      <c r="D20" s="12">
        <v>5</v>
      </c>
      <c r="E20" s="12">
        <v>17</v>
      </c>
      <c r="F20" s="14">
        <f t="shared" si="0"/>
        <v>113292.34798057312</v>
      </c>
      <c r="G20" s="13">
        <f>IPMT($B$7,E20,$B$8,InitialLoan)</f>
        <v>-1841.0006546842633</v>
      </c>
      <c r="H20" s="13">
        <f>PPMT($B$7,E20,$B$8,InitialLoan)</f>
        <v>-27641.984752162585</v>
      </c>
      <c r="I20" s="14">
        <f t="shared" si="1"/>
        <v>-29482.985406846848</v>
      </c>
    </row>
    <row r="21" spans="2:16">
      <c r="D21" s="12">
        <v>5</v>
      </c>
      <c r="E21" s="12">
        <v>18</v>
      </c>
      <c r="F21" s="14">
        <f t="shared" si="0"/>
        <v>85650.363228410541</v>
      </c>
      <c r="G21" s="13">
        <f>IPMT($B$7,E21,$B$8,InitialLoan)</f>
        <v>-1391.8184024616173</v>
      </c>
      <c r="H21" s="13">
        <f>PPMT($B$7,E21,$B$8,InitialLoan)</f>
        <v>-28091.167004385232</v>
      </c>
      <c r="I21" s="14">
        <f t="shared" si="1"/>
        <v>-29482.985406846848</v>
      </c>
    </row>
    <row r="22" spans="2:16">
      <c r="D22" s="12">
        <v>5</v>
      </c>
      <c r="E22" s="12">
        <v>19</v>
      </c>
      <c r="F22" s="14">
        <f t="shared" si="0"/>
        <v>57559.196224025305</v>
      </c>
      <c r="G22" s="13">
        <f>IPMT($B$7,E22,$B$8,InitialLoan)</f>
        <v>-935.33693864035115</v>
      </c>
      <c r="H22" s="13">
        <f>PPMT($B$7,E22,$B$8,InitialLoan)</f>
        <v>-28547.648468206498</v>
      </c>
      <c r="I22" s="14">
        <f t="shared" si="1"/>
        <v>-29482.985406846848</v>
      </c>
    </row>
    <row r="23" spans="2:16">
      <c r="D23" s="12">
        <v>5</v>
      </c>
      <c r="E23" s="12">
        <v>20</v>
      </c>
      <c r="F23" s="14">
        <f t="shared" si="0"/>
        <v>29011.547755818807</v>
      </c>
      <c r="G23" s="13">
        <f>IPMT($B$7,E23,$B$8,InitialLoan)</f>
        <v>-471.43765103199331</v>
      </c>
      <c r="H23" s="13">
        <f>PPMT($B$7,E23,$B$8,InitialLoan)</f>
        <v>-29011.547755814856</v>
      </c>
      <c r="I23" s="14">
        <f t="shared" si="1"/>
        <v>-29482.985406846848</v>
      </c>
    </row>
    <row r="25" spans="2:16" ht="20.25">
      <c r="B25" s="33" t="s">
        <v>12</v>
      </c>
      <c r="C25" s="33"/>
      <c r="D25" s="33"/>
      <c r="E25" s="33"/>
      <c r="F25" s="33"/>
      <c r="G25" s="33"/>
      <c r="H25" s="33"/>
      <c r="I25" s="33"/>
    </row>
    <row r="26" spans="2:16" ht="19.5" thickBot="1">
      <c r="B26" s="18"/>
      <c r="C26" s="18"/>
      <c r="D26" s="5">
        <v>1</v>
      </c>
      <c r="E26" s="5">
        <v>2</v>
      </c>
      <c r="F26" s="5">
        <v>3</v>
      </c>
      <c r="G26" s="5">
        <v>4</v>
      </c>
      <c r="H26" s="5">
        <v>5</v>
      </c>
      <c r="I26" s="19" t="s">
        <v>3</v>
      </c>
    </row>
    <row r="27" spans="2:16" ht="19.5" thickTop="1">
      <c r="B27" s="34" t="s">
        <v>1</v>
      </c>
      <c r="C27" s="34"/>
      <c r="D27" s="13">
        <f>SUMIF($D$4:$D$23,D26,$G$4:$G$23)</f>
        <v>-30394.945403297337</v>
      </c>
      <c r="E27" s="13">
        <f t="shared" ref="E27:H27" si="2">SUMIF($D$4:$D$23,E26,$G$4:$G$23)</f>
        <v>-24564.840625997083</v>
      </c>
      <c r="F27" s="13">
        <f t="shared" si="2"/>
        <v>-18346.441491105612</v>
      </c>
      <c r="G27" s="13">
        <f t="shared" si="2"/>
        <v>-11713.886969722655</v>
      </c>
      <c r="H27" s="13">
        <f t="shared" si="2"/>
        <v>-4639.5936468182254</v>
      </c>
      <c r="I27" s="13">
        <f>SUM(D27:H27)</f>
        <v>-89659.708136940899</v>
      </c>
    </row>
    <row r="28" spans="2:16">
      <c r="B28" s="34" t="s">
        <v>4</v>
      </c>
      <c r="C28" s="34"/>
      <c r="D28" s="13">
        <f>SUMIF($D$4:$D$23,D26,$H$4:$H$23)</f>
        <v>-87536.996224090064</v>
      </c>
      <c r="E28" s="13">
        <f t="shared" ref="E28:H28" si="3">SUMIF($D$4:$D$23,E26,$H$4:$H$23)</f>
        <v>-93367.1010013903</v>
      </c>
      <c r="F28" s="13">
        <f t="shared" si="3"/>
        <v>-99585.500136281771</v>
      </c>
      <c r="G28" s="13">
        <f t="shared" si="3"/>
        <v>-106218.05465766473</v>
      </c>
      <c r="H28" s="13">
        <f t="shared" si="3"/>
        <v>-113292.34798056917</v>
      </c>
      <c r="I28" s="13">
        <f>SUM(D28:H28)</f>
        <v>-499999.99999999604</v>
      </c>
    </row>
    <row r="29" spans="2:16" ht="19.5" thickBot="1">
      <c r="B29" s="29" t="s">
        <v>3</v>
      </c>
      <c r="C29" s="29"/>
      <c r="D29" s="6">
        <f>D27+D28</f>
        <v>-117931.94162738739</v>
      </c>
      <c r="E29" s="6">
        <f t="shared" ref="E29:H29" si="4">E27+E28</f>
        <v>-117931.94162738738</v>
      </c>
      <c r="F29" s="6">
        <f t="shared" si="4"/>
        <v>-117931.94162738738</v>
      </c>
      <c r="G29" s="6">
        <f t="shared" si="4"/>
        <v>-117931.94162738739</v>
      </c>
      <c r="H29" s="6">
        <f t="shared" si="4"/>
        <v>-117931.94162738739</v>
      </c>
      <c r="I29" s="26">
        <f>SUM(D29:H29)</f>
        <v>-589659.708136937</v>
      </c>
    </row>
    <row r="30" spans="2:16" ht="19.5" thickTop="1">
      <c r="P30" s="25" t="s">
        <v>34</v>
      </c>
    </row>
    <row r="31" spans="2:16">
      <c r="P31" s="25" t="s">
        <v>35</v>
      </c>
    </row>
    <row r="61" spans="17:17">
      <c r="Q61" s="25" t="s">
        <v>32</v>
      </c>
    </row>
  </sheetData>
  <mergeCells count="7">
    <mergeCell ref="B29:C29"/>
    <mergeCell ref="A1:I1"/>
    <mergeCell ref="A2:B2"/>
    <mergeCell ref="D2:I2"/>
    <mergeCell ref="B25:I25"/>
    <mergeCell ref="B27:C27"/>
    <mergeCell ref="B28:C28"/>
  </mergeCells>
  <dataValidations count="1">
    <dataValidation allowBlank="1" showInputMessage="1" showErrorMessage="1" error="                                                                                                " sqref="B4:B5"/>
  </dataValidations>
  <pageMargins left="0.7" right="0.7" top="0.75" bottom="0.75" header="0.3" footer="0.3"/>
  <pageSetup orientation="landscape" verticalDpi="300" r:id="rId1"/>
  <headerFooter>
    <oddHeader>&amp;LBent Cycling
&amp;CLoan Proposal&amp;R&amp;D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61"/>
  <sheetViews>
    <sheetView tabSelected="1" topLeftCell="A4" workbookViewId="0">
      <selection activeCell="B14" sqref="B14:H14"/>
    </sheetView>
  </sheetViews>
  <sheetFormatPr defaultRowHeight="18.75"/>
  <cols>
    <col min="1" max="1" width="28.7109375" style="4" bestFit="1" customWidth="1"/>
    <col min="2" max="8" width="14.42578125" style="4" customWidth="1"/>
    <col min="9" max="9" width="17" style="4" customWidth="1"/>
    <col min="10" max="16384" width="9.140625" style="4"/>
  </cols>
  <sheetData>
    <row r="1" spans="1:8" ht="27">
      <c r="A1" s="30" t="s">
        <v>21</v>
      </c>
      <c r="B1" s="30"/>
      <c r="C1" s="30"/>
      <c r="D1" s="30"/>
      <c r="E1" s="30"/>
      <c r="F1" s="30"/>
      <c r="G1" s="30"/>
      <c r="H1" s="30"/>
    </row>
    <row r="2" spans="1:8" ht="20.25">
      <c r="A2" s="35" t="s">
        <v>22</v>
      </c>
      <c r="B2" s="33"/>
      <c r="C2" s="33"/>
      <c r="D2" s="33"/>
      <c r="E2" s="33"/>
      <c r="F2" s="33"/>
      <c r="G2" s="33"/>
      <c r="H2" s="33"/>
    </row>
    <row r="4" spans="1:8">
      <c r="A4" s="20" t="s">
        <v>23</v>
      </c>
      <c r="B4" s="21">
        <v>500000</v>
      </c>
    </row>
    <row r="5" spans="1:8">
      <c r="A5" s="20" t="s">
        <v>24</v>
      </c>
      <c r="B5" s="21">
        <f>B4/5</f>
        <v>100000</v>
      </c>
    </row>
    <row r="6" spans="1:8">
      <c r="A6" s="20" t="s">
        <v>25</v>
      </c>
      <c r="B6" s="4">
        <v>7</v>
      </c>
    </row>
    <row r="8" spans="1:8">
      <c r="B8" s="36" t="s">
        <v>2</v>
      </c>
      <c r="C8" s="36"/>
      <c r="D8" s="36"/>
      <c r="E8" s="36"/>
      <c r="F8" s="36"/>
      <c r="G8" s="36"/>
      <c r="H8" s="36"/>
    </row>
    <row r="9" spans="1:8" ht="19.5" thickBot="1"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</row>
    <row r="10" spans="1:8">
      <c r="A10" s="20" t="s">
        <v>26</v>
      </c>
      <c r="B10" s="21">
        <f>SLN($B$4,$B$5,$B$6)</f>
        <v>57142.857142857145</v>
      </c>
      <c r="C10" s="21">
        <f t="shared" ref="C10:H10" si="0">SLN($B$4,$B$5,$B$6)</f>
        <v>57142.857142857145</v>
      </c>
      <c r="D10" s="21">
        <f t="shared" si="0"/>
        <v>57142.857142857145</v>
      </c>
      <c r="E10" s="21">
        <f t="shared" si="0"/>
        <v>57142.857142857145</v>
      </c>
      <c r="F10" s="21">
        <f t="shared" si="0"/>
        <v>57142.857142857145</v>
      </c>
      <c r="G10" s="21">
        <f t="shared" si="0"/>
        <v>57142.857142857145</v>
      </c>
      <c r="H10" s="21">
        <f t="shared" si="0"/>
        <v>57142.857142857145</v>
      </c>
    </row>
    <row r="11" spans="1:8">
      <c r="A11" s="20" t="s">
        <v>27</v>
      </c>
      <c r="B11" s="21">
        <f>B10</f>
        <v>57142.857142857145</v>
      </c>
      <c r="C11" s="21">
        <f>C10+B11</f>
        <v>114285.71428571429</v>
      </c>
      <c r="D11" s="21">
        <f>D10+C11</f>
        <v>171428.57142857142</v>
      </c>
      <c r="E11" s="21">
        <f t="shared" ref="E11:H11" si="1">E10+D11</f>
        <v>228571.42857142858</v>
      </c>
      <c r="F11" s="21">
        <f t="shared" si="1"/>
        <v>285714.28571428574</v>
      </c>
      <c r="G11" s="21">
        <f t="shared" si="1"/>
        <v>342857.1428571429</v>
      </c>
      <c r="H11" s="21">
        <f t="shared" si="1"/>
        <v>400000.00000000006</v>
      </c>
    </row>
    <row r="12" spans="1:8" ht="19.5" thickBot="1">
      <c r="A12" s="22" t="s">
        <v>28</v>
      </c>
      <c r="B12" s="23">
        <f>$B$4-B11</f>
        <v>442857.14285714284</v>
      </c>
      <c r="C12" s="23">
        <f t="shared" ref="C12:H12" si="2">$B$4-C11</f>
        <v>385714.28571428568</v>
      </c>
      <c r="D12" s="23">
        <f t="shared" si="2"/>
        <v>328571.42857142858</v>
      </c>
      <c r="E12" s="23">
        <f t="shared" si="2"/>
        <v>271428.57142857142</v>
      </c>
      <c r="F12" s="23">
        <f t="shared" si="2"/>
        <v>214285.71428571426</v>
      </c>
      <c r="G12" s="23">
        <f t="shared" si="2"/>
        <v>157142.8571428571</v>
      </c>
      <c r="H12" s="23">
        <f t="shared" si="2"/>
        <v>99999.999999999942</v>
      </c>
    </row>
    <row r="13" spans="1:8" ht="19.5" thickTop="1"/>
    <row r="14" spans="1:8">
      <c r="A14" s="20" t="s">
        <v>29</v>
      </c>
      <c r="B14" s="21">
        <f>DB($B$4,$B$5,$B$6,B9)</f>
        <v>102500</v>
      </c>
      <c r="C14" s="21">
        <f t="shared" ref="C14:H14" si="3">DB($B$4,$B$5,$B$6,C9)</f>
        <v>81487.5</v>
      </c>
      <c r="D14" s="21">
        <f t="shared" si="3"/>
        <v>64782.562499999993</v>
      </c>
      <c r="E14" s="21">
        <f t="shared" si="3"/>
        <v>51502.137187499997</v>
      </c>
      <c r="F14" s="21">
        <f t="shared" si="3"/>
        <v>40944.199064062501</v>
      </c>
      <c r="G14" s="21">
        <f t="shared" si="3"/>
        <v>32550.638255929687</v>
      </c>
      <c r="H14" s="21">
        <f t="shared" si="3"/>
        <v>25877.7574134641</v>
      </c>
    </row>
    <row r="15" spans="1:8">
      <c r="A15" s="20" t="s">
        <v>27</v>
      </c>
      <c r="B15" s="21">
        <f>B14</f>
        <v>102500</v>
      </c>
      <c r="C15" s="21">
        <f>C14+B15</f>
        <v>183987.5</v>
      </c>
      <c r="D15" s="21">
        <f t="shared" ref="D15:H15" si="4">D14+C15</f>
        <v>248770.0625</v>
      </c>
      <c r="E15" s="21">
        <f t="shared" si="4"/>
        <v>300272.19968750002</v>
      </c>
      <c r="F15" s="21">
        <f t="shared" si="4"/>
        <v>341216.39875156252</v>
      </c>
      <c r="G15" s="21">
        <f t="shared" si="4"/>
        <v>373767.03700749221</v>
      </c>
      <c r="H15" s="21">
        <f t="shared" si="4"/>
        <v>399644.79442095628</v>
      </c>
    </row>
    <row r="16" spans="1:8" ht="19.5" thickBot="1">
      <c r="A16" s="22" t="s">
        <v>28</v>
      </c>
      <c r="B16" s="23">
        <f>$B$4-B15</f>
        <v>397500</v>
      </c>
      <c r="C16" s="23">
        <f t="shared" ref="C16:H16" si="5">$B$4-C15</f>
        <v>316012.5</v>
      </c>
      <c r="D16" s="23">
        <f t="shared" si="5"/>
        <v>251229.9375</v>
      </c>
      <c r="E16" s="23">
        <f t="shared" si="5"/>
        <v>199727.80031249998</v>
      </c>
      <c r="F16" s="23">
        <f t="shared" si="5"/>
        <v>158783.60124843748</v>
      </c>
      <c r="G16" s="23">
        <f t="shared" si="5"/>
        <v>126232.96299250779</v>
      </c>
      <c r="H16" s="23">
        <f t="shared" si="5"/>
        <v>100355.20557904372</v>
      </c>
    </row>
    <row r="17" spans="3:15" ht="19.5" thickTop="1"/>
    <row r="19" spans="3:15">
      <c r="C19" s="24"/>
      <c r="D19" s="24"/>
      <c r="E19" s="24"/>
      <c r="F19" s="24"/>
    </row>
    <row r="30" spans="3:15">
      <c r="O30" s="25" t="s">
        <v>30</v>
      </c>
    </row>
    <row r="31" spans="3:15">
      <c r="O31" s="25" t="s">
        <v>31</v>
      </c>
    </row>
    <row r="61" spans="16:16">
      <c r="P61" s="25" t="s">
        <v>32</v>
      </c>
    </row>
  </sheetData>
  <mergeCells count="3">
    <mergeCell ref="A1:H1"/>
    <mergeCell ref="A2:H2"/>
    <mergeCell ref="B8:H8"/>
  </mergeCells>
  <dataValidations count="1">
    <dataValidation allowBlank="1" showInputMessage="1" showErrorMessage="1" error="                                                                                                " sqref="B4:B5"/>
  </dataValidations>
  <pageMargins left="0.7" right="0.7" top="0.75" bottom="0.75" header="0.3" footer="0.3"/>
  <pageSetup orientation="landscape" verticalDpi="300" r:id="rId1"/>
  <headerFooter>
    <oddHeader>&amp;LBent Cycling&amp;CDepreciation of Assets&amp;R&amp;D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Documentation</vt:lpstr>
      <vt:lpstr>Loan Analysis</vt:lpstr>
      <vt:lpstr>Depreciation</vt:lpstr>
      <vt:lpstr>'Loan Analysis'!InitialLoan</vt:lpstr>
      <vt:lpstr>'Loan Analysis'!Print_Titles</vt:lpstr>
    </vt:vector>
  </TitlesOfParts>
  <Company>Carey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Tha Ram</cp:lastModifiedBy>
  <cp:lastPrinted>2007-01-25T21:21:46Z</cp:lastPrinted>
  <dcterms:created xsi:type="dcterms:W3CDTF">2007-01-09T19:56:32Z</dcterms:created>
  <dcterms:modified xsi:type="dcterms:W3CDTF">2009-11-06T04:25:53Z</dcterms:modified>
</cp:coreProperties>
</file>