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8.xml" ContentType="application/vnd.ms-excel.threadedcomments+xml"/>
  <Override PartName="/xl/comments10.xml" ContentType="application/vnd.openxmlformats-officedocument.spreadsheetml.comments+xml"/>
  <Override PartName="/xl/threadedComments/threadedComment9.xml" ContentType="application/vnd.ms-excel.threadedcomments+xml"/>
  <Override PartName="/xl/comments11.xml" ContentType="application/vnd.openxmlformats-officedocument.spreadsheetml.comments+xml"/>
  <Override PartName="/xl/threadedComments/threadedComment10.xml" ContentType="application/vnd.ms-excel.threadedcomments+xml"/>
  <Override PartName="/xl/comments12.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clarke/Downloads/"/>
    </mc:Choice>
  </mc:AlternateContent>
  <xr:revisionPtr revIDLastSave="0" documentId="13_ncr:1_{26AB6AA6-E4E6-DD41-903E-AC2B9F0D5918}" xr6:coauthVersionLast="47" xr6:coauthVersionMax="47" xr10:uidLastSave="{00000000-0000-0000-0000-000000000000}"/>
  <bookViews>
    <workbookView xWindow="0" yWindow="0" windowWidth="38400" windowHeight="21600" xr2:uid="{00000000-000D-0000-FFFF-FFFF00000000}"/>
  </bookViews>
  <sheets>
    <sheet name="Cashflow Main Zero Tax " sheetId="26" r:id="rId1"/>
    <sheet name="Year End debtors and retention" sheetId="30" r:id="rId2"/>
    <sheet name="Flamestop holding " sheetId="29" r:id="rId3"/>
    <sheet name="Job Calculations" sheetId="10" r:id="rId4"/>
    <sheet name="Dave Calcs Merville" sheetId="27" r:id="rId5"/>
    <sheet name="Cashflow Zero Tax " sheetId="18" r:id="rId6"/>
    <sheet name="Retention" sheetId="2" r:id="rId7"/>
    <sheet name="Weekly wages" sheetId="19" r:id="rId8"/>
    <sheet name="Two week receivables" sheetId="15" r:id="rId9"/>
    <sheet name="Creditors" sheetId="3" r:id="rId10"/>
    <sheet name="Materials Forecast" sheetId="13" r:id="rId11"/>
    <sheet name="Jobs" sheetId="5" r:id="rId12"/>
    <sheet name="Overheads" sheetId="6" r:id="rId13"/>
    <sheet name="Creditor Calc" sheetId="7" r:id="rId14"/>
    <sheet name="Ref full list" sheetId="1" r:id="rId15"/>
    <sheet name="Weekly Cashflow planner" sheetId="8" r:id="rId16"/>
    <sheet name="Weekly Sales and Purchases" sheetId="9" r:id="rId17"/>
    <sheet name="Cashflow ref only" sheetId="4" r:id="rId18"/>
    <sheet name="Bus Dev" sheetId="12" r:id="rId19"/>
    <sheet name="Cashflow wo Debt (2)" sheetId="14" r:id="rId20"/>
    <sheet name="Cashflow ex WeWork" sheetId="17" r:id="rId21"/>
    <sheet name="Sheet3" sheetId="32" r:id="rId22"/>
    <sheet name="Cashflow" sheetId="11" r:id="rId23"/>
    <sheet name="Sheet4" sheetId="33" r:id="rId24"/>
  </sheets>
  <externalReferences>
    <externalReference r:id="rId25"/>
  </externalReferences>
  <definedNames>
    <definedName name="_xlnm._FilterDatabase" localSheetId="14" hidden="1">'Ref full list'!$B$1:$Z$44</definedName>
    <definedName name="_xlnm._FilterDatabase" localSheetId="6" hidden="1">Retention!$C$1:$P$45</definedName>
    <definedName name="_xlnm.Print_Area" localSheetId="22">Cashflow!$B$3:$M$134</definedName>
    <definedName name="_xlnm.Print_Area" localSheetId="19">'Cashflow wo Debt (2)'!$B$3:$K$113</definedName>
    <definedName name="_xlnm.Print_Area" localSheetId="5">'Cashflow Zero Tax '!$B$1:$AE$220</definedName>
    <definedName name="_xlnm.Print_Area" localSheetId="7">'Weekly wages'!$B$389:$P$430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30" l="1"/>
  <c r="DA91" i="26" l="1"/>
  <c r="EM271" i="26"/>
  <c r="EN271" i="26"/>
  <c r="DI140" i="26"/>
  <c r="DA71" i="26"/>
  <c r="DP74" i="26"/>
  <c r="CY70" i="26"/>
  <c r="E234" i="10"/>
  <c r="E235" i="10"/>
  <c r="E236" i="10"/>
  <c r="E237" i="10"/>
  <c r="E238" i="10"/>
  <c r="E233" i="10"/>
  <c r="B221" i="10"/>
  <c r="G199" i="10"/>
  <c r="G198" i="10"/>
  <c r="G197" i="10"/>
  <c r="G196" i="10"/>
  <c r="C184" i="10"/>
  <c r="C218" i="10"/>
  <c r="C217" i="10"/>
  <c r="D209" i="10"/>
  <c r="C210" i="10" s="1"/>
  <c r="E210" i="10" s="1"/>
  <c r="A219" i="10"/>
  <c r="C216" i="10" s="1"/>
  <c r="C199" i="10" s="1"/>
  <c r="B207" i="10"/>
  <c r="B205" i="10" s="1"/>
  <c r="DB44" i="26"/>
  <c r="DS36" i="26"/>
  <c r="CY148" i="26"/>
  <c r="CZ98" i="26"/>
  <c r="CX271" i="26"/>
  <c r="BO146" i="26"/>
  <c r="CA146" i="26"/>
  <c r="G202" i="10" l="1"/>
  <c r="C200" i="10"/>
  <c r="C201" i="10" s="1"/>
  <c r="C211" i="10"/>
  <c r="C212" i="10"/>
  <c r="C195" i="10" s="1"/>
  <c r="B185" i="10"/>
  <c r="C215" i="10"/>
  <c r="B206" i="10"/>
  <c r="B204" i="10"/>
  <c r="CY271" i="26"/>
  <c r="CW91" i="26"/>
  <c r="CW137" i="26"/>
  <c r="CV72" i="26"/>
  <c r="CV271" i="26" s="1"/>
  <c r="EJ271" i="26"/>
  <c r="EK271" i="26"/>
  <c r="DD271" i="26"/>
  <c r="DE271" i="26"/>
  <c r="DF271" i="26"/>
  <c r="DG271" i="26"/>
  <c r="DH271" i="26"/>
  <c r="DI271" i="26"/>
  <c r="DK271" i="26"/>
  <c r="DL271" i="26"/>
  <c r="DN271" i="26"/>
  <c r="DP271" i="26"/>
  <c r="DQ271" i="26"/>
  <c r="DR271" i="26"/>
  <c r="DT271" i="26"/>
  <c r="DU271" i="26"/>
  <c r="DV271" i="26"/>
  <c r="DW271" i="26"/>
  <c r="DY271" i="26"/>
  <c r="DZ271" i="26"/>
  <c r="EA271" i="26"/>
  <c r="EB271" i="26"/>
  <c r="EC271" i="26"/>
  <c r="ED271" i="26"/>
  <c r="EE271" i="26"/>
  <c r="EG271" i="26"/>
  <c r="EH271" i="26"/>
  <c r="C70" i="26"/>
  <c r="C196" i="10" l="1"/>
  <c r="C197" i="10" s="1"/>
  <c r="E212" i="10"/>
  <c r="C194" i="10"/>
  <c r="E216" i="10"/>
  <c r="C185" i="10"/>
  <c r="C188" i="10"/>
  <c r="E211" i="10"/>
  <c r="C186" i="10"/>
  <c r="CU144" i="26"/>
  <c r="CU145" i="26"/>
  <c r="CU70" i="26"/>
  <c r="CT91" i="26"/>
  <c r="CT103" i="26"/>
  <c r="D186" i="10" l="1"/>
  <c r="C191" i="10"/>
  <c r="E191" i="10" s="1"/>
  <c r="C190" i="10"/>
  <c r="E190" i="10" s="1"/>
  <c r="C189" i="10"/>
  <c r="E189" i="10" s="1"/>
  <c r="CU72" i="26"/>
  <c r="CU271" i="26" s="1"/>
  <c r="CR91" i="26"/>
  <c r="CR271" i="26" s="1"/>
  <c r="CQ152" i="26"/>
  <c r="C19" i="26"/>
  <c r="CQ97" i="26"/>
  <c r="O47" i="2"/>
  <c r="B187" i="10" l="1"/>
  <c r="B188" i="10" s="1"/>
  <c r="D187" i="10"/>
  <c r="F189" i="10"/>
  <c r="G189" i="10"/>
  <c r="G190" i="10"/>
  <c r="F190" i="10"/>
  <c r="G191" i="10"/>
  <c r="F191" i="10"/>
  <c r="EL144" i="26"/>
  <c r="EL271" i="26" s="1"/>
  <c r="CN80" i="26" l="1"/>
  <c r="DA40" i="26" l="1"/>
  <c r="DA271" i="26" s="1"/>
  <c r="CE27" i="26"/>
  <c r="CW271" i="26" l="1"/>
  <c r="CS271" i="26"/>
  <c r="J154" i="26"/>
  <c r="K154" i="26"/>
  <c r="AN154" i="26"/>
  <c r="AI156" i="26"/>
  <c r="C158" i="26"/>
  <c r="E158" i="26"/>
  <c r="M158" i="26"/>
  <c r="O158" i="26"/>
  <c r="P158" i="26"/>
  <c r="Y158" i="26"/>
  <c r="D160" i="26"/>
  <c r="D163" i="26"/>
  <c r="O163" i="26"/>
  <c r="O164" i="26"/>
  <c r="AO164" i="26"/>
  <c r="D165" i="26"/>
  <c r="D166" i="26"/>
  <c r="D167" i="26"/>
  <c r="T167" i="26" s="1"/>
  <c r="T169" i="26" s="1"/>
  <c r="D168" i="26"/>
  <c r="D171" i="26"/>
  <c r="Y172" i="26"/>
  <c r="AN173" i="26"/>
  <c r="BE182" i="26"/>
  <c r="BE184" i="26"/>
  <c r="BI185" i="26"/>
  <c r="AG187" i="26"/>
  <c r="BZ191" i="26"/>
  <c r="BS193" i="26"/>
  <c r="D197" i="26"/>
  <c r="D202" i="26"/>
  <c r="I202" i="26" s="1"/>
  <c r="C203" i="26"/>
  <c r="D203" i="26" s="1"/>
  <c r="D204" i="26"/>
  <c r="G204" i="26" s="1"/>
  <c r="D205" i="26"/>
  <c r="K205" i="26" s="1"/>
  <c r="D206" i="26"/>
  <c r="G206" i="26"/>
  <c r="C207" i="26"/>
  <c r="D207" i="26" s="1"/>
  <c r="I207" i="26" s="1"/>
  <c r="K208" i="26"/>
  <c r="D209" i="26"/>
  <c r="L209" i="26" s="1"/>
  <c r="D210" i="26"/>
  <c r="D213" i="26"/>
  <c r="I213" i="26" s="1"/>
  <c r="D214" i="26"/>
  <c r="J214" i="26" s="1"/>
  <c r="D215" i="26"/>
  <c r="L215" i="26" s="1"/>
  <c r="H217" i="26"/>
  <c r="L217" i="26"/>
  <c r="S217" i="26"/>
  <c r="D218" i="26"/>
  <c r="N218" i="26" s="1"/>
  <c r="N219" i="26"/>
  <c r="O220" i="26"/>
  <c r="G224" i="26"/>
  <c r="J224" i="26"/>
  <c r="C225" i="26"/>
  <c r="U228" i="26"/>
  <c r="AC230" i="26"/>
  <c r="D232" i="26"/>
  <c r="D233" i="26"/>
  <c r="AJ237" i="26"/>
  <c r="U252" i="26"/>
  <c r="AJ252" i="26"/>
  <c r="I254" i="26"/>
  <c r="M254" i="26"/>
  <c r="G255" i="26"/>
  <c r="J255" i="26"/>
  <c r="C258" i="26"/>
  <c r="D258" i="26" s="1"/>
  <c r="AB258" i="26"/>
  <c r="AE258" i="26"/>
  <c r="AZ258" i="26"/>
  <c r="AI259" i="26"/>
  <c r="AC261" i="26"/>
  <c r="J56" i="2"/>
  <c r="DM13" i="26"/>
  <c r="CJ91" i="26"/>
  <c r="CQ139" i="26"/>
  <c r="CQ271" i="26" s="1"/>
  <c r="CI97" i="26"/>
  <c r="CI271" i="26" s="1"/>
  <c r="CM25" i="26"/>
  <c r="DM271" i="26" l="1"/>
  <c r="K215" i="26"/>
  <c r="D217" i="26"/>
  <c r="C217" i="26" s="1"/>
  <c r="CL21" i="26"/>
  <c r="CH70" i="26" l="1"/>
  <c r="CH271" i="26" s="1"/>
  <c r="CO271" i="26"/>
  <c r="CK271" i="26"/>
  <c r="CF91" i="26"/>
  <c r="CF103" i="26"/>
  <c r="CN145" i="26"/>
  <c r="CE70" i="26"/>
  <c r="CE41" i="26"/>
  <c r="D27" i="26"/>
  <c r="E31" i="2"/>
  <c r="CF271" i="26" l="1"/>
  <c r="CA84" i="26"/>
  <c r="CN109" i="26"/>
  <c r="CE139" i="26"/>
  <c r="CM271" i="26" l="1"/>
  <c r="CN271" i="26"/>
  <c r="CE145" i="26"/>
  <c r="BZ145" i="26"/>
  <c r="B161" i="10"/>
  <c r="C16" i="29"/>
  <c r="D31" i="26"/>
  <c r="H11" i="29" l="1"/>
  <c r="G11" i="29"/>
  <c r="F11" i="29"/>
  <c r="E11" i="29"/>
  <c r="D11" i="29"/>
  <c r="C11" i="29"/>
  <c r="BY140" i="26"/>
  <c r="BY271" i="26" s="1"/>
  <c r="DB10" i="26"/>
  <c r="BX7" i="26"/>
  <c r="CZ271" i="26" l="1"/>
  <c r="CJ271" i="26"/>
  <c r="BZ7" i="26"/>
  <c r="D19" i="26"/>
  <c r="D20" i="26" s="1"/>
  <c r="BX91" i="26"/>
  <c r="BV91" i="26"/>
  <c r="BX83" i="26"/>
  <c r="H26" i="27"/>
  <c r="H24" i="27"/>
  <c r="H25" i="27"/>
  <c r="P4" i="27"/>
  <c r="P5" i="27"/>
  <c r="P6" i="27"/>
  <c r="P3" i="27"/>
  <c r="H23" i="27"/>
  <c r="B23" i="27"/>
  <c r="D23" i="27"/>
  <c r="F23" i="27"/>
  <c r="G23" i="27"/>
  <c r="E23" i="27"/>
  <c r="C23" i="27"/>
  <c r="C22" i="27"/>
  <c r="E22" i="27"/>
  <c r="G22" i="27"/>
  <c r="CE144" i="26"/>
  <c r="CE140" i="26"/>
  <c r="D7" i="27"/>
  <c r="E7" i="27" s="1"/>
  <c r="C7" i="27"/>
  <c r="M6" i="27"/>
  <c r="L6" i="27"/>
  <c r="K6" i="27"/>
  <c r="J6" i="27"/>
  <c r="I6" i="27"/>
  <c r="H6" i="27"/>
  <c r="G6" i="27"/>
  <c r="F6" i="27"/>
  <c r="E6" i="27"/>
  <c r="D6" i="27"/>
  <c r="C6" i="27"/>
  <c r="BX27" i="26"/>
  <c r="BU271" i="26"/>
  <c r="BQ271" i="26"/>
  <c r="BP271" i="26"/>
  <c r="BN271" i="26"/>
  <c r="BK271" i="26"/>
  <c r="BJ271" i="26"/>
  <c r="BD271" i="26"/>
  <c r="AV271" i="26"/>
  <c r="AP271" i="26"/>
  <c r="V271" i="26"/>
  <c r="F271" i="26"/>
  <c r="F272" i="26" s="1"/>
  <c r="AE150" i="26"/>
  <c r="BM148" i="26"/>
  <c r="BB148" i="26"/>
  <c r="U145" i="26"/>
  <c r="K145" i="26"/>
  <c r="BO144" i="26"/>
  <c r="AA144" i="26"/>
  <c r="U144" i="26"/>
  <c r="BH142" i="26"/>
  <c r="U142" i="26"/>
  <c r="R142" i="26"/>
  <c r="J142" i="26"/>
  <c r="L142" i="26" s="1"/>
  <c r="BB140" i="26"/>
  <c r="S140" i="26"/>
  <c r="Q140" i="26"/>
  <c r="M140" i="26"/>
  <c r="BF139" i="26"/>
  <c r="BH139" i="26" s="1"/>
  <c r="BH271" i="26" s="1"/>
  <c r="BA139" i="26"/>
  <c r="AX139" i="26"/>
  <c r="J139" i="26"/>
  <c r="AE133" i="26"/>
  <c r="AC133" i="26"/>
  <c r="N131" i="26"/>
  <c r="N130" i="26"/>
  <c r="BA128" i="26"/>
  <c r="S115" i="26"/>
  <c r="P111" i="26"/>
  <c r="BB108" i="26"/>
  <c r="BA108" i="26"/>
  <c r="AZ108" i="26"/>
  <c r="AN108" i="26"/>
  <c r="AJ108" i="26"/>
  <c r="AI108" i="26"/>
  <c r="AH108" i="26"/>
  <c r="AC108" i="26"/>
  <c r="Z108" i="26"/>
  <c r="Y108" i="26"/>
  <c r="T108" i="26"/>
  <c r="R108" i="26"/>
  <c r="AB105" i="26"/>
  <c r="S105" i="26"/>
  <c r="W105" i="26" s="1"/>
  <c r="L105" i="26"/>
  <c r="BM103" i="26"/>
  <c r="AW103" i="26"/>
  <c r="AJ103" i="26"/>
  <c r="W103" i="26"/>
  <c r="J103" i="26"/>
  <c r="BB101" i="26"/>
  <c r="AE100" i="26"/>
  <c r="AA100" i="26"/>
  <c r="AX98" i="26"/>
  <c r="J98" i="26"/>
  <c r="N98" i="26" s="1"/>
  <c r="C98" i="26"/>
  <c r="AT97" i="26"/>
  <c r="AT271" i="26" s="1"/>
  <c r="AC97" i="26"/>
  <c r="L96" i="26"/>
  <c r="P96" i="26" s="1"/>
  <c r="U96" i="26" s="1"/>
  <c r="Z92" i="26"/>
  <c r="O92" i="26"/>
  <c r="BS91" i="26"/>
  <c r="BR91" i="26"/>
  <c r="BO91" i="26"/>
  <c r="BL91" i="26"/>
  <c r="BL271" i="26" s="1"/>
  <c r="BG91" i="26"/>
  <c r="BF91" i="26"/>
  <c r="BE91" i="26"/>
  <c r="BC91" i="26"/>
  <c r="BC271" i="26" s="1"/>
  <c r="AZ91" i="26"/>
  <c r="AU91" i="26"/>
  <c r="AQ91" i="26"/>
  <c r="AQ271" i="26" s="1"/>
  <c r="AO91" i="26"/>
  <c r="AN91" i="26"/>
  <c r="AM91" i="26"/>
  <c r="AM271" i="26" s="1"/>
  <c r="AK91" i="26"/>
  <c r="AK271" i="26" s="1"/>
  <c r="AH91" i="26"/>
  <c r="AD91" i="26"/>
  <c r="AD271" i="26" s="1"/>
  <c r="Z91" i="26"/>
  <c r="X91" i="26"/>
  <c r="U91" i="26"/>
  <c r="Q91" i="26"/>
  <c r="L91" i="26"/>
  <c r="K91" i="26"/>
  <c r="I91" i="26"/>
  <c r="H91" i="26"/>
  <c r="H90" i="26"/>
  <c r="EI89" i="26"/>
  <c r="EI271" i="26" s="1"/>
  <c r="EF89" i="26"/>
  <c r="EF271" i="26" s="1"/>
  <c r="DX89" i="26"/>
  <c r="DX271" i="26" s="1"/>
  <c r="DS89" i="26"/>
  <c r="DS271" i="26" s="1"/>
  <c r="DO89" i="26"/>
  <c r="DO271" i="26" s="1"/>
  <c r="DJ89" i="26"/>
  <c r="DJ271" i="26" s="1"/>
  <c r="DC89" i="26"/>
  <c r="DC271" i="26" s="1"/>
  <c r="DB89" i="26"/>
  <c r="DB271" i="26" s="1"/>
  <c r="CT89" i="26"/>
  <c r="CT271" i="26" s="1"/>
  <c r="CP89" i="26"/>
  <c r="CP271" i="26" s="1"/>
  <c r="CL89" i="26"/>
  <c r="CG89" i="26"/>
  <c r="CG271" i="26" s="1"/>
  <c r="CA89" i="26"/>
  <c r="BS89" i="26"/>
  <c r="BM89" i="26"/>
  <c r="BG89" i="26"/>
  <c r="BA89" i="26"/>
  <c r="AW89" i="26"/>
  <c r="AS89" i="26"/>
  <c r="AS271" i="26" s="1"/>
  <c r="AN89" i="26"/>
  <c r="AJ89" i="26"/>
  <c r="AE89" i="26"/>
  <c r="AA89" i="26"/>
  <c r="W89" i="26"/>
  <c r="S88" i="26"/>
  <c r="AE82" i="26"/>
  <c r="BE77" i="26"/>
  <c r="BT70" i="26"/>
  <c r="BT271" i="26" s="1"/>
  <c r="BF70" i="26"/>
  <c r="AU70" i="26"/>
  <c r="AI70" i="26"/>
  <c r="AA70" i="26"/>
  <c r="Z70" i="26"/>
  <c r="Y70" i="26"/>
  <c r="S70" i="26"/>
  <c r="BI69" i="26"/>
  <c r="BE69" i="26"/>
  <c r="AR68" i="26"/>
  <c r="AN68" i="26"/>
  <c r="AJ68" i="26"/>
  <c r="Y68" i="26"/>
  <c r="L68" i="26"/>
  <c r="P68" i="26" s="1"/>
  <c r="T68" i="26" s="1"/>
  <c r="AY67" i="26"/>
  <c r="AY271" i="26" s="1"/>
  <c r="AE67" i="26"/>
  <c r="AA67" i="26"/>
  <c r="X67" i="26"/>
  <c r="U66" i="26"/>
  <c r="R66" i="26"/>
  <c r="O66" i="26"/>
  <c r="P66" i="26" s="1"/>
  <c r="X65" i="26"/>
  <c r="T65" i="26"/>
  <c r="R65" i="26"/>
  <c r="AR52" i="26"/>
  <c r="E52" i="26"/>
  <c r="AI37" i="26"/>
  <c r="C33" i="26"/>
  <c r="D33" i="26" s="1"/>
  <c r="D32" i="26"/>
  <c r="BR27" i="26"/>
  <c r="AG51" i="26"/>
  <c r="E51" i="26"/>
  <c r="D26" i="26"/>
  <c r="H249" i="26"/>
  <c r="AJ247" i="26"/>
  <c r="AL10" i="26"/>
  <c r="AL271" i="26" s="1"/>
  <c r="Y7" i="26"/>
  <c r="CZ143" i="18"/>
  <c r="CY143" i="18"/>
  <c r="CX143" i="18"/>
  <c r="CW143" i="18"/>
  <c r="CV143" i="18"/>
  <c r="CU143" i="18"/>
  <c r="CT143" i="18"/>
  <c r="CS143" i="18"/>
  <c r="CR143" i="18"/>
  <c r="CM143" i="18"/>
  <c r="CI143" i="18"/>
  <c r="CE143" i="18"/>
  <c r="AJ271" i="26" l="1"/>
  <c r="CL271" i="26"/>
  <c r="CE271" i="26"/>
  <c r="CD271" i="26"/>
  <c r="CA271" i="26"/>
  <c r="BZ271" i="26"/>
  <c r="F7" i="27"/>
  <c r="G7" i="27" s="1"/>
  <c r="H7" i="27" s="1"/>
  <c r="I7" i="27" s="1"/>
  <c r="J7" i="27" s="1"/>
  <c r="K7" i="27" s="1"/>
  <c r="L7" i="27" s="1"/>
  <c r="M7" i="27" s="1"/>
  <c r="BW271" i="26"/>
  <c r="CB271" i="26"/>
  <c r="CC271" i="26"/>
  <c r="BX271" i="26"/>
  <c r="M271" i="26"/>
  <c r="AG271" i="26"/>
  <c r="BF271" i="26"/>
  <c r="AU271" i="26"/>
  <c r="BM271" i="26"/>
  <c r="AE271" i="26"/>
  <c r="AW271" i="26"/>
  <c r="BR271" i="26"/>
  <c r="AB271" i="26"/>
  <c r="BI271" i="26"/>
  <c r="AF105" i="26"/>
  <c r="BE271" i="26"/>
  <c r="BS271" i="26"/>
  <c r="E36" i="26"/>
  <c r="N271" i="26"/>
  <c r="S66" i="26"/>
  <c r="S271" i="26" s="1"/>
  <c r="AO271" i="26"/>
  <c r="O271" i="26"/>
  <c r="BA271" i="26"/>
  <c r="AA271" i="26"/>
  <c r="U271" i="26"/>
  <c r="AZ271" i="26"/>
  <c r="Q271" i="26"/>
  <c r="W271" i="26"/>
  <c r="BB271" i="26"/>
  <c r="Y271" i="26"/>
  <c r="BV271" i="26"/>
  <c r="X271" i="26"/>
  <c r="AR271" i="26"/>
  <c r="R271" i="26"/>
  <c r="AX271" i="26"/>
  <c r="G271" i="26"/>
  <c r="AN271" i="26"/>
  <c r="BG271" i="26"/>
  <c r="H271" i="26"/>
  <c r="H272" i="26" s="1"/>
  <c r="Z271" i="26"/>
  <c r="T66" i="26"/>
  <c r="T271" i="26" s="1"/>
  <c r="P271" i="26"/>
  <c r="L90" i="26"/>
  <c r="AI271" i="26"/>
  <c r="AH271" i="26"/>
  <c r="J271" i="26"/>
  <c r="K271" i="26"/>
  <c r="K272" i="26" s="1"/>
  <c r="AC96" i="26"/>
  <c r="AC271" i="26" s="1"/>
  <c r="BO271" i="26"/>
  <c r="CJ219" i="18"/>
  <c r="CL219" i="18"/>
  <c r="CN219" i="18"/>
  <c r="CP219" i="18"/>
  <c r="CR219" i="18"/>
  <c r="CT219" i="18"/>
  <c r="CU219" i="18"/>
  <c r="CV219" i="18"/>
  <c r="CW219" i="18"/>
  <c r="CX219" i="18"/>
  <c r="CY219" i="18"/>
  <c r="CZ219" i="18"/>
  <c r="CC219" i="18"/>
  <c r="CD219" i="18"/>
  <c r="CE219" i="18"/>
  <c r="CF219" i="18"/>
  <c r="CG219" i="18"/>
  <c r="CH219" i="18"/>
  <c r="BU219" i="18"/>
  <c r="BZ219" i="18"/>
  <c r="CB219" i="18"/>
  <c r="AF271" i="26" l="1"/>
  <c r="N7" i="27"/>
  <c r="O7" i="27" s="1"/>
  <c r="D36" i="26"/>
  <c r="BT122" i="18"/>
  <c r="BT219" i="18" s="1"/>
  <c r="CQ122" i="18"/>
  <c r="CQ219" i="18" s="1"/>
  <c r="CO122" i="18"/>
  <c r="CO219" i="18" s="1"/>
  <c r="CM122" i="18"/>
  <c r="CM219" i="18" s="1"/>
  <c r="CK122" i="18"/>
  <c r="CK219" i="18" s="1"/>
  <c r="D41" i="18"/>
  <c r="D31" i="18"/>
  <c r="CA22" i="18"/>
  <c r="CA219" i="18" s="1"/>
  <c r="CA23" i="18"/>
  <c r="BX80" i="18"/>
  <c r="BW75" i="18"/>
  <c r="BV41" i="18"/>
  <c r="CI41" i="18" l="1"/>
  <c r="CI219" i="18" s="1"/>
  <c r="E47" i="2"/>
  <c r="E41" i="18"/>
  <c r="BS145" i="18"/>
  <c r="BW163" i="18"/>
  <c r="BW219" i="18" s="1"/>
  <c r="BR145" i="18"/>
  <c r="BR41" i="18"/>
  <c r="BO197" i="18"/>
  <c r="F173" i="10"/>
  <c r="BO145" i="18"/>
  <c r="BM157" i="18"/>
  <c r="BM199" i="18"/>
  <c r="BS77" i="18"/>
  <c r="BV194" i="18"/>
  <c r="BV219" i="18" s="1"/>
  <c r="BO195" i="18"/>
  <c r="CS219" i="18" l="1"/>
  <c r="BL145" i="18"/>
  <c r="BJ219" i="18"/>
  <c r="BI121" i="18"/>
  <c r="BH194" i="18"/>
  <c r="BG145" i="18"/>
  <c r="BG143" i="18"/>
  <c r="BG219" i="18" l="1"/>
  <c r="B173" i="10"/>
  <c r="F174" i="10"/>
  <c r="F176" i="10" s="1"/>
  <c r="B172" i="10" s="1"/>
  <c r="I56" i="2"/>
  <c r="B174" i="10" l="1"/>
  <c r="BF122" i="18"/>
  <c r="BI68" i="18"/>
  <c r="BF192" i="18"/>
  <c r="BE65" i="18"/>
  <c r="BE67" i="18"/>
  <c r="BN219" i="18"/>
  <c r="BF145" i="18"/>
  <c r="BE145" i="18"/>
  <c r="BE123" i="18"/>
  <c r="BE121" i="18"/>
  <c r="BD219" i="18"/>
  <c r="BQ219" i="18"/>
  <c r="BP219" i="18"/>
  <c r="BK219" i="18"/>
  <c r="BL219" i="18"/>
  <c r="BC145" i="18"/>
  <c r="BB155" i="18"/>
  <c r="BA162" i="18"/>
  <c r="BB162" i="18"/>
  <c r="BH192" i="18" l="1"/>
  <c r="BH219" i="18" s="1"/>
  <c r="BX14" i="18"/>
  <c r="BX219" i="18" s="1"/>
  <c r="BI219" i="18"/>
  <c r="BA183" i="18"/>
  <c r="A1" i="18"/>
  <c r="BB199" i="18"/>
  <c r="AZ209" i="18"/>
  <c r="BA192" i="18"/>
  <c r="BR219" i="18" l="1"/>
  <c r="BE219" i="18"/>
  <c r="AZ145" i="18"/>
  <c r="AZ162" i="18"/>
  <c r="AY119" i="18"/>
  <c r="AX152" i="18"/>
  <c r="AE201" i="18" l="1"/>
  <c r="AW157" i="18"/>
  <c r="BB193" i="18"/>
  <c r="E92" i="18" l="1"/>
  <c r="E33" i="18"/>
  <c r="AU145" i="18"/>
  <c r="AX192" i="18"/>
  <c r="AU122" i="18"/>
  <c r="D238" i="18"/>
  <c r="C238" i="18" s="1"/>
  <c r="AY219" i="18"/>
  <c r="AT151" i="18"/>
  <c r="E37" i="18"/>
  <c r="AR120" i="18"/>
  <c r="AX219" i="18" l="1"/>
  <c r="BC219" i="18"/>
  <c r="AZ219" i="18"/>
  <c r="BM143" i="18"/>
  <c r="BS143" i="18"/>
  <c r="BS219" i="18" s="1"/>
  <c r="BY143" i="18"/>
  <c r="BY219" i="18" s="1"/>
  <c r="BO219" i="18" l="1"/>
  <c r="BM219" i="18"/>
  <c r="AQ145" i="18"/>
  <c r="AU219" i="18"/>
  <c r="AR92" i="18"/>
  <c r="AO46" i="18"/>
  <c r="AT219" i="18" l="1"/>
  <c r="AR219" i="18"/>
  <c r="AO145" i="18"/>
  <c r="AN120" i="18"/>
  <c r="AN55" i="18"/>
  <c r="AN162" i="18"/>
  <c r="AN32" i="18"/>
  <c r="AN145" i="18"/>
  <c r="AM145" i="18" l="1"/>
  <c r="F159" i="10" l="1"/>
  <c r="F158" i="10"/>
  <c r="F157" i="10"/>
  <c r="H439" i="19"/>
  <c r="H437" i="19"/>
  <c r="I437" i="19" s="1"/>
  <c r="I436" i="19"/>
  <c r="K436" i="19" s="1"/>
  <c r="H436" i="19"/>
  <c r="H435" i="19"/>
  <c r="I435" i="19" s="1"/>
  <c r="I439" i="19" s="1"/>
  <c r="G433" i="19"/>
  <c r="AK145" i="18"/>
  <c r="I408" i="19"/>
  <c r="K408" i="19" s="1"/>
  <c r="K405" i="19"/>
  <c r="I405" i="19"/>
  <c r="I404" i="19"/>
  <c r="K404" i="19" s="1"/>
  <c r="H401" i="19"/>
  <c r="I401" i="19" s="1"/>
  <c r="K401" i="19" s="1"/>
  <c r="I400" i="19"/>
  <c r="H400" i="19"/>
  <c r="K400" i="19" s="1"/>
  <c r="I399" i="19"/>
  <c r="K399" i="19" s="1"/>
  <c r="H399" i="19"/>
  <c r="H396" i="19"/>
  <c r="I396" i="19" s="1"/>
  <c r="K396" i="19" s="1"/>
  <c r="I395" i="19"/>
  <c r="H395" i="19"/>
  <c r="K395" i="19" s="1"/>
  <c r="I392" i="19"/>
  <c r="K392" i="19" s="1"/>
  <c r="H392" i="19"/>
  <c r="H391" i="19"/>
  <c r="H410" i="19" s="1"/>
  <c r="G389" i="19"/>
  <c r="N99" i="10"/>
  <c r="I103" i="10"/>
  <c r="I104" i="10" s="1"/>
  <c r="C103" i="10"/>
  <c r="AP219" i="18"/>
  <c r="AQ219" i="18"/>
  <c r="F160" i="10" l="1"/>
  <c r="F161" i="10" s="1"/>
  <c r="F164" i="10" s="1"/>
  <c r="I105" i="10"/>
  <c r="I106" i="10" s="1"/>
  <c r="K437" i="19"/>
  <c r="K435" i="19"/>
  <c r="I391" i="19"/>
  <c r="I410" i="19" s="1"/>
  <c r="AJ137" i="18"/>
  <c r="AJ120" i="18"/>
  <c r="AJ157" i="18"/>
  <c r="AJ162" i="18"/>
  <c r="AI162" i="18"/>
  <c r="B160" i="10" l="1"/>
  <c r="C232" i="18" s="1"/>
  <c r="K439" i="19"/>
  <c r="K391" i="19"/>
  <c r="K410" i="19" s="1"/>
  <c r="AJ24" i="18"/>
  <c r="AJ203" i="18"/>
  <c r="D158" i="10" l="1"/>
  <c r="AS143" i="18" l="1"/>
  <c r="AS219" i="18" s="1"/>
  <c r="AW143" i="18"/>
  <c r="AW219" i="18" s="1"/>
  <c r="BA143" i="18"/>
  <c r="BA219" i="18" s="1"/>
  <c r="AN143" i="18"/>
  <c r="AJ143" i="18"/>
  <c r="AI122" i="18"/>
  <c r="AI35" i="18"/>
  <c r="AL14" i="18"/>
  <c r="AI88" i="18"/>
  <c r="AH162" i="18"/>
  <c r="AI210" i="18" l="1"/>
  <c r="AI219" i="18" s="1"/>
  <c r="AH145" i="18"/>
  <c r="AG70" i="18"/>
  <c r="AM219" i="18"/>
  <c r="D83" i="18"/>
  <c r="C113" i="10"/>
  <c r="C34" i="26" s="1"/>
  <c r="C84" i="18"/>
  <c r="AK219" i="18"/>
  <c r="D132" i="18"/>
  <c r="AE188" i="18"/>
  <c r="AE119" i="18"/>
  <c r="AE143" i="18"/>
  <c r="AE154" i="18"/>
  <c r="AE138" i="18"/>
  <c r="AE209" i="18"/>
  <c r="D84" i="18" l="1"/>
  <c r="B29" i="5"/>
  <c r="B28" i="5"/>
  <c r="AD145" i="18"/>
  <c r="AC162" i="18"/>
  <c r="AC188" i="18"/>
  <c r="AC130" i="18"/>
  <c r="AC212" i="18" l="1"/>
  <c r="AC151" i="18"/>
  <c r="O385" i="19"/>
  <c r="F346" i="19"/>
  <c r="G353" i="19"/>
  <c r="I362" i="19"/>
  <c r="K362" i="19" s="1"/>
  <c r="I361" i="19"/>
  <c r="K361" i="19" s="1"/>
  <c r="H359" i="19"/>
  <c r="H358" i="19"/>
  <c r="I358" i="19" s="1"/>
  <c r="H357" i="19"/>
  <c r="H356" i="19"/>
  <c r="H355" i="19"/>
  <c r="I355" i="19" s="1"/>
  <c r="AB209" i="18"/>
  <c r="AG33" i="18"/>
  <c r="AG219" i="18" s="1"/>
  <c r="AA119" i="18"/>
  <c r="AA122" i="18"/>
  <c r="AA143" i="18"/>
  <c r="AA195" i="18"/>
  <c r="AA154" i="18"/>
  <c r="Z162" i="18"/>
  <c r="F132" i="10"/>
  <c r="F131" i="10"/>
  <c r="AN219" i="18" l="1"/>
  <c r="K358" i="19"/>
  <c r="H364" i="19"/>
  <c r="K355" i="19"/>
  <c r="I357" i="19"/>
  <c r="K357" i="19" s="1"/>
  <c r="I359" i="19"/>
  <c r="K359" i="19" s="1"/>
  <c r="I356" i="19"/>
  <c r="Z146" i="18"/>
  <c r="Y122" i="18"/>
  <c r="Y37" i="18"/>
  <c r="AO219" i="18" l="1"/>
  <c r="I364" i="19"/>
  <c r="K356" i="19"/>
  <c r="K364" i="19" s="1"/>
  <c r="T331" i="19"/>
  <c r="S328" i="19"/>
  <c r="T328" i="19" s="1"/>
  <c r="I324" i="19"/>
  <c r="K324" i="19" s="1"/>
  <c r="I323" i="19"/>
  <c r="K323" i="19" s="1"/>
  <c r="H321" i="19"/>
  <c r="H320" i="19"/>
  <c r="H319" i="19"/>
  <c r="I319" i="19" s="1"/>
  <c r="H318" i="19"/>
  <c r="H317" i="19"/>
  <c r="G315" i="19"/>
  <c r="Z122" i="18"/>
  <c r="Z145" i="18"/>
  <c r="H295" i="19"/>
  <c r="I295" i="19" s="1"/>
  <c r="H294" i="19"/>
  <c r="I294" i="19" s="1"/>
  <c r="K294" i="19" s="1"/>
  <c r="H293" i="19"/>
  <c r="H292" i="19"/>
  <c r="H291" i="19"/>
  <c r="I291" i="19" s="1"/>
  <c r="I288" i="19"/>
  <c r="K288" i="19" s="1"/>
  <c r="H288" i="19"/>
  <c r="H287" i="19"/>
  <c r="H284" i="19"/>
  <c r="H283" i="19"/>
  <c r="I283" i="19" s="1"/>
  <c r="K283" i="19" s="1"/>
  <c r="G281" i="19"/>
  <c r="I257" i="19"/>
  <c r="K257" i="19" s="1"/>
  <c r="I256" i="19"/>
  <c r="K256" i="19" s="1"/>
  <c r="H253" i="19"/>
  <c r="H252" i="19"/>
  <c r="I252" i="19" s="1"/>
  <c r="K252" i="19" s="1"/>
  <c r="H251" i="19"/>
  <c r="I251" i="19" s="1"/>
  <c r="K251" i="19" s="1"/>
  <c r="H250" i="19"/>
  <c r="H249" i="19"/>
  <c r="H246" i="19"/>
  <c r="I246" i="19" s="1"/>
  <c r="K246" i="19" s="1"/>
  <c r="H245" i="19"/>
  <c r="I245" i="19" s="1"/>
  <c r="K245" i="19" s="1"/>
  <c r="H242" i="19"/>
  <c r="I242" i="19" s="1"/>
  <c r="H241" i="19"/>
  <c r="G239" i="19"/>
  <c r="H217" i="19"/>
  <c r="I217" i="19" s="1"/>
  <c r="H216" i="19"/>
  <c r="I216" i="19" s="1"/>
  <c r="K216" i="19" s="1"/>
  <c r="H215" i="19"/>
  <c r="I215" i="19" s="1"/>
  <c r="H214" i="19"/>
  <c r="H213" i="19"/>
  <c r="Y162" i="18"/>
  <c r="Y120" i="18"/>
  <c r="Y54" i="18"/>
  <c r="X119" i="18"/>
  <c r="X117" i="18"/>
  <c r="E142" i="10"/>
  <c r="B145" i="10"/>
  <c r="B143" i="10" s="1"/>
  <c r="C145" i="10" s="1"/>
  <c r="C143" i="10"/>
  <c r="C144" i="10" s="1"/>
  <c r="F141" i="10"/>
  <c r="M139" i="10"/>
  <c r="C140" i="10"/>
  <c r="I213" i="19" l="1"/>
  <c r="K213" i="19" s="1"/>
  <c r="H326" i="19"/>
  <c r="K217" i="19"/>
  <c r="I321" i="19"/>
  <c r="K321" i="19" s="1"/>
  <c r="I318" i="19"/>
  <c r="K318" i="19" s="1"/>
  <c r="K319" i="19"/>
  <c r="I317" i="19"/>
  <c r="I320" i="19"/>
  <c r="K320" i="19" s="1"/>
  <c r="K291" i="19"/>
  <c r="K295" i="19"/>
  <c r="H297" i="19"/>
  <c r="H219" i="19"/>
  <c r="I250" i="19"/>
  <c r="K250" i="19" s="1"/>
  <c r="I287" i="19"/>
  <c r="K287" i="19" s="1"/>
  <c r="I293" i="19"/>
  <c r="I297" i="19" s="1"/>
  <c r="I214" i="19"/>
  <c r="I219" i="19" s="1"/>
  <c r="K215" i="19"/>
  <c r="I241" i="19"/>
  <c r="K241" i="19" s="1"/>
  <c r="K242" i="19"/>
  <c r="I249" i="19"/>
  <c r="K249" i="19" s="1"/>
  <c r="I253" i="19"/>
  <c r="K253" i="19" s="1"/>
  <c r="H259" i="19"/>
  <c r="I284" i="19"/>
  <c r="K284" i="19" s="1"/>
  <c r="I292" i="19"/>
  <c r="K292" i="19" s="1"/>
  <c r="E143" i="10"/>
  <c r="E144" i="10" s="1"/>
  <c r="Y9" i="18"/>
  <c r="Y219" i="18" s="1"/>
  <c r="C116" i="10"/>
  <c r="C122" i="10"/>
  <c r="D122" i="10" s="1"/>
  <c r="AD219" i="18"/>
  <c r="I326" i="19" l="1"/>
  <c r="K293" i="19"/>
  <c r="K297" i="19" s="1"/>
  <c r="K317" i="19"/>
  <c r="K326" i="19" s="1"/>
  <c r="K259" i="19"/>
  <c r="K214" i="19"/>
  <c r="K219" i="19" s="1"/>
  <c r="I259" i="19"/>
  <c r="D39" i="18"/>
  <c r="C209" i="18"/>
  <c r="D209" i="18" s="1"/>
  <c r="W143" i="18"/>
  <c r="X145" i="18"/>
  <c r="C38" i="6"/>
  <c r="C37" i="6"/>
  <c r="AA219" i="18"/>
  <c r="D143" i="10"/>
  <c r="D140" i="10"/>
  <c r="G151" i="10" l="1"/>
  <c r="W157" i="18"/>
  <c r="D141" i="10" l="1"/>
  <c r="U128" i="18"/>
  <c r="U203" i="18"/>
  <c r="B132" i="10"/>
  <c r="C131" i="10"/>
  <c r="D131" i="10" s="1"/>
  <c r="U196" i="18"/>
  <c r="U145" i="18"/>
  <c r="U194" i="18"/>
  <c r="I186" i="19"/>
  <c r="K186" i="19" s="1"/>
  <c r="I185" i="19"/>
  <c r="K185" i="19" s="1"/>
  <c r="H182" i="19"/>
  <c r="H181" i="19"/>
  <c r="H180" i="19"/>
  <c r="I180" i="19" s="1"/>
  <c r="H179" i="19"/>
  <c r="H178" i="19"/>
  <c r="G176" i="19"/>
  <c r="T162" i="18"/>
  <c r="O113" i="18"/>
  <c r="H110" i="18"/>
  <c r="L110" i="18"/>
  <c r="S110" i="18"/>
  <c r="S122" i="18"/>
  <c r="H153" i="19"/>
  <c r="H152" i="19"/>
  <c r="I152" i="19" s="1"/>
  <c r="K152" i="19" s="1"/>
  <c r="H151" i="19"/>
  <c r="H150" i="19"/>
  <c r="I150" i="19" s="1"/>
  <c r="H149" i="19"/>
  <c r="I149" i="19" s="1"/>
  <c r="H146" i="19"/>
  <c r="I146" i="19" s="1"/>
  <c r="H145" i="19"/>
  <c r="I145" i="19" s="1"/>
  <c r="H142" i="19"/>
  <c r="H141" i="19"/>
  <c r="H155" i="19" s="1"/>
  <c r="G139" i="19"/>
  <c r="X219" i="18"/>
  <c r="U195" i="18"/>
  <c r="S168" i="18"/>
  <c r="C208" i="18" l="1"/>
  <c r="C257" i="26"/>
  <c r="H188" i="19"/>
  <c r="I181" i="19"/>
  <c r="K181" i="19" s="1"/>
  <c r="I141" i="19"/>
  <c r="I182" i="19"/>
  <c r="K182" i="19" s="1"/>
  <c r="I151" i="19"/>
  <c r="K151" i="19" s="1"/>
  <c r="I178" i="19"/>
  <c r="K180" i="19"/>
  <c r="I179" i="19"/>
  <c r="K179" i="19" s="1"/>
  <c r="D110" i="18"/>
  <c r="C110" i="18" s="1"/>
  <c r="K145" i="19"/>
  <c r="K149" i="19"/>
  <c r="I142" i="19"/>
  <c r="K142" i="19" s="1"/>
  <c r="I153" i="19"/>
  <c r="K153" i="19" s="1"/>
  <c r="K146" i="19"/>
  <c r="K150" i="19"/>
  <c r="K141" i="19"/>
  <c r="D50" i="18"/>
  <c r="I116" i="19"/>
  <c r="K116" i="19" s="1"/>
  <c r="H113" i="19"/>
  <c r="H112" i="19"/>
  <c r="I112" i="19" s="1"/>
  <c r="K112" i="19" s="1"/>
  <c r="H111" i="19"/>
  <c r="I111" i="19" s="1"/>
  <c r="K111" i="19" s="1"/>
  <c r="H110" i="19"/>
  <c r="H109" i="19"/>
  <c r="R162" i="18"/>
  <c r="G107" i="19"/>
  <c r="S193" i="18"/>
  <c r="Q145" i="18"/>
  <c r="H84" i="19"/>
  <c r="H83" i="19"/>
  <c r="I83" i="19" s="1"/>
  <c r="K83" i="19" s="1"/>
  <c r="H82" i="19"/>
  <c r="I82" i="19" s="1"/>
  <c r="H81" i="19"/>
  <c r="I81" i="19" s="1"/>
  <c r="K81" i="19" s="1"/>
  <c r="H80" i="19"/>
  <c r="I80" i="19" s="1"/>
  <c r="H77" i="19"/>
  <c r="I77" i="19" s="1"/>
  <c r="K77" i="19" s="1"/>
  <c r="H76" i="19"/>
  <c r="H73" i="19"/>
  <c r="H72" i="19"/>
  <c r="G70" i="19"/>
  <c r="Q193" i="18"/>
  <c r="I188" i="19" l="1"/>
  <c r="I110" i="19"/>
  <c r="K110" i="19" s="1"/>
  <c r="I72" i="19"/>
  <c r="K72" i="19" s="1"/>
  <c r="H86" i="19"/>
  <c r="K82" i="19"/>
  <c r="K178" i="19"/>
  <c r="K188" i="19" s="1"/>
  <c r="K155" i="19"/>
  <c r="I155" i="19"/>
  <c r="I109" i="19"/>
  <c r="I113" i="19"/>
  <c r="K113" i="19" s="1"/>
  <c r="H118" i="19"/>
  <c r="I73" i="19"/>
  <c r="K73" i="19" s="1"/>
  <c r="I84" i="19"/>
  <c r="K84" i="19" s="1"/>
  <c r="I76" i="19"/>
  <c r="K76" i="19" s="1"/>
  <c r="K80" i="19"/>
  <c r="R194" i="18"/>
  <c r="P165" i="18"/>
  <c r="R64" i="19"/>
  <c r="I41" i="19"/>
  <c r="K41" i="19" s="1"/>
  <c r="H38" i="19"/>
  <c r="I38" i="19" s="1"/>
  <c r="K38" i="19" s="1"/>
  <c r="H37" i="19"/>
  <c r="H36" i="19"/>
  <c r="H35" i="19"/>
  <c r="I35" i="19" s="1"/>
  <c r="K35" i="19" s="1"/>
  <c r="H34" i="19"/>
  <c r="P37" i="18"/>
  <c r="O146" i="18"/>
  <c r="O37" i="18"/>
  <c r="O31" i="19"/>
  <c r="D82" i="18"/>
  <c r="D47" i="18"/>
  <c r="D49" i="18"/>
  <c r="T49" i="18" s="1"/>
  <c r="T51" i="18" s="1"/>
  <c r="D48" i="18"/>
  <c r="D107" i="18"/>
  <c r="J107" i="18" s="1"/>
  <c r="AC21" i="17"/>
  <c r="D133" i="18"/>
  <c r="F219" i="18"/>
  <c r="F220" i="18" s="1"/>
  <c r="J206" i="18"/>
  <c r="G206" i="18"/>
  <c r="J194" i="18"/>
  <c r="L194" i="18" s="1"/>
  <c r="J192" i="18"/>
  <c r="M205" i="18"/>
  <c r="I205" i="18"/>
  <c r="K196" i="18"/>
  <c r="M193" i="18"/>
  <c r="N186" i="18"/>
  <c r="N185" i="18"/>
  <c r="L159" i="18"/>
  <c r="AB159" i="18" s="1"/>
  <c r="J157" i="18"/>
  <c r="J152" i="18"/>
  <c r="N152" i="18" s="1"/>
  <c r="C152" i="18"/>
  <c r="L150" i="18"/>
  <c r="P150" i="18" s="1"/>
  <c r="L145" i="18"/>
  <c r="K145" i="18"/>
  <c r="I145" i="18"/>
  <c r="H145" i="18"/>
  <c r="H144" i="18"/>
  <c r="L144" i="18" s="1"/>
  <c r="BF219" i="18"/>
  <c r="AE219" i="18"/>
  <c r="S142" i="18"/>
  <c r="C178" i="18"/>
  <c r="J177" i="18"/>
  <c r="G177" i="18"/>
  <c r="L120" i="18"/>
  <c r="P120" i="18" s="1"/>
  <c r="O118" i="18"/>
  <c r="S118" i="18" s="1"/>
  <c r="T117" i="18"/>
  <c r="K101" i="18"/>
  <c r="C100" i="18"/>
  <c r="D100" i="18" s="1"/>
  <c r="I100" i="18" s="1"/>
  <c r="G99" i="18"/>
  <c r="D99" i="18"/>
  <c r="D98" i="18"/>
  <c r="K98" i="18" s="1"/>
  <c r="D97" i="18"/>
  <c r="G97" i="18" s="1"/>
  <c r="C96" i="18"/>
  <c r="D96" i="18" s="1"/>
  <c r="D95" i="18"/>
  <c r="I95" i="18" s="1"/>
  <c r="D103" i="18"/>
  <c r="D102" i="18"/>
  <c r="L102" i="18" s="1"/>
  <c r="D108" i="18"/>
  <c r="K108" i="18" s="1"/>
  <c r="D53" i="18"/>
  <c r="O46" i="18"/>
  <c r="O45" i="18"/>
  <c r="D45" i="18"/>
  <c r="D111" i="18"/>
  <c r="N111" i="18" s="1"/>
  <c r="D106" i="18"/>
  <c r="I106" i="18" s="1"/>
  <c r="N112" i="18"/>
  <c r="M37" i="18"/>
  <c r="C37" i="18"/>
  <c r="K32" i="18"/>
  <c r="J32" i="18"/>
  <c r="AH219" i="18"/>
  <c r="H27" i="18"/>
  <c r="N97" i="11"/>
  <c r="U89" i="17"/>
  <c r="R89" i="17"/>
  <c r="V82" i="17"/>
  <c r="D145" i="17"/>
  <c r="C134" i="17"/>
  <c r="L130" i="17"/>
  <c r="E130" i="17"/>
  <c r="E131" i="17" s="1"/>
  <c r="V124" i="17"/>
  <c r="I123" i="17"/>
  <c r="F123" i="17"/>
  <c r="Q122" i="17"/>
  <c r="K122" i="17"/>
  <c r="I122" i="17"/>
  <c r="I121" i="17"/>
  <c r="L120" i="17"/>
  <c r="H120" i="17"/>
  <c r="J119" i="17"/>
  <c r="V118" i="17"/>
  <c r="X118" i="17" s="1"/>
  <c r="U116" i="17"/>
  <c r="L116" i="17"/>
  <c r="T113" i="17"/>
  <c r="M108" i="17"/>
  <c r="M107" i="17"/>
  <c r="N101" i="17"/>
  <c r="K101" i="17"/>
  <c r="I100" i="17"/>
  <c r="N97" i="17"/>
  <c r="R96" i="17"/>
  <c r="Y96" i="17" s="1"/>
  <c r="Q96" i="17"/>
  <c r="X96" i="17" s="1"/>
  <c r="AB96" i="17" s="1"/>
  <c r="M96" i="17"/>
  <c r="W96" i="17" s="1"/>
  <c r="AA96" i="17" s="1"/>
  <c r="I96" i="17"/>
  <c r="C96" i="17"/>
  <c r="K94" i="17"/>
  <c r="O94" i="17" s="1"/>
  <c r="Q89" i="17"/>
  <c r="T89" i="17" s="1"/>
  <c r="P89" i="17"/>
  <c r="S89" i="17" s="1"/>
  <c r="K89" i="17"/>
  <c r="J89" i="17"/>
  <c r="H89" i="17"/>
  <c r="G89" i="17"/>
  <c r="K88" i="17"/>
  <c r="G88" i="17"/>
  <c r="AD87" i="17"/>
  <c r="AC87" i="17"/>
  <c r="AB87" i="17"/>
  <c r="AA87" i="17"/>
  <c r="Z87" i="17"/>
  <c r="Y87" i="17"/>
  <c r="X87" i="17"/>
  <c r="W87" i="17"/>
  <c r="V87" i="17"/>
  <c r="R87" i="17"/>
  <c r="AA86" i="17"/>
  <c r="AC86" i="17" s="1"/>
  <c r="Z86" i="17"/>
  <c r="AB86" i="17" s="1"/>
  <c r="AD86" i="17" s="1"/>
  <c r="Y86" i="17"/>
  <c r="V86" i="17"/>
  <c r="R86" i="17"/>
  <c r="C84" i="17"/>
  <c r="I83" i="17"/>
  <c r="F83" i="17"/>
  <c r="Y82" i="17"/>
  <c r="Z82" i="17" s="1"/>
  <c r="AA82" i="17" s="1"/>
  <c r="AB82" i="17" s="1"/>
  <c r="AC82" i="17" s="1"/>
  <c r="AD82" i="17" s="1"/>
  <c r="W82" i="17"/>
  <c r="Z81" i="17"/>
  <c r="AA81" i="17" s="1"/>
  <c r="AB81" i="17" s="1"/>
  <c r="AC81" i="17" s="1"/>
  <c r="AD81" i="17" s="1"/>
  <c r="P81" i="17"/>
  <c r="Q81" i="17" s="1"/>
  <c r="R81" i="17" s="1"/>
  <c r="S81" i="17" s="1"/>
  <c r="T81" i="17" s="1"/>
  <c r="O81" i="17"/>
  <c r="O80" i="17"/>
  <c r="S80" i="17" s="1"/>
  <c r="K80" i="17"/>
  <c r="P79" i="17"/>
  <c r="Q79" i="17" s="1"/>
  <c r="R79" i="17" s="1"/>
  <c r="S79" i="17" s="1"/>
  <c r="T79" i="17" s="1"/>
  <c r="U79" i="17" s="1"/>
  <c r="V79" i="17" s="1"/>
  <c r="W79" i="17" s="1"/>
  <c r="X79" i="17" s="1"/>
  <c r="Y79" i="17" s="1"/>
  <c r="Z79" i="17" s="1"/>
  <c r="AA79" i="17" s="1"/>
  <c r="AB79" i="17" s="1"/>
  <c r="AC79" i="17" s="1"/>
  <c r="AD79" i="17" s="1"/>
  <c r="O79" i="17"/>
  <c r="X78" i="17"/>
  <c r="Y78" i="17" s="1"/>
  <c r="Z78" i="17" s="1"/>
  <c r="AA78" i="17" s="1"/>
  <c r="AB78" i="17" s="1"/>
  <c r="AC78" i="17" s="1"/>
  <c r="AD78" i="17" s="1"/>
  <c r="W78" i="17"/>
  <c r="V78" i="17"/>
  <c r="P78" i="17"/>
  <c r="Q78" i="17" s="1"/>
  <c r="U78" i="17" s="1"/>
  <c r="O78" i="17"/>
  <c r="S78" i="17" s="1"/>
  <c r="N78" i="17"/>
  <c r="R78" i="17" s="1"/>
  <c r="V77" i="17"/>
  <c r="W77" i="17" s="1"/>
  <c r="X77" i="17" s="1"/>
  <c r="Y77" i="17" s="1"/>
  <c r="Z77" i="17" s="1"/>
  <c r="AA77" i="17" s="1"/>
  <c r="AB77" i="17" s="1"/>
  <c r="AC77" i="17" s="1"/>
  <c r="AD77" i="17" s="1"/>
  <c r="U77" i="17"/>
  <c r="R77" i="17"/>
  <c r="Q77" i="17"/>
  <c r="P77" i="17"/>
  <c r="T77" i="17" s="1"/>
  <c r="O77" i="17"/>
  <c r="S77" i="17" s="1"/>
  <c r="J69" i="17"/>
  <c r="H68" i="17"/>
  <c r="D68" i="17"/>
  <c r="C68" i="17"/>
  <c r="F67" i="17"/>
  <c r="D67" i="17"/>
  <c r="J66" i="17"/>
  <c r="D66" i="17"/>
  <c r="D65" i="17"/>
  <c r="F65" i="17" s="1"/>
  <c r="F130" i="17" s="1"/>
  <c r="D64" i="17"/>
  <c r="C64" i="17"/>
  <c r="D63" i="17"/>
  <c r="H63" i="17" s="1"/>
  <c r="D58" i="17"/>
  <c r="V57" i="17"/>
  <c r="D54" i="17"/>
  <c r="M53" i="17"/>
  <c r="M130" i="17" s="1"/>
  <c r="D53" i="17"/>
  <c r="D52" i="17"/>
  <c r="K52" i="17" s="1"/>
  <c r="O51" i="17"/>
  <c r="D50" i="17"/>
  <c r="K50" i="17" s="1"/>
  <c r="R49" i="17"/>
  <c r="D49" i="17" s="1"/>
  <c r="C49" i="17" s="1"/>
  <c r="K49" i="17"/>
  <c r="G49" i="17"/>
  <c r="AB48" i="17"/>
  <c r="D48" i="17"/>
  <c r="Y47" i="17"/>
  <c r="X47" i="17"/>
  <c r="W47" i="17"/>
  <c r="D46" i="17"/>
  <c r="S46" i="17" s="1"/>
  <c r="S45" i="17"/>
  <c r="D45" i="17"/>
  <c r="D44" i="17"/>
  <c r="S44" i="17" s="1"/>
  <c r="R43" i="17"/>
  <c r="P43" i="17"/>
  <c r="D43" i="17"/>
  <c r="D42" i="17"/>
  <c r="I42" i="17" s="1"/>
  <c r="Q41" i="17"/>
  <c r="N41" i="17"/>
  <c r="T40" i="17"/>
  <c r="Q40" i="17"/>
  <c r="N40" i="17"/>
  <c r="D40" i="17"/>
  <c r="Q38" i="17"/>
  <c r="M38" i="17"/>
  <c r="D38" i="17"/>
  <c r="D37" i="17"/>
  <c r="H37" i="17" s="1"/>
  <c r="Q36" i="17"/>
  <c r="AD32" i="17"/>
  <c r="M30" i="17"/>
  <c r="O29" i="17"/>
  <c r="P29" i="17" s="1"/>
  <c r="L29" i="17"/>
  <c r="C29" i="17"/>
  <c r="N28" i="17"/>
  <c r="N130" i="17" s="1"/>
  <c r="Q27" i="17"/>
  <c r="U26" i="17"/>
  <c r="J26" i="17"/>
  <c r="I26" i="17"/>
  <c r="V22" i="17"/>
  <c r="AD21" i="17"/>
  <c r="G13" i="17"/>
  <c r="G130" i="17" s="1"/>
  <c r="G131" i="17" s="1"/>
  <c r="Q38" i="11"/>
  <c r="Q36" i="11"/>
  <c r="Q41" i="11"/>
  <c r="T40" i="11"/>
  <c r="Q40" i="11"/>
  <c r="N41" i="11"/>
  <c r="N40" i="11"/>
  <c r="W82" i="11"/>
  <c r="V57" i="11"/>
  <c r="O219" i="18" l="1"/>
  <c r="H43" i="19"/>
  <c r="I86" i="19"/>
  <c r="I118" i="19"/>
  <c r="K109" i="19"/>
  <c r="K118" i="19" s="1"/>
  <c r="K86" i="19"/>
  <c r="I34" i="19"/>
  <c r="I36" i="19"/>
  <c r="K36" i="19" s="1"/>
  <c r="I37" i="19"/>
  <c r="K37" i="19" s="1"/>
  <c r="BB219" i="18"/>
  <c r="Z20" i="17"/>
  <c r="M219" i="18"/>
  <c r="H219" i="18"/>
  <c r="H220" i="18" s="1"/>
  <c r="G219" i="18"/>
  <c r="U150" i="18"/>
  <c r="L108" i="18"/>
  <c r="P118" i="18"/>
  <c r="T118" i="18" s="1"/>
  <c r="J219" i="18"/>
  <c r="K219" i="18"/>
  <c r="K220" i="18" s="1"/>
  <c r="T120" i="18"/>
  <c r="N219" i="18"/>
  <c r="AC150" i="18"/>
  <c r="S159" i="18"/>
  <c r="T94" i="17"/>
  <c r="Y94" i="17" s="1"/>
  <c r="AC94" i="17" s="1"/>
  <c r="W94" i="17"/>
  <c r="AA94" i="17" s="1"/>
  <c r="X94" i="17"/>
  <c r="AB94" i="17" s="1"/>
  <c r="I130" i="17"/>
  <c r="P130" i="17"/>
  <c r="V80" i="17"/>
  <c r="Y80" i="17"/>
  <c r="AC80" i="17" s="1"/>
  <c r="V94" i="17"/>
  <c r="Z94" i="17" s="1"/>
  <c r="AD94" i="17" s="1"/>
  <c r="T78" i="17"/>
  <c r="X80" i="17"/>
  <c r="AB80" i="17" s="1"/>
  <c r="W101" i="17"/>
  <c r="Z101" i="17" s="1"/>
  <c r="AC101" i="17" s="1"/>
  <c r="R101" i="17"/>
  <c r="J50" i="17"/>
  <c r="J130" i="17" s="1"/>
  <c r="J131" i="17" s="1"/>
  <c r="V96" i="17"/>
  <c r="Z96" i="17" s="1"/>
  <c r="T113" i="11"/>
  <c r="M30" i="11"/>
  <c r="U116" i="11"/>
  <c r="O81" i="11"/>
  <c r="P81" i="11" s="1"/>
  <c r="Q81" i="11" s="1"/>
  <c r="R81" i="11" s="1"/>
  <c r="S81" i="11" s="1"/>
  <c r="T81" i="11" s="1"/>
  <c r="AL219" i="18" l="1"/>
  <c r="I43" i="19"/>
  <c r="AV219" i="18"/>
  <c r="AC219" i="18"/>
  <c r="P219" i="18"/>
  <c r="K34" i="19"/>
  <c r="U118" i="18"/>
  <c r="R117" i="18"/>
  <c r="Q219" i="18"/>
  <c r="W159" i="18"/>
  <c r="AF159" i="18"/>
  <c r="R118" i="18"/>
  <c r="Q130" i="17"/>
  <c r="U29" i="17"/>
  <c r="U130" i="17" s="1"/>
  <c r="S29" i="17"/>
  <c r="V101" i="17"/>
  <c r="Y101" i="17" s="1"/>
  <c r="AB101" i="17" s="1"/>
  <c r="X101" i="17"/>
  <c r="AA101" i="17" s="1"/>
  <c r="AD101" i="17" s="1"/>
  <c r="W80" i="17"/>
  <c r="Z80" i="17"/>
  <c r="C84" i="11"/>
  <c r="D58" i="11"/>
  <c r="V118" i="11"/>
  <c r="X118" i="11" s="1"/>
  <c r="V124" i="11"/>
  <c r="C134" i="11"/>
  <c r="I127" i="10"/>
  <c r="C127" i="10"/>
  <c r="E127" i="10" s="1"/>
  <c r="D126" i="10"/>
  <c r="I126" i="10" s="1"/>
  <c r="D125" i="10"/>
  <c r="C124" i="10"/>
  <c r="U26" i="11"/>
  <c r="I122" i="10"/>
  <c r="D121" i="10"/>
  <c r="I121" i="10" s="1"/>
  <c r="D120" i="10"/>
  <c r="D48" i="11"/>
  <c r="AB48" i="11" s="1"/>
  <c r="O51" i="11"/>
  <c r="D53" i="11"/>
  <c r="D108" i="10"/>
  <c r="E105" i="10" s="1"/>
  <c r="Q27" i="11"/>
  <c r="O89" i="11"/>
  <c r="P89" i="11" s="1"/>
  <c r="Q89" i="11" s="1"/>
  <c r="N28" i="11"/>
  <c r="U122" i="11"/>
  <c r="V86" i="11"/>
  <c r="L29" i="11"/>
  <c r="P29" i="11" s="1"/>
  <c r="D115" i="10"/>
  <c r="K89" i="11"/>
  <c r="D103" i="10"/>
  <c r="E103" i="10" s="1"/>
  <c r="G103" i="10"/>
  <c r="H103" i="10" s="1"/>
  <c r="D31" i="11" s="1"/>
  <c r="V117" i="11"/>
  <c r="G127" i="10" l="1"/>
  <c r="J127" i="10" s="1"/>
  <c r="K43" i="19"/>
  <c r="O68" i="19" s="1"/>
  <c r="R65" i="19" a="1"/>
  <c r="R65" i="19" s="1"/>
  <c r="D124" i="10"/>
  <c r="E124" i="10" s="1"/>
  <c r="G122" i="10"/>
  <c r="J122" i="10" s="1"/>
  <c r="D113" i="10"/>
  <c r="C85" i="18"/>
  <c r="C87" i="18" s="1"/>
  <c r="C59" i="17"/>
  <c r="C114" i="10"/>
  <c r="D114" i="10" s="1"/>
  <c r="G117" i="10" s="1"/>
  <c r="J117" i="10" s="1"/>
  <c r="D119" i="10"/>
  <c r="E119" i="10" s="1"/>
  <c r="C59" i="11"/>
  <c r="V219" i="18"/>
  <c r="T219" i="18"/>
  <c r="R219" i="18"/>
  <c r="W219" i="18"/>
  <c r="AD80" i="17"/>
  <c r="T29" i="17"/>
  <c r="AA80" i="17"/>
  <c r="D127" i="10"/>
  <c r="F127" i="10" s="1"/>
  <c r="F103" i="10"/>
  <c r="I117" i="10"/>
  <c r="V78" i="11"/>
  <c r="V77" i="11"/>
  <c r="D62" i="10"/>
  <c r="E62" i="10" s="1"/>
  <c r="N78" i="11"/>
  <c r="O78" i="11" s="1"/>
  <c r="S78" i="11" s="1"/>
  <c r="O77" i="11"/>
  <c r="P77" i="11" s="1"/>
  <c r="T77" i="11" s="1"/>
  <c r="L116" i="11"/>
  <c r="D91" i="10"/>
  <c r="E85" i="10"/>
  <c r="F85" i="10" s="1"/>
  <c r="D157" i="26" s="1"/>
  <c r="L157" i="26" s="1"/>
  <c r="L271" i="26" s="1"/>
  <c r="L272" i="26" s="1"/>
  <c r="M272" i="26" s="1"/>
  <c r="N272" i="26" s="1"/>
  <c r="O272" i="26" s="1"/>
  <c r="P272" i="26" s="1"/>
  <c r="Q272" i="26" s="1"/>
  <c r="R272" i="26" s="1"/>
  <c r="S272" i="26" s="1"/>
  <c r="T272" i="26" s="1"/>
  <c r="U272" i="26" s="1"/>
  <c r="V272" i="26" s="1"/>
  <c r="W272" i="26" s="1"/>
  <c r="X272" i="26" s="1"/>
  <c r="Y272" i="26" s="1"/>
  <c r="Z272" i="26" s="1"/>
  <c r="AA272" i="26" s="1"/>
  <c r="AB272" i="26" s="1"/>
  <c r="AC272" i="26" s="1"/>
  <c r="AD272" i="26" s="1"/>
  <c r="AE272" i="26" s="1"/>
  <c r="AF272" i="26" s="1"/>
  <c r="AG272" i="26" s="1"/>
  <c r="AH272" i="26" s="1"/>
  <c r="AI272" i="26" s="1"/>
  <c r="AJ272" i="26" s="1"/>
  <c r="AK272" i="26" s="1"/>
  <c r="AL272" i="26" s="1"/>
  <c r="AM272" i="26" s="1"/>
  <c r="AN272" i="26" s="1"/>
  <c r="AO272" i="26" s="1"/>
  <c r="AP272" i="26" s="1"/>
  <c r="AQ272" i="26" s="1"/>
  <c r="AR272" i="26" s="1"/>
  <c r="AS272" i="26" s="1"/>
  <c r="AT272" i="26" s="1"/>
  <c r="AU272" i="26" s="1"/>
  <c r="J119" i="11"/>
  <c r="H114" i="10" l="1"/>
  <c r="D34" i="26"/>
  <c r="AV272" i="26"/>
  <c r="E87" i="18"/>
  <c r="D87" i="18"/>
  <c r="F113" i="10"/>
  <c r="D85" i="18"/>
  <c r="I115" i="10"/>
  <c r="C117" i="10"/>
  <c r="D117" i="10" s="1"/>
  <c r="F117" i="10" s="1"/>
  <c r="E91" i="10"/>
  <c r="D29" i="17" s="1"/>
  <c r="D55" i="11"/>
  <c r="D36" i="18"/>
  <c r="D55" i="17"/>
  <c r="E113" i="10"/>
  <c r="D31" i="17"/>
  <c r="U219" i="18"/>
  <c r="S219" i="18"/>
  <c r="F91" i="10"/>
  <c r="AA31" i="11"/>
  <c r="AB31" i="11"/>
  <c r="W31" i="11"/>
  <c r="Q29" i="11"/>
  <c r="R29" i="11" s="1"/>
  <c r="S77" i="11"/>
  <c r="P78" i="11"/>
  <c r="Q77" i="11"/>
  <c r="F111" i="14"/>
  <c r="G111" i="14"/>
  <c r="I111" i="14"/>
  <c r="J111" i="14"/>
  <c r="L111" i="14"/>
  <c r="U111" i="14"/>
  <c r="V111" i="14"/>
  <c r="E144" i="14"/>
  <c r="E143" i="14"/>
  <c r="E142" i="14"/>
  <c r="N141" i="14"/>
  <c r="E141" i="14"/>
  <c r="E140" i="14"/>
  <c r="N140" i="14" s="1"/>
  <c r="N139" i="14"/>
  <c r="E139" i="14"/>
  <c r="E138" i="14"/>
  <c r="N138" i="14" s="1"/>
  <c r="N135" i="14"/>
  <c r="E135" i="14"/>
  <c r="E134" i="14"/>
  <c r="N134" i="14" s="1"/>
  <c r="D125" i="14"/>
  <c r="I106" i="14"/>
  <c r="F106" i="14"/>
  <c r="I105" i="14"/>
  <c r="K105" i="14" s="1"/>
  <c r="M104" i="14"/>
  <c r="I104" i="14"/>
  <c r="K103" i="14"/>
  <c r="H103" i="14"/>
  <c r="J102" i="14"/>
  <c r="S100" i="14"/>
  <c r="R100" i="14"/>
  <c r="Q100" i="14"/>
  <c r="P100" i="14"/>
  <c r="M95" i="14"/>
  <c r="M94" i="14"/>
  <c r="N91" i="14"/>
  <c r="O91" i="14" s="1"/>
  <c r="K91" i="14"/>
  <c r="I90" i="14"/>
  <c r="I86" i="14"/>
  <c r="M86" i="14" s="1"/>
  <c r="N86" i="14" s="1"/>
  <c r="R86" i="14" s="1"/>
  <c r="V86" i="14" s="1"/>
  <c r="C86" i="14"/>
  <c r="N84" i="14"/>
  <c r="R84" i="14" s="1"/>
  <c r="V84" i="14" s="1"/>
  <c r="K84" i="14"/>
  <c r="J79" i="14"/>
  <c r="H79" i="14"/>
  <c r="G79" i="14"/>
  <c r="G78" i="14"/>
  <c r="K78" i="14" s="1"/>
  <c r="X77" i="14"/>
  <c r="W77" i="14"/>
  <c r="V77" i="14"/>
  <c r="U77" i="14"/>
  <c r="T77" i="14"/>
  <c r="S77" i="14"/>
  <c r="R77" i="14"/>
  <c r="Q77" i="14"/>
  <c r="P77" i="14"/>
  <c r="O77" i="14"/>
  <c r="N77" i="14"/>
  <c r="P76" i="14"/>
  <c r="R76" i="14" s="1"/>
  <c r="T76" i="14" s="1"/>
  <c r="V76" i="14" s="1"/>
  <c r="X76" i="14" s="1"/>
  <c r="N76" i="14"/>
  <c r="O76" i="14" s="1"/>
  <c r="Q76" i="14" s="1"/>
  <c r="S76" i="14" s="1"/>
  <c r="U76" i="14" s="1"/>
  <c r="W76" i="14" s="1"/>
  <c r="E75" i="14"/>
  <c r="I74" i="14"/>
  <c r="F74" i="14"/>
  <c r="I73" i="14"/>
  <c r="H73" i="14"/>
  <c r="G73" i="14"/>
  <c r="F73" i="14"/>
  <c r="E73" i="14"/>
  <c r="R72" i="14"/>
  <c r="U71" i="14"/>
  <c r="V71" i="14" s="1"/>
  <c r="W71" i="14" s="1"/>
  <c r="X71" i="14" s="1"/>
  <c r="N71" i="14"/>
  <c r="O71" i="14" s="1"/>
  <c r="P71" i="14" s="1"/>
  <c r="Q71" i="14" s="1"/>
  <c r="R71" i="14" s="1"/>
  <c r="R70" i="14"/>
  <c r="S70" i="14" s="1"/>
  <c r="T70" i="14" s="1"/>
  <c r="U70" i="14" s="1"/>
  <c r="V70" i="14" s="1"/>
  <c r="W70" i="14" s="1"/>
  <c r="X70" i="14" s="1"/>
  <c r="N70" i="14"/>
  <c r="O70" i="14" s="1"/>
  <c r="P70" i="14" s="1"/>
  <c r="K69" i="14"/>
  <c r="N69" i="14" s="1"/>
  <c r="R68" i="14"/>
  <c r="S68" i="14" s="1"/>
  <c r="T68" i="14" s="1"/>
  <c r="U68" i="14" s="1"/>
  <c r="V68" i="14" s="1"/>
  <c r="W68" i="14" s="1"/>
  <c r="X68" i="14" s="1"/>
  <c r="Y68" i="14" s="1"/>
  <c r="J68" i="14"/>
  <c r="K68" i="14" s="1"/>
  <c r="L68" i="14" s="1"/>
  <c r="N67" i="14"/>
  <c r="O67" i="14" s="1"/>
  <c r="P67" i="14" s="1"/>
  <c r="Q67" i="14" s="1"/>
  <c r="R67" i="14" s="1"/>
  <c r="S67" i="14" s="1"/>
  <c r="T67" i="14" s="1"/>
  <c r="U67" i="14" s="1"/>
  <c r="V67" i="14" s="1"/>
  <c r="W67" i="14" s="1"/>
  <c r="X67" i="14" s="1"/>
  <c r="Y67" i="14" s="1"/>
  <c r="N66" i="14"/>
  <c r="O66" i="14" s="1"/>
  <c r="P66" i="14" s="1"/>
  <c r="Q66" i="14" s="1"/>
  <c r="R66" i="14" s="1"/>
  <c r="S66" i="14" s="1"/>
  <c r="T66" i="14" s="1"/>
  <c r="U66" i="14" s="1"/>
  <c r="V66" i="14" s="1"/>
  <c r="D58" i="14"/>
  <c r="D57" i="14"/>
  <c r="M57" i="14" s="1"/>
  <c r="F56" i="14"/>
  <c r="D56" i="14"/>
  <c r="D55" i="14"/>
  <c r="J55" i="14" s="1"/>
  <c r="D54" i="14"/>
  <c r="F54" i="14" s="1"/>
  <c r="D53" i="14"/>
  <c r="J53" i="14" s="1"/>
  <c r="D52" i="14"/>
  <c r="J52" i="14" s="1"/>
  <c r="M51" i="14"/>
  <c r="K51" i="14"/>
  <c r="G51" i="14"/>
  <c r="D51" i="14"/>
  <c r="C51" i="14" s="1"/>
  <c r="V50" i="14"/>
  <c r="S49" i="14"/>
  <c r="R49" i="14"/>
  <c r="Q49" i="14"/>
  <c r="D48" i="14"/>
  <c r="N48" i="14" s="1"/>
  <c r="D47" i="14"/>
  <c r="N47" i="14" s="1"/>
  <c r="D46" i="14"/>
  <c r="N46" i="14" s="1"/>
  <c r="D45" i="14"/>
  <c r="N45" i="14" s="1"/>
  <c r="O45" i="14" s="1"/>
  <c r="D44" i="14"/>
  <c r="I44" i="14" s="1"/>
  <c r="D43" i="14"/>
  <c r="M43" i="14" s="1"/>
  <c r="D41" i="14"/>
  <c r="M41" i="14" s="1"/>
  <c r="D40" i="14"/>
  <c r="H40" i="14" s="1"/>
  <c r="J36" i="14"/>
  <c r="C35" i="14"/>
  <c r="D35" i="14" s="1"/>
  <c r="H35" i="14" s="1"/>
  <c r="X32" i="14"/>
  <c r="V32" i="14"/>
  <c r="U32" i="14"/>
  <c r="T32" i="14"/>
  <c r="S32" i="14"/>
  <c r="R32" i="14"/>
  <c r="Q32" i="14"/>
  <c r="W32" i="14" s="1"/>
  <c r="X31" i="14"/>
  <c r="W31" i="14"/>
  <c r="V31" i="14"/>
  <c r="U31" i="14"/>
  <c r="T31" i="14"/>
  <c r="S31" i="14"/>
  <c r="R31" i="14"/>
  <c r="Q31" i="14"/>
  <c r="D30" i="14"/>
  <c r="N30" i="14" s="1"/>
  <c r="O30" i="14" s="1"/>
  <c r="P30" i="14" s="1"/>
  <c r="Q30" i="14" s="1"/>
  <c r="R30" i="14" s="1"/>
  <c r="C30" i="14"/>
  <c r="D28" i="14"/>
  <c r="H28" i="14" s="1"/>
  <c r="K27" i="14"/>
  <c r="I27" i="14"/>
  <c r="C26" i="14"/>
  <c r="D26" i="14" s="1"/>
  <c r="P22" i="14"/>
  <c r="Y23" i="14" s="1"/>
  <c r="X21" i="14"/>
  <c r="X111" i="14" s="1"/>
  <c r="W21" i="14"/>
  <c r="W111" i="14" s="1"/>
  <c r="T20" i="14"/>
  <c r="T111" i="14" s="1"/>
  <c r="G13" i="14"/>
  <c r="D92" i="10"/>
  <c r="J26" i="11"/>
  <c r="R49" i="11"/>
  <c r="K49" i="11"/>
  <c r="C93" i="10"/>
  <c r="D93" i="10" s="1"/>
  <c r="I93" i="10" s="1"/>
  <c r="W117" i="11"/>
  <c r="X117" i="11"/>
  <c r="Y117" i="11"/>
  <c r="R64" i="10"/>
  <c r="C29" i="11"/>
  <c r="J89" i="11"/>
  <c r="I83" i="11"/>
  <c r="J69" i="11"/>
  <c r="AW272" i="26" l="1"/>
  <c r="D29" i="11"/>
  <c r="X29" i="11" s="1"/>
  <c r="G91" i="10"/>
  <c r="D144" i="11"/>
  <c r="E114" i="10"/>
  <c r="Y55" i="17"/>
  <c r="K55" i="17"/>
  <c r="K130" i="17" s="1"/>
  <c r="K131" i="17" s="1"/>
  <c r="L131" i="17" s="1"/>
  <c r="M131" i="17" s="1"/>
  <c r="N131" i="17" s="1"/>
  <c r="L36" i="18"/>
  <c r="L219" i="18" s="1"/>
  <c r="L220" i="18" s="1"/>
  <c r="M220" i="18" s="1"/>
  <c r="N220" i="18" s="1"/>
  <c r="O220" i="18" s="1"/>
  <c r="P220" i="18" s="1"/>
  <c r="Q220" i="18" s="1"/>
  <c r="R220" i="18" s="1"/>
  <c r="S220" i="18" s="1"/>
  <c r="T220" i="18" s="1"/>
  <c r="U220" i="18" s="1"/>
  <c r="D144" i="17"/>
  <c r="AD31" i="17"/>
  <c r="AD130" i="17" s="1"/>
  <c r="AA31" i="17"/>
  <c r="X31" i="17"/>
  <c r="W31" i="17"/>
  <c r="AB31" i="17"/>
  <c r="AC31" i="17"/>
  <c r="AC130" i="17" s="1"/>
  <c r="Z31" i="17"/>
  <c r="Y31" i="17"/>
  <c r="G94" i="10"/>
  <c r="J94" i="10" s="1"/>
  <c r="I94" i="10"/>
  <c r="C94" i="10"/>
  <c r="E94" i="10" s="1"/>
  <c r="S29" i="11"/>
  <c r="T29" i="11"/>
  <c r="U29" i="11"/>
  <c r="U77" i="11"/>
  <c r="T78" i="11"/>
  <c r="Q78" i="11"/>
  <c r="U78" i="11" s="1"/>
  <c r="J112" i="14"/>
  <c r="E111" i="14"/>
  <c r="E112" i="14" s="1"/>
  <c r="O84" i="14"/>
  <c r="S84" i="14" s="1"/>
  <c r="W84" i="14" s="1"/>
  <c r="G112" i="14"/>
  <c r="P84" i="14"/>
  <c r="T84" i="14" s="1"/>
  <c r="X84" i="14" s="1"/>
  <c r="R69" i="14"/>
  <c r="V69" i="14" s="1"/>
  <c r="O69" i="14"/>
  <c r="W66" i="14"/>
  <c r="X66" i="14" s="1"/>
  <c r="Y66" i="14" s="1"/>
  <c r="M68" i="14"/>
  <c r="N68" i="14" s="1"/>
  <c r="O68" i="14" s="1"/>
  <c r="P68" i="14" s="1"/>
  <c r="P91" i="14"/>
  <c r="S91" i="14" s="1"/>
  <c r="V91" i="14" s="1"/>
  <c r="R91" i="14"/>
  <c r="U91" i="14" s="1"/>
  <c r="X91" i="14" s="1"/>
  <c r="Q86" i="14"/>
  <c r="U86" i="14" s="1"/>
  <c r="K52" i="14"/>
  <c r="Q84" i="14"/>
  <c r="U84" i="14" s="1"/>
  <c r="O86" i="14"/>
  <c r="S86" i="14" s="1"/>
  <c r="P86" i="14"/>
  <c r="T86" i="14" s="1"/>
  <c r="Q91" i="14"/>
  <c r="T91" i="14" s="1"/>
  <c r="W91" i="14" s="1"/>
  <c r="Z81" i="11"/>
  <c r="AA81" i="11" s="1"/>
  <c r="AB81" i="11" s="1"/>
  <c r="AC81" i="11" s="1"/>
  <c r="AD81" i="11" s="1"/>
  <c r="Z86" i="11"/>
  <c r="AB86" i="11" s="1"/>
  <c r="AD86" i="11" s="1"/>
  <c r="I100" i="11"/>
  <c r="I96" i="11"/>
  <c r="M96" i="11" s="1"/>
  <c r="C96" i="11"/>
  <c r="H89" i="11"/>
  <c r="D42" i="11"/>
  <c r="I42" i="11" s="1"/>
  <c r="D66" i="11"/>
  <c r="J66" i="11" s="1"/>
  <c r="C68" i="11"/>
  <c r="D68" i="11" s="1"/>
  <c r="H68" i="11" s="1"/>
  <c r="I122" i="11"/>
  <c r="K122" i="11" s="1"/>
  <c r="V22" i="11"/>
  <c r="I26" i="11"/>
  <c r="I11" i="2"/>
  <c r="I16" i="2"/>
  <c r="I19" i="2"/>
  <c r="I21" i="2"/>
  <c r="I24" i="2"/>
  <c r="I30" i="2"/>
  <c r="I32" i="2"/>
  <c r="I33" i="2"/>
  <c r="I34" i="2"/>
  <c r="I35" i="2"/>
  <c r="I38" i="2"/>
  <c r="D63" i="11"/>
  <c r="H63" i="11" s="1"/>
  <c r="R89" i="10"/>
  <c r="R90" i="10" s="1"/>
  <c r="R91" i="10" s="1"/>
  <c r="R82" i="11"/>
  <c r="R78" i="11"/>
  <c r="W78" i="11" s="1"/>
  <c r="X78" i="11" s="1"/>
  <c r="Y78" i="11" s="1"/>
  <c r="Z78" i="11" s="1"/>
  <c r="R77" i="11"/>
  <c r="K101" i="11"/>
  <c r="G88" i="11"/>
  <c r="K88" i="11" s="1"/>
  <c r="L120" i="11"/>
  <c r="H120" i="11"/>
  <c r="G49" i="11"/>
  <c r="D49" i="11" s="1"/>
  <c r="C49" i="11" s="1"/>
  <c r="G89" i="11"/>
  <c r="G13" i="11"/>
  <c r="F83" i="11"/>
  <c r="D45" i="11"/>
  <c r="S45" i="11" s="1"/>
  <c r="D46" i="11"/>
  <c r="S46" i="11" s="1"/>
  <c r="D44" i="11"/>
  <c r="S44" i="11" s="1"/>
  <c r="X47" i="11"/>
  <c r="D43" i="11"/>
  <c r="D65" i="11"/>
  <c r="D38" i="11"/>
  <c r="M38" i="11" s="1"/>
  <c r="D40" i="11"/>
  <c r="D37" i="11"/>
  <c r="H37" i="11" s="1"/>
  <c r="E49" i="2"/>
  <c r="I123" i="11"/>
  <c r="F123" i="11"/>
  <c r="AD21" i="11"/>
  <c r="AD31" i="11"/>
  <c r="AD87" i="11"/>
  <c r="D97" i="10"/>
  <c r="D54" i="11"/>
  <c r="C99" i="10"/>
  <c r="D99" i="10" s="1"/>
  <c r="C98" i="10"/>
  <c r="G98" i="10"/>
  <c r="G97" i="10"/>
  <c r="H97" i="10" s="1"/>
  <c r="H13" i="13"/>
  <c r="G13" i="13"/>
  <c r="F13" i="13"/>
  <c r="E10" i="13"/>
  <c r="E13" i="13" s="1"/>
  <c r="D10" i="13"/>
  <c r="C9" i="13"/>
  <c r="C13" i="13" s="1"/>
  <c r="D9" i="13"/>
  <c r="I121" i="11"/>
  <c r="C86" i="10"/>
  <c r="D87" i="10"/>
  <c r="D85" i="10"/>
  <c r="F67" i="11"/>
  <c r="I15" i="3"/>
  <c r="D67" i="11"/>
  <c r="M53" i="11"/>
  <c r="H71" i="10"/>
  <c r="C64" i="11"/>
  <c r="D64" i="11" s="1"/>
  <c r="D52" i="11"/>
  <c r="K52" i="11" s="1"/>
  <c r="X31" i="11"/>
  <c r="Y31" i="11"/>
  <c r="Z31" i="11"/>
  <c r="AC31" i="11"/>
  <c r="AD32" i="11"/>
  <c r="D145" i="11"/>
  <c r="K80" i="11"/>
  <c r="R87" i="11"/>
  <c r="V87" i="11"/>
  <c r="W87" i="11"/>
  <c r="X87" i="11"/>
  <c r="Y87" i="11"/>
  <c r="Z87" i="11"/>
  <c r="AA87" i="11"/>
  <c r="AB87" i="11"/>
  <c r="AC87" i="11"/>
  <c r="K94" i="11"/>
  <c r="O94" i="11" s="1"/>
  <c r="M107" i="11"/>
  <c r="M108" i="11"/>
  <c r="M74" i="4"/>
  <c r="M73" i="4"/>
  <c r="M72" i="4"/>
  <c r="K62" i="4"/>
  <c r="N83" i="4"/>
  <c r="N88" i="4"/>
  <c r="N89" i="4"/>
  <c r="N90" i="4"/>
  <c r="N91" i="4"/>
  <c r="N92" i="4"/>
  <c r="N93" i="4"/>
  <c r="H77" i="4"/>
  <c r="M67" i="4"/>
  <c r="K66" i="4"/>
  <c r="O66" i="4" s="1"/>
  <c r="P66" i="4" s="1"/>
  <c r="T66" i="4" s="1"/>
  <c r="X66" i="4" s="1"/>
  <c r="Q61" i="4"/>
  <c r="R61" i="4"/>
  <c r="S61" i="4"/>
  <c r="T61" i="4"/>
  <c r="U61" i="4"/>
  <c r="V61" i="4"/>
  <c r="W61" i="4"/>
  <c r="X61" i="4"/>
  <c r="P61" i="4"/>
  <c r="O61" i="4"/>
  <c r="D60" i="4"/>
  <c r="I60" i="4" s="1"/>
  <c r="D45" i="4"/>
  <c r="H45" i="4" s="1"/>
  <c r="D37" i="4"/>
  <c r="M37" i="4" s="1"/>
  <c r="D35" i="4"/>
  <c r="H33" i="4"/>
  <c r="K33" i="4"/>
  <c r="F33" i="4"/>
  <c r="N79" i="10"/>
  <c r="N80" i="10" s="1"/>
  <c r="O78" i="10"/>
  <c r="N71" i="10"/>
  <c r="O71" i="10" s="1"/>
  <c r="O70" i="10"/>
  <c r="N64" i="10"/>
  <c r="N65" i="10" s="1"/>
  <c r="O63" i="10"/>
  <c r="I80" i="10"/>
  <c r="I79" i="10"/>
  <c r="I78" i="10"/>
  <c r="D212" i="26" s="1"/>
  <c r="I212" i="26" s="1"/>
  <c r="I63" i="10"/>
  <c r="D34" i="4" s="1"/>
  <c r="G34" i="4" s="1"/>
  <c r="C79" i="10"/>
  <c r="D77" i="10"/>
  <c r="C71" i="10"/>
  <c r="C72" i="10" s="1"/>
  <c r="D70" i="10"/>
  <c r="C63" i="10"/>
  <c r="C64" i="10" s="1"/>
  <c r="F37" i="2"/>
  <c r="M18" i="14" s="1"/>
  <c r="F36" i="2"/>
  <c r="I36" i="2" s="1"/>
  <c r="F31" i="2"/>
  <c r="I31" i="2" s="1"/>
  <c r="F28" i="2"/>
  <c r="F27" i="2"/>
  <c r="I27" i="2" s="1"/>
  <c r="F26" i="2"/>
  <c r="I26" i="2" s="1"/>
  <c r="F25" i="2"/>
  <c r="I25" i="2" s="1"/>
  <c r="F22" i="2"/>
  <c r="F20" i="2"/>
  <c r="I20" i="2" s="1"/>
  <c r="F18" i="2"/>
  <c r="H56" i="2" s="1"/>
  <c r="F14" i="2"/>
  <c r="H15" i="4" s="1"/>
  <c r="F10" i="2"/>
  <c r="F8" i="2"/>
  <c r="F7" i="2"/>
  <c r="I7" i="2" s="1"/>
  <c r="F4" i="2"/>
  <c r="F3" i="2"/>
  <c r="I3" i="2" s="1"/>
  <c r="F56" i="4"/>
  <c r="G56" i="4"/>
  <c r="H56" i="4"/>
  <c r="I56" i="4"/>
  <c r="J56" i="4"/>
  <c r="J83" i="4" s="1"/>
  <c r="K56" i="4"/>
  <c r="L56" i="4"/>
  <c r="M56" i="4"/>
  <c r="E56" i="4"/>
  <c r="T57" i="4"/>
  <c r="X57" i="4" s="1"/>
  <c r="U57" i="4"/>
  <c r="V57" i="4"/>
  <c r="G57" i="4"/>
  <c r="K57" i="4" s="1"/>
  <c r="D8" i="8"/>
  <c r="F56" i="10"/>
  <c r="C56" i="10"/>
  <c r="W29" i="11" l="1"/>
  <c r="AX272" i="26"/>
  <c r="M18" i="4"/>
  <c r="O16" i="17"/>
  <c r="O130" i="17" s="1"/>
  <c r="O131" i="17" s="1"/>
  <c r="P131" i="17" s="1"/>
  <c r="Q131" i="17" s="1"/>
  <c r="R131" i="17" s="1"/>
  <c r="S131" i="17" s="1"/>
  <c r="M16" i="14"/>
  <c r="M17" i="4"/>
  <c r="X15" i="17"/>
  <c r="R15" i="14"/>
  <c r="R111" i="14" s="1"/>
  <c r="V14" i="11"/>
  <c r="V14" i="17"/>
  <c r="P14" i="14"/>
  <c r="S12" i="11"/>
  <c r="S12" i="17"/>
  <c r="S130" i="17" s="1"/>
  <c r="N12" i="14"/>
  <c r="W19" i="11"/>
  <c r="W19" i="17"/>
  <c r="Q19" i="14"/>
  <c r="Q111" i="14" s="1"/>
  <c r="M19" i="4"/>
  <c r="R17" i="17"/>
  <c r="R130" i="17" s="1"/>
  <c r="N17" i="14"/>
  <c r="V29" i="11"/>
  <c r="C100" i="10"/>
  <c r="E99" i="10"/>
  <c r="Z219" i="18" s="1"/>
  <c r="J78" i="10"/>
  <c r="D105" i="18"/>
  <c r="I105" i="18" s="1"/>
  <c r="D39" i="17"/>
  <c r="H39" i="17" s="1"/>
  <c r="D37" i="14"/>
  <c r="P37" i="14" s="1"/>
  <c r="P111" i="14" s="1"/>
  <c r="D41" i="17"/>
  <c r="T41" i="17" s="1"/>
  <c r="D59" i="17"/>
  <c r="W59" i="17" s="1"/>
  <c r="X59" i="17" s="1"/>
  <c r="Y59" i="17" s="1"/>
  <c r="Z59" i="17" s="1"/>
  <c r="AA59" i="17" s="1"/>
  <c r="AB59" i="17" s="1"/>
  <c r="AB130" i="17" s="1"/>
  <c r="D59" i="11"/>
  <c r="W59" i="11" s="1"/>
  <c r="X59" i="11" s="1"/>
  <c r="Y59" i="11" s="1"/>
  <c r="Z59" i="11" s="1"/>
  <c r="AA59" i="11" s="1"/>
  <c r="AB59" i="11" s="1"/>
  <c r="V220" i="18"/>
  <c r="W220" i="18" s="1"/>
  <c r="X220" i="18" s="1"/>
  <c r="Y220" i="18" s="1"/>
  <c r="N101" i="11"/>
  <c r="R101" i="11" s="1"/>
  <c r="M130" i="11"/>
  <c r="D100" i="10"/>
  <c r="O58" i="14" s="1"/>
  <c r="E97" i="10"/>
  <c r="E98" i="10" s="1"/>
  <c r="D39" i="11"/>
  <c r="H39" i="11" s="1"/>
  <c r="D42" i="14"/>
  <c r="H42" i="14" s="1"/>
  <c r="K55" i="11"/>
  <c r="D29" i="14"/>
  <c r="J63" i="10"/>
  <c r="D211" i="26" s="1"/>
  <c r="I211" i="26" s="1"/>
  <c r="I271" i="26" s="1"/>
  <c r="D41" i="11"/>
  <c r="O79" i="11"/>
  <c r="L130" i="11"/>
  <c r="W77" i="11"/>
  <c r="X77" i="11" s="1"/>
  <c r="Y77" i="11" s="1"/>
  <c r="Z77" i="11" s="1"/>
  <c r="AA77" i="11" s="1"/>
  <c r="AB77" i="11" s="1"/>
  <c r="AC77" i="11" s="1"/>
  <c r="AD77" i="11" s="1"/>
  <c r="F11" i="10"/>
  <c r="D27" i="14"/>
  <c r="M27" i="14" s="1"/>
  <c r="P69" i="14"/>
  <c r="S69" i="14"/>
  <c r="W69" i="14" s="1"/>
  <c r="D94" i="10"/>
  <c r="F94" i="10" s="1"/>
  <c r="AA78" i="11"/>
  <c r="AB78" i="11" s="1"/>
  <c r="AC78" i="11" s="1"/>
  <c r="AD78" i="11" s="1"/>
  <c r="Y55" i="11"/>
  <c r="R86" i="11"/>
  <c r="Y86" i="11" s="1"/>
  <c r="AA86" i="11" s="1"/>
  <c r="AC86" i="11" s="1"/>
  <c r="W96" i="11"/>
  <c r="AA96" i="11" s="1"/>
  <c r="R96" i="11"/>
  <c r="Y96" i="11" s="1"/>
  <c r="Q96" i="11"/>
  <c r="X96" i="11" s="1"/>
  <c r="AB96" i="11" s="1"/>
  <c r="V96" i="11"/>
  <c r="Z96" i="11" s="1"/>
  <c r="I8" i="2"/>
  <c r="I14" i="2"/>
  <c r="I37" i="2"/>
  <c r="I28" i="2"/>
  <c r="I4" i="2"/>
  <c r="I22" i="2"/>
  <c r="I18" i="2"/>
  <c r="I10" i="2"/>
  <c r="Z20" i="11"/>
  <c r="R17" i="11"/>
  <c r="X23" i="4"/>
  <c r="I14" i="4"/>
  <c r="I83" i="4" s="1"/>
  <c r="O80" i="11"/>
  <c r="S80" i="11" s="1"/>
  <c r="W101" i="11"/>
  <c r="Z101" i="11" s="1"/>
  <c r="AC101" i="11" s="1"/>
  <c r="P43" i="11"/>
  <c r="R43" i="11" s="1"/>
  <c r="W47" i="11"/>
  <c r="Y47" i="11"/>
  <c r="F65" i="11"/>
  <c r="F130" i="11" s="1"/>
  <c r="M20" i="4"/>
  <c r="O16" i="11"/>
  <c r="L16" i="4"/>
  <c r="X15" i="11"/>
  <c r="D13" i="13"/>
  <c r="I13" i="13" s="1"/>
  <c r="D88" i="10"/>
  <c r="D36" i="4"/>
  <c r="D64" i="10"/>
  <c r="C66" i="10"/>
  <c r="D66" i="10" s="1"/>
  <c r="C65" i="10"/>
  <c r="D65" i="10" s="1"/>
  <c r="D63" i="10"/>
  <c r="E130" i="11"/>
  <c r="E131" i="11" s="1"/>
  <c r="V94" i="11"/>
  <c r="Z94" i="11" s="1"/>
  <c r="T94" i="11"/>
  <c r="Y94" i="11" s="1"/>
  <c r="AC94" i="11" s="1"/>
  <c r="W94" i="11"/>
  <c r="AA94" i="11" s="1"/>
  <c r="X94" i="11"/>
  <c r="AB94" i="11" s="1"/>
  <c r="Q66" i="4"/>
  <c r="U66" i="4" s="1"/>
  <c r="R66" i="4"/>
  <c r="V66" i="4" s="1"/>
  <c r="S66" i="4"/>
  <c r="W66" i="4" s="1"/>
  <c r="H60" i="4"/>
  <c r="L45" i="4"/>
  <c r="G60" i="4"/>
  <c r="G83" i="4" s="1"/>
  <c r="F60" i="4"/>
  <c r="F83" i="4" s="1"/>
  <c r="E60" i="4"/>
  <c r="E83" i="4" s="1"/>
  <c r="O37" i="4"/>
  <c r="I65" i="10"/>
  <c r="O80" i="10"/>
  <c r="N82" i="10"/>
  <c r="O82" i="10" s="1"/>
  <c r="N81" i="10"/>
  <c r="O81" i="10" s="1"/>
  <c r="O79" i="10"/>
  <c r="N72" i="10"/>
  <c r="O65" i="10"/>
  <c r="N66" i="10"/>
  <c r="O66" i="10" s="1"/>
  <c r="N67" i="10"/>
  <c r="O67" i="10" s="1"/>
  <c r="O64" i="10"/>
  <c r="H81" i="10"/>
  <c r="I81" i="10" s="1"/>
  <c r="I82" i="10"/>
  <c r="I72" i="10"/>
  <c r="H74" i="10"/>
  <c r="I74" i="10" s="1"/>
  <c r="I73" i="10"/>
  <c r="I71" i="10"/>
  <c r="H66" i="10"/>
  <c r="I66" i="10" s="1"/>
  <c r="H67" i="10"/>
  <c r="I67" i="10" s="1"/>
  <c r="C81" i="10"/>
  <c r="D81" i="10" s="1"/>
  <c r="D80" i="10"/>
  <c r="D79" i="10"/>
  <c r="D71" i="10"/>
  <c r="C74" i="10"/>
  <c r="D74" i="10" s="1"/>
  <c r="D72" i="10"/>
  <c r="C73" i="10"/>
  <c r="D73" i="10" s="1"/>
  <c r="O57" i="4"/>
  <c r="S57" i="4" s="1"/>
  <c r="W57" i="4" s="1"/>
  <c r="G56" i="10"/>
  <c r="G57" i="10" s="1"/>
  <c r="G59" i="10" s="1"/>
  <c r="AY272" i="26" l="1"/>
  <c r="AB219" i="18"/>
  <c r="O37" i="14"/>
  <c r="N37" i="14"/>
  <c r="W130" i="17"/>
  <c r="V41" i="17"/>
  <c r="V130" i="17" s="1"/>
  <c r="Z130" i="17"/>
  <c r="Y130" i="17"/>
  <c r="Z220" i="18"/>
  <c r="AA220" i="18" s="1"/>
  <c r="X130" i="17"/>
  <c r="AA130" i="17"/>
  <c r="T54" i="11"/>
  <c r="T54" i="17"/>
  <c r="T130" i="17" s="1"/>
  <c r="T131" i="17" s="1"/>
  <c r="U131" i="17" s="1"/>
  <c r="D35" i="17"/>
  <c r="H35" i="17" s="1"/>
  <c r="H130" i="17" s="1"/>
  <c r="D104" i="18"/>
  <c r="I104" i="18" s="1"/>
  <c r="I219" i="18" s="1"/>
  <c r="V101" i="11"/>
  <c r="Y101" i="11" s="1"/>
  <c r="AB101" i="11" s="1"/>
  <c r="X101" i="11"/>
  <c r="AA101" i="11" s="1"/>
  <c r="AD101" i="11" s="1"/>
  <c r="K29" i="14"/>
  <c r="K111" i="14" s="1"/>
  <c r="K112" i="14" s="1"/>
  <c r="L112" i="14" s="1"/>
  <c r="S29" i="14"/>
  <c r="S111" i="14" s="1"/>
  <c r="D38" i="14"/>
  <c r="H38" i="14" s="1"/>
  <c r="H111" i="14" s="1"/>
  <c r="D35" i="11"/>
  <c r="H35" i="11" s="1"/>
  <c r="Y82" i="11"/>
  <c r="Z82" i="11" s="1"/>
  <c r="AA82" i="11" s="1"/>
  <c r="AB82" i="11" s="1"/>
  <c r="AC82" i="11" s="1"/>
  <c r="AD82" i="11" s="1"/>
  <c r="P79" i="11"/>
  <c r="O130" i="11"/>
  <c r="N27" i="14"/>
  <c r="M111" i="14"/>
  <c r="T69" i="14"/>
  <c r="Q69" i="14"/>
  <c r="I42" i="2"/>
  <c r="AC21" i="11"/>
  <c r="L83" i="4"/>
  <c r="V80" i="11"/>
  <c r="Y80" i="11"/>
  <c r="AC80" i="11" s="1"/>
  <c r="X80" i="11"/>
  <c r="G130" i="11"/>
  <c r="G131" i="11" s="1"/>
  <c r="AD94" i="11"/>
  <c r="D27" i="4"/>
  <c r="D26" i="4"/>
  <c r="M26" i="4" s="1"/>
  <c r="M83" i="4" s="1"/>
  <c r="O72" i="10"/>
  <c r="N74" i="10"/>
  <c r="O74" i="10" s="1"/>
  <c r="N73" i="10"/>
  <c r="O73" i="10" s="1"/>
  <c r="F47" i="10"/>
  <c r="G47" i="10" s="1"/>
  <c r="F40" i="10"/>
  <c r="G40" i="10" s="1"/>
  <c r="F41" i="10"/>
  <c r="G41" i="10" s="1"/>
  <c r="F46" i="10"/>
  <c r="G46" i="10" s="1"/>
  <c r="F45" i="10"/>
  <c r="G45" i="10" s="1"/>
  <c r="F39" i="10"/>
  <c r="G39" i="10" s="1"/>
  <c r="F31" i="10"/>
  <c r="H31" i="10" s="1"/>
  <c r="C31" i="10"/>
  <c r="F30" i="10"/>
  <c r="H30" i="10" s="1"/>
  <c r="C30" i="10"/>
  <c r="AB54" i="9"/>
  <c r="AA54" i="9"/>
  <c r="Z54" i="9"/>
  <c r="Y54" i="9"/>
  <c r="X54" i="9"/>
  <c r="W54" i="9"/>
  <c r="V54" i="9"/>
  <c r="U54" i="9"/>
  <c r="T54" i="9"/>
  <c r="S54" i="9"/>
  <c r="R54" i="9"/>
  <c r="Q54" i="9"/>
  <c r="P54" i="9"/>
  <c r="O54" i="9"/>
  <c r="N54" i="9"/>
  <c r="M54" i="9"/>
  <c r="L54" i="9"/>
  <c r="K54" i="9"/>
  <c r="J54" i="9"/>
  <c r="I54" i="9"/>
  <c r="H54" i="9"/>
  <c r="G54" i="9"/>
  <c r="F54" i="9"/>
  <c r="E54" i="9"/>
  <c r="D54" i="9"/>
  <c r="C54" i="9"/>
  <c r="B54" i="9"/>
  <c r="E26" i="9"/>
  <c r="F26" i="9" s="1"/>
  <c r="G26" i="9" s="1"/>
  <c r="H26" i="9" s="1"/>
  <c r="I26" i="9" s="1"/>
  <c r="J26" i="9" s="1"/>
  <c r="K26" i="9" s="1"/>
  <c r="L26" i="9" s="1"/>
  <c r="M26" i="9" s="1"/>
  <c r="N26" i="9" s="1"/>
  <c r="O26" i="9" s="1"/>
  <c r="P26" i="9" s="1"/>
  <c r="Q26" i="9" s="1"/>
  <c r="R26" i="9" s="1"/>
  <c r="S26" i="9" s="1"/>
  <c r="T26" i="9" s="1"/>
  <c r="U26" i="9" s="1"/>
  <c r="V26" i="9" s="1"/>
  <c r="W26" i="9" s="1"/>
  <c r="X26" i="9" s="1"/>
  <c r="Y26" i="9" s="1"/>
  <c r="Z26" i="9" s="1"/>
  <c r="AA26" i="9" s="1"/>
  <c r="AB26" i="9" s="1"/>
  <c r="O21" i="9"/>
  <c r="N21" i="9"/>
  <c r="M21" i="9"/>
  <c r="L21" i="9"/>
  <c r="K21" i="9"/>
  <c r="J21" i="9"/>
  <c r="I21" i="9"/>
  <c r="H21" i="9"/>
  <c r="G21" i="9"/>
  <c r="F21" i="9"/>
  <c r="E21" i="9"/>
  <c r="D21" i="9"/>
  <c r="C21" i="9"/>
  <c r="C36" i="8"/>
  <c r="D5" i="8" s="1"/>
  <c r="AB34" i="8"/>
  <c r="AA34" i="8"/>
  <c r="Z34" i="8"/>
  <c r="Y34" i="8"/>
  <c r="X34" i="8"/>
  <c r="W34" i="8"/>
  <c r="V34" i="8"/>
  <c r="U34" i="8"/>
  <c r="T34" i="8"/>
  <c r="S34" i="8"/>
  <c r="R34" i="8"/>
  <c r="Q34" i="8"/>
  <c r="P34" i="8"/>
  <c r="O34" i="8"/>
  <c r="N34" i="8"/>
  <c r="M34" i="8"/>
  <c r="L34" i="8"/>
  <c r="K34" i="8"/>
  <c r="J34" i="8"/>
  <c r="I34" i="8"/>
  <c r="H34" i="8"/>
  <c r="G34" i="8"/>
  <c r="F34" i="8"/>
  <c r="E34" i="8"/>
  <c r="D34" i="8"/>
  <c r="C34" i="8"/>
  <c r="AB12" i="8"/>
  <c r="AA12" i="8"/>
  <c r="Z12" i="8"/>
  <c r="Y12" i="8"/>
  <c r="X12" i="8"/>
  <c r="W12" i="8"/>
  <c r="V12" i="8"/>
  <c r="U12" i="8"/>
  <c r="T12" i="8"/>
  <c r="N12" i="8"/>
  <c r="C12" i="8"/>
  <c r="O8" i="8"/>
  <c r="O12" i="8" s="1"/>
  <c r="M8" i="8"/>
  <c r="M12" i="8" s="1"/>
  <c r="J8" i="8"/>
  <c r="J12" i="8" s="1"/>
  <c r="H8" i="8"/>
  <c r="H12" i="8" s="1"/>
  <c r="F8" i="8"/>
  <c r="F12" i="8" s="1"/>
  <c r="D12" i="8"/>
  <c r="C5" i="8"/>
  <c r="D4" i="8"/>
  <c r="E4" i="8" s="1"/>
  <c r="F4" i="8" s="1"/>
  <c r="G4" i="8" s="1"/>
  <c r="H4" i="8" s="1"/>
  <c r="I4" i="8" s="1"/>
  <c r="J4" i="8" s="1"/>
  <c r="K4" i="8" s="1"/>
  <c r="L4" i="8" s="1"/>
  <c r="M4" i="8" s="1"/>
  <c r="N4" i="8" s="1"/>
  <c r="O4" i="8" s="1"/>
  <c r="P4" i="8" s="1"/>
  <c r="Q4" i="8" s="1"/>
  <c r="R4" i="8" s="1"/>
  <c r="S4" i="8" s="1"/>
  <c r="T4" i="8" s="1"/>
  <c r="U4" i="8" s="1"/>
  <c r="V4" i="8" s="1"/>
  <c r="W4" i="8" s="1"/>
  <c r="X4" i="8" s="1"/>
  <c r="Y4" i="8" s="1"/>
  <c r="Z4" i="8" s="1"/>
  <c r="AA4" i="8" s="1"/>
  <c r="AB4" i="8" s="1"/>
  <c r="AC4" i="8" s="1"/>
  <c r="AD4" i="8" s="1"/>
  <c r="AE4" i="8" s="1"/>
  <c r="AF4" i="8" s="1"/>
  <c r="AG4" i="8" s="1"/>
  <c r="AH4" i="8" s="1"/>
  <c r="AI4" i="8" s="1"/>
  <c r="AJ4" i="8" s="1"/>
  <c r="AK4" i="8" s="1"/>
  <c r="AL4" i="8" s="1"/>
  <c r="AM4" i="8" s="1"/>
  <c r="AN4" i="8" s="1"/>
  <c r="AO4" i="8" s="1"/>
  <c r="AP4" i="8" s="1"/>
  <c r="AZ272" i="26" l="1"/>
  <c r="V131" i="17"/>
  <c r="W131" i="17" s="1"/>
  <c r="X131" i="17" s="1"/>
  <c r="Y131" i="17" s="1"/>
  <c r="Z131" i="17" s="1"/>
  <c r="AA131" i="17" s="1"/>
  <c r="AB131" i="17" s="1"/>
  <c r="AC131" i="17" s="1"/>
  <c r="AD131" i="17" s="1"/>
  <c r="AB220" i="18"/>
  <c r="AC220" i="18" s="1"/>
  <c r="AD220" i="18" s="1"/>
  <c r="AE220" i="18" s="1"/>
  <c r="AF219" i="18"/>
  <c r="H32" i="10"/>
  <c r="M112" i="14"/>
  <c r="Q79" i="11"/>
  <c r="P130" i="11"/>
  <c r="O27" i="14"/>
  <c r="O111" i="14" s="1"/>
  <c r="N111" i="14"/>
  <c r="U69" i="14"/>
  <c r="X69" i="14"/>
  <c r="AB80" i="11"/>
  <c r="W80" i="11"/>
  <c r="AA80" i="11" s="1"/>
  <c r="Z80" i="11"/>
  <c r="AD80" i="11" s="1"/>
  <c r="Q27" i="4"/>
  <c r="O27" i="4"/>
  <c r="P27" i="4"/>
  <c r="T41" i="11"/>
  <c r="V41" i="11" s="1"/>
  <c r="G42" i="10"/>
  <c r="D50" i="11" s="1"/>
  <c r="G30" i="10"/>
  <c r="G48" i="10"/>
  <c r="G31" i="10"/>
  <c r="D36" i="8"/>
  <c r="E5" i="8" s="1"/>
  <c r="E36" i="8" s="1"/>
  <c r="F5" i="8" s="1"/>
  <c r="F36" i="8" s="1"/>
  <c r="G5" i="8" s="1"/>
  <c r="G36" i="8" s="1"/>
  <c r="H5" i="8" s="1"/>
  <c r="H36" i="8" s="1"/>
  <c r="I5" i="8" s="1"/>
  <c r="I36" i="8" s="1"/>
  <c r="J5" i="8" s="1"/>
  <c r="J36" i="8" s="1"/>
  <c r="K5" i="8" s="1"/>
  <c r="K36" i="8" s="1"/>
  <c r="L5" i="8" s="1"/>
  <c r="L36" i="8" s="1"/>
  <c r="M5" i="8" s="1"/>
  <c r="M36" i="8" s="1"/>
  <c r="N5" i="8" s="1"/>
  <c r="N36" i="8" s="1"/>
  <c r="O5" i="8" s="1"/>
  <c r="O36" i="8" s="1"/>
  <c r="P5" i="8" s="1"/>
  <c r="P36" i="8" s="1"/>
  <c r="Q5" i="8" s="1"/>
  <c r="Q36" i="8" s="1"/>
  <c r="R5" i="8" s="1"/>
  <c r="R36" i="8" s="1"/>
  <c r="S5" i="8" s="1"/>
  <c r="S36" i="8" s="1"/>
  <c r="T5" i="8" s="1"/>
  <c r="T36" i="8" s="1"/>
  <c r="U5" i="8" s="1"/>
  <c r="U36" i="8" s="1"/>
  <c r="V5" i="8" s="1"/>
  <c r="V36" i="8" s="1"/>
  <c r="W5" i="8" s="1"/>
  <c r="W36" i="8" s="1"/>
  <c r="X5" i="8" s="1"/>
  <c r="X36" i="8" s="1"/>
  <c r="Y5" i="8" s="1"/>
  <c r="Y36" i="8" s="1"/>
  <c r="Z5" i="8" s="1"/>
  <c r="Z36" i="8" s="1"/>
  <c r="AA5" i="8" s="1"/>
  <c r="AA36" i="8" s="1"/>
  <c r="AB5" i="8" s="1"/>
  <c r="AB36" i="8" s="1"/>
  <c r="D170" i="26" l="1"/>
  <c r="C170" i="26"/>
  <c r="BA272" i="26"/>
  <c r="AF220" i="18"/>
  <c r="AG220" i="18" s="1"/>
  <c r="AH220" i="18" s="1"/>
  <c r="AI220" i="18" s="1"/>
  <c r="N112" i="14"/>
  <c r="O112" i="14" s="1"/>
  <c r="P112" i="14" s="1"/>
  <c r="Q112" i="14" s="1"/>
  <c r="R112" i="14" s="1"/>
  <c r="S112" i="14" s="1"/>
  <c r="T112" i="14" s="1"/>
  <c r="AJ219" i="18"/>
  <c r="C52" i="18"/>
  <c r="D52" i="18"/>
  <c r="N130" i="11"/>
  <c r="R79" i="11"/>
  <c r="Q130" i="11"/>
  <c r="Y69" i="14"/>
  <c r="Y111" i="14" s="1"/>
  <c r="K50" i="11"/>
  <c r="K130" i="11" s="1"/>
  <c r="J50" i="11"/>
  <c r="J130" i="11" s="1"/>
  <c r="J131" i="11" s="1"/>
  <c r="C44" i="4"/>
  <c r="D44" i="4" s="1"/>
  <c r="H44" i="4" s="1"/>
  <c r="G49" i="10"/>
  <c r="I130" i="11"/>
  <c r="G32" i="10"/>
  <c r="C42" i="4"/>
  <c r="AA23" i="4"/>
  <c r="AA24" i="4" s="1"/>
  <c r="AA25" i="4" s="1"/>
  <c r="O53" i="4"/>
  <c r="P53" i="4"/>
  <c r="Q53" i="4"/>
  <c r="Q83" i="4" s="1"/>
  <c r="R53" i="4"/>
  <c r="E84" i="4"/>
  <c r="F84" i="4" s="1"/>
  <c r="G84" i="4" s="1"/>
  <c r="E32" i="6"/>
  <c r="F32" i="6"/>
  <c r="G32" i="6"/>
  <c r="H32" i="6"/>
  <c r="I32" i="6"/>
  <c r="J32" i="6"/>
  <c r="K32" i="6"/>
  <c r="L32" i="6"/>
  <c r="M32" i="6"/>
  <c r="N32" i="6"/>
  <c r="O32" i="6"/>
  <c r="E33" i="6"/>
  <c r="F33" i="6"/>
  <c r="G33" i="6"/>
  <c r="H33" i="6"/>
  <c r="I33" i="6"/>
  <c r="J33" i="6"/>
  <c r="K33" i="6"/>
  <c r="L33" i="6"/>
  <c r="M33" i="6"/>
  <c r="N33" i="6"/>
  <c r="O33" i="6"/>
  <c r="D33" i="6"/>
  <c r="D32" i="6"/>
  <c r="E30" i="6"/>
  <c r="F30" i="6"/>
  <c r="G30" i="6"/>
  <c r="H30" i="6"/>
  <c r="I30" i="6"/>
  <c r="J30" i="6"/>
  <c r="K30" i="6"/>
  <c r="L30" i="6"/>
  <c r="M30" i="6"/>
  <c r="N30" i="6"/>
  <c r="O30" i="6"/>
  <c r="E31" i="6"/>
  <c r="F31" i="6"/>
  <c r="G31" i="6"/>
  <c r="H31" i="6"/>
  <c r="I31" i="6"/>
  <c r="J31" i="6"/>
  <c r="K31" i="6"/>
  <c r="L31" i="6"/>
  <c r="M31" i="6"/>
  <c r="N31" i="6"/>
  <c r="O31" i="6"/>
  <c r="D31" i="6"/>
  <c r="D30" i="6"/>
  <c r="D34" i="6" s="1"/>
  <c r="R29" i="6"/>
  <c r="G60" i="2"/>
  <c r="T30" i="4"/>
  <c r="U30" i="4"/>
  <c r="V30" i="4"/>
  <c r="W30" i="4"/>
  <c r="S30" i="4"/>
  <c r="R30" i="4"/>
  <c r="X30" i="4" s="1"/>
  <c r="S14" i="3"/>
  <c r="S13" i="3"/>
  <c r="S12" i="3"/>
  <c r="S11" i="3"/>
  <c r="S10" i="3"/>
  <c r="S9" i="3"/>
  <c r="S8" i="3"/>
  <c r="S7" i="3"/>
  <c r="S16" i="3" s="1"/>
  <c r="H60" i="2"/>
  <c r="W43" i="4"/>
  <c r="R14" i="6"/>
  <c r="R13" i="6"/>
  <c r="R12" i="6"/>
  <c r="R11" i="6"/>
  <c r="R15" i="6" s="1"/>
  <c r="BB272" i="26" l="1"/>
  <c r="AJ220" i="18"/>
  <c r="AK220" i="18" s="1"/>
  <c r="AL220" i="18" s="1"/>
  <c r="AM220" i="18" s="1"/>
  <c r="AN220" i="18" s="1"/>
  <c r="AO220" i="18" s="1"/>
  <c r="AP220" i="18" s="1"/>
  <c r="AQ220" i="18" s="1"/>
  <c r="K44" i="4"/>
  <c r="K83" i="4" s="1"/>
  <c r="S79" i="11"/>
  <c r="R130" i="11"/>
  <c r="U112" i="14"/>
  <c r="V112" i="14" s="1"/>
  <c r="W112" i="14" s="1"/>
  <c r="X112" i="14" s="1"/>
  <c r="Y112" i="14" s="1"/>
  <c r="H130" i="11"/>
  <c r="G34" i="10"/>
  <c r="D42" i="4" s="1"/>
  <c r="R42" i="4" s="1"/>
  <c r="AA27" i="4"/>
  <c r="AA26" i="4"/>
  <c r="AA33" i="4" s="1"/>
  <c r="Y53" i="4"/>
  <c r="H30" i="7"/>
  <c r="I30" i="7"/>
  <c r="J30" i="7"/>
  <c r="G30" i="7"/>
  <c r="J25" i="7"/>
  <c r="I25" i="7"/>
  <c r="H25" i="7"/>
  <c r="F23" i="7"/>
  <c r="F24" i="7"/>
  <c r="F22" i="7"/>
  <c r="G21" i="7"/>
  <c r="F21" i="7"/>
  <c r="F20" i="7"/>
  <c r="E20" i="7"/>
  <c r="D26" i="6"/>
  <c r="D61" i="7"/>
  <c r="D60" i="7"/>
  <c r="D59" i="7"/>
  <c r="D58" i="7"/>
  <c r="E58" i="7" s="1"/>
  <c r="D57" i="7"/>
  <c r="F57" i="7" s="1"/>
  <c r="D56" i="7"/>
  <c r="F56" i="7" s="1"/>
  <c r="D55" i="7"/>
  <c r="F55" i="7" s="1"/>
  <c r="D52" i="7"/>
  <c r="E52" i="7" s="1"/>
  <c r="D51" i="7"/>
  <c r="F51" i="7" s="1"/>
  <c r="E49" i="7"/>
  <c r="I19" i="7" s="1"/>
  <c r="E48" i="7"/>
  <c r="E47" i="7"/>
  <c r="E46" i="7"/>
  <c r="E45" i="7"/>
  <c r="E44" i="7"/>
  <c r="O29" i="7"/>
  <c r="N29" i="7"/>
  <c r="N37" i="7" s="1"/>
  <c r="M29" i="7"/>
  <c r="M37" i="7" s="1"/>
  <c r="L29" i="7"/>
  <c r="K29" i="7"/>
  <c r="K37" i="7" s="1"/>
  <c r="J29" i="7"/>
  <c r="I29" i="7"/>
  <c r="G28" i="7"/>
  <c r="C16" i="7"/>
  <c r="E16" i="7" s="1"/>
  <c r="C15" i="7"/>
  <c r="E15" i="7" s="1"/>
  <c r="E14" i="7"/>
  <c r="D14" i="7"/>
  <c r="F13" i="7"/>
  <c r="F12" i="7"/>
  <c r="E12" i="7"/>
  <c r="G10" i="7"/>
  <c r="F10" i="7"/>
  <c r="E10" i="7"/>
  <c r="O6" i="7"/>
  <c r="E6" i="7"/>
  <c r="D6" i="7"/>
  <c r="X29" i="4"/>
  <c r="X83" i="4" s="1"/>
  <c r="R29" i="4"/>
  <c r="W29" i="4"/>
  <c r="W83" i="4" s="1"/>
  <c r="T29" i="4"/>
  <c r="U29" i="4"/>
  <c r="V29" i="4"/>
  <c r="V83" i="4" s="1"/>
  <c r="S29" i="4"/>
  <c r="I28" i="3"/>
  <c r="I27" i="3"/>
  <c r="I26" i="3"/>
  <c r="I25" i="3"/>
  <c r="I24" i="3"/>
  <c r="I23" i="3"/>
  <c r="I22" i="3"/>
  <c r="P28" i="4"/>
  <c r="E105" i="4"/>
  <c r="H36" i="4" s="1"/>
  <c r="E104" i="4"/>
  <c r="H35" i="4" s="1"/>
  <c r="E103" i="4"/>
  <c r="P26" i="4"/>
  <c r="O26" i="4"/>
  <c r="E102" i="4"/>
  <c r="E101" i="4"/>
  <c r="N101" i="4" s="1"/>
  <c r="E100" i="4"/>
  <c r="E99" i="4"/>
  <c r="E96" i="4"/>
  <c r="E95" i="4"/>
  <c r="N95" i="4" s="1"/>
  <c r="O41" i="4"/>
  <c r="O40" i="4"/>
  <c r="O39" i="4"/>
  <c r="O38" i="4"/>
  <c r="E23" i="5"/>
  <c r="O26" i="6"/>
  <c r="N26" i="6"/>
  <c r="M26" i="6"/>
  <c r="L26" i="6"/>
  <c r="K26" i="6"/>
  <c r="J26" i="6"/>
  <c r="I26" i="6"/>
  <c r="H26" i="6"/>
  <c r="G26" i="6"/>
  <c r="F26" i="6"/>
  <c r="E26" i="6"/>
  <c r="E22" i="5"/>
  <c r="E21" i="5"/>
  <c r="E20" i="5"/>
  <c r="E19" i="5"/>
  <c r="E18" i="5"/>
  <c r="D25" i="5"/>
  <c r="F25" i="5" s="1"/>
  <c r="D24" i="5"/>
  <c r="F24" i="5" s="1"/>
  <c r="D11" i="5"/>
  <c r="E11" i="5" s="1"/>
  <c r="D10" i="5"/>
  <c r="E10" i="5" s="1"/>
  <c r="D9" i="5"/>
  <c r="F9" i="5" s="1"/>
  <c r="D8" i="5"/>
  <c r="F8" i="5" s="1"/>
  <c r="D7" i="5"/>
  <c r="E7" i="5" s="1"/>
  <c r="U25" i="1"/>
  <c r="U26" i="1" s="1"/>
  <c r="W25" i="1"/>
  <c r="W26" i="1" s="1"/>
  <c r="W28" i="1"/>
  <c r="W29" i="1" s="1"/>
  <c r="U28" i="1"/>
  <c r="U29" i="1" s="1"/>
  <c r="U30" i="1" s="1"/>
  <c r="I14" i="3"/>
  <c r="I13" i="3"/>
  <c r="I12" i="3"/>
  <c r="I11" i="3"/>
  <c r="I10" i="3"/>
  <c r="I9" i="3"/>
  <c r="I8" i="3"/>
  <c r="I7" i="3"/>
  <c r="E48" i="2"/>
  <c r="F48" i="2" s="1"/>
  <c r="G56" i="2" s="1"/>
  <c r="H42" i="2"/>
  <c r="G42" i="2"/>
  <c r="E42" i="2"/>
  <c r="F42" i="1"/>
  <c r="E42" i="1"/>
  <c r="D42" i="1"/>
  <c r="G40" i="1"/>
  <c r="G39" i="1"/>
  <c r="G38" i="1"/>
  <c r="G36" i="1"/>
  <c r="G35" i="1"/>
  <c r="G34" i="1"/>
  <c r="G33" i="1"/>
  <c r="G32" i="1"/>
  <c r="G30" i="1"/>
  <c r="G29" i="1"/>
  <c r="G28" i="1"/>
  <c r="G26" i="1"/>
  <c r="G25" i="1"/>
  <c r="G23" i="1"/>
  <c r="G22" i="1"/>
  <c r="G21" i="1"/>
  <c r="G20" i="1"/>
  <c r="G19" i="1"/>
  <c r="G18" i="1"/>
  <c r="G16" i="1"/>
  <c r="G15" i="1"/>
  <c r="G13" i="1"/>
  <c r="G11" i="1"/>
  <c r="G9" i="1"/>
  <c r="G8" i="1"/>
  <c r="G7" i="1"/>
  <c r="G6" i="1"/>
  <c r="BC272" i="26" l="1"/>
  <c r="AR220" i="18"/>
  <c r="T79" i="11"/>
  <c r="S130" i="11"/>
  <c r="T42" i="4"/>
  <c r="T83" i="4" s="1"/>
  <c r="S42" i="4"/>
  <c r="S83" i="4" s="1"/>
  <c r="H83" i="4"/>
  <c r="H84" i="4" s="1"/>
  <c r="I84" i="4" s="1"/>
  <c r="J84" i="4" s="1"/>
  <c r="K84" i="4" s="1"/>
  <c r="L84" i="4" s="1"/>
  <c r="M84" i="4" s="1"/>
  <c r="N84" i="4" s="1"/>
  <c r="O96" i="4"/>
  <c r="N96" i="4"/>
  <c r="O99" i="4"/>
  <c r="N99" i="4"/>
  <c r="O83" i="4"/>
  <c r="O102" i="4"/>
  <c r="N102" i="4"/>
  <c r="O100" i="4"/>
  <c r="N100" i="4"/>
  <c r="U22" i="4"/>
  <c r="U83" i="4" s="1"/>
  <c r="R21" i="4"/>
  <c r="R83" i="4" s="1"/>
  <c r="L6" i="7"/>
  <c r="L37" i="7" s="1"/>
  <c r="F58" i="7"/>
  <c r="J37" i="7"/>
  <c r="E37" i="7"/>
  <c r="D16" i="7"/>
  <c r="O37" i="7"/>
  <c r="E51" i="7"/>
  <c r="G37" i="7"/>
  <c r="H19" i="7"/>
  <c r="H37" i="7" s="1"/>
  <c r="F52" i="7"/>
  <c r="E57" i="7"/>
  <c r="F37" i="7"/>
  <c r="D15" i="7"/>
  <c r="D37" i="7" s="1"/>
  <c r="E56" i="7"/>
  <c r="E55" i="7"/>
  <c r="P26" i="6"/>
  <c r="C6" i="6" s="1"/>
  <c r="C7" i="6" s="1"/>
  <c r="I16" i="3"/>
  <c r="I30" i="3"/>
  <c r="O101" i="4"/>
  <c r="P38" i="4"/>
  <c r="P83" i="4" s="1"/>
  <c r="O95" i="4"/>
  <c r="E8" i="5"/>
  <c r="F10" i="5"/>
  <c r="E24" i="5"/>
  <c r="F11" i="5"/>
  <c r="F7" i="5"/>
  <c r="E25" i="5"/>
  <c r="E9" i="5"/>
  <c r="Z25" i="1"/>
  <c r="Z27" i="1" s="1"/>
  <c r="W30" i="1"/>
  <c r="G42" i="1"/>
  <c r="BD272" i="26" l="1"/>
  <c r="AS220" i="18"/>
  <c r="AT220" i="18" s="1"/>
  <c r="AU220" i="18" s="1"/>
  <c r="AV220" i="18" s="1"/>
  <c r="AW220" i="18" s="1"/>
  <c r="AX220" i="18" s="1"/>
  <c r="AY220" i="18" s="1"/>
  <c r="AZ220" i="18" s="1"/>
  <c r="BA220" i="18" s="1"/>
  <c r="BB220" i="18" s="1"/>
  <c r="BC220" i="18" s="1"/>
  <c r="BD220" i="18" s="1"/>
  <c r="BE220" i="18" s="1"/>
  <c r="U79" i="11"/>
  <c r="T130" i="11"/>
  <c r="O84" i="4"/>
  <c r="P84" i="4" s="1"/>
  <c r="Q84" i="4" s="1"/>
  <c r="R84" i="4" s="1"/>
  <c r="S84" i="4" s="1"/>
  <c r="T84" i="4" s="1"/>
  <c r="U84" i="4" s="1"/>
  <c r="V84" i="4" s="1"/>
  <c r="W84" i="4" s="1"/>
  <c r="X84" i="4" s="1"/>
  <c r="K131" i="11"/>
  <c r="L131" i="11" s="1"/>
  <c r="M131" i="11" s="1"/>
  <c r="I6" i="7"/>
  <c r="I37" i="7" s="1"/>
  <c r="O38" i="7" s="1"/>
  <c r="BE272" i="26" l="1"/>
  <c r="BF220" i="18"/>
  <c r="BG220" i="18" s="1"/>
  <c r="BH220" i="18" s="1"/>
  <c r="U130" i="11"/>
  <c r="V79" i="11"/>
  <c r="BF272" i="26" l="1"/>
  <c r="BI220" i="18"/>
  <c r="BJ220" i="18" s="1"/>
  <c r="BK220" i="18" s="1"/>
  <c r="BL220" i="18" s="1"/>
  <c r="BM220" i="18" s="1"/>
  <c r="BN220" i="18" s="1"/>
  <c r="BO220" i="18" s="1"/>
  <c r="BP220" i="18" s="1"/>
  <c r="W79" i="11"/>
  <c r="V130" i="11"/>
  <c r="BG272" i="26" l="1"/>
  <c r="BQ220" i="18"/>
  <c r="BR220" i="18" s="1"/>
  <c r="BS220" i="18" s="1"/>
  <c r="BT220" i="18" s="1"/>
  <c r="X79" i="11"/>
  <c r="W130" i="11"/>
  <c r="N131" i="11"/>
  <c r="O131" i="11" s="1"/>
  <c r="P131" i="11" s="1"/>
  <c r="Q131" i="11" s="1"/>
  <c r="R131" i="11" s="1"/>
  <c r="S131" i="11" s="1"/>
  <c r="T131" i="11" s="1"/>
  <c r="U131" i="11" s="1"/>
  <c r="V131" i="11" s="1"/>
  <c r="BH272" i="26" l="1"/>
  <c r="BU220" i="18"/>
  <c r="BV220" i="18" s="1"/>
  <c r="BW220" i="18" s="1"/>
  <c r="BX220" i="18" s="1"/>
  <c r="BY220" i="18" s="1"/>
  <c r="BZ220" i="18" s="1"/>
  <c r="CA220" i="18" s="1"/>
  <c r="CB220" i="18" s="1"/>
  <c r="Y79" i="11"/>
  <c r="X130" i="11"/>
  <c r="W131" i="11"/>
  <c r="BI272" i="26" l="1"/>
  <c r="CC220" i="18"/>
  <c r="CD220" i="18" s="1"/>
  <c r="CE220" i="18" s="1"/>
  <c r="CF220" i="18" s="1"/>
  <c r="CG220" i="18" s="1"/>
  <c r="CH220" i="18" s="1"/>
  <c r="CI220" i="18" s="1"/>
  <c r="CJ220" i="18" s="1"/>
  <c r="CK220" i="18" s="1"/>
  <c r="CL220" i="18" s="1"/>
  <c r="CM220" i="18" s="1"/>
  <c r="CN220" i="18" s="1"/>
  <c r="CO220" i="18" s="1"/>
  <c r="CP220" i="18" s="1"/>
  <c r="CQ220" i="18" s="1"/>
  <c r="CR220" i="18" s="1"/>
  <c r="CS220" i="18" s="1"/>
  <c r="CT220" i="18" s="1"/>
  <c r="CU220" i="18" s="1"/>
  <c r="CV220" i="18" s="1"/>
  <c r="CW220" i="18" s="1"/>
  <c r="CX220" i="18" s="1"/>
  <c r="CY220" i="18" s="1"/>
  <c r="CZ220" i="18" s="1"/>
  <c r="X131" i="11"/>
  <c r="Z79" i="11"/>
  <c r="Y130" i="11"/>
  <c r="BJ272" i="26" l="1"/>
  <c r="Y131" i="11"/>
  <c r="AA79" i="11"/>
  <c r="Z130" i="11"/>
  <c r="BK272" i="26" l="1"/>
  <c r="Z131" i="11"/>
  <c r="AB79" i="11"/>
  <c r="AA130" i="11"/>
  <c r="BL272" i="26" l="1"/>
  <c r="AA131" i="11"/>
  <c r="AC79" i="11"/>
  <c r="AB130" i="11"/>
  <c r="BM272" i="26" l="1"/>
  <c r="AB131" i="11"/>
  <c r="AD79" i="11"/>
  <c r="AD130" i="11" s="1"/>
  <c r="AC130" i="11"/>
  <c r="BN272" i="26" l="1"/>
  <c r="AC131" i="11"/>
  <c r="AD131" i="11" s="1"/>
  <c r="BO272" i="26" l="1"/>
  <c r="BP272" i="26" l="1"/>
  <c r="BQ272" i="26" l="1"/>
  <c r="BR272" i="26" l="1"/>
  <c r="BS272" i="26" l="1"/>
  <c r="BT272" i="26" l="1"/>
  <c r="BU272" i="26" l="1"/>
  <c r="BV272" i="26" l="1"/>
  <c r="BW272" i="26" l="1"/>
  <c r="BX272" i="26" l="1"/>
  <c r="BY272" i="26" s="1"/>
  <c r="BZ272" i="26" s="1"/>
  <c r="CA272" i="26" l="1"/>
  <c r="CB272" i="26" l="1"/>
  <c r="CC272" i="26" l="1"/>
  <c r="CD272" i="26" s="1"/>
  <c r="CE272" i="26" s="1"/>
  <c r="CF272" i="26" l="1"/>
  <c r="CG272" i="26" s="1"/>
  <c r="CH272" i="26" s="1"/>
  <c r="CI272" i="26" l="1"/>
  <c r="CJ272" i="26" s="1"/>
  <c r="CK272" i="26" l="1"/>
  <c r="CL272" i="26" l="1"/>
  <c r="CM272" i="26" l="1"/>
  <c r="CN272" i="26" l="1"/>
  <c r="CO272" i="26" l="1"/>
  <c r="CP272" i="26" l="1"/>
  <c r="CQ272" i="26" s="1"/>
  <c r="CR272" i="26" s="1"/>
  <c r="CS272" i="26" l="1"/>
  <c r="CT272" i="26" s="1"/>
  <c r="CU272" i="26" s="1"/>
  <c r="CV272" i="26" s="1"/>
  <c r="CW272" i="26" s="1"/>
  <c r="CX272" i="26" l="1"/>
  <c r="CY272" i="26" s="1"/>
  <c r="CZ272" i="26" l="1"/>
  <c r="DA272" i="26" s="1"/>
  <c r="DB272" i="26" s="1"/>
  <c r="DC272" i="26" s="1"/>
  <c r="DD272" i="26" s="1"/>
  <c r="DE272" i="26" s="1"/>
  <c r="DF272" i="26" l="1"/>
  <c r="DG272" i="26" s="1"/>
  <c r="DH272" i="26" s="1"/>
  <c r="DI272" i="26" s="1"/>
  <c r="DJ272" i="26" s="1"/>
  <c r="DK272" i="26" s="1"/>
  <c r="DL272" i="26" s="1"/>
  <c r="DM272" i="26" s="1"/>
  <c r="DN272" i="26" s="1"/>
  <c r="DO272" i="26" s="1"/>
  <c r="DP272" i="26" s="1"/>
  <c r="DQ272" i="26" s="1"/>
  <c r="DR272" i="26" s="1"/>
  <c r="DS272" i="26" s="1"/>
  <c r="DT272" i="26" s="1"/>
  <c r="DU272" i="26" s="1"/>
  <c r="DV272" i="26" s="1"/>
  <c r="DW272" i="26" s="1"/>
  <c r="DX272" i="26" s="1"/>
  <c r="DY272" i="26" s="1"/>
  <c r="DZ272" i="26" s="1"/>
  <c r="EA272" i="26" s="1"/>
  <c r="EB272" i="26" s="1"/>
  <c r="EC272" i="26" s="1"/>
  <c r="ED272" i="26" s="1"/>
  <c r="EE272" i="26" s="1"/>
  <c r="EF272" i="26" s="1"/>
  <c r="EG272" i="26" s="1"/>
  <c r="EH272" i="26" s="1"/>
  <c r="EI272" i="26" s="1"/>
  <c r="EJ272" i="26" s="1"/>
  <c r="EK272" i="26" s="1"/>
  <c r="EL272" i="26" s="1"/>
  <c r="EM272" i="26" s="1"/>
  <c r="EN272" i="2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tc={8ABFD359-0E8B-4963-841B-5FCE1B385050}</author>
    <author>tc={D7BC1843-78D3-4BAC-A913-5A7876CEDD24}</author>
    <author>tc={D7B4305A-8FBF-4BB8-B4E2-8028D98D941F}</author>
    <author>tc={27E16FA5-413A-492F-B5EB-3D5D25A35F44}</author>
    <author>tc={6E70894F-EDBB-4704-A3DB-F70B969FA0C9}</author>
    <author>tc={8EBA9BAD-9868-4AC6-81BC-22843382E8DC}</author>
    <author>tc={070332EC-9CF8-44A1-8FF3-C35D8F3EE55B}</author>
    <author>tc={6C46F99F-8A7A-41B9-9707-E3F6280987AD}</author>
    <author>tc={6CCC4167-11B5-45ED-BFB8-6E7FF30BF129}</author>
    <author>tc={5DD060D3-1B9E-4850-A6F4-17084265B300}</author>
    <author>tc={15313C25-A9C2-4A72-A274-08B368067C6F}</author>
    <author>tc={B6BCA140-6892-43AC-ABC4-0B0EE29875B5}</author>
    <author>tc={40A8DD27-A041-48CF-BA52-251FA66973BE}</author>
    <author>tc={2E1EB12F-E328-426B-ABA8-60646F73CFD8}</author>
    <author>tc={C9EE327A-34EF-4C7D-9D87-8814B1694936}</author>
    <author>tc={9112BC45-C04F-4290-BE50-D9685033294B}</author>
    <author>tc={DA5A0819-79EA-4561-B598-6E36A45B3F71}</author>
    <author>tc={115C2B3D-1D26-49B1-A1FD-BA92A20EBAE8}</author>
    <author>tc={5F86CA56-3A6D-43D6-9BFF-AFC8717E7DF2}</author>
    <author>tc={5D77DB87-8738-423D-8973-660F9F098606}</author>
    <author>tc={4F141401-7BE9-45C1-8708-461473383210}</author>
    <author>tc={09200824-DE1E-4477-8059-1BAB156767A9}</author>
    <author>tc={3C2F9433-71F1-4DAE-B3F6-1C661B5DA69D}</author>
    <author>tc={21240779-A892-437D-B608-7D594F5FC720}</author>
    <author>tc={08B89A3A-4E16-4E61-9B27-6C96BFF22281}</author>
    <author>tc={3C24E32A-74C6-4B8A-83B9-F478FCC354FF}</author>
    <author>tc={6DB490D1-FDBB-44EA-8EA9-C8C8D723974C}</author>
    <author>tc={791D6C15-293E-4605-8427-55ECA7338728}</author>
    <author>tc={F9A11236-5EA1-4C67-94B9-CF6DAADC4610}</author>
    <author>tc={AE556D65-6147-4045-BAD5-3E42F5B70307}</author>
    <author>tc={DDB8795D-0735-4D45-9DAA-ABC2646A7189}</author>
    <author>tc={4EFBCACF-64B0-48C7-AF7A-F2E99891AEA7}</author>
    <author>tc={775D087A-9DB6-4475-B6F4-870AFC14F536}</author>
    <author>tc={E5F84AF8-B1E8-41B7-BB5D-225E5489F389}</author>
    <author>tc={627705C6-BE87-437E-8703-D335C2091230}</author>
    <author>tc={361AFA08-624B-443B-BFB4-2C3E69A0D87F}</author>
    <author>tc={2E673731-3512-4C6D-8460-F4C1D672214A}</author>
    <author>tc={B320FFB7-A704-4AAB-B04F-EF0BB76AA570}</author>
    <author>tc={0A4B7487-C068-407F-8666-37A2E2652A18}</author>
    <author>tc={68B39FF7-C07C-430B-8C9B-0854DCAFE7ED}</author>
    <author>tc={6E5EFE38-D5FA-4A2B-B338-4ED39EA2AA53}</author>
    <author>tc={F85A750E-11D8-429F-B559-E8E7EB99B313}</author>
    <author>tc={0EE897C5-681A-4B31-99E0-BA98C3545226}</author>
    <author>tc={C5687163-4484-4FD7-BF9D-FB1790455FE8}</author>
    <author>tc={341ABD5C-9602-41F9-842B-659EFAA9F3C4}</author>
    <author>tc={303FD1C8-2B00-40B8-8947-A5946BA842E0}</author>
    <author>tc={29124277-5414-4AA1-9C86-69BEF2EE1A7E}</author>
    <author>tc={C85B86A5-4E09-4965-AA81-60637C901350}</author>
    <author>tc={F423CD44-8AF3-4CC5-8CB9-AC65ECB933AD}</author>
    <author>tc={6F769FDB-0B4A-47BB-95F8-FE2250ED8FFA}</author>
    <author>tc={FADB02A9-3A66-4C5C-88C9-C156EB39F9F9}</author>
    <author>tc={906568A0-A92C-4F5D-8039-2DD1CB05282A}</author>
    <author>tc={3C559BCD-60D7-4E46-B71B-A55F61DD9743}</author>
    <author>tc={AF4AA49C-F630-4CA8-B792-BB8F68C056A3}</author>
    <author>tc={9341F716-DDFE-4AF4-A56C-030C4DE706B1}</author>
    <author>tc={362BC22D-BF95-476C-9811-EABC613FC864}</author>
    <author>tc={F46CECE4-FE48-43F0-ACE6-BE576CECF64D}</author>
    <author>tc={8EC57206-C8DE-4999-B690-8F5DE78193BA}</author>
    <author>tc={8AB0B7A0-8FF4-4870-9B17-02D27C4AB6AA}</author>
    <author>tc={91921A1D-6F4A-47D9-AC54-676414DE5A41}</author>
    <author>tc={B441FB6F-6E23-4717-8B22-4F308530D878}</author>
    <author>tc={EDE6EDE6-770A-4828-B8B6-B0F0BE22A343}</author>
    <author>Jason Flynn</author>
    <author>tc={270054BB-675C-4C61-B26C-24075B38EF9B}</author>
    <author>tc={031D2181-DD19-41F8-B042-3BA7A3C996B2}</author>
    <author>tc={0FD929A9-63FB-477E-8EA5-3CB7392005D7}</author>
    <author>tc={C13A78D9-F077-4C13-A5C7-5FE070BBAC02}</author>
    <author>tc={CF5303AD-CE24-456A-AB9E-7A9376525FD5}</author>
    <author>tc={0D1FA876-A9CA-4D48-A183-FDD01C41514F}</author>
    <author>tc={65DBAC88-434C-45B0-B7BA-B1F2283D1552}</author>
    <author>tc={C984A23A-ABB0-4AFD-935D-DBC0C104F061}</author>
    <author>tc={D435F781-E231-4936-ABA0-0C5A353FEC07}</author>
    <author>tc={CA6AD2DB-6DFF-4CD2-92DB-242545CBF9A3}</author>
    <author>tc={84070007-5B7F-4A4A-BD5B-18DB2CEC4697}</author>
    <author>tc={9C6F06CB-DEE3-4EAC-9679-CC97CC70A8FB}</author>
    <author>tc={90070C7F-B0D9-4696-BE31-90DADE817DF5}</author>
    <author>tc={1ADCA535-85D1-4AD9-B861-D4AB0115D1FB}</author>
    <author>tc={C216B6B9-7E4B-4E78-A760-34B619A75F36}</author>
    <author>tc={CBAD2F53-5593-47D3-B6B1-A5493FAC1DAE}</author>
    <author>tc={0D9037D4-4E6E-49A6-B29D-D863CBFF4B57}</author>
    <author>tc={2AF7F077-E371-4C9A-AD23-4F31C8E3F422}</author>
    <author>tc={78F273F7-FF3D-41F0-BC13-3803DFDF3F27}</author>
    <author>tc={A3448C0B-DE13-4DEE-AE8C-EE037C4D325C}</author>
    <author>tc={0660969E-4D47-4D49-89B3-65D0CA16BF39}</author>
    <author>tc={7EC091F7-76B4-4D87-9D4F-F6BF05A87FC6}</author>
    <author>tc={5CB17B15-6CAF-42CC-ACC9-5B623050A92B}</author>
    <author>tc={4FB4C332-CE06-472F-9762-56BCA1062FBE}</author>
    <author>tc={B9476FA8-062A-408D-8855-096BFAA2A5DE}</author>
    <author>tc={9B085629-FFA4-4793-A087-70DED27015F5}</author>
    <author>tc={445732E5-D7EA-46DD-9466-EB341AFC3EFF}</author>
    <author>tc={1AFD215D-1376-4473-9C01-64BCD29A802C}</author>
    <author>tc={B1E7D382-6831-4B27-B731-94F8C5E87B21}</author>
    <author>tc={96057850-645D-4497-98F5-FED23DCC2599}</author>
    <author>tc={F04CE64A-98E9-42C5-9503-8DD6375BDB02}</author>
    <author>tc={8CD00AA0-486B-464D-A460-BF0B9926A257}</author>
    <author>tc={A476BE8D-FE21-4A24-B17A-8AA6B2F25866}</author>
    <author>tc={EB15C6A2-C847-4B73-AFD5-95BCC5CE03B1}</author>
    <author>tc={BF832690-FEE9-49ED-93E5-C54E5AE27930}</author>
    <author>tc={1CE8EA52-504F-4496-8A6D-D541C930838C}</author>
    <author>tc={9E7ABC8F-8703-4DC2-92DC-354733743B08}</author>
    <author>tc={17324BAF-48A9-4130-A82F-813D3F924C79}</author>
    <author>tc={7DE7E7DB-2977-4B4C-B9C5-42F70969C9E2}</author>
    <author>tc={A49F0D5A-283C-49B2-86C8-B3CE1C926482}</author>
    <author>tc={87E36F46-CDC2-4C29-987E-F83D42F28C56}</author>
    <author>tc={9249FBE7-7234-48B1-8CE3-7E0C2D149414}</author>
    <author>tc={78855D38-C4C8-45A0-B139-52DEBF647BEE}</author>
    <author>tc={23FE004A-0F15-46A4-A5CA-F3D513B1CF51}</author>
    <author>tc={CFFAFB5C-338C-4BE2-AEE1-86F5116BD2F5}</author>
    <author>tc={00C6DD53-CC03-4BAE-8622-310404490F8B}</author>
    <author>tc={B9ADCFD4-0EBF-4984-97A8-BFC2D4064C23}</author>
    <author>tc={D81D11D9-7445-4BA8-BE3D-CEADCB57120C}</author>
    <author>tc={B7F34373-159D-45AA-B3CB-26C0AE2D6152}</author>
    <author>tc={C350D918-91D3-4FE2-8443-0E8DEFE65956}</author>
    <author>tc={968458CE-40CF-4A6F-9CA1-024B4EB1C6B4}</author>
    <author>tc={50CD4646-62DE-4157-835E-9CA00E7F5404}</author>
    <author>tc={0C650FDA-7510-41B6-BC75-C29934991335}</author>
    <author>tc={25D66DB0-A4C2-40A0-AA10-0C3E8256ADB6}</author>
    <author>tc={D23A57F2-ED0D-4C5F-9C19-64787EF0F85A}</author>
    <author>tc={F96FCC4C-D8C2-46B5-97A2-EFECCB8CAA4E}</author>
    <author>tc={756192D2-07B3-4A75-B370-6F41D598250F}</author>
    <author>tc={585AC70D-9355-44CE-ADA7-C38E223857C1}</author>
    <author>tc={BE08681E-490E-492D-9D2E-7BC0567AD754}</author>
    <author>tc={1E540134-69BE-42A3-BF00-CA62579287D4}</author>
    <author>tc={5778A2B5-085D-44CB-8FF9-476EFD2E907C}</author>
    <author>tc={49295B44-C5DC-4778-BA86-1A9F6A535F15}</author>
    <author>tc={C4E822F0-0090-49B2-BDC7-6DA3F6EDA947}</author>
    <author>tc={C0ADD48F-1841-4798-AE2F-D366E3EA084C}</author>
    <author>tc={FDA75392-6080-4997-9038-E2A871911A27}</author>
    <author>tc={33217BAF-C8FB-4209-A274-2B382A1A9A0E}</author>
    <author>tc={DFB0FCAD-8AF1-419B-8A8E-FF93811A40C7}</author>
    <author>tc={BAC9607B-CABD-4182-B453-79304252DA49}</author>
    <author>tc={F0657548-A1F8-4DE0-8429-312D070D5E86}</author>
    <author>tc={D062CECB-DB3D-4FA8-A945-E967AF14F20B}</author>
    <author>tc={2F6FCAD1-89A7-48FF-B094-2FCFDFEE0A82}</author>
    <author>tc={6F3FF4D9-FB43-45BE-9D79-BE1EF86D40F8}</author>
    <author>tc={D0278581-E389-4B1C-9FD4-546725A90A48}</author>
    <author>tc={85D042EE-A094-4A53-9C9E-24CED83CB0E9}</author>
    <author>tc={14BDC874-4B0C-405E-92F6-00A08FF6B1D5}</author>
    <author>tc={8508C336-05BA-4C17-B5BF-57AFC4739B5A}</author>
    <author>tc={694CF6C0-AA17-48E6-A242-5F3ACA197A5C}</author>
    <author>tc={A0585D35-4E4C-4C42-B7B9-46B57232C5BD}</author>
    <author>tc={BE9A7A69-FC69-4FB2-8768-B1B2DA6F7248}</author>
    <author>tc={89081941-E41B-4A2F-9ADC-AE2E6C7ADAFC}</author>
    <author>tc={36B1F1C1-B051-4853-BE67-21FFC9ED3996}</author>
    <author>tc={C9D755F4-E8E1-467B-89B1-9DD8FE9147CE}</author>
    <author>tc={7D2D331F-D1D9-4647-A899-747C7EE7AE2D}</author>
    <author>tc={464A9F07-A9DC-4BD7-A3CB-5D92E53C7BF2}</author>
    <author>tc={A86A6FA5-5FB5-4E89-BEB9-4C9C7344FFB4}</author>
    <author>tc={AD729595-D1C7-4C1C-9851-5BEBFEE384D5}</author>
    <author>tc={6632C30E-033F-4686-965B-C27D57631DDD}</author>
    <author>tc={E2137352-D037-4FBB-8D8D-0E4DD8A129E3}</author>
    <author>tc={596CB7A4-7D43-4856-B99E-C6CA1E16AFB0}</author>
    <author>tc={DF510860-5100-454C-B6E6-621527FF912C}</author>
    <author>tc={52B7937A-AB7F-4E3D-85C3-9694628A0543}</author>
    <author>tc={0116C562-1C0F-4F29-97B1-D86D8C9BFBBA}</author>
    <author>tc={C20A7EC2-4412-4164-A598-ACE2BCFBCC33}</author>
    <author>tc={4ECDDA1F-CFBE-4EDB-8517-00F5FC5E4861}</author>
    <author>tc={99024DDD-E150-4FA3-B79D-9AECFA554C57}</author>
    <author>tc={2EE2814D-7E2E-41E9-ACE1-240A1C441080}</author>
    <author>tc={766F45D6-40B5-4BD8-B643-C890ABDF68B8}</author>
    <author>tc={827C2EA0-00FB-450B-A6D3-784B67D94D85}</author>
    <author>tc={B2B5CAC7-6C74-4FFF-B55B-C815750F69E7}</author>
    <author>tc={2DEE29CF-F060-4DE4-BDE7-2059EF603F3A}</author>
    <author>tc={137B79FB-8BBF-41B7-BCF9-B3B5286F4DC1}</author>
    <author>tc={B68A78F6-0CA2-4446-8D1E-813CF6A4CA02}</author>
    <author>tc={D901E868-D9DD-4F09-AA66-22F237E3D048}</author>
    <author>tc={38BB67AC-597E-4882-9F06-1AC5F4EB740E}</author>
    <author>tc={D8F08B22-0FC4-4815-A004-5EE2CF02D064}</author>
    <author>tc={2E708C4E-0735-4BC9-A314-3FC89F09EDBF}</author>
    <author>tc={6CE8BEBF-F972-49EB-9872-792DCF3DD5D3}</author>
    <author>tc={C646C400-DADC-44F8-AC7D-FA6E699E57F8}</author>
    <author>tc={3C87B503-5B97-4228-89AA-42586CFCE6D0}</author>
    <author>tc={3F71712C-5B5F-4313-B73C-C27DC67409D7}</author>
    <author>tc={4F3C3657-14DB-41AA-94FF-95D04C0AA6D3}</author>
    <author>tc={FF69C140-D439-402D-9282-3EF43E0D25C1}</author>
    <author>tc={9AF738B7-0A3F-4764-9219-AAD0D69BA9E4}</author>
    <author>tc={AED34855-73F3-40C7-95A8-BAA2211CF59B}</author>
    <author>tc={8D1B59BE-9443-4AED-AFD4-C3007DE1D250}</author>
    <author>tc={E8E41BE4-270A-4A6E-BB2C-F29177158B21}</author>
    <author>tc={AEC55309-E95B-4F4D-8AB1-D721E591B416}</author>
    <author>tc={B1607C18-E28A-4CFB-B66C-DFFD5A145703}</author>
    <author>tc={BCFA122A-C9F2-47EC-B702-71AF648C8924}</author>
    <author>tc={4794E84A-0D41-4E90-895F-9E91FC532037}</author>
    <author>tc={5738EC49-7B4E-4450-8F9F-4CF779F0E242}</author>
    <author>tc={1FC0CA89-ADEB-45A8-BFC0-29C55922B329}</author>
    <author>tc={3F642F44-18C4-47CD-8664-5CEC04F640A1}</author>
    <author>tc={1632412B-5C35-486E-9B77-B8F07B8662BC}</author>
    <author>tc={BAB91B94-4AEB-4D11-A241-BB7E2F488CCC}</author>
    <author>tc={18209FBA-CB46-46EE-AC85-C93EAA56710C}</author>
    <author>tc={19E9AC68-0558-4085-9A20-46427DE583C1}</author>
    <author>tc={5A39B761-4F7A-49B6-9244-F79EDD693655}</author>
    <author>tc={37A8495D-9C7F-4550-9626-83C162624060}</author>
    <author>tc={AAE0C7B7-5F71-4257-BB74-7CEB942A806F}</author>
    <author>tc={90762BDB-DA9D-461A-B250-B4B15C29A949}</author>
    <author>tc={59B51B02-B048-42C2-B095-AD87B9515610}</author>
    <author>tc={5F5CCFB9-28D0-4A12-B1EC-A9128A747C96}</author>
    <author>tc={B879F7F8-C28F-4287-B485-AD1DD28C73F5}</author>
    <author>tc={C2DFA453-11E3-4C53-BBCC-FE7622F262F8}</author>
    <author>tc={315EFFC2-E9D6-4699-AB16-52E5B25B0C3B}</author>
    <author>tc={E1B655A4-911B-4D53-A5BE-80330522D209}</author>
    <author>tc={912F45AE-BABA-4AB3-A770-A52E034BB425}</author>
    <author>tc={B0D8B083-7659-48C8-8CAF-7F4B939E0F2F}</author>
    <author>tc={4822C99D-53FD-4014-844C-C60E8CFF5A0F}</author>
    <author>tc={0C5B87D2-4486-434F-B1B5-F07F7CE9EF52}</author>
    <author>tc={BB5AEBD6-9E6D-4802-B393-EE7826623FC2}</author>
    <author>tc={3455BD09-570C-4493-9F87-C315FB654788}</author>
    <author>tc={8D34F666-E926-4C2A-A554-806DDB0A7C44}</author>
    <author>tc={4B110E38-5620-4D4F-BCD1-D6B8295C8F76}</author>
    <author>tc={6933419E-C1C5-4242-9508-14798C33BD77}</author>
    <author>tc={7BAA2C10-0DD3-48B7-B0B4-C0FD95CCD80D}</author>
    <author>tc={3DFEC950-657E-4A16-A10B-D15518066A96}</author>
    <author>tc={38024711-CC6D-4BD2-8A4D-2002B6EE7526}</author>
    <author>tc={DA91CCDC-6E70-4744-97FB-56D5513036CF}</author>
    <author>tc={9920D1CB-9903-445A-9D4E-2C91A4518F8C}</author>
    <author>tc={8A5053A8-C10D-4153-AAEC-D6CFAB082D06}</author>
    <author>tc={202AC023-AB2C-4975-99DE-601DB6BF7E3D}</author>
    <author>tc={5C4C3656-D37A-4D50-A138-E7D45CFB2682}</author>
    <author>tc={4BD603ED-79E0-4D69-952D-0A781B378CE0}</author>
    <author>tc={BD5518B3-5B85-4101-BDC4-82D8921BF646}</author>
    <author>tc={0DFD5066-BF39-4091-BAE2-58E9202E6921}</author>
    <author>tc={D7F36531-A406-4D37-8CA1-6144DEE8604F}</author>
    <author>tc={7671705E-2886-4D37-869E-35A5ED81EBEF}</author>
    <author>tc={98216DA2-CDB5-4540-BBDC-C7BD4A374CD5}</author>
    <author>tc={BBA18B98-7932-434D-9F53-E95CC3690B31}</author>
    <author>tc={0026C3C7-D9D9-42C5-9105-0BEEB856582E}</author>
    <author>tc={C51FB3F5-4D06-4BF0-A0E6-73C6C9A9971E}</author>
    <author>tc={286D62A2-A52A-40CD-A1AB-0A652BFA582D}</author>
    <author>tc={A421220B-19F6-47DC-8DEA-FA856939F4F1}</author>
    <author>tc={ADDAC770-8C23-460B-A4D2-9D4197B7BC78}</author>
    <author>tc={ECE296BD-D8A1-4ABB-B1A8-2F404E7F83E2}</author>
    <author>tc={794169C7-028F-4B8C-99EF-9186ED619710}</author>
    <author>tc={C387EFF4-1A32-4759-958B-625C07D9EA3E}</author>
    <author>tc={0709181C-87B2-4DF4-88AC-B8CAE187B631}</author>
    <author>tc={282A118A-9702-4ADB-8911-6CA7E2BE69F6}</author>
    <author>tc={F8884FBE-A1A5-4979-9308-BA0AC205F564}</author>
    <author>tc={6AB229A8-F4CE-46C3-B6C0-4C906BD9FEE0}</author>
    <author>tc={DBBBEDEC-89D1-4503-AE61-B988CFAF9D82}</author>
    <author>tc={ED8FCD58-EA58-4FDE-9B3A-7539FA9786A0}</author>
    <author>tc={A1041E07-19DB-4049-938F-9022B59E6D6F}</author>
    <author>tc={F1C7359E-2A2F-4025-8961-D35D51FE3F15}</author>
    <author>tc={EC495831-D944-492F-A9DF-499E92DAAD64}</author>
    <author>tc={E380B176-ACFA-4FDF-8A40-95BAFED962F8}</author>
    <author>tc={DA05A555-0719-4148-8458-092F2A4F259E}</author>
    <author>tc={EE66D3E0-873A-4326-915D-55323D8F2D71}</author>
    <author>tc={8C5E69A3-2115-4964-8BC5-6A10EADB550C}</author>
    <author>tc={C70CB024-ABA9-461C-AEB1-F054CB0F912E}</author>
    <author>tc={D5AD4315-216A-4808-9735-276377295B2C}</author>
    <author>tc={0BB8266F-D071-4558-BE7E-FA47A3552005}</author>
    <author>tc={9A250290-C87E-49B2-B1E5-E43720970ABB}</author>
    <author>tc={62BA0F01-D75A-4D54-8A49-A63C44C54DD0}</author>
    <author>tc={64544891-A829-4C75-838D-BE40B38D7F76}</author>
    <author>tc={884BF3A3-FDBA-4024-9304-13349EE8140C}</author>
    <author>tc={AE3C9689-54F0-4238-8A1B-4E1C66F384D5}</author>
    <author>tc={46A2EB6A-4C6B-4697-B986-4A6E4C6D9FC3}</author>
    <author>tc={1EE56D9D-ACB0-4504-89BD-C9878AA8907A}</author>
    <author>tc={01DCBB0A-447D-4D0C-9B80-2315C8062C15}</author>
    <author>tc={CAD47DF5-8A86-433E-BF18-F5F553C9EE89}</author>
    <author>tc={D9F26D08-2DC6-4AE4-B2FC-86C0F07EC54A}</author>
    <author>tc={28ECE9A5-9E20-4BC5-A4AF-6419F3AEE9A9}</author>
    <author>tc={EBFB5318-137C-483C-8653-F302B8AE6EB9}</author>
    <author>tc={D966ED46-C490-4A63-BD16-DEDC53A5CCC2}</author>
    <author>tc={1A63C109-31A2-4CC6-92D1-A90163D77EBD}</author>
    <author>tc={1C7E2075-0A2A-47BA-A66A-94BEC4FCA069}</author>
    <author>tc={EA4D1037-AE30-497F-95FD-7DCB58035CE9}</author>
    <author>tc={DC2DD441-7311-4CC3-B68F-0E650F1E4FD3}</author>
    <author>tc={097FE6D9-5E35-4B7A-AD9F-E63E9B1B89B0}</author>
    <author>tc={A042B3B5-92E0-4F46-9A08-E6895FFD7AB9}</author>
    <author>tc={B54ECA59-8AE1-4502-B940-8782420F45E3}</author>
    <author>tc={9E7206D8-2353-48F9-A163-CA0BFF628CAF}</author>
    <author>tc={2894BF56-59CE-4BDF-A26A-A7C43F5E96F9}</author>
    <author>tc={1B0BD094-339D-4B51-9818-111B0F87A7BB}</author>
    <author>tc={7277B493-9EE7-42A8-9A48-AD1A7DDE3519}</author>
    <author>tc={01AE0261-CD6E-40CE-AB50-4C593FC8CE81}</author>
    <author>tc={F03EB29A-FBF6-4C7B-AF0F-C8C04090F5DE}</author>
    <author>tc={1A80F818-FFDD-4568-9FFD-F64B871C1B96}</author>
    <author>tc={D36F25DF-8329-46B6-9556-6786A5D7658F}</author>
    <author>tc={4CB738BF-C3BC-4D1B-BEA9-DBAF941A60D5}</author>
    <author>tc={E603BBD4-D6CB-4BEA-AA71-7DBF198DB2F0}</author>
    <author>tc={BB1FA7F8-A033-4861-AFCB-5328FF49C4CD}</author>
    <author>tc={B4C8AC83-FCD7-4CB0-A112-BC8C41049D55}</author>
    <author>tc={E46F5300-779E-4958-9A18-EC30C3527DFD}</author>
    <author>tc={E0D5CC3D-1F79-4710-9A01-3BF56F68944C}</author>
    <author>tc={EDDE22D3-B9BE-4698-93B1-3E663720056D}</author>
    <author>tc={B8A70CDB-5CB3-423E-A036-BCC3F459F9E6}</author>
    <author>tc={7FA7EF4B-A52C-4F39-810C-E009B5A4590D}</author>
    <author>tc={3725A29D-0D82-40C2-B4E1-190D8CA69769}</author>
    <author>tc={CA2714FD-8CF4-47E0-BC22-6EE99F7419D9}</author>
    <author>tc={04AF32C0-4C9F-4875-A952-CE5D800919F9}</author>
    <author>tc={08E57F43-BE05-4EA3-BBFC-38426057AB07}</author>
    <author>tc={2BC8897A-00CB-426B-9575-41970FF2CBA7}</author>
    <author>tc={E3524000-4217-47DC-AB5B-4CEE61267115}</author>
    <author>tc={5D7F56A2-8CD7-46F2-A071-5EFF19FBE78D}</author>
    <author>tc={EB9680CA-21CE-44E2-A2C2-C78CF331EE37}</author>
    <author>tc={C5196DDB-4D8D-4EFD-8773-9B47E4B53B5D}</author>
    <author>tc={26612069-51AB-4462-B122-96CE634389F4}</author>
    <author>tc={4BEF1398-2CE6-40A4-9950-B75D1DAE3F09}</author>
    <author>tc={32BB9B63-B8BB-4CCB-BAFA-56140CC42C83}</author>
    <author>tc={E03B181D-64E3-4EEA-B1C6-0A5D7AE13264}</author>
    <author>tc={47B1C7A8-DF8B-4992-BE9B-B198FC676EA1}</author>
    <author>tc={AB41421B-4C1D-4803-8BE4-B4A822C743B5}</author>
    <author>tc={5AD2D879-FA4B-44E5-9A2A-5F4097FE4048}</author>
    <author>tc={6352F6D8-3C5C-4D94-B737-A4C986FDBD2D}</author>
    <author>tc={75513C39-1E61-461C-9770-0B47D5B6E506}</author>
    <author>tc={EA88B347-77AA-4A51-AA80-A4BDF8078382}</author>
    <author>tc={21EFF32E-09BE-4683-BEF8-2976EDEC5E62}</author>
    <author>tc={FF3BBEB2-237A-4CDD-80CF-A6854D37C118}</author>
    <author>tc={1DCA0665-A064-4709-8CCB-9B2A7153E443}</author>
    <author>tc={3C136B34-5B1D-46E0-B53F-502E0DB354CC}</author>
    <author>tc={B40B0FDB-37D2-4F42-8E61-2D930C6E6F24}</author>
    <author>tc={A9CEBCE0-AE64-4BE5-8AE1-138E8A0BF0D0}</author>
    <author>tc={1A607AAF-9D10-4B00-B0E9-AB8DDE8A28B4}</author>
    <author>tc={07D54258-E529-4138-97AC-3377161FB6C0}</author>
    <author>tc={A31D8DC6-506A-4E2D-AC7F-9C356AE7F578}</author>
    <author>tc={82D8CDF6-8222-498C-B0BC-B3EB4458C379}</author>
    <author>tc={3914BD54-FC22-457C-99D6-222BCAB798AA}</author>
    <author>tc={B8E63C80-7F37-46C9-A807-428BEAB5C554}</author>
    <author>tc={EAE66976-8C4B-42A5-B01E-3B3EF490D54A}</author>
    <author>tc={7AAA8E1A-BBDC-4B15-AE10-6694C04EB345}</author>
    <author>tc={87DDF42D-D572-45C0-ADBF-FE1BA0C8B7FA}</author>
    <author>tc={9A712C9C-3E1A-4E19-A31D-EE95680F1EF1}</author>
    <author>tc={6E134C67-CACE-42BB-8E71-EA022D384990}</author>
    <author>tc={2400719B-EAFA-46C5-AB14-C58908AD01D0}</author>
    <author>tc={637EABEE-6628-40E5-8F43-8BE779CDC885}</author>
    <author>tc={999A866A-39AE-49B6-A872-A5ACF94F4377}</author>
    <author>tc={7514097A-B1F2-45A0-8EA5-FBD30839EDB7}</author>
    <author>tc={FCFA289D-255A-4873-B537-B73FB1B47C1C}</author>
    <author>tc={FB4F311E-ABFA-47F1-AF30-CE3176EA7F86}</author>
    <author>tc={9987F952-AB80-4CCC-964A-6E74743A5609}</author>
    <author>tc={AE32B31A-F73B-4C27-82C1-DAA911F02F23}</author>
    <author>tc={F4F0AFD0-C71C-4E4B-8A87-5A80025E9883}</author>
    <author>tc={FF274F3E-B196-4CD3-A986-1280C4EB04E6}</author>
    <author>tc={AA592C01-022A-43B3-AB0B-500FD4A15D9B}</author>
    <author>tc={C8FF533F-BF87-425E-ADFC-82176580A9DD}</author>
    <author>tc={751C9FCF-F98B-478F-AF17-8292FFEBB5FB}</author>
    <author>tc={9711E018-9A78-4119-B767-1DF4C70EC9AD}</author>
    <author>tc={DE237828-7753-4643-AA48-116C32638EB0}</author>
    <author>tc={80B03D9C-E7D0-4A84-81F8-6F1E32301136}</author>
    <author>tc={84AFD6AE-E398-42AA-BE80-7EF7F60769C7}</author>
    <author>tc={42602EF4-061D-4675-9467-250973EAE210}</author>
    <author>tc={4E7B7CE4-08FC-4F32-9126-8289D881ADFA}</author>
    <author>tc={83D7F0C7-01B3-487A-8C7D-C13B114A5AAF}</author>
    <author>tc={05E8BCEA-D318-4BFF-A882-26FB40C78186}</author>
    <author>tc={3115A2AD-1FA6-4746-8795-A2F5692C9224}</author>
    <author>tc={2A1A5E90-74BE-4B75-9A90-C50AC441CC72}</author>
    <author>tc={2F242690-E645-4D5D-864B-6C9AC9A37583}</author>
    <author>tc={1F9A711A-0625-45F2-9FEB-2747BE51D9EB}</author>
    <author>tc={8AD46D3A-7365-4EE1-B6A8-19BF5D8CAE4D}</author>
    <author>tc={AA410930-D493-454C-A71A-23DEF7000194}</author>
    <author>tc={BF01AE85-1D79-4BEB-B40D-D654F1A2E538}</author>
    <author>tc={7FDF8B89-3DE3-4BF1-A32C-9631EAFED03B}</author>
    <author>tc={10287C5B-E2CD-419E-9907-A5FF81C9F93E}</author>
    <author>tc={0CFBD065-2451-4DB9-AB7F-E12FA391DCCF}</author>
    <author>tc={54E228AD-173C-44E3-9B04-681B70552B5C}</author>
    <author>tc={56E4F324-85B4-43DE-8162-2BCDC023BBB3}</author>
    <author>tc={C9E6DA5C-F544-45C3-8539-60AB38CC54A1}</author>
    <author>tc={21A76557-5CC8-41E5-B753-551C74D2F72F}</author>
    <author>tc={1D7C3FB9-C39B-4B14-8198-5DD6C03DA635}</author>
    <author>tc={24795196-9158-4BFB-B6BF-08A2AD7FD363}</author>
    <author>tc={35BD202C-2A57-425A-A26D-3502709E01AE}</author>
    <author>tc={0D44E0B5-6852-43AF-970F-1A92BB28AB51}</author>
    <author>tc={F858F1CA-D7EB-417C-8078-A25A5F79DC62}</author>
    <author>tc={77F310CB-664C-48DE-8BFE-224AD8CF6F52}</author>
    <author>tc={9C078B2B-FE22-4E5E-9615-812B22E90591}</author>
    <author>tc={FC755AFC-8E22-4B58-9914-EA8331C824BD}</author>
    <author>tc={10D96245-28EA-42CD-A968-1F1B09DCE961}</author>
    <author>tc={F2F9EC8D-D359-48B6-9498-61D58850911D}</author>
    <author>tc={D7C2F449-0095-4B1E-98CF-4A665D1FE8B0}</author>
    <author>tc={1180BA83-0B3C-45C5-B2B6-F7D043546C8E}</author>
    <author>tc={BD425D98-C617-4541-88A1-8B62C5A84CE8}</author>
    <author>tc={D4DDA630-BD44-434A-BEDB-173479695253}</author>
    <author>tc={C35A9FB2-3709-43D1-826C-25F1EBE06D48}</author>
    <author>tc={A1BDFD50-845F-43C4-8315-5B27C4479615}</author>
    <author>tc={5E1EF47D-F340-4C04-AB86-875892E5292F}</author>
    <author>tc={B852EEAF-E37C-425C-9339-85477F34219E}</author>
    <author>tc={11BC614B-8F5B-40CE-9EA6-AADC2FD100F4}</author>
    <author>tc={78D681E2-9EE0-4B8F-A38C-B91756CF465C}</author>
    <author>tc={E60E55EB-C561-43AD-B7BA-76ACDE08E5BA}</author>
    <author>tc={C3100DD5-D85B-45AB-920D-E6016B607437}</author>
    <author>tc={1FB6C9BE-6C65-4398-9DF1-A4BF07935F84}</author>
    <author>tc={5491433F-B08E-48E2-BB99-ED8490144D5A}</author>
    <author>tc={2A1D6A80-3052-4D25-B3C5-4B071D432C4E}</author>
    <author>tc={8591D837-2606-4441-BB93-1BD41746D9F2}</author>
    <author>tc={8433E0A6-7D23-4212-BF03-6B07483E83B1}</author>
    <author>tc={B4FA6BC6-F5A9-4645-818E-E0FA295B0F62}</author>
    <author>tc={4DDC8594-5EAC-4A19-A031-39B6DE85AF35}</author>
    <author>tc={E30677B5-B9D1-4F1C-8AA2-C22A7B7DB672}</author>
    <author>tc={6AE155E4-890D-4E64-B4B4-9C7F001CC524}</author>
    <author>tc={C1ED18FA-0BCF-4D9D-86C1-4AD53B6D9BB6}</author>
    <author>tc={5AFB032E-F182-4DA1-9148-E7FD727349E5}</author>
    <author>tc={8314B940-AF65-4128-877F-7896263D833C}</author>
    <author>tc={320C79D2-8E7B-4D53-A03D-15665FD2357A}</author>
    <author>tc={D880215C-2026-43C6-9D59-0B52892E616F}</author>
    <author>tc={A1B66CCE-0C58-4CC4-ADA0-C241689A5F71}</author>
    <author>tc={A446ADBA-FC0D-4B9C-B666-6B47EAB44C72}</author>
    <author>tc={5AA514E9-8D46-4478-8654-DB3E5F1C8705}</author>
    <author>tc={25C66750-EC55-4E0F-964F-AB074D7E768D}</author>
    <author>tc={B5440ED0-B5D3-4E60-84F5-5268A63A8BFB}</author>
    <author>tc={51E7FB11-5CE9-48B8-A517-B30DF75A3D65}</author>
    <author>tc={A5AFA0B4-9811-499C-82D2-3EAD9D160631}</author>
    <author>tc={8C7FCEBE-E7CB-4792-BFC2-7996FCAA7AB7}</author>
    <author>tc={ABB7405D-0C71-4B20-94C4-AC324F884825}</author>
    <author>tc={0F50D0A5-A032-483C-AA9B-5E889159A87B}</author>
    <author>tc={7FAE832E-A59E-459F-9985-68C14ED0B58E}</author>
    <author>tc={BE2FC7F9-8FF9-49FA-89EE-8F30A3B22FD6}</author>
    <author>tc={55DE9F13-1A5E-485C-9792-27B6636144C8}</author>
    <author>tc={16AC09D2-8685-4ADC-B6B7-D2356127A964}</author>
    <author>tc={2A66695E-1A07-48B7-B498-1280337F7A38}</author>
    <author>tc={82D63F32-C7D5-4706-B613-8495FADA4CB2}</author>
    <author>tc={C4583C8E-28C4-4825-9934-E69F6C8C019F}</author>
    <author>tc={644B6586-AF6D-47AD-B5AA-F1950C15DBB6}</author>
    <author>tc={AB48603A-27FD-4BFF-AC2B-AF9761F1998C}</author>
    <author>tc={B531B970-6B04-4C78-A1BA-4567BEF4E0FD}</author>
    <author>tc={E05A040E-F97E-47DF-826B-79F733920BA6}</author>
    <author>tc={3275BAB2-87F3-4CA1-9F36-09D0F1B3ADD0}</author>
    <author>tc={7940FE6C-B78D-4D3D-9E2A-2E57AFBC7AAF}</author>
    <author>tc={DAAA8C60-4A16-457C-B106-62AA215B6E5F}</author>
    <author>tc={8EAD225E-A142-4AFD-BFB7-DDC82D4F2B53}</author>
    <author>tc={34E71207-C946-4326-936B-BE1B803EB71F}</author>
    <author>tc={AB2B84D3-B9D1-4E46-A558-7674E225A637}</author>
    <author>tc={9886A87A-120E-430F-9063-5AA1BA8A3002}</author>
    <author>tc={C8E655BB-2446-4583-ADF4-E2E423C16217}</author>
    <author>tc={5FB5B17B-C29A-40A1-8B0B-D898B1BE2664}</author>
    <author>tc={D9113BFC-0C5F-4C6D-A620-1ABCD60C007F}</author>
    <author>tc={1EBD59D9-3A58-44B2-B30C-80EF497E8E57}</author>
    <author>tc={89848112-8FBC-4097-AE78-15EA2C80D00C}</author>
    <author>tc={45D4C527-6A21-4F30-B57E-FB99D9019986}</author>
    <author>tc={8C9442AB-C159-40E2-AB47-305BE449186A}</author>
    <author>tc={F6A8017E-92B7-4D3D-A510-3DCFCEA48DD9}</author>
    <author>tc={80965EFA-3E6C-4999-B17C-C01A8D6BB6E2}</author>
    <author>tc={24521590-0CD6-40BB-9AF1-020743AAAD4C}</author>
    <author>tc={715EB064-B8D6-4F0D-AFE2-7733474AE812}</author>
    <author>tc={F08D894D-CFA2-4A21-8E7C-705363C69FB0}</author>
    <author>tc={EFE0DD21-E6F5-4464-8167-072AC8C4D2AD}</author>
    <author>tc={4D35F23A-3C03-4670-86BD-514DC318FD41}</author>
    <author>tc={BBED0F22-7D10-4E14-8C92-9A3DCBA538B2}</author>
    <author>tc={75F1B710-4EAC-41F0-B310-08ACBDED0E82}</author>
    <author>tc={2F7776E9-231A-4816-8885-5710E9AE259F}</author>
    <author>tc={C429433D-74DC-4DE5-951C-993597A832CE}</author>
    <author>tc={E65C6E46-A7C0-4D33-BB86-19517269DDD5}</author>
    <author>tc={BE5651B4-FD8E-46E8-A11C-D44368A7005A}</author>
    <author>tc={079C6E80-2B21-40B8-8BC3-D37C5BD84D92}</author>
    <author>tc={5FD16276-9E0C-48D2-89F8-FD7189CF4CA4}</author>
    <author>tc={E4DE8CB5-A197-4CB8-9AC0-0BB684AEF168}</author>
    <author>tc={A52A973C-2AFB-4A74-A0A7-FB4719211940}</author>
    <author>tc={441ECA66-0D0C-4B95-B8BE-0F6BF3A14642}</author>
    <author>tc={EC4EE2D1-925E-4C73-8ABB-4A5B0458CE29}</author>
    <author>tc={1BF3283A-F31E-4F8F-BE18-6BAC30E605D8}</author>
    <author>tc={139DB3FE-A545-4A48-BB0E-C223BBD5ED4C}</author>
    <author>tc={0EB33964-D718-446B-A418-38F98CA098EB}</author>
    <author>tc={7253D9FD-AF44-4ACD-9506-9460DBF8787A}</author>
  </authors>
  <commentList>
    <comment ref="CB7" authorId="0" shapeId="0" xr:uid="{8ABFD359-0E8B-4963-841B-5FCE1B385050}">
      <text>
        <t>[Threaded comment]
Your version of Excel allows you to read this threaded comment; however, any edits to it will get removed if the file is opened in a newer version of Excel. Learn more: https://go.microsoft.com/fwlink/?linkid=870924
Comment:
    Owed to us as a bal figure between Nov VAT refund and RCT PAYE due</t>
      </text>
    </comment>
    <comment ref="CJ7" authorId="1" shapeId="0" xr:uid="{D7BC1843-78D3-4BAC-A913-5A7876CEDD24}">
      <text>
        <t>[Threaded comment]
Your version of Excel allows you to read this threaded comment; however, any edits to it will get removed if the file is opened in a newer version of Excel. Learn more: https://go.microsoft.com/fwlink/?linkid=870924
Comment:
    This includes an additional 12k for the lead
15.1.25 We didn’t but the lead, therefore no VAT to claim.</t>
      </text>
    </comment>
    <comment ref="T10" authorId="2" shapeId="0" xr:uid="{D7B4305A-8FBF-4BB8-B4E2-8028D98D941F}">
      <text>
        <t>[Threaded comment]
Your version of Excel allows you to read this threaded comment; however, any edits to it will get removed if the file is opened in a newer version of Excel. Learn more: https://go.microsoft.com/fwlink/?linkid=870924
Comment:
    1st Nov Jason spoke to Pamela in Townlink, she said that they are on site snagging and that we should forecast to receive retention mid Dec.</t>
      </text>
    </comment>
    <comment ref="AL10" authorId="3" shapeId="0" xr:uid="{27E16FA5-413A-492F-B5EB-3D5D25A35F44}">
      <text>
        <t>[Threaded comment]
Your version of Excel allows you to read this threaded comment; however, any edits to it will get removed if the file is opened in a newer version of Excel. Learn more: https://go.microsoft.com/fwlink/?linkid=870924
Comment:
    2 April - refer to email  from Pamela Malone
2.4 Spoke to Pamela and she said that they are getting 80% of their retention around 19th April. She is checking with the QS and will revert with what we will be getting and when. 
5..1 Jason spoke to David Caulfield at Townlink, he said that they have completed snagging and gave the report to the customer.  The design team were meant to go to site before Christmas to confirm everything is completed but that did not happen.  He thinks they will do this next week.  Therefore pushing out.
Spoke to Pamela, Snagging completed, awaiting cert to be issued, it will be mid Jan when it gets paid.</t>
      </text>
    </comment>
    <comment ref="DB10" authorId="4" shapeId="0" xr:uid="{6E70894F-EDBB-4704-A3DB-F70B969FA0C9}">
      <text>
        <t>[Threaded comment]
Your version of Excel allows you to read this threaded comment; however, any edits to it will get removed if the file is opened in a newer version of Excel. Learn more: https://go.microsoft.com/fwlink/?linkid=870924
Comment:
    7.8 We believe the figure received from Townlink (see St Finbars) includes this retention figure.
Refer to comments in May figure.</t>
      </text>
    </comment>
    <comment ref="CJ11" authorId="5" shapeId="0" xr:uid="{8EBA9BAD-9868-4AC6-81BC-22843382E8DC}">
      <text>
        <t>[Threaded comment]
Your version of Excel allows you to read this threaded comment; however, any edits to it will get removed if the file is opened in a newer version of Excel. Learn more: https://go.microsoft.com/fwlink/?linkid=870924
Comment:
     Lime St</t>
      </text>
    </comment>
    <comment ref="CL21" authorId="6" shapeId="0" xr:uid="{070332EC-9CF8-44A1-8FF3-C35D8F3EE55B}">
      <text>
        <t>[Threaded comment]
Your version of Excel allows you to read this threaded comment; however, any edits to it will get removed if the file is opened in a newer version of Excel. Learn more: https://go.microsoft.com/fwlink/?linkid=870924
Comment:
    This is insulation on site.
15.1.25 Figure less retention.</t>
      </text>
    </comment>
    <comment ref="D22" authorId="7" shapeId="0" xr:uid="{6C46F99F-8A7A-41B9-9707-E3F6280987AD}">
      <text>
        <t>[Threaded comment]
Your version of Excel allows you to read this threaded comment; however, any edits to it will get removed if the file is opened in a newer version of Excel. Learn more: https://go.microsoft.com/fwlink/?linkid=870924
Comment:
    We are not doing this</t>
      </text>
    </comment>
    <comment ref="D23" authorId="8" shapeId="0" xr:uid="{6CCC4167-11B5-45ED-BFB8-6E7FF30BF129}">
      <text>
        <t>[Threaded comment]
Your version of Excel allows you to read this threaded comment; however, any edits to it will get removed if the file is opened in a newer version of Excel. Learn more: https://go.microsoft.com/fwlink/?linkid=870924
Comment:
    Incl VAT</t>
      </text>
    </comment>
    <comment ref="CP23" authorId="9" shapeId="0" xr:uid="{5DD060D3-1B9E-4850-A6F4-17084265B300}">
      <text>
        <t>[Threaded comment]
Your version of Excel allows you to read this threaded comment; however, any edits to it will get removed if the file is opened in a newer version of Excel. Learn more: https://go.microsoft.com/fwlink/?linkid=870924
Comment:
    Uvalue
19.2 Double entry below in suppliers</t>
      </text>
    </comment>
    <comment ref="CT23" authorId="10" shapeId="0" xr:uid="{15313C25-A9C2-4A72-A274-08B368067C6F}">
      <text>
        <t>[Threaded comment]
Your version of Excel allows you to read this threaded comment; however, any edits to it will get removed if the file is opened in a newer version of Excel. Learn more: https://go.microsoft.com/fwlink/?linkid=870924
Comment:
    Now captured in SIG actual below</t>
      </text>
    </comment>
    <comment ref="D24" authorId="11" shapeId="0" xr:uid="{B6BCA140-6892-43AC-ABC4-0B0EE29875B5}">
      <text>
        <t>[Threaded comment]
Your version of Excel allows you to read this threaded comment; however, any edits to it will get removed if the file is opened in a newer version of Excel. Learn more: https://go.microsoft.com/fwlink/?linkid=870924
Comment:
    Incl VAT</t>
      </text>
    </comment>
    <comment ref="CQ25" authorId="12" shapeId="0" xr:uid="{40A8DD27-A041-48CF-BA52-251FA66973BE}">
      <text>
        <t>[Threaded comment]
Your version of Excel allows you to read this threaded comment; however, any edits to it will get removed if the file is opened in a newer version of Excel. Learn more: https://go.microsoft.com/fwlink/?linkid=870924
Comment:
    Materials only, was 100k but dropped it to 80k
18.02 as per email received from Dave.</t>
      </text>
    </comment>
    <comment ref="CT25" authorId="13" shapeId="0" xr:uid="{2E1EB12F-E328-426B-ABA8-60646F73CFD8}">
      <text>
        <t xml:space="preserve">[Threaded comment]
Your version of Excel allows you to read this threaded comment; however, any edits to it will get removed if the file is opened in a newer version of Excel. Learn more: https://go.microsoft.com/fwlink/?linkid=870924
Comment:
    The valuation in week 10 was reduced by the PQS. </t>
      </text>
    </comment>
    <comment ref="CU26" authorId="14" shapeId="0" xr:uid="{C9EE327A-34EF-4C7D-9D87-8814B1694936}">
      <text>
        <t>[Threaded comment]
Your version of Excel allows you to read this threaded comment; however, any edits to it will get removed if the file is opened in a newer version of Excel. Learn more: https://go.microsoft.com/fwlink/?linkid=870924
Comment:
    February valuation, labour and material
Payment first Friday of April</t>
      </text>
    </comment>
    <comment ref="CY26" authorId="15" shapeId="0" xr:uid="{9112BC45-C04F-4290-BE50-D9685033294B}">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DD26" authorId="16" shapeId="0" xr:uid="{DA5A0819-79EA-4561-B598-6E36A45B3F71}">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DI26" authorId="17" shapeId="0" xr:uid="{115C2B3D-1D26-49B1-A1FD-BA92A20EBAE8}">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DN26" authorId="18" shapeId="0" xr:uid="{5F86CA56-3A6D-43D6-9BFF-AFC8717E7DF2}">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DS26" authorId="19" shapeId="0" xr:uid="{5D77DB87-8738-423D-8973-660F9F098606}">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EB26" authorId="20" shapeId="0" xr:uid="{4F141401-7BE9-45C1-8708-461473383210}">
      <text>
        <t>[Threaded comment]
Your version of Excel allows you to read this threaded comment; however, any edits to it will get removed if the file is opened in a newer version of Excel. Learn more: https://go.microsoft.com/fwlink/?linkid=870924
Comment:
    August val, final account, 32k 2.5% retention</t>
      </text>
    </comment>
    <comment ref="AI27" authorId="21" shapeId="0" xr:uid="{09200824-DE1E-4477-8059-1BAB156767A9}">
      <text>
        <t>[Threaded comment]
Your version of Excel allows you to read this threaded comment; however, any edits to it will get removed if the file is opened in a newer version of Excel. Learn more: https://go.microsoft.com/fwlink/?linkid=870924
Comment:
    Soffit work and loading out</t>
      </text>
    </comment>
    <comment ref="AO27" authorId="22" shapeId="0" xr:uid="{3C2F9433-71F1-4DAE-B3F6-1C661B5DA69D}">
      <text>
        <t>[Threaded comment]
Your version of Excel allows you to read this threaded comment; however, any edits to it will get removed if the file is opened in a newer version of Excel. Learn more: https://go.microsoft.com/fwlink/?linkid=870924
Comment:
    50k Soffit work and loading out
11.03 Ronan to come back on what work and material will be done in March</t>
      </text>
    </comment>
    <comment ref="AX27" authorId="23" shapeId="0" xr:uid="{21240779-A892-437D-B608-7D594F5FC720}">
      <text>
        <t>[Threaded comment]
Your version of Excel allows you to read this threaded comment; however, any edits to it will get removed if the file is opened in a newer version of Excel. Learn more: https://go.microsoft.com/fwlink/?linkid=870924
Comment:
    Payment on 5th July</t>
      </text>
    </comment>
    <comment ref="BH27" authorId="24" shapeId="0" xr:uid="{08B89A3A-4E16-4E61-9B27-6C96BFF22281}">
      <text>
        <t>[Threaded comment]
Your version of Excel allows you to read this threaded comment; however, any edits to it will get removed if the file is opened in a newer version of Excel. Learn more: https://go.microsoft.com/fwlink/?linkid=870924
Comment:
    12.08 Dave checked figure and this is the net of retention val submitted ie 1158950 less previously paid 783900
This now includes balcony soffit 50% of valuation .
Reply:
    Also now reduces by 80k to cater for earlier payment of 200k.</t>
      </text>
    </comment>
    <comment ref="BR27" authorId="25" shapeId="0" xr:uid="{3C24E32A-74C6-4B8A-83B9-F478FCC354FF}">
      <text>
        <t xml:space="preserve">[Threaded comment]
Your version of Excel allows you to read this threaded comment; however, any edits to it will get removed if the file is opened in a newer version of Excel. Learn more: https://go.microsoft.com/fwlink/?linkid=870924
Comment:
    Add 40k re reduction in last payment </t>
      </text>
    </comment>
    <comment ref="CE27" authorId="26" shapeId="0" xr:uid="{6DB490D1-FDBB-44EA-8EA9-C8C8D723974C}">
      <text>
        <t xml:space="preserve">[Threaded comment]
Your version of Excel allows you to read this threaded comment; however, any edits to it will get removed if the file is opened in a newer version of Excel. Learn more: https://go.microsoft.com/fwlink/?linkid=870924
Comment:
    Received in two amounts
</t>
      </text>
    </comment>
    <comment ref="CI27" authorId="27" shapeId="0" xr:uid="{791D6C15-293E-4605-8427-55ECA7338728}">
      <text>
        <t>[Threaded comment]
Your version of Excel allows you to read this threaded comment; however, any edits to it will get removed if the file is opened in a newer version of Excel. Learn more: https://go.microsoft.com/fwlink/?linkid=870924
Comment:
    This cert is correctly against Beach Road</t>
      </text>
    </comment>
    <comment ref="CQ27" authorId="28" shapeId="0" xr:uid="{F9A11236-5EA1-4C67-94B9-CF6DAADC4610}">
      <text>
        <t>[Threaded comment]
Your version of Excel allows you to read this threaded comment; however, any edits to it will get removed if the file is opened in a newer version of Excel. Learn more: https://go.microsoft.com/fwlink/?linkid=870924
Comment:
    24.02 Spoke to Alan, he is going to pay 60k next week and 60k the week after. Alan said that this would be “drawn” from Merville to give him some breathing space.
14.2.25 = final account yet to be agreed with Walls, we may be asked to reduce the figure.
This represents Dave’s FA of 2,334k gross figure
Reply:
    The 30k is water damage, we have given a T+M quote of 43k, but we may get it done earlier.</t>
      </text>
    </comment>
    <comment ref="C28" authorId="29" shapeId="0" xr:uid="{AE556D65-6147-4045-BAD5-3E42F5B70307}">
      <text>
        <t>[Threaded comment]
Your version of Excel allows you to read this threaded comment; however, any edits to it will get removed if the file is opened in a newer version of Excel. Learn more: https://go.microsoft.com/fwlink/?linkid=870924
Comment:
    Estimate T&amp;M</t>
      </text>
    </comment>
    <comment ref="CT28" authorId="30" shapeId="0" xr:uid="{DDB8795D-0735-4D45-9DAA-ABC2646A7189}">
      <text>
        <t>[Threaded comment]
Your version of Excel allows you to read this threaded comment; however, any edits to it will get removed if the file is opened in a newer version of Excel. Learn more: https://go.microsoft.com/fwlink/?linkid=870924
Comment:
    8 lads for 3 weeks.
Water damage
Value now moved back into week 10 final account.</t>
      </text>
    </comment>
    <comment ref="E29" authorId="31" shapeId="0" xr:uid="{4EFBCACF-64B0-48C7-AF7A-F2E99891AEA7}">
      <text>
        <t>[Threaded comment]
Your version of Excel allows you to read this threaded comment; however, any edits to it will get removed if the file is opened in a newer version of Excel. Learn more: https://go.microsoft.com/fwlink/?linkid=870924
Comment:
    Current final account i.e. less 2.3% retention</t>
      </text>
    </comment>
    <comment ref="CP31" authorId="32" shapeId="0" xr:uid="{775D087A-9DB6-4475-B6F4-870AFC14F536}">
      <text>
        <t>[Threaded comment]
Your version of Excel allows you to read this threaded comment; however, any edits to it will get removed if the file is opened in a newer version of Excel. Learn more: https://go.microsoft.com/fwlink/?linkid=870924
Comment:
    Variations to L5 and tapers</t>
      </text>
    </comment>
    <comment ref="D33" authorId="33" shapeId="0" xr:uid="{E5F84AF8-B1E8-41B7-BB5D-225E5489F389}">
      <text>
        <t>[Threaded comment]
Your version of Excel allows you to read this threaded comment; however, any edits to it will get removed if the file is opened in a newer version of Excel. Learn more: https://go.microsoft.com/fwlink/?linkid=870924
Comment:
    2000m2 of sand and cement @ €20pmsq
Reply:
    Sand and cement 11k , skim remainder</t>
      </text>
    </comment>
    <comment ref="W33" authorId="34" shapeId="0" xr:uid="{627705C6-BE87-437E-8703-D335C2091230}">
      <text>
        <t xml:space="preserve">[Threaded comment]
Your version of Excel allows you to read this threaded comment; however, any edits to it will get removed if the file is opened in a newer version of Excel. Learn more: https://go.microsoft.com/fwlink/?linkid=870924
Comment:
    2 and 1 gang at 4 weeks. 500m per week </t>
      </text>
    </comment>
    <comment ref="AE33" authorId="35" shapeId="0" xr:uid="{361AFA08-624B-443B-BFB4-2C3E69A0D87F}">
      <text>
        <t>[Threaded comment]
Your version of Excel allows you to read this threaded comment; however, any edits to it will get removed if the file is opened in a newer version of Excel. Learn more: https://go.microsoft.com/fwlink/?linkid=870924
Comment:
    This represents 2250 sq m @ 20 p sq m</t>
      </text>
    </comment>
    <comment ref="AN33" authorId="36" shapeId="0" xr:uid="{2E673731-3512-4C6D-8460-F4C1D672214A}">
      <text>
        <t>[Threaded comment]
Your version of Excel allows you to read this threaded comment; however, any edits to it will get removed if the file is opened in a newer version of Excel. Learn more: https://go.microsoft.com/fwlink/?linkid=870924
Comment:
    Sand and Cement only</t>
      </text>
    </comment>
    <comment ref="AR33" authorId="37" shapeId="0" xr:uid="{B320FFB7-A704-4AAB-B04F-EF0BB76AA570}">
      <text>
        <t xml:space="preserve">[Threaded comment]
Your version of Excel allows you to read this threaded comment; however, any edits to it will get removed if the file is opened in a newer version of Excel. Learn more: https://go.microsoft.com/fwlink/?linkid=870924
Comment:
    Sand and cement only balance figure plus 13k of skim only
</t>
      </text>
    </comment>
    <comment ref="BB33" authorId="38" shapeId="0" xr:uid="{0A4B7487-C068-407F-8666-37A2E2652A18}">
      <text>
        <t>[Threaded comment]
Your version of Excel allows you to read this threaded comment; however, any edits to it will get removed if the file is opened in a newer version of Excel. Learn more: https://go.microsoft.com/fwlink/?linkid=870924
Comment:
    Skim only balance</t>
      </text>
    </comment>
    <comment ref="D34" authorId="39" shapeId="0" xr:uid="{68B39FF7-C07C-430B-8C9B-0854DCAFE7ED}">
      <text>
        <t>[Threaded comment]
Your version of Excel allows you to read this threaded comment; however, any edits to it will get removed if the file is opened in a newer version of Excel. Learn more: https://go.microsoft.com/fwlink/?linkid=870924
Comment:
    Labour + Margin only</t>
      </text>
    </comment>
    <comment ref="AN34" authorId="40" shapeId="0" xr:uid="{6E5EFE38-D5FA-4A2B-B338-4ED39EA2AA53}">
      <text>
        <t>[Threaded comment]
Your version of Excel allows you to read this threaded comment; however, any edits to it will get removed if the file is opened in a newer version of Excel. Learn more: https://go.microsoft.com/fwlink/?linkid=870924
Comment:
    Metal framed only partitions</t>
      </text>
    </comment>
    <comment ref="C36" authorId="41" shapeId="0" xr:uid="{F85A750E-11D8-429F-B559-E8E7EB99B313}">
      <text>
        <t>[Threaded comment]
Your version of Excel allows you to read this threaded comment; however, any edits to it will get removed if the file is opened in a newer version of Excel. Learn more: https://go.microsoft.com/fwlink/?linkid=870924
Comment:
    This is the latest new figure which includes the additions of fireseal, mesh, and additional partition walls.</t>
      </text>
    </comment>
    <comment ref="E36" authorId="42" shapeId="0" xr:uid="{0EE897C5-681A-4B31-99E0-BA98C3545226}">
      <text>
        <t>[Threaded comment]
Your version of Excel allows you to read this threaded comment; however, any edits to it will get removed if the file is opened in a newer version of Excel. Learn more: https://go.microsoft.com/fwlink/?linkid=870924
Comment:
    Final account ie 2.5% retention.</t>
      </text>
    </comment>
    <comment ref="BM36" authorId="43" shapeId="0" xr:uid="{C5687163-4484-4FD7-BF9D-FB1790455FE8}">
      <text>
        <t>[Threaded comment]
Your version of Excel allows you to read this threaded comment; however, any edits to it will get removed if the file is opened in a newer version of Excel. Learn more: https://go.microsoft.com/fwlink/?linkid=870924
Comment:
    Dave originally had this spread out to Feb income, Ronan feel we are getting things going now so bringing it back in a month.</t>
      </text>
    </comment>
    <comment ref="CY36" authorId="44" shapeId="0" xr:uid="{341ABD5C-9602-41F9-842B-659EFAA9F3C4}">
      <text>
        <t>[Threaded comment]
Your version of Excel allows you to read this threaded comment; however, any edits to it will get removed if the file is opened in a newer version of Excel. Learn more: https://go.microsoft.com/fwlink/?linkid=870924
Comment:
    PC retention of 21k plus 10k val</t>
      </text>
    </comment>
    <comment ref="DS36" authorId="45" shapeId="0" xr:uid="{303FD1C8-2B00-40B8-8947-A5946BA842E0}">
      <text>
        <t>[Threaded comment]
Your version of Excel allows you to read this threaded comment; however, any edits to it will get removed if the file is opened in a newer version of Excel. Learn more: https://go.microsoft.com/fwlink/?linkid=870924
Comment:
    PC Retention included, i.e. 880k at 2.5%</t>
      </text>
    </comment>
    <comment ref="CH38" authorId="46" shapeId="0" xr:uid="{29124277-5414-4AA1-9C86-69BEF2EE1A7E}">
      <text>
        <t>[Threaded comment]
Your version of Excel allows you to read this threaded comment; however, any edits to it will get removed if the file is opened in a newer version of Excel. Learn more: https://go.microsoft.com/fwlink/?linkid=870924
Comment:
    5 weeks by 2 men Central, 19k plus extra 6k for extra 2 men for 2 weeks.</t>
      </text>
    </comment>
    <comment ref="CP38" authorId="47" shapeId="0" xr:uid="{C85B86A5-4E09-4965-AA81-60637C901350}">
      <text>
        <t>[Threaded comment]
Your version of Excel allows you to read this threaded comment; however, any edits to it will get removed if the file is opened in a newer version of Excel. Learn more: https://go.microsoft.com/fwlink/?linkid=870924
Comment:
    This is 4 ;ads week 8, only 1 week 9, and a shortfall from week 7 (Dave made an error).</t>
      </text>
    </comment>
    <comment ref="CN44" authorId="48" shapeId="0" xr:uid="{F423CD44-8AF3-4CC5-8CB9-AC65ECB933AD}">
      <text>
        <t>[Threaded comment]
Your version of Excel allows you to read this threaded comment; however, any edits to it will get removed if the file is opened in a newer version of Excel. Learn more: https://go.microsoft.com/fwlink/?linkid=870924
Comment:
    Vasile plus 2 PAYE</t>
      </text>
    </comment>
    <comment ref="CX45" authorId="49" shapeId="0" xr:uid="{6F769FDB-0B4A-47BB-95F8-FE2250ED8FFA}">
      <text>
        <t>[Threaded comment]
Your version of Excel allows you to read this threaded comment; however, any edits to it will get removed if the file is opened in a newer version of Excel. Learn more: https://go.microsoft.com/fwlink/?linkid=870924
Comment:
    Await confirmation if proceeding</t>
      </text>
    </comment>
    <comment ref="CL49" authorId="50" shapeId="0" xr:uid="{FADB02A9-3A66-4C5C-88C9-C156EB39F9F9}">
      <text>
        <t>[Threaded comment]
Your version of Excel allows you to read this threaded comment; however, any edits to it will get removed if the file is opened in a newer version of Excel. Learn more: https://go.microsoft.com/fwlink/?linkid=870924
Comment:
    Additional ceiling, no PO issued.</t>
      </text>
    </comment>
    <comment ref="D50" authorId="51" shapeId="0" xr:uid="{906568A0-A92C-4F5D-8039-2DD1CB05282A}">
      <text>
        <t>[Threaded comment]
Your version of Excel allows you to read this threaded comment; however, any edits to it will get removed if the file is opened in a newer version of Excel. Learn more: https://go.microsoft.com/fwlink/?linkid=870924
Comment:
    Net of material</t>
      </text>
    </comment>
    <comment ref="AG51" authorId="52" shapeId="0" xr:uid="{3C559BCD-60D7-4E46-B71B-A55F61DD9743}">
      <text>
        <t>[Threaded comment]
Your version of Excel allows you to read this threaded comment; however, any edits to it will get removed if the file is opened in a newer version of Excel. Learn more: https://go.microsoft.com/fwlink/?linkid=870924
Comment:
    Invoice 798</t>
      </text>
    </comment>
    <comment ref="AW51" authorId="53" shapeId="0" xr:uid="{AF4AA49C-F630-4CA8-B792-BB8F68C056A3}">
      <text>
        <t>[Threaded comment]
Your version of Excel allows you to read this threaded comment; however, any edits to it will get removed if the file is opened in a newer version of Excel. Learn more: https://go.microsoft.com/fwlink/?linkid=870924
Comment:
    Val going in Monday 27th May, fig will be confirmed then.</t>
      </text>
    </comment>
    <comment ref="CM51" authorId="54" shapeId="0" xr:uid="{9341F716-DDFE-4AF4-A56C-030C4DE706B1}">
      <text>
        <t>[Threaded comment]
Your version of Excel allows you to read this threaded comment; however, any edits to it will get removed if the file is opened in a newer version of Excel. Learn more: https://go.microsoft.com/fwlink/?linkid=870924
Comment:
    Residual bal</t>
      </text>
    </comment>
    <comment ref="DH51" authorId="55" shapeId="0" xr:uid="{362BC22D-BF95-476C-9811-EABC613FC864}">
      <text>
        <t>[Threaded comment]
Your version of Excel allows you to read this threaded comment; however, any edits to it will get removed if the file is opened in a newer version of Excel. Learn more: https://go.microsoft.com/fwlink/?linkid=870924
Comment:
    PC Retention</t>
      </text>
    </comment>
    <comment ref="C52" authorId="56" shapeId="0" xr:uid="{F46CECE4-FE48-43F0-ACE6-BE576CECF64D}">
      <text>
        <t>[Threaded comment]
Your version of Excel allows you to read this threaded comment; however, any edits to it will get removed if the file is opened in a newer version of Excel. Learn more: https://go.microsoft.com/fwlink/?linkid=870924
Comment:
    Gross Value</t>
      </text>
    </comment>
    <comment ref="AR52" authorId="57" shapeId="0" xr:uid="{8EC57206-C8DE-4999-B690-8F5DE78193BA}">
      <text>
        <t>[Threaded comment]
Your version of Excel allows you to read this threaded comment; however, any edits to it will get removed if the file is opened in a newer version of Excel. Learn more: https://go.microsoft.com/fwlink/?linkid=870924
Comment:
    Valuation submitted</t>
      </text>
    </comment>
    <comment ref="AW52" authorId="58" shapeId="0" xr:uid="{8AB0B7A0-8FF4-4870-9B17-02D27C4AB6AA}">
      <text>
        <t xml:space="preserve">[Threaded comment]
Your version of Excel allows you to read this threaded comment; however, any edits to it will get removed if the file is opened in a newer version of Excel. Learn more: https://go.microsoft.com/fwlink/?linkid=870924
Comment:
    This val has been submitted
</t>
      </text>
    </comment>
    <comment ref="BB52" authorId="59" shapeId="0" xr:uid="{91921A1D-6F4A-47D9-AC54-676414DE5A41}">
      <text>
        <t>[Threaded comment]
Your version of Excel allows you to read this threaded comment; however, any edits to it will get removed if the file is opened in a newer version of Excel. Learn more: https://go.microsoft.com/fwlink/?linkid=870924
Comment:
    Add variations in this figure</t>
      </text>
    </comment>
    <comment ref="BO52" authorId="60" shapeId="0" xr:uid="{B441FB6F-6E23-4717-8B22-4F308530D878}">
      <text>
        <t>[Threaded comment]
Your version of Excel allows you to read this threaded comment; however, any edits to it will get removed if the file is opened in a newer version of Excel. Learn more: https://go.microsoft.com/fwlink/?linkid=870924
Comment:
    Final account at 2.5% retention</t>
      </text>
    </comment>
    <comment ref="CV56" authorId="61" shapeId="0" xr:uid="{EDE6EDE6-770A-4828-B8B6-B0F0BE22A343}">
      <text>
        <t>[Threaded comment]
Your version of Excel allows you to read this threaded comment; however, any edits to it will get removed if the file is opened in a newer version of Excel. Learn more: https://go.microsoft.com/fwlink/?linkid=870924
Comment:
    Extra partition</t>
      </text>
    </comment>
    <comment ref="CY57" authorId="62" shapeId="0" xr:uid="{B110F0B7-10A9-49E1-A969-1380C0D3E814}">
      <text>
        <r>
          <rPr>
            <b/>
            <sz val="9"/>
            <color indexed="81"/>
            <rFont val="Tahoma"/>
            <family val="2"/>
          </rPr>
          <t>Jason Flynn:</t>
        </r>
        <r>
          <rPr>
            <sz val="9"/>
            <color indexed="81"/>
            <rFont val="Tahoma"/>
            <family val="2"/>
          </rPr>
          <t xml:space="preserve">
Repayment
</t>
        </r>
      </text>
    </comment>
    <comment ref="B67" authorId="63" shapeId="0" xr:uid="{270054BB-675C-4C61-B26C-24075B38EF9B}">
      <text>
        <t>[Threaded comment]
Your version of Excel allows you to read this threaded comment; however, any edits to it will get removed if the file is opened in a newer version of Excel. Learn more: https://go.microsoft.com/fwlink/?linkid=870924
Comment:
    Vasile, Catalin, Gheorge, Gheorge, Cosmin, Ion, Ilie, Mircea, Adrian, Marian.</t>
      </text>
    </comment>
    <comment ref="CG67" authorId="64" shapeId="0" xr:uid="{031D2181-DD19-41F8-B042-3BA7A3C996B2}">
      <text>
        <t>[Threaded comment]
Your version of Excel allows you to read this threaded comment; however, any edits to it will get removed if the file is opened in a newer version of Excel. Learn more: https://go.microsoft.com/fwlink/?linkid=870924
Comment:
    No everyone has full holidays</t>
      </text>
    </comment>
    <comment ref="CL67" authorId="65" shapeId="0" xr:uid="{0FD929A9-63FB-477E-8EA5-3CB7392005D7}">
      <text>
        <t>[Threaded comment]
Your version of Excel allows you to read this threaded comment; however, any edits to it will get removed if the file is opened in a newer version of Excel. Learn more: https://go.microsoft.com/fwlink/?linkid=870924
Comment:
    Travel and Marius started</t>
      </text>
    </comment>
    <comment ref="CX67" authorId="66" shapeId="0" xr:uid="{C13A78D9-F077-4C13-A5C7-5FE070BBAC02}">
      <text>
        <t>[Threaded comment]
Your version of Excel allows you to read this threaded comment; however, any edits to it will get removed if the file is opened in a newer version of Excel. Learn more: https://go.microsoft.com/fwlink/?linkid=870924
Comment:
    When we secure new jobs this PAYE cost will go back in.</t>
      </text>
    </comment>
    <comment ref="EF67" authorId="67" shapeId="0" xr:uid="{CF5303AD-CE24-456A-AB9E-7A9376525FD5}">
      <text>
        <t>[Threaded comment]
Your version of Excel allows you to read this threaded comment; however, any edits to it will get removed if the file is opened in a newer version of Excel. Learn more: https://go.microsoft.com/fwlink/?linkid=870924
Comment:
    This labour cost will go back in when work is confirmed</t>
      </text>
    </comment>
    <comment ref="B69" authorId="68" shapeId="0" xr:uid="{0D1FA876-A9CA-4D48-A183-FDD01C41514F}">
      <text>
        <t>[Threaded comment]
Your version of Excel allows you to read this threaded comment; however, any edits to it will get removed if the file is opened in a newer version of Excel. Learn more: https://go.microsoft.com/fwlink/?linkid=870924
Comment:
    Edgar, Vasil Bulz, Vasil Ursaciuc, Flavian, Daniel</t>
      </text>
    </comment>
    <comment ref="W69" authorId="69" shapeId="0" xr:uid="{65DBAC88-434C-45B0-B7BA-B1F2283D1552}">
      <text>
        <t>[Threaded comment]
Your version of Excel allows you to read this threaded comment; however, any edits to it will get removed if the file is opened in a newer version of Excel. Learn more: https://go.microsoft.com/fwlink/?linkid=870924
Comment:
    Taken 3k off for xmas holiday</t>
      </text>
    </comment>
    <comment ref="C70" authorId="70" shapeId="0" xr:uid="{C984A23A-ABB0-4AFD-935D-DBC0C104F061}">
      <text>
        <t>[Threaded comment]
Your version of Excel allows you to read this threaded comment; however, any edits to it will get removed if the file is opened in a newer version of Excel. Learn more: https://go.microsoft.com/fwlink/?linkid=870924
Comment:
    Gross measure likely figure for Merville plus 80k for GO and Mgnt</t>
      </text>
    </comment>
    <comment ref="S70" authorId="71" shapeId="0" xr:uid="{D435F781-E231-4936-ABA0-0C5A353FEC07}">
      <text>
        <t>[Threaded comment]
Your version of Excel allows you to read this threaded comment; however, any edits to it will get removed if the file is opened in a newer version of Excel. Learn more: https://go.microsoft.com/fwlink/?linkid=870924
Comment:
    Now incl 4 lads from Victor starting 22.11
The figure of 7500 for the 4 lads is gross</t>
      </text>
    </comment>
    <comment ref="U70" authorId="72" shapeId="0" xr:uid="{CA6AD2DB-6DFF-4CD2-92DB-242545CBF9A3}">
      <text>
        <t xml:space="preserve">[Threaded comment]
Your version of Excel allows you to read this threaded comment; however, any edits to it will get removed if the file is opened in a newer version of Excel. Learn more: https://go.microsoft.com/fwlink/?linkid=870924
Comment:
    Allowing for Victor extra 4 lads and reduction as some going home early </t>
      </text>
    </comment>
    <comment ref="W70" authorId="73" shapeId="0" xr:uid="{84070007-5B7F-4A4A-BD5B-18DB2CEC4697}">
      <text>
        <t>[Threaded comment]
Your version of Excel allows you to read this threaded comment; however, any edits to it will get removed if the file is opened in a newer version of Excel. Learn more: https://go.microsoft.com/fwlink/?linkid=870924
Comment:
    Reduced figure to cater for Xmas holiday time off.</t>
      </text>
    </comment>
    <comment ref="X70" authorId="74" shapeId="0" xr:uid="{9C6F06CB-DEE3-4EAC-9679-CC97CC70A8FB}">
      <text>
        <t xml:space="preserve">[Threaded comment]
Your version of Excel allows you to read this threaded comment; however, any edits to it will get removed if the file is opened in a newer version of Excel. Learn more: https://go.microsoft.com/fwlink/?linkid=870924
Comment:
    3 Days sub contractors
</t>
      </text>
    </comment>
    <comment ref="AC70" authorId="75" shapeId="0" xr:uid="{90070C7F-B0D9-4696-BE31-90DADE817DF5}">
      <text>
        <t>[Threaded comment]
Your version of Excel allows you to read this threaded comment; however, any edits to it will get removed if the file is opened in a newer version of Excel. Learn more: https://go.microsoft.com/fwlink/?linkid=870924
Comment:
    Estimated labour cost
Reply:
    Reducing Labour as Beech road will not start in Feb</t>
      </text>
    </comment>
    <comment ref="AF70" authorId="76" shapeId="0" xr:uid="{1ADCA535-85D1-4AD9-B861-D4AB0115D1FB}">
      <text>
        <t>[Threaded comment]
Your version of Excel allows you to read this threaded comment; however, any edits to it will get removed if the file is opened in a newer version of Excel. Learn more: https://go.microsoft.com/fwlink/?linkid=870924
Comment:
    Reduction in staff needed from March onwards based on Beach road coming in and no other jobs included yet.
Reply:
    Reduction in Emannuael's team as we will start slow in Beach Rd.</t>
      </text>
    </comment>
    <comment ref="BR70" authorId="77" shapeId="0" xr:uid="{C216B6B9-7E4B-4E78-A760-34B619A75F36}">
      <text>
        <t>[Threaded comment]
Your version of Excel allows you to read this threaded comment; however, any edits to it will get removed if the file is opened in a newer version of Excel. Learn more: https://go.microsoft.com/fwlink/?linkid=870924
Comment:
    Emanuel and Mihai remain on site with less men</t>
      </text>
    </comment>
    <comment ref="CE70" authorId="78" shapeId="0" xr:uid="{CBAD2F53-5593-47D3-B6B1-A5493FAC1DAE}">
      <text>
        <t>[Threaded comment]
Your version of Excel allows you to read this threaded comment; however, any edits to it will get removed if the file is opened in a newer version of Excel. Learn more: https://go.microsoft.com/fwlink/?linkid=870924
Comment:
    Covers variations to L5 and tapers</t>
      </text>
    </comment>
    <comment ref="CO70" authorId="79" shapeId="0" xr:uid="{0D9037D4-4E6E-49A6-B29D-D863CBFF4B57}">
      <text>
        <t>[Threaded comment]
Your version of Excel allows you to read this threaded comment; however, any edits to it will get removed if the file is opened in a newer version of Excel. Learn more: https://go.microsoft.com/fwlink/?linkid=870924
Comment:
    All Merville</t>
      </text>
    </comment>
    <comment ref="CQ70" authorId="80" shapeId="0" xr:uid="{2AF7F077-E371-4C9A-AD23-4F31C8E3F422}">
      <text>
        <t>[Threaded comment]
Your version of Excel allows you to read this threaded comment; however, any edits to it will get removed if the file is opened in a newer version of Excel. Learn more: https://go.microsoft.com/fwlink/?linkid=870924
Comment:
    All Merville</t>
      </text>
    </comment>
    <comment ref="CY70" authorId="81" shapeId="0" xr:uid="{78F273F7-FF3D-41F0-BC13-3803DFDF3F27}">
      <text>
        <t>[Threaded comment]
Your version of Excel allows you to read this threaded comment; however, any edits to it will get removed if the file is opened in a newer version of Excel. Learn more: https://go.microsoft.com/fwlink/?linkid=870924
Comment:
    Measure balance ie 62k less tax, see Daves email</t>
      </text>
    </comment>
    <comment ref="CJ71" authorId="82" shapeId="0" xr:uid="{A3448C0B-DE13-4DEE-AE8C-EE037C4D325C}">
      <text>
        <t>[Threaded comment]
Your version of Excel allows you to read this threaded comment; however, any edits to it will get removed if the file is opened in a newer version of Excel. Learn more: https://go.microsoft.com/fwlink/?linkid=870924
Comment:
    Originally showing as owing Demitriu 35k but now reducing to 25k.</t>
      </text>
    </comment>
    <comment ref="CY71" authorId="83" shapeId="0" xr:uid="{0660969E-4D47-4D49-89B3-65D0CA16BF39}">
      <text>
        <t>[Threaded comment]
Your version of Excel allows you to read this threaded comment; however, any edits to it will get removed if the file is opened in a newer version of Excel. Learn more: https://go.microsoft.com/fwlink/?linkid=870924
Comment:
    Paying Emanuel every two weeks, but on the Monday when we get Walls payment</t>
      </text>
    </comment>
    <comment ref="DA71" authorId="84" shapeId="0" xr:uid="{7EC091F7-76B4-4D87-9D4F-F6BF05A87FC6}">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D71" authorId="85" shapeId="0" xr:uid="{5CB17B15-6CAF-42CC-ACC9-5B623050A92B}">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F71" authorId="86" shapeId="0" xr:uid="{4FB4C332-CE06-472F-9762-56BCA1062FBE}">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I71" authorId="87" shapeId="0" xr:uid="{B9476FA8-062A-408D-8855-096BFAA2A5DE}">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K71" authorId="88" shapeId="0" xr:uid="{9B085629-FFA4-4793-A087-70DED27015F5}">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M71" authorId="89" shapeId="0" xr:uid="{445732E5-D7EA-46DD-9466-EB341AFC3EFF}">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P71" authorId="90" shapeId="0" xr:uid="{1AFD215D-1376-4473-9C01-64BCD29A802C}">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R71" authorId="91" shapeId="0" xr:uid="{B1E7D382-6831-4B27-B731-94F8C5E87B21}">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T71" authorId="92" shapeId="0" xr:uid="{96057850-645D-4497-98F5-FED23DCC2599}">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V71" authorId="93" shapeId="0" xr:uid="{F04CE64A-98E9-42C5-9503-8DD6375BDB02}">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CS72" authorId="94" shapeId="0" xr:uid="{8CD00AA0-486B-464D-A460-BF0B9926A257}">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CU72" authorId="95" shapeId="0" xr:uid="{A476BE8D-FE21-4A24-B17A-8AA6B2F25866}">
      <text>
        <t>[Threaded comment]
Your version of Excel allows you to read this threaded comment; however, any edits to it will get removed if the file is opened in a newer version of Excel. Learn more: https://go.microsoft.com/fwlink/?linkid=870924
Comment:
    31.3 Includes last week payment due
Price work for boarding partitions
5k gross per week, 8k nett for the two weeks</t>
      </text>
    </comment>
    <comment ref="CV72" authorId="96" shapeId="0" xr:uid="{EB15C6A2-C847-4B73-AFD5-95BCC5CE03B1}">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CX72" authorId="97" shapeId="0" xr:uid="{BF832690-FEE9-49ED-93E5-C54E5AE27930}">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B72" authorId="98" shapeId="0" xr:uid="{1CE8EA52-504F-4496-8A6D-D541C930838C}">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E72" authorId="99" shapeId="0" xr:uid="{9E7ABC8F-8703-4DC2-92DC-354733743B08}">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G72" authorId="100" shapeId="0" xr:uid="{17324BAF-48A9-4130-A82F-813D3F924C79}">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J72" authorId="101" shapeId="0" xr:uid="{7DE7E7DB-2977-4B4C-B9C5-42F70969C9E2}">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L72" authorId="102" shapeId="0" xr:uid="{A49F0D5A-283C-49B2-86C8-B3CE1C926482}">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O72" authorId="103" shapeId="0" xr:uid="{87E36F46-CDC2-4C29-987E-F83D42F28C56}">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Q72" authorId="104" shapeId="0" xr:uid="{9249FBE7-7234-48B1-8CE3-7E0C2D149414}">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S72" authorId="105" shapeId="0" xr:uid="{78855D38-C4C8-45A0-B139-52DEBF647BEE}">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CR73" authorId="106" shapeId="0" xr:uid="{23FE004A-0F15-46A4-A5CA-F3D513B1CF51}">
      <text>
        <t xml:space="preserve">[Threaded comment]
Your version of Excel allows you to read this threaded comment; however, any edits to it will get removed if the file is opened in a newer version of Excel. Learn more: https://go.microsoft.com/fwlink/?linkid=870924
Comment:
    Affidea only
</t>
      </text>
    </comment>
    <comment ref="CT73" authorId="107" shapeId="0" xr:uid="{CFFAFB5C-338C-4BE2-AEE1-86F5116BD2F5}">
      <text>
        <t>[Threaded comment]
Your version of Excel allows you to read this threaded comment; however, any edits to it will get removed if the file is opened in a newer version of Excel. Learn more: https://go.microsoft.com/fwlink/?linkid=870924
Comment:
    Affidea only</t>
      </text>
    </comment>
    <comment ref="CV73" authorId="108" shapeId="0" xr:uid="{00C6DD53-CC03-4BAE-8622-310404490F8B}">
      <text>
        <t>[Threaded comment]
Your version of Excel allows you to read this threaded comment; however, any edits to it will get removed if the file is opened in a newer version of Excel. Learn more: https://go.microsoft.com/fwlink/?linkid=870924
Comment:
    Affidea only</t>
      </text>
    </comment>
    <comment ref="CX73" authorId="109" shapeId="0" xr:uid="{B9ADCFD4-0EBF-4984-97A8-BFC2D4064C23}">
      <text>
        <t>[Threaded comment]
Your version of Excel allows you to read this threaded comment; however, any edits to it will get removed if the file is opened in a newer version of Excel. Learn more: https://go.microsoft.com/fwlink/?linkid=870924
Comment:
    Affidea only</t>
      </text>
    </comment>
    <comment ref="CZ73" authorId="110" shapeId="0" xr:uid="{D81D11D9-7445-4BA8-BE3D-CEADCB57120C}">
      <text>
        <t>[Threaded comment]
Your version of Excel allows you to read this threaded comment; however, any edits to it will get removed if the file is opened in a newer version of Excel. Learn more: https://go.microsoft.com/fwlink/?linkid=870924
Comment:
    Affidea only</t>
      </text>
    </comment>
    <comment ref="DB73" authorId="111" shapeId="0" xr:uid="{B7F34373-159D-45AA-B3CB-26C0AE2D6152}">
      <text>
        <t>[Threaded comment]
Your version of Excel allows you to read this threaded comment; however, any edits to it will get removed if the file is opened in a newer version of Excel. Learn more: https://go.microsoft.com/fwlink/?linkid=870924
Comment:
    Affidea only</t>
      </text>
    </comment>
    <comment ref="DE73" authorId="112" shapeId="0" xr:uid="{C350D918-91D3-4FE2-8443-0E8DEFE65956}">
      <text>
        <t>[Threaded comment]
Your version of Excel allows you to read this threaded comment; however, any edits to it will get removed if the file is opened in a newer version of Excel. Learn more: https://go.microsoft.com/fwlink/?linkid=870924
Comment:
    Affidea only</t>
      </text>
    </comment>
    <comment ref="DG73" authorId="113" shapeId="0" xr:uid="{968458CE-40CF-4A6F-9CA1-024B4EB1C6B4}">
      <text>
        <t>[Threaded comment]
Your version of Excel allows you to read this threaded comment; however, any edits to it will get removed if the file is opened in a newer version of Excel. Learn more: https://go.microsoft.com/fwlink/?linkid=870924
Comment:
    Affidea only</t>
      </text>
    </comment>
    <comment ref="DJ73" authorId="114" shapeId="0" xr:uid="{50CD4646-62DE-4157-835E-9CA00E7F5404}">
      <text>
        <t>[Threaded comment]
Your version of Excel allows you to read this threaded comment; however, any edits to it will get removed if the file is opened in a newer version of Excel. Learn more: https://go.microsoft.com/fwlink/?linkid=870924
Comment:
    Affidea only</t>
      </text>
    </comment>
    <comment ref="DL73" authorId="115" shapeId="0" xr:uid="{0C650FDA-7510-41B6-BC75-C29934991335}">
      <text>
        <t>[Threaded comment]
Your version of Excel allows you to read this threaded comment; however, any edits to it will get removed if the file is opened in a newer version of Excel. Learn more: https://go.microsoft.com/fwlink/?linkid=870924
Comment:
    Affidea only</t>
      </text>
    </comment>
    <comment ref="DR74" authorId="116" shapeId="0" xr:uid="{25D66DB0-A4C2-40A0-AA10-0C3E8256ADB6}">
      <text>
        <t>[Threaded comment]
Your version of Excel allows you to read this threaded comment; however, any edits to it will get removed if the file is opened in a newer version of Excel. Learn more: https://go.microsoft.com/fwlink/?linkid=870924
Comment:
    Half subcontractors half PAYE</t>
      </text>
    </comment>
    <comment ref="DT74" authorId="117" shapeId="0" xr:uid="{D23A57F2-ED0D-4C5F-9C19-64787EF0F85A}">
      <text>
        <t>[Threaded comment]
Your version of Excel allows you to read this threaded comment; however, any edits to it will get removed if the file is opened in a newer version of Excel. Learn more: https://go.microsoft.com/fwlink/?linkid=870924
Comment:
    Half subcontractors half PAYE</t>
      </text>
    </comment>
    <comment ref="DV74" authorId="118" shapeId="0" xr:uid="{F96FCC4C-D8C2-46B5-97A2-EFECCB8CAA4E}">
      <text>
        <t>[Threaded comment]
Your version of Excel allows you to read this threaded comment; however, any edits to it will get removed if the file is opened in a newer version of Excel. Learn more: https://go.microsoft.com/fwlink/?linkid=870924
Comment:
    Half subcontractors half PAYE</t>
      </text>
    </comment>
    <comment ref="B76" authorId="119" shapeId="0" xr:uid="{756192D2-07B3-4A75-B370-6F41D598250F}">
      <text>
        <t>[Threaded comment]
Your version of Excel allows you to read this threaded comment; however, any edits to it will get removed if the file is opened in a newer version of Excel. Learn more: https://go.microsoft.com/fwlink/?linkid=870924
Comment:
    We are assuming 3 PAYE, Ursacic, plus three from Emanuel for this job</t>
      </text>
    </comment>
    <comment ref="AX77" authorId="120" shapeId="0" xr:uid="{585AC70D-9355-44CE-ADA7-C38E223857C1}">
      <text>
        <t>[Threaded comment]
Your version of Excel allows you to read this threaded comment; however, any edits to it will get removed if the file is opened in a newer version of Excel. Learn more: https://go.microsoft.com/fwlink/?linkid=870924
Comment:
    This is gross figure, net will be advised tomorrow.</t>
      </text>
    </comment>
    <comment ref="BP77" authorId="121" shapeId="0" xr:uid="{BE08681E-490E-492D-9D2E-7BC0567AD754}">
      <text>
        <t>[Threaded comment]
Your version of Excel allows you to read this threaded comment; however, any edits to it will get removed if the file is opened in a newer version of Excel. Learn more: https://go.microsoft.com/fwlink/?linkid=870924
Comment:
    Victor in Moxy</t>
      </text>
    </comment>
    <comment ref="BS78" authorId="122" shapeId="0" xr:uid="{1E540134-69BE-42A3-BF00-CA62579287D4}">
      <text>
        <t xml:space="preserve">[Threaded comment]
Your version of Excel allows you to read this threaded comment; however, any edits to it will get removed if the file is opened in a newer version of Excel. Learn more: https://go.microsoft.com/fwlink/?linkid=870924
Comment:
    5 men as per Job calc, paid every two weeks.
</t>
      </text>
    </comment>
    <comment ref="CN80" authorId="123" shapeId="0" xr:uid="{5778A2B5-085D-44CB-8FF9-476EFD2E907C}">
      <text>
        <t>[Threaded comment]
Your version of Excel allows you to read this threaded comment; however, any edits to it will get removed if the file is opened in a newer version of Excel. Learn more: https://go.microsoft.com/fwlink/?linkid=870924
Comment:
    4 lads each week in addition to our 4 lads
19.2 have to check if he is on 20%</t>
      </text>
    </comment>
    <comment ref="J81" authorId="124" shapeId="0" xr:uid="{49295B44-C5DC-4778-BA86-1A9F6A535F15}">
      <text>
        <t>[Threaded comment]
Your version of Excel allows you to read this threaded comment; however, any edits to it will get removed if the file is opened in a newer version of Excel. Learn more: https://go.microsoft.com/fwlink/?linkid=870924
Comment:
    Incl VAT</t>
      </text>
    </comment>
    <comment ref="V81" authorId="125" shapeId="0" xr:uid="{C4E822F0-0090-49B2-BDC7-6DA3F6EDA947}">
      <text>
        <t>[Threaded comment]
Your version of Excel allows you to read this threaded comment; however, any edits to it will get removed if the file is opened in a newer version of Excel. Learn more: https://go.microsoft.com/fwlink/?linkid=870924
Comment:
    Bringing forward a payment to December</t>
      </text>
    </comment>
    <comment ref="U82" authorId="126" shapeId="0" xr:uid="{C0ADD48F-1841-4798-AE2F-D366E3EA084C}">
      <text>
        <t>[Threaded comment]
Your version of Excel allows you to read this threaded comment; however, any edits to it will get removed if the file is opened in a newer version of Excel. Learn more: https://go.microsoft.com/fwlink/?linkid=870924
Comment:
    Tax due to be paid, RCT Euro24707, P30 Euro19343 = total 44050.  Credit with Revenue Euro10795</t>
      </text>
    </comment>
    <comment ref="V82" authorId="127" shapeId="0" xr:uid="{FDA75392-6080-4997-9038-E2A871911A27}">
      <text>
        <t>[Threaded comment]
Your version of Excel allows you to read this threaded comment; however, any edits to it will get removed if the file is opened in a newer version of Excel. Learn more: https://go.microsoft.com/fwlink/?linkid=870924
Comment:
    Is there more to come? I was forecasting 34k to come out for Revenue.</t>
      </text>
    </comment>
    <comment ref="AE82" authorId="128" shapeId="0" xr:uid="{33217BAF-C8FB-4209-A274-2B382A1A9A0E}">
      <text>
        <t>[Threaded comment]
Your version of Excel allows you to read this threaded comment; however, any edits to it will get removed if the file is opened in a newer version of Excel. Learn more: https://go.microsoft.com/fwlink/?linkid=870924
Comment:
    Reducing tax bill in line with labour reduction.</t>
      </text>
    </comment>
    <comment ref="BA82" authorId="129" shapeId="0" xr:uid="{DFB0FCAD-8AF1-419B-8A8E-FF93811A40C7}">
      <text>
        <t>[Threaded comment]
Your version of Excel allows you to read this threaded comment; however, any edits to it will get removed if the file is opened in a newer version of Excel. Learn more: https://go.microsoft.com/fwlink/?linkid=870924
Comment:
    Exact amount from ROS</t>
      </text>
    </comment>
    <comment ref="CQ82" authorId="130" shapeId="0" xr:uid="{BAC9607B-CABD-4182-B453-79304252DA49}">
      <text>
        <t>[Threaded comment]
Your version of Excel allows you to read this threaded comment; however, any edits to it will get removed if the file is opened in a newer version of Excel. Learn more: https://go.microsoft.com/fwlink/?linkid=870924
Comment:
    Ivan got figure off ROS sent snip to group</t>
      </text>
    </comment>
    <comment ref="CU82" authorId="131" shapeId="0" xr:uid="{F0657548-A1F8-4DE0-8429-312D070D5E86}">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CY82" authorId="132" shapeId="0" xr:uid="{D062CECB-DB3D-4FA8-A945-E967AF14F20B}">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C82" authorId="133" shapeId="0" xr:uid="{2F6FCAD1-89A7-48FF-B094-2FCFDFEE0A82}">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G82" authorId="134" shapeId="0" xr:uid="{6F3FF4D9-FB43-45BE-9D79-BE1EF86D40F8}">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L82" authorId="135" shapeId="0" xr:uid="{D0278581-E389-4B1C-9FD4-546725A90A48}">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O82" authorId="136" shapeId="0" xr:uid="{85D042EE-A094-4A53-9C9E-24CED83CB0E9}">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R82" authorId="137" shapeId="0" xr:uid="{14BDC874-4B0C-405E-92F6-00A08FF6B1D5}">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V82" authorId="138" shapeId="0" xr:uid="{8508C336-05BA-4C17-B5BF-57AFC4739B5A}">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Y83" authorId="139" shapeId="0" xr:uid="{694CF6C0-AA17-48E6-A242-5F3ACA197A5C}">
      <text>
        <t>[Threaded comment]
Your version of Excel allows you to read this threaded comment; however, any edits to it will get removed if the file is opened in a newer version of Excel. Learn more: https://go.microsoft.com/fwlink/?linkid=870924
Comment:
    2419EURO has been demanded from Revenue, HAS BEEN OFFSET AGAINST THE vat REFUND FIGURE ABOVE</t>
      </text>
    </comment>
    <comment ref="BA83" authorId="140" shapeId="0" xr:uid="{A0585D35-4E4C-4C42-B7B9-46B57232C5BD}">
      <text>
        <t>[Threaded comment]
Your version of Excel allows you to read this threaded comment; however, any edits to it will get removed if the file is opened in a newer version of Excel. Learn more: https://go.microsoft.com/fwlink/?linkid=870924
Comment:
    Exact amount from ROS</t>
      </text>
    </comment>
    <comment ref="DC83" authorId="141" shapeId="0" xr:uid="{BE9A7A69-FC69-4FB2-8768-B1B2DA6F7248}">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G83" authorId="142" shapeId="0" xr:uid="{89081941-E41B-4A2F-9ADC-AE2E6C7ADAFC}">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L83" authorId="143" shapeId="0" xr:uid="{36B1F1C1-B051-4853-BE67-21FFC9ED3996}">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O83" authorId="144" shapeId="0" xr:uid="{C9D755F4-E8E1-467B-89B1-9DD8FE9147CE}">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R83" authorId="145" shapeId="0" xr:uid="{7D2D331F-D1D9-4647-A899-747C7EE7AE2D}">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V83" authorId="146" shapeId="0" xr:uid="{464A9F07-A9DC-4BD7-A3CB-5D92E53C7BF2}">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Z83" authorId="147" shapeId="0" xr:uid="{A86A6FA5-5FB5-4E89-BEB9-4C9C7344FFB4}">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EE83" authorId="148" shapeId="0" xr:uid="{AD729595-D1C7-4C1C-9851-5BEBFEE384D5}">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EI83" authorId="149" shapeId="0" xr:uid="{6632C30E-033F-4686-965B-C27D57631DDD}">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CA84" authorId="150" shapeId="0" xr:uid="{E2137352-D037-4FBB-8D8D-0E4DD8A129E3}">
      <text>
        <t>[Threaded comment]
Your version of Excel allows you to read this threaded comment; however, any edits to it will get removed if the file is opened in a newer version of Excel. Learn more: https://go.microsoft.com/fwlink/?linkid=870924
Comment:
    The 216.91 is a balancing figure that is the difference between the amount taken by revenue and what I was forecasting</t>
      </text>
    </comment>
    <comment ref="CK85" authorId="151" shapeId="0" xr:uid="{596CB7A4-7D43-4856-B99E-C6CA1E16AFB0}">
      <text>
        <t>[Threaded comment]
Your version of Excel allows you to read this threaded comment; however, any edits to it will get removed if the file is opened in a newer version of Excel. Learn more: https://go.microsoft.com/fwlink/?linkid=870924
Comment:
    Seems to be a payment to us, don’t know why.</t>
      </text>
    </comment>
    <comment ref="AB90" authorId="152" shapeId="0" xr:uid="{DF510860-5100-454C-B6E6-621527FF912C}">
      <text>
        <t xml:space="preserve">[Threaded comment]
Your version of Excel allows you to read this threaded comment; however, any edits to it will get removed if the file is opened in a newer version of Excel. Learn more: https://go.microsoft.com/fwlink/?linkid=870924
Comment:
    Increase for new fleet, incl Jason maybe.
</t>
      </text>
    </comment>
    <comment ref="I91" authorId="153" shapeId="0" xr:uid="{52B7937A-AB7F-4E3D-85C3-9694628A0543}">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AO92" authorId="154" shapeId="0" xr:uid="{0116C562-1C0F-4F29-97B1-D86D8C9BFBBA}">
      <text>
        <t>[Threaded comment]
Your version of Excel allows you to read this threaded comment; however, any edits to it will get removed if the file is opened in a newer version of Excel. Learn more: https://go.microsoft.com/fwlink/?linkid=870924
Comment:
    8th May</t>
      </text>
    </comment>
    <comment ref="AE94" authorId="155" shapeId="0" xr:uid="{C20A7EC2-4412-4164-A598-ACE2BCFBCC33}">
      <text>
        <t xml:space="preserve">[Threaded comment]
Your version of Excel allows you to read this threaded comment; however, any edits to it will get removed if the file is opened in a newer version of Excel. Learn more: https://go.microsoft.com/fwlink/?linkid=870924
Comment:
    Jan and Feb amount owed to Liam going from 513pm to 600pm for his fees.
</t>
      </text>
    </comment>
    <comment ref="AL96" authorId="156" shapeId="0" xr:uid="{4ECDDA1F-CFBE-4EDB-8517-00F5FC5E4861}">
      <text>
        <t>[Threaded comment]
Your version of Excel allows you to read this threaded comment; however, any edits to it will get removed if the file is opened in a newer version of Excel. Learn more: https://go.microsoft.com/fwlink/?linkid=870924
Comment:
    No payment in March?</t>
      </text>
    </comment>
    <comment ref="Y97" authorId="157" shapeId="0" xr:uid="{99024DDD-E150-4FA3-B79D-9AECFA554C57}">
      <text>
        <t>[Threaded comment]
Your version of Excel allows you to read this threaded comment; however, any edits to it will get removed if the file is opened in a newer version of Excel. Learn more: https://go.microsoft.com/fwlink/?linkid=870924
Comment:
    Moved from second week Jan</t>
      </text>
    </comment>
    <comment ref="AJ97" authorId="158" shapeId="0" xr:uid="{2EE2814D-7E2E-41E9-ACE1-240A1C441080}">
      <text>
        <t>[Threaded comment]
Your version of Excel allows you to read this threaded comment; however, any edits to it will get removed if the file is opened in a newer version of Excel. Learn more: https://go.microsoft.com/fwlink/?linkid=870924
Comment:
    Brought forward by two weeks and paid.</t>
      </text>
    </comment>
    <comment ref="AT97" authorId="159" shapeId="0" xr:uid="{766F45D6-40B5-4BD8-B643-C890ABDF68B8}">
      <text>
        <t>[Threaded comment]
Your version of Excel allows you to read this threaded comment; however, any edits to it will get removed if the file is opened in a newer version of Excel. Learn more: https://go.microsoft.com/fwlink/?linkid=870924
Comment:
    This is March and April figures due.</t>
      </text>
    </comment>
    <comment ref="AY97" authorId="160" shapeId="0" xr:uid="{827C2EA0-00FB-450B-A6D3-784B67D94D85}">
      <text>
        <t>[Threaded comment]
Your version of Excel allows you to read this threaded comment; however, any edits to it will get removed if the file is opened in a newer version of Excel. Learn more: https://go.microsoft.com/fwlink/?linkid=870924
Comment:
    Holding number for May figure due 23rd June.</t>
      </text>
    </comment>
    <comment ref="BL97" authorId="161" shapeId="0" xr:uid="{B2B5CAC7-6C74-4FFF-B55B-C815750F69E7}">
      <text>
        <t>[Threaded comment]
Your version of Excel allows you to read this threaded comment; however, any edits to it will get removed if the file is opened in a newer version of Excel. Learn more: https://go.microsoft.com/fwlink/?linkid=870924
Comment:
    Weeks 27 to 30 inclusive.</t>
      </text>
    </comment>
    <comment ref="BT97" authorId="162" shapeId="0" xr:uid="{2DEE29CF-F060-4DE4-BDE7-2059EF603F3A}">
      <text>
        <t>[Threaded comment]
Your version of Excel allows you to read this threaded comment; however, any edits to it will get removed if the file is opened in a newer version of Excel. Learn more: https://go.microsoft.com/fwlink/?linkid=870924
Comment:
    Weeks 31 to 35 inclusive</t>
      </text>
    </comment>
    <comment ref="BZ97" authorId="163" shapeId="0" xr:uid="{137B79FB-8BBF-41B7-BCF9-B3B5286F4DC1}">
      <text>
        <t>[Threaded comment]
Your version of Excel allows you to read this threaded comment; however, any edits to it will get removed if the file is opened in a newer version of Excel. Learn more: https://go.microsoft.com/fwlink/?linkid=870924
Comment:
    Week 36 to 39 inclusive</t>
      </text>
    </comment>
    <comment ref="CI97" authorId="164" shapeId="0" xr:uid="{B68A78F6-0CA2-4446-8D1E-813CF6A4CA02}">
      <text>
        <t>[Threaded comment]
Your version of Excel allows you to read this threaded comment; however, any edits to it will get removed if the file is opened in a newer version of Excel. Learn more: https://go.microsoft.com/fwlink/?linkid=870924
Comment:
    October and Nov, to week 45 inclusive</t>
      </text>
    </comment>
    <comment ref="CQ97" authorId="165" shapeId="0" xr:uid="{D901E868-D9DD-4F09-AA66-22F237E3D048}">
      <text>
        <t>[Threaded comment]
Your version of Excel allows you to read this threaded comment; however, any edits to it will get removed if the file is opened in a newer version of Excel. Learn more: https://go.microsoft.com/fwlink/?linkid=870924
Comment:
    Dec and Jan 25</t>
      </text>
    </comment>
    <comment ref="C98" authorId="166" shapeId="0" xr:uid="{38BB67AC-597E-4882-9F06-1AC5F4EB740E}">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J98" authorId="167" shapeId="0" xr:uid="{D8F08B22-0FC4-4815-A004-5EE2CF02D064}">
      <text>
        <t>[Threaded comment]
Your version of Excel allows you to read this threaded comment; however, any edits to it will get removed if the file is opened in a newer version of Excel. Learn more: https://go.microsoft.com/fwlink/?linkid=870924
Comment:
    September payment</t>
      </text>
    </comment>
    <comment ref="Y98" authorId="168" shapeId="0" xr:uid="{2E708C4E-0735-4BC9-A314-3FC89F09EDBF}">
      <text>
        <t xml:space="preserve">[Threaded comment]
Your version of Excel allows you to read this threaded comment; however, any edits to it will get removed if the file is opened in a newer version of Excel. Learn more: https://go.microsoft.com/fwlink/?linkid=870924
Comment:
    Moved from first week January </t>
      </text>
    </comment>
    <comment ref="N99" authorId="169" shapeId="0" xr:uid="{6CE8BEBF-F972-49EB-9872-792DCF3DD5D3}">
      <text>
        <t xml:space="preserve">[Threaded comment]
Your version of Excel allows you to read this threaded comment; however, any edits to it will get removed if the file is opened in a newer version of Excel. Learn more: https://go.microsoft.com/fwlink/?linkid=870924
Comment:
    Move to next week.
</t>
      </text>
    </comment>
    <comment ref="K101" authorId="170" shapeId="0" xr:uid="{C646C400-DADC-44F8-AC7D-FA6E699E57F8}">
      <text>
        <t>[Threaded comment]
Your version of Excel allows you to read this threaded comment; however, any edits to it will get removed if the file is opened in a newer version of Excel. Learn more: https://go.microsoft.com/fwlink/?linkid=870924
Comment:
    Check to make sure this is a credit card payment</t>
      </text>
    </comment>
    <comment ref="BB101" authorId="171" shapeId="0" xr:uid="{3C87B503-5B97-4228-89AA-42586CFCE6D0}">
      <text>
        <t>[Threaded comment]
Your version of Excel allows you to read this threaded comment; however, any edits to it will get removed if the file is opened in a newer version of Excel. Learn more: https://go.microsoft.com/fwlink/?linkid=870924
Comment:
    Interim payment of 1,000 was made but then the full DD also came out.</t>
      </text>
    </comment>
    <comment ref="T102" authorId="172" shapeId="0" xr:uid="{3F71712C-5B5F-4313-B73C-C27DC67409D7}">
      <text>
        <t>[Threaded comment]
Your version of Excel allows you to read this threaded comment; however, any edits to it will get removed if the file is opened in a newer version of Excel. Learn more: https://go.microsoft.com/fwlink/?linkid=870924
Comment:
    Quarterly overdraft interest (estimated)</t>
      </text>
    </comment>
    <comment ref="X108" authorId="173" shapeId="0" xr:uid="{4F3C3657-14DB-41AA-94FF-95D04C0AA6D3}">
      <text>
        <t xml:space="preserve">[Threaded comment]
Your version of Excel allows you to read this threaded comment; however, any edits to it will get removed if the file is opened in a newer version of Excel. Learn more: https://go.microsoft.com/fwlink/?linkid=870924
Comment:
    Darcy McGees
</t>
      </text>
    </comment>
    <comment ref="Z108" authorId="174" shapeId="0" xr:uid="{FF69C140-D439-402D-9282-3EF43E0D25C1}">
      <text>
        <t>[Threaded comment]
Your version of Excel allows you to read this threaded comment; however, any edits to it will get removed if the file is opened in a newer version of Excel. Learn more: https://go.microsoft.com/fwlink/?linkid=870924
Comment:
    Keoghs Café, Halfords</t>
      </text>
    </comment>
    <comment ref="AA108" authorId="175" shapeId="0" xr:uid="{9AF738B7-0A3F-4764-9219-AAD0D69BA9E4}">
      <text>
        <t>[Threaded comment]
Your version of Excel allows you to read this threaded comment; however, any edits to it will get removed if the file is opened in a newer version of Excel. Learn more: https://go.microsoft.com/fwlink/?linkid=870924
Comment:
    Halfords,</t>
      </text>
    </comment>
    <comment ref="AD108" authorId="176" shapeId="0" xr:uid="{AED34855-73F3-40C7-95A8-BAA2211CF59B}">
      <text>
        <t>[Threaded comment]
Your version of Excel allows you to read this threaded comment; however, any edits to it will get removed if the file is opened in a newer version of Excel. Learn more: https://go.microsoft.com/fwlink/?linkid=870924
Comment:
    Keoghs</t>
      </text>
    </comment>
    <comment ref="AE108" authorId="177" shapeId="0" xr:uid="{8D1B59BE-9443-4AED-AFD4-C3007DE1D250}">
      <text>
        <t xml:space="preserve">[Threaded comment]
Your version of Excel allows you to read this threaded comment; however, any edits to it will get removed if the file is opened in a newer version of Excel. Learn more: https://go.microsoft.com/fwlink/?linkid=870924
Comment:
    Keogh's
</t>
      </text>
    </comment>
    <comment ref="AH108" authorId="178" shapeId="0" xr:uid="{E8E41BE4-270A-4A6E-BB2C-F29177158B21}">
      <text>
        <t xml:space="preserve">[Threaded comment]
Your version of Excel allows you to read this threaded comment; however, any edits to it will get removed if the file is opened in a newer version of Excel. Learn more: https://go.microsoft.com/fwlink/?linkid=870924
Comment:
    CEX phone for Dave, Supervalu, </t>
      </text>
    </comment>
    <comment ref="AI108" authorId="179" shapeId="0" xr:uid="{AEC55309-E95B-4F4D-8AB1-D721E591B416}">
      <text>
        <t>[Threaded comment]
Your version of Excel allows you to read this threaded comment; however, any edits to it will get removed if the file is opened in a newer version of Excel. Learn more: https://go.microsoft.com/fwlink/?linkid=870924
Comment:
    Darcy McGees</t>
      </text>
    </comment>
    <comment ref="AJ108" authorId="180" shapeId="0" xr:uid="{B1607C18-E28A-4CFB-B66C-DFFD5A145703}">
      <text>
        <t>[Threaded comment]
Your version of Excel allows you to read this threaded comment; however, any edits to it will get removed if the file is opened in a newer version of Excel. Learn more: https://go.microsoft.com/fwlink/?linkid=870924
Comment:
    Eurolink, Westward, Home Store, B&amp;"</t>
      </text>
    </comment>
    <comment ref="AL108" authorId="181" shapeId="0" xr:uid="{BCFA122A-C9F2-47EC-B702-71AF648C8924}">
      <text>
        <t>[Threaded comment]
Your version of Excel allows you to read this threaded comment; however, any edits to it will get removed if the file is opened in a newer version of Excel. Learn more: https://go.microsoft.com/fwlink/?linkid=870924
Comment:
    Woodies</t>
      </text>
    </comment>
    <comment ref="AM108" authorId="182" shapeId="0" xr:uid="{4794E84A-0D41-4E90-895F-9E91FC532037}">
      <text>
        <t>[Threaded comment]
Your version of Excel allows you to read this threaded comment; however, any edits to it will get removed if the file is opened in a newer version of Excel. Learn more: https://go.microsoft.com/fwlink/?linkid=870924
Comment:
    Ivan Rome</t>
      </text>
    </comment>
    <comment ref="AN108" authorId="183" shapeId="0" xr:uid="{5738EC49-7B4E-4450-8F9F-4CF779F0E242}">
      <text>
        <t xml:space="preserve">[Threaded comment]
Your version of Excel allows you to read this threaded comment; however, any edits to it will get removed if the file is opened in a newer version of Excel. Learn more: https://go.microsoft.com/fwlink/?linkid=870924
Comment:
    250 Ivan repaid withdrawal
101.34 paid to Dave for Punchestown
</t>
      </text>
    </comment>
    <comment ref="AR108" authorId="184" shapeId="0" xr:uid="{1FC0CA89-ADEB-45A8-BFC0-29C55922B329}">
      <text>
        <t>[Threaded comment]
Your version of Excel allows you to read this threaded comment; however, any edits to it will get removed if the file is opened in a newer version of Excel. Learn more: https://go.microsoft.com/fwlink/?linkid=870924
Comment:
    Revolut charge</t>
      </text>
    </comment>
    <comment ref="AV108" authorId="185" shapeId="0" xr:uid="{3F642F44-18C4-47CD-8664-5CEC04F640A1}">
      <text>
        <t>[Threaded comment]
Your version of Excel allows you to read this threaded comment; however, any edits to it will get removed if the file is opened in a newer version of Excel. Learn more: https://go.microsoft.com/fwlink/?linkid=870924
Comment:
    Ballinteer House</t>
      </text>
    </comment>
    <comment ref="AZ108" authorId="186" shapeId="0" xr:uid="{1632412B-5C35-486E-9B77-B8F07B8662BC}">
      <text>
        <t>[Threaded comment]
Your version of Excel allows you to read this threaded comment; however, any edits to it will get removed if the file is opened in a newer version of Excel. Learn more: https://go.microsoft.com/fwlink/?linkid=870924
Comment:
    An Post</t>
      </text>
    </comment>
    <comment ref="BL108" authorId="187" shapeId="0" xr:uid="{BAB91B94-4AEB-4D11-A241-BB7E2F488CCC}">
      <text>
        <t>[Threaded comment]
Your version of Excel allows you to read this threaded comment; however, any edits to it will get removed if the file is opened in a newer version of Excel. Learn more: https://go.microsoft.com/fwlink/?linkid=870924
Comment:
    O’Connor roofing</t>
      </text>
    </comment>
    <comment ref="CC108" authorId="188" shapeId="0" xr:uid="{18209FBA-CB46-46EE-AC85-C93EAA56710C}">
      <text>
        <t xml:space="preserve">[Threaded comment]
Your version of Excel allows you to read this threaded comment; however, any edits to it will get removed if the file is opened in a newer version of Excel. Learn more: https://go.microsoft.com/fwlink/?linkid=870924
Comment:
    Screwfix
</t>
      </text>
    </comment>
    <comment ref="CL108" authorId="189" shapeId="0" xr:uid="{19E9AC68-0558-4085-9A20-46427DE583C1}">
      <text>
        <t>[Threaded comment]
Your version of Excel allows you to read this threaded comment; however, any edits to it will get removed if the file is opened in a newer version of Excel. Learn more: https://go.microsoft.com/fwlink/?linkid=870924
Comment:
    Balancing fig</t>
      </text>
    </comment>
    <comment ref="CR108" authorId="190" shapeId="0" xr:uid="{5A39B761-4F7A-49B6-9244-F79EDD693655}">
      <text>
        <t xml:space="preserve">[Threaded comment]
Your version of Excel allows you to read this threaded comment; however, any edits to it will get removed if the file is opened in a newer version of Excel. Learn more: https://go.microsoft.com/fwlink/?linkid=870924
Comment:
    Rounding
</t>
      </text>
    </comment>
    <comment ref="CZ108" authorId="191" shapeId="0" xr:uid="{37A8495D-9C7F-4550-9626-83C162624060}">
      <text>
        <t>[Threaded comment]
Your version of Excel allows you to read this threaded comment; however, any edits to it will get removed if the file is opened in a newer version of Excel. Learn more: https://go.microsoft.com/fwlink/?linkid=870924
Comment:
    Dyna Rocker Cover</t>
      </text>
    </comment>
    <comment ref="Q109" authorId="192" shapeId="0" xr:uid="{AAE0C7B7-5F71-4257-BB74-7CEB942A806F}">
      <text>
        <t>[Threaded comment]
Your version of Excel allows you to read this threaded comment; however, any edits to it will get removed if the file is opened in a newer version of Excel. Learn more: https://go.microsoft.com/fwlink/?linkid=870924
Comment:
    Invoice dated 26.10 IFIT01</t>
      </text>
    </comment>
    <comment ref="BL109" authorId="193" shapeId="0" xr:uid="{90762BDB-DA9D-461A-B250-B4B15C29A949}">
      <text>
        <t>[Threaded comment]
Your version of Excel allows you to read this threaded comment; however, any edits to it will get removed if the file is opened in a newer version of Excel. Learn more: https://go.microsoft.com/fwlink/?linkid=870924
Comment:
    Invoice ref CAC02470 and CAC02435</t>
      </text>
    </comment>
    <comment ref="BN109" authorId="194" shapeId="0" xr:uid="{59B51B02-B048-42C2-B095-AD87B9515610}">
      <text>
        <t>[Threaded comment]
Your version of Excel allows you to read this threaded comment; however, any edits to it will get removed if the file is opened in a newer version of Excel. Learn more: https://go.microsoft.com/fwlink/?linkid=870924
Comment:
    Ref CAC02477</t>
      </text>
    </comment>
    <comment ref="BR109" authorId="195" shapeId="0" xr:uid="{5F5CCFB9-28D0-4A12-B1EC-A9128A747C96}">
      <text>
        <t>[Threaded comment]
Your version of Excel allows you to read this threaded comment; however, any edits to it will get removed if the file is opened in a newer version of Excel. Learn more: https://go.microsoft.com/fwlink/?linkid=870924
Comment:
    Invoice ref CAC02470 and CAC02435, CAC02477</t>
      </text>
    </comment>
    <comment ref="CN109" authorId="196" shapeId="0" xr:uid="{B879F7F8-C28F-4287-B485-AD1DD28C73F5}">
      <text>
        <t>[Threaded comment]
Your version of Excel allows you to read this threaded comment; however, any edits to it will get removed if the file is opened in a newer version of Excel. Learn more: https://go.microsoft.com/fwlink/?linkid=870924
Comment:
    Invoice ref CAC02470 and CAC02435, CAC02477</t>
      </text>
    </comment>
    <comment ref="P111" authorId="197" shapeId="0" xr:uid="{C2DFA453-11E3-4C53-BBCC-FE7622F262F8}">
      <text>
        <t>[Threaded comment]
Your version of Excel allows you to read this threaded comment; however, any edits to it will get removed if the file is opened in a newer version of Excel. Learn more: https://go.microsoft.com/fwlink/?linkid=870924
Comment:
    Cost of tape and bank fee</t>
      </text>
    </comment>
    <comment ref="BT112" authorId="198" shapeId="0" xr:uid="{315EFFC2-E9D6-4699-AB16-52E5B25B0C3B}">
      <text>
        <t>[Threaded comment]
Your version of Excel allows you to read this threaded comment; however, any edits to it will get removed if the file is opened in a newer version of Excel. Learn more: https://go.microsoft.com/fwlink/?linkid=870924
Comment:
    Week 36 to 44</t>
      </text>
    </comment>
    <comment ref="CR112" authorId="199" shapeId="0" xr:uid="{E1B655A4-911B-4D53-A5BE-80330522D209}">
      <text>
        <t>[Threaded comment]
Your version of Excel allows you to read this threaded comment; however, any edits to it will get removed if the file is opened in a newer version of Excel. Learn more: https://go.microsoft.com/fwlink/?linkid=870924
Comment:
    Weeks 5-8</t>
      </text>
    </comment>
    <comment ref="BA119" authorId="200" shapeId="0" xr:uid="{912F45AE-BABA-4AB3-A770-A52E034BB425}">
      <text>
        <t>[Threaded comment]
Your version of Excel allows you to read this threaded comment; however, any edits to it will get removed if the file is opened in a newer version of Excel. Learn more: https://go.microsoft.com/fwlink/?linkid=870924
Comment:
    Invoice no 2024 1096</t>
      </text>
    </comment>
    <comment ref="BA128" authorId="201" shapeId="0" xr:uid="{B0D8B083-7659-48C8-8CAF-7F4B939E0F2F}">
      <text>
        <t>[Threaded comment]
Your version of Excel allows you to read this threaded comment; however, any edits to it will get removed if the file is opened in a newer version of Excel. Learn more: https://go.microsoft.com/fwlink/?linkid=870924
Comment:
    To Pay Chadwicks on account Atradius and wages</t>
      </text>
    </comment>
    <comment ref="AR134" authorId="202" shapeId="0" xr:uid="{4822C99D-53FD-4014-844C-C60E8CFF5A0F}">
      <text>
        <t>[Threaded comment]
Your version of Excel allows you to read this threaded comment; however, any edits to it will get removed if the file is opened in a newer version of Excel. Learn more: https://go.microsoft.com/fwlink/?linkid=870924
Comment:
    25k payment moved to December</t>
      </text>
    </comment>
    <comment ref="AV134" authorId="203" shapeId="0" xr:uid="{0C5B87D2-4486-434F-B1B5-F07F7CE9EF52}">
      <text>
        <t>[Threaded comment]
Your version of Excel allows you to read this threaded comment; however, any edits to it will get removed if the file is opened in a newer version of Excel. Learn more: https://go.microsoft.com/fwlink/?linkid=870924
Comment:
    120k payment moved to December</t>
      </text>
    </comment>
    <comment ref="BB134" authorId="204" shapeId="0" xr:uid="{BB5AEBD6-9E6D-4802-B393-EE7826623FC2}">
      <text>
        <t xml:space="preserve">[Threaded comment]
Your version of Excel allows you to read this threaded comment; however, any edits to it will get removed if the file is opened in a newer version of Excel. Learn more: https://go.microsoft.com/fwlink/?linkid=870924
Comment:
    Paid 8.8.24 </t>
      </text>
    </comment>
    <comment ref="AS135" authorId="205" shapeId="0" xr:uid="{3455BD09-570C-4493-9F87-C315FB654788}">
      <text>
        <t xml:space="preserve">[Threaded comment]
Your version of Excel allows you to read this threaded comment; however, any edits to it will get removed if the file is opened in a newer version of Excel. Learn more: https://go.microsoft.com/fwlink/?linkid=870924
Comment:
    Last of Mayweather investment </t>
      </text>
    </comment>
    <comment ref="CS136" authorId="206" shapeId="0" xr:uid="{8D34F666-E926-4C2A-A554-806DDB0A7C44}">
      <text>
        <t>[Threaded comment]
Your version of Excel allows you to read this threaded comment; however, any edits to it will get removed if the file is opened in a newer version of Excel. Learn more: https://go.microsoft.com/fwlink/?linkid=870924
Comment:
    Finance fee re PTSB</t>
      </text>
    </comment>
    <comment ref="G139" authorId="207" shapeId="0" xr:uid="{4B110E38-5620-4D4F-BCD1-D6B8295C8F76}">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R139" authorId="208" shapeId="0" xr:uid="{6933419E-C1C5-4242-9508-14798C33BD77}">
      <text>
        <t>[Threaded comment]
Your version of Excel allows you to read this threaded comment; however, any edits to it will get removed if the file is opened in a newer version of Excel. Learn more: https://go.microsoft.com/fwlink/?linkid=870924
Comment:
    Payment made 27.11</t>
      </text>
    </comment>
    <comment ref="AX139" authorId="209" shapeId="0" xr:uid="{7BAA2C10-0DD3-48B7-B0B4-C0FD95CCD80D}">
      <text>
        <t xml:space="preserve">[Threaded comment]
Your version of Excel allows you to read this threaded comment; however, any edits to it will get removed if the file is opened in a newer version of Excel. Learn more: https://go.microsoft.com/fwlink/?linkid=870924
Comment:
    Estimate in addition to Beach Rd
</t>
      </text>
    </comment>
    <comment ref="BA139" authorId="210" shapeId="0" xr:uid="{3DFEC950-657E-4A16-A10B-D15518066A96}">
      <text>
        <t>[Threaded comment]
Your version of Excel allows you to read this threaded comment; however, any edits to it will get removed if the file is opened in a newer version of Excel. Learn more: https://go.microsoft.com/fwlink/?linkid=870924
Comment:
20k paid on account 24.7</t>
      </text>
    </comment>
    <comment ref="BE139" authorId="211" shapeId="0" xr:uid="{38024711-CC6D-4BD2-8A4D-2002B6EE7526}">
      <text>
        <t>[Threaded comment]
Your version of Excel allows you to read this threaded comment; however, any edits to it will get removed if the file is opened in a newer version of Excel. Learn more: https://go.microsoft.com/fwlink/?linkid=870924
Comment:
    Interim pmnt made to allow Ronan order exterior render</t>
      </text>
    </comment>
    <comment ref="BH139" authorId="212" shapeId="0" xr:uid="{DA91CCDC-6E70-4744-97FB-56D5513036CF}">
      <text>
        <t>[Threaded comment]
Your version of Excel allows you to read this threaded comment; however, any edits to it will get removed if the file is opened in a newer version of Excel. Learn more: https://go.microsoft.com/fwlink/?linkid=870924
Comment:
    Actual balance owing</t>
      </text>
    </comment>
    <comment ref="BO139" authorId="213" shapeId="0" xr:uid="{9920D1CB-9903-445A-9D4E-2C91A4518F8C}">
      <text>
        <t xml:space="preserve">[Threaded comment]
Your version of Excel allows you to read this threaded comment; however, any edits to it will get removed if the file is opened in a newer version of Excel. Learn more: https://go.microsoft.com/fwlink/?linkid=870924
Comment:
    Estimate in addition to Beach Rd
</t>
      </text>
    </comment>
    <comment ref="CY139" authorId="214" shapeId="0" xr:uid="{8A5053A8-C10D-4153-AAEC-D6CFAB082D06}">
      <text>
        <t>[Threaded comment]
Your version of Excel allows you to read this threaded comment; however, any edits to it will get removed if the file is opened in a newer version of Excel. Learn more: https://go.microsoft.com/fwlink/?linkid=870924
Comment:
    Figure to 17 Feb</t>
      </text>
    </comment>
    <comment ref="M140" authorId="215" shapeId="0" xr:uid="{202AC023-AB2C-4975-99DE-601DB6BF7E3D}">
      <text>
        <t xml:space="preserve">[Threaded comment]
Your version of Excel allows you to read this threaded comment; however, any edits to it will get removed if the file is opened in a newer version of Excel. Learn more: https://go.microsoft.com/fwlink/?linkid=870924
Comment:
    SIG bal as at 22.09 plus materials for Rhenus. Total was 44k, paid 30k early 17.10  </t>
      </text>
    </comment>
    <comment ref="Q140" authorId="216" shapeId="0" xr:uid="{5C4C3656-D37A-4D50-A138-E7D45CFB2682}">
      <text>
        <t>[Threaded comment]
Your version of Excel allows you to read this threaded comment; however, any edits to it will get removed if the file is opened in a newer version of Excel. Learn more: https://go.microsoft.com/fwlink/?linkid=870924
Comment:
    Amounts paid</t>
      </text>
    </comment>
    <comment ref="S140" authorId="217" shapeId="0" xr:uid="{4BD603ED-79E0-4D69-952D-0A781B378CE0}">
      <text>
        <t>[Threaded comment]
Your version of Excel allows you to read this threaded comment; however, any edits to it will get removed if the file is opened in a newer version of Excel. Learn more: https://go.microsoft.com/fwlink/?linkid=870924
Comment:
    This assumes we will use all our credit line with SIG.
5k paid early 9th Nov and 5k paid early on 15th Nov and 20th Nov, to allow us more credit.</t>
      </text>
    </comment>
    <comment ref="W140" authorId="218" shapeId="0" xr:uid="{BD5518B3-5B85-4101-BDC4-82D8921BF646}">
      <text>
        <t xml:space="preserve">[Threaded comment]
Your version of Excel allows you to read this threaded comment; however, any edits to it will get removed if the file is opened in a newer version of Excel. Learn more: https://go.microsoft.com/fwlink/?linkid=870924
Comment:
    Estimated balance
</t>
      </text>
    </comment>
    <comment ref="AO140" authorId="219" shapeId="0" xr:uid="{0DFD5066-BF39-4091-BAE2-58E9202E6921}">
      <text>
        <t>[Threaded comment]
Your version of Excel allows you to read this threaded comment; however, any edits to it will get removed if the file is opened in a newer version of Excel. Learn more: https://go.microsoft.com/fwlink/?linkid=870924
Comment:
    Figure up to 15th March, therefore more orders will be placed by end of March.</t>
      </text>
    </comment>
    <comment ref="AW140" authorId="220" shapeId="0" xr:uid="{D7F36531-A406-4D37-8CA1-6144DEE8604F}">
      <text>
        <t>[Threaded comment]
Your version of Excel allows you to read this threaded comment; however, any edits to it will get removed if the file is opened in a newer version of Excel. Learn more: https://go.microsoft.com/fwlink/?linkid=870924
Comment:
    Overpaid by 10k as we made an early payment also.</t>
      </text>
    </comment>
    <comment ref="BB140" authorId="221" shapeId="0" xr:uid="{7671705E-2886-4D37-869E-35A5ED81EBEF}">
      <text>
        <t>[Threaded comment]
Your version of Excel allows you to read this threaded comment; however, any edits to it will get removed if the file is opened in a newer version of Excel. Learn more: https://go.microsoft.com/fwlink/?linkid=870924
Comment:
    €70,013 is amount owing for end of July (first week Auguse) however I overpaid in July by 10k, I made an early payment of 10k but didn’t take this into account when paying €36935 on 7 July.</t>
      </text>
    </comment>
    <comment ref="BH140" authorId="222" shapeId="0" xr:uid="{98216DA2-CDB5-4540-BBDC-C7BD4A374CD5}">
      <text>
        <t>[Threaded comment]
Your version of Excel allows you to read this threaded comment; however, any edits to it will get removed if the file is opened in a newer version of Excel. Learn more: https://go.microsoft.com/fwlink/?linkid=870924
Comment:
    All June orders as per statement from Deirdre.</t>
      </text>
    </comment>
    <comment ref="CQ140" authorId="223" shapeId="0" xr:uid="{BBA18B98-7932-434D-9F53-E95CC3690B31}">
      <text>
        <t>[Threaded comment]
Your version of Excel allows you to read this threaded comment; however, any edits to it will get removed if the file is opened in a newer version of Excel. Learn more: https://go.microsoft.com/fwlink/?linkid=870924
Comment:
    This is the October orders due 1st Jan</t>
      </text>
    </comment>
    <comment ref="CT140" authorId="224" shapeId="0" xr:uid="{0026C3C7-D9D9-42C5-9105-0BEEB856582E}">
      <text>
        <t xml:space="preserve">[Threaded comment]
Your version of Excel allows you to read this threaded comment; however, any edits to it will get removed if the file is opened in a newer version of Excel. Learn more: https://go.microsoft.com/fwlink/?linkid=870924
Comment:
    This is November orders due 1st Feb
</t>
      </text>
    </comment>
    <comment ref="CU140" authorId="225" shapeId="0" xr:uid="{C51FB3F5-4D06-4BF0-A0E6-73C6C9A9971E}">
      <text>
        <t>[Threaded comment]
Your version of Excel allows you to read this threaded comment; however, any edits to it will get removed if the file is opened in a newer version of Excel. Learn more: https://go.microsoft.com/fwlink/?linkid=870924
Comment:
    Bal at end of Dec, would be due first week March</t>
      </text>
    </comment>
    <comment ref="CY140" authorId="226" shapeId="0" xr:uid="{286D62A2-A52A-40CD-A1AB-0A652BFA582D}">
      <text>
        <t xml:space="preserve">[Threaded comment]
Your version of Excel allows you to read this threaded comment; however, any edits to it will get removed if the file is opened in a newer version of Excel. Learn more: https://go.microsoft.com/fwlink/?linkid=870924
Comment:
    Feb balance, would be due first week of April </t>
      </text>
    </comment>
    <comment ref="CZ140" authorId="227" shapeId="0" xr:uid="{A421220B-19F6-47DC-8DEA-FA856939F4F1}">
      <text>
        <t>[Threaded comment]
Your version of Excel allows you to read this threaded comment; however, any edits to it will get removed if the file is opened in a newer version of Excel. Learn more: https://go.microsoft.com/fwlink/?linkid=870924
Comment:
    Feb orders due first week May</t>
      </text>
    </comment>
    <comment ref="DD140" authorId="228" shapeId="0" xr:uid="{ADDAC770-8C23-460B-A4D2-9D4197B7BC78}">
      <text>
        <t>[Threaded comment]
Your version of Excel allows you to read this threaded comment; however, any edits to it will get removed if the file is opened in a newer version of Excel. Learn more: https://go.microsoft.com/fwlink/?linkid=870924
Comment:
    March orders with SIG
All these figures have been condensed into a shorter program</t>
      </text>
    </comment>
    <comment ref="DI140" authorId="229" shapeId="0" xr:uid="{ECE296BD-D8A1-4ABB-B1A8-2F404E7F83E2}">
      <text>
        <t>[Threaded comment]
Your version of Excel allows you to read this threaded comment; however, any edits to it will get removed if the file is opened in a newer version of Excel. Learn more: https://go.microsoft.com/fwlink/?linkid=870924
Comment:
    As per loadout schedule from Ronan 31.3</t>
      </text>
    </comment>
    <comment ref="DN140" authorId="230" shapeId="0" xr:uid="{794169C7-028F-4B8C-99EF-9186ED619710}">
      <text>
        <t>[Threaded comment]
Your version of Excel allows you to read this threaded comment; however, any edits to it will get removed if the file is opened in a newer version of Excel. Learn more: https://go.microsoft.com/fwlink/?linkid=870924
Comment:
    This is the balance received from Deirdre up t0 19.5 with additional €52,585 for outstanding orders also added</t>
      </text>
    </comment>
    <comment ref="N142" authorId="231" shapeId="0" xr:uid="{C387EFF4-1A32-4759-958B-625C07D9EA3E}">
      <text>
        <t>[Threaded comment]
Your version of Excel allows you to read this threaded comment; however, any edits to it will get removed if the file is opened in a newer version of Excel. Learn more: https://go.microsoft.com/fwlink/?linkid=870924
Comment:
    Payment made for cash delivery</t>
      </text>
    </comment>
    <comment ref="Q142" authorId="232" shapeId="0" xr:uid="{0709181C-87B2-4DF4-88AC-B8CAE187B631}">
      <text>
        <t>[Threaded comment]
Your version of Excel allows you to read this threaded comment; however, any edits to it will get removed if the file is opened in a newer version of Excel. Learn more: https://go.microsoft.com/fwlink/?linkid=870924
Comment:
    Pyment on account</t>
      </text>
    </comment>
    <comment ref="V142" authorId="233" shapeId="0" xr:uid="{282A118A-9702-4ADB-8911-6CA7E2BE69F6}">
      <text>
        <t>[Threaded comment]
Your version of Excel allows you to read this threaded comment; however, any edits to it will get removed if the file is opened in a newer version of Excel. Learn more: https://go.microsoft.com/fwlink/?linkid=870924
Comment:
    Two orders placed for Belmayne and Rhenus</t>
      </text>
    </comment>
    <comment ref="AH142" authorId="234" shapeId="0" xr:uid="{F8884FBE-A1A5-4979-9308-BA0AC205F564}">
      <text>
        <t>[Threaded comment]
Your version of Excel allows you to read this threaded comment; however, any edits to it will get removed if the file is opened in a newer version of Excel. Learn more: https://go.microsoft.com/fwlink/?linkid=870924
Comment:
    Refund</t>
      </text>
    </comment>
    <comment ref="AJ142" authorId="235" shapeId="0" xr:uid="{6AB229A8-F4CE-46C3-B6C0-4C906BD9FEE0}">
      <text>
        <t xml:space="preserve">[Threaded comment]
Your version of Excel allows you to read this threaded comment; however, any edits to it will get removed if the file is opened in a newer version of Excel. Learn more: https://go.microsoft.com/fwlink/?linkid=870924
Comment:
    Holding figure
</t>
      </text>
    </comment>
    <comment ref="BC142" authorId="236" shapeId="0" xr:uid="{DBBBEDEC-89D1-4503-AE61-B988CFAF9D82}">
      <text>
        <t>[Threaded comment]
Your version of Excel allows you to read this threaded comment; however, any edits to it will get removed if the file is opened in a newer version of Excel. Learn more: https://go.microsoft.com/fwlink/?linkid=870924
Comment:
    Interim payment as hitting limit</t>
      </text>
    </comment>
    <comment ref="BF142" authorId="237" shapeId="0" xr:uid="{ED8FCD58-EA58-4FDE-9B3A-7539FA9786A0}">
      <text>
        <t>[Threaded comment]
Your version of Excel allows you to read this threaded comment; however, any edits to it will get removed if the file is opened in a newer version of Excel. Learn more: https://go.microsoft.com/fwlink/?linkid=870924
Comment:
    Interim payment as hitting limit</t>
      </text>
    </comment>
    <comment ref="BH142" authorId="238" shapeId="0" xr:uid="{A1041E07-19DB-4049-938F-9022B59E6D6F}">
      <text>
        <t xml:space="preserve">[Threaded comment]
Your version of Excel allows you to read this threaded comment; however, any edits to it will get removed if the file is opened in a newer version of Excel. Learn more: https://go.microsoft.com/fwlink/?linkid=870924
Comment:
    Actual July orders minus interim payment of 10000
.
</t>
      </text>
    </comment>
    <comment ref="CU142" authorId="239" shapeId="0" xr:uid="{F1C7359E-2A2F-4025-8961-D35D51FE3F15}">
      <text>
        <t>[Threaded comment]
Your version of Excel allows you to read this threaded comment; however, any edits to it will get removed if the file is opened in a newer version of Excel. Learn more: https://go.microsoft.com/fwlink/?linkid=870924
Comment:
    Merville as per HPC Stetement</t>
      </text>
    </comment>
    <comment ref="CY142" authorId="240" shapeId="0" xr:uid="{EC495831-D944-492F-A9DF-499E92DAAD64}">
      <text>
        <t>[Threaded comment]
Your version of Excel allows you to read this threaded comment; however, any edits to it will get removed if the file is opened in a newer version of Excel. Learn more: https://go.microsoft.com/fwlink/?linkid=870924
Comment:
    As at 18.3 only</t>
      </text>
    </comment>
    <comment ref="CJ143" authorId="241" shapeId="0" xr:uid="{E380B176-ACFA-4FDF-8A40-95BAFED962F8}">
      <text>
        <t>[Threaded comment]
Your version of Excel allows you to read this threaded comment; however, any edits to it will get removed if the file is opened in a newer version of Excel. Learn more: https://go.microsoft.com/fwlink/?linkid=870924
Comment:
    Ivan paid on his credit card</t>
      </text>
    </comment>
    <comment ref="AJ144" authorId="242" shapeId="0" xr:uid="{DA05A555-0719-4148-8458-092F2A4F259E}">
      <text>
        <t>[Threaded comment]
Your version of Excel allows you to read this threaded comment; however, any edits to it will get removed if the file is opened in a newer version of Excel. Learn more: https://go.microsoft.com/fwlink/?linkid=870924
Comment:
    As per statement received 20.3</t>
      </text>
    </comment>
    <comment ref="AQ144" authorId="243" shapeId="0" xr:uid="{EE66D3E0-873A-4326-915D-55323D8F2D71}">
      <text>
        <t>[Threaded comment]
Your version of Excel allows you to read this threaded comment; however, any edits to it will get removed if the file is opened in a newer version of Excel. Learn more: https://go.microsoft.com/fwlink/?linkid=870924
Comment:
    As per statement received 20.03, most likely more orders will go on by end March for April payment.</t>
      </text>
    </comment>
    <comment ref="AV144" authorId="244" shapeId="0" xr:uid="{8C5E69A3-2115-4964-8BC5-6A10EADB550C}">
      <text>
        <t xml:space="preserve">[Threaded comment]
Your version of Excel allows you to read this threaded comment; however, any edits to it will get removed if the file is opened in a newer version of Excel. Learn more: https://go.microsoft.com/fwlink/?linkid=870924
Comment:
    Refer to email received from Jeanette on 1 May </t>
      </text>
    </comment>
    <comment ref="AY144" authorId="245" shapeId="0" xr:uid="{C70CB024-ABA9-461C-AEB1-F054CB0F912E}">
      <text>
        <t xml:space="preserve">[Threaded comment]
Your version of Excel allows you to read this threaded comment; however, any edits to it will get removed if the file is opened in a newer version of Excel. Learn more: https://go.microsoft.com/fwlink/?linkid=870924
Comment:
    Statement figure for May purchases
</t>
      </text>
    </comment>
    <comment ref="BB144" authorId="246" shapeId="0" xr:uid="{D5AD4315-216A-4808-9735-276377295B2C}">
      <text>
        <t>[Threaded comment]
Your version of Excel allows you to read this threaded comment; however, any edits to it will get removed if the file is opened in a newer version of Excel. Learn more: https://go.microsoft.com/fwlink/?linkid=870924
Comment:
    June purchases, figure from statement</t>
      </text>
    </comment>
    <comment ref="CE144" authorId="247" shapeId="0" xr:uid="{0BB8266F-D071-4558-BE7E-FA47A3552005}">
      <text>
        <t xml:space="preserve">[Threaded comment]
Your version of Excel allows you to read this threaded comment; however, any edits to it will get removed if the file is opened in a newer version of Excel. Learn more: https://go.microsoft.com/fwlink/?linkid=870924
Comment:
    The 3608.54 was due end Oct
</t>
      </text>
    </comment>
    <comment ref="J145" authorId="248" shapeId="0" xr:uid="{9A250290-C87E-49B2-B1E5-E43720970ABB}">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R145" authorId="249" shapeId="0" xr:uid="{62BA0F01-D75A-4D54-8A49-A63C44C54DD0}">
      <text>
        <t>[Threaded comment]
Your version of Excel allows you to read this threaded comment; however, any edits to it will get removed if the file is opened in a newer version of Excel. Learn more: https://go.microsoft.com/fwlink/?linkid=870924
Comment:
    Paid 27.11</t>
      </text>
    </comment>
    <comment ref="BH145" authorId="250" shapeId="0" xr:uid="{64544891-A829-4C75-838D-BE40B38D7F76}">
      <text>
        <t>[Threaded comment]
Your version of Excel allows you to read this threaded comment; however, any edits to it will get removed if the file is opened in a newer version of Excel. Learn more: https://go.microsoft.com/fwlink/?linkid=870924
Comment:
    Up to 26.7</t>
      </text>
    </comment>
    <comment ref="BA146" authorId="251" shapeId="0" xr:uid="{884BF3A3-FDBA-4024-9304-13349EE8140C}">
      <text>
        <t>[Threaded comment]
Your version of Excel allows you to read this threaded comment; however, any edits to it will get removed if the file is opened in a newer version of Excel. Learn more: https://go.microsoft.com/fwlink/?linkid=870924
Comment:
    New trading agreement, orders placed in June</t>
      </text>
    </comment>
    <comment ref="BH146" authorId="252" shapeId="0" xr:uid="{AE3C9689-54F0-4238-8A1B-4E1C66F384D5}">
      <text>
        <t>[Threaded comment]
Your version of Excel allows you to read this threaded comment; however, any edits to it will get removed if the file is opened in a newer version of Excel. Learn more: https://go.microsoft.com/fwlink/?linkid=870924
Comment:
    Holding number</t>
      </text>
    </comment>
    <comment ref="CA146" authorId="253" shapeId="0" xr:uid="{46A2EB6A-4C6B-4697-B986-4A6E4C6D9FC3}">
      <text>
        <t>[Threaded comment]
Your version of Excel allows you to read this threaded comment; however, any edits to it will get removed if the file is opened in a newer version of Excel. Learn more: https://go.microsoft.com/fwlink/?linkid=870924
Comment:
    Paid pn Iv company cr card</t>
      </text>
    </comment>
    <comment ref="BC147" authorId="254" shapeId="0" xr:uid="{1EE56D9D-ACB0-4504-89BD-C9878AA8907A}">
      <text>
        <t>[Threaded comment]
Your version of Excel allows you to read this threaded comment; however, any edits to it will get removed if the file is opened in a newer version of Excel. Learn more: https://go.microsoft.com/fwlink/?linkid=870924
Comment:
    Check with Ivan and see if we can get credit.</t>
      </text>
    </comment>
    <comment ref="BG147" authorId="255" shapeId="0" xr:uid="{01DCBB0A-447D-4D0C-9B80-2315C8062C15}">
      <text>
        <t xml:space="preserve">[Threaded comment]
Your version of Excel allows you to read this threaded comment; however, any edits to it will get removed if the file is opened in a newer version of Excel. Learn more: https://go.microsoft.com/fwlink/?linkid=870924
Comment:
    Eurospec 1 of the 8 balcony elevations materials
</t>
      </text>
    </comment>
    <comment ref="BO147" authorId="256" shapeId="0" xr:uid="{CAD47DF5-8A86-433E-BF18-F5F553C9EE89}">
      <text>
        <t>[Threaded comment]
Your version of Excel allows you to read this threaded comment; however, any edits to it will get removed if the file is opened in a newer version of Excel. Learn more: https://go.microsoft.com/fwlink/?linkid=870924
Comment:
    Remaining 3 elevations = Eurospec materials</t>
      </text>
    </comment>
    <comment ref="CE147" authorId="257" shapeId="0" xr:uid="{D9F26D08-2DC6-4AE4-B2FC-86C0F07EC54A}">
      <text>
        <t>[Threaded comment]
Your version of Excel allows you to read this threaded comment; however, any edits to it will get removed if the file is opened in a newer version of Excel. Learn more: https://go.microsoft.com/fwlink/?linkid=870924
Comment:
    All orders in October 30 days credit</t>
      </text>
    </comment>
    <comment ref="CE148" authorId="258" shapeId="0" xr:uid="{28ECE9A5-9E20-4BC5-A4AF-6419F3AEE9A9}">
      <text>
        <t>[Threaded comment]
Your version of Excel allows you to read this threaded comment; however, any edits to it will get removed if the file is opened in a newer version of Excel. Learn more: https://go.microsoft.com/fwlink/?linkid=870924
Comment:
    The Oct figure has moved to this payment</t>
      </text>
    </comment>
    <comment ref="CJ148" authorId="259" shapeId="0" xr:uid="{EBFB5318-137C-483C-8653-F302B8AE6EB9}">
      <text>
        <t>[Threaded comment]
Your version of Excel allows you to read this threaded comment; however, any edits to it will get removed if the file is opened in a newer version of Excel. Learn more: https://go.microsoft.com/fwlink/?linkid=870924
Comment:
    Due to Dave beginning Jan</t>
      </text>
    </comment>
    <comment ref="BO149" authorId="260" shapeId="0" xr:uid="{D966ED46-C490-4A63-BD16-DEDC53A5CCC2}">
      <text>
        <t>[Threaded comment]
Your version of Excel allows you to read this threaded comment; however, any edits to it will get removed if the file is opened in a newer version of Excel. Learn more: https://go.microsoft.com/fwlink/?linkid=870924
Comment:
    Beach road materials. Invoice 0064712</t>
      </text>
    </comment>
    <comment ref="R150" authorId="261" shapeId="0" xr:uid="{1A63C109-31A2-4CC6-92D1-A90163D77EBD}">
      <text>
        <t>[Threaded comment]
Your version of Excel allows you to read this threaded comment; however, any edits to it will get removed if the file is opened in a newer version of Excel. Learn more: https://go.microsoft.com/fwlink/?linkid=870924
Comment:
    Paid 27.11</t>
      </text>
    </comment>
    <comment ref="N151" authorId="262" shapeId="0" xr:uid="{1C7E2075-0A2A-47BA-A66A-94BEC4FCA069}">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R151" authorId="263" shapeId="0" xr:uid="{EA4D1037-AE30-497F-95FD-7DCB58035CE9}">
      <text>
        <t>[Threaded comment]
Your version of Excel allows you to read this threaded comment; however, any edits to it will get removed if the file is opened in a newer version of Excel. Learn more: https://go.microsoft.com/fwlink/?linkid=870924
Comment:
    Paid 27.11</t>
      </text>
    </comment>
    <comment ref="D154" authorId="264" shapeId="0" xr:uid="{DC2DD441-7311-4CC3-B68F-0E650F1E4FD3}">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J154" authorId="265" shapeId="0" xr:uid="{097FE6D9-5E35-4B7A-AD9F-E63E9B1B89B0}">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U154" authorId="266" shapeId="0" xr:uid="{A042B3B5-92E0-4F46-9A08-E6895FFD7AB9}">
      <text>
        <t xml:space="preserve">[Threaded comment]
Your version of Excel allows you to read this threaded comment; however, any edits to it will get removed if the file is opened in a newer version of Excel. Learn more: https://go.microsoft.com/fwlink/?linkid=870924
Comment:
    This represents final payment plus PC Retention of 2.5%
Reply:
    Dave to speak to Brian Farrel and agree figure due and then for Ivan to agree with Richie </t>
      </text>
    </comment>
    <comment ref="AA154" authorId="267" shapeId="0" xr:uid="{B54ECA59-8AE1-4502-B940-8782420F45E3}">
      <text>
        <t>[Threaded comment]
Your version of Excel allows you to read this threaded comment; however, any edits to it will get removed if the file is opened in a newer version of Excel. Learn more: https://go.microsoft.com/fwlink/?linkid=870924
Comment:
    Final account - bal owed.
QUESTION - is this a realistic date?</t>
      </text>
    </comment>
    <comment ref="AD154" authorId="268" shapeId="0" xr:uid="{9E7206D8-2353-48F9-A163-CA0BFF628CAF}">
      <text>
        <t xml:space="preserve">[Threaded comment]
Your version of Excel allows you to read this threaded comment; however, any edits to it will get removed if the file is opened in a newer version of Excel. Learn more: https://go.microsoft.com/fwlink/?linkid=870924
Comment:
    Invoice 799
</t>
      </text>
    </comment>
    <comment ref="R156" authorId="269" shapeId="0" xr:uid="{2894BF56-59CE-4BDF-A26A-A7C43F5E96F9}">
      <text>
        <t>[Threaded comment]
Your version of Excel allows you to read this threaded comment; however, any edits to it will get removed if the file is opened in a newer version of Excel. Learn more: https://go.microsoft.com/fwlink/?linkid=870924
Comment:
    Invoice sent</t>
      </text>
    </comment>
    <comment ref="AB156" authorId="270" shapeId="0" xr:uid="{1B0BD094-339D-4B51-9818-111B0F87A7BB}">
      <text>
        <t xml:space="preserve">[Threaded comment]
Your version of Excel allows you to read this threaded comment; however, any edits to it will get removed if the file is opened in a newer version of Excel. Learn more: https://go.microsoft.com/fwlink/?linkid=870924
Comment:
    Originally forecast before christmas but didn’t come in.
</t>
      </text>
    </comment>
    <comment ref="L157" authorId="271" shapeId="0" xr:uid="{7277B493-9EE7-42A8-9A48-AD1A7DDE3519}">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158" authorId="272" shapeId="0" xr:uid="{01AE0261-CD6E-40CE-AB50-4C593FC8CE81}">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
Reply:
    12.6 Project value rose to this new number incl acoustic panels etc.</t>
      </text>
    </comment>
    <comment ref="M158" authorId="273" shapeId="0" xr:uid="{F03EB29A-FBF6-4C7B-AF0F-C8C04090F5DE}">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N158" authorId="274" shapeId="0" xr:uid="{1A80F818-FFDD-4568-9FFD-F64B871C1B96}">
      <text>
        <t xml:space="preserve">[Threaded comment]
Your version of Excel allows you to read this threaded comment; however, any edits to it will get removed if the file is opened in a newer version of Excel. Learn more: https://go.microsoft.com/fwlink/?linkid=870924
Comment:
    Dave submitted this figure to TSK 1/11
We were expecting to receive €37143.56 less 20% tax = €29,715
</t>
      </text>
    </comment>
    <comment ref="O158" authorId="275" shapeId="0" xr:uid="{D36F25DF-8329-46B6-9556-6786A5D7658F}">
      <text>
        <t>[Threaded comment]
Your version of Excel allows you to read this threaded comment; however, any edits to it will get removed if the file is opened in a newer version of Excel. Learn more: https://go.microsoft.com/fwlink/?linkid=870924
Comment:
    This is invoice 752 plus additional amount on invoice 751. Refer to email from Wendy on 10th Nov.</t>
      </text>
    </comment>
    <comment ref="P158" authorId="276" shapeId="0" xr:uid="{4CB738BF-C3BC-4D1B-BEA9-DBAF941A60D5}">
      <text>
        <t xml:space="preserve">[Threaded comment]
Your version of Excel allows you to read this threaded comment; however, any edits to it will get removed if the file is opened in a newer version of Excel. Learn more: https://go.microsoft.com/fwlink/?linkid=870924
Comment:
    Includes order for acoustic strip
</t>
      </text>
    </comment>
    <comment ref="U158" authorId="277" shapeId="0" xr:uid="{E603BBD4-D6CB-4BEA-AA71-7DBF198DB2F0}">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W158" authorId="278" shapeId="0" xr:uid="{BB1FA7F8-A033-4861-AFCB-5328FF49C4CD}">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AB158" authorId="279" shapeId="0" xr:uid="{B4C8AC83-FCD7-4CB0-A112-BC8C41049D55}">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AF158" authorId="280" shapeId="0" xr:uid="{E46F5300-779E-4958-9A18-EC30C3527DFD}">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Reply:
    This amount is the regular work and the acoustics
</t>
      </text>
    </comment>
    <comment ref="AK158" authorId="281" shapeId="0" xr:uid="{E0D5CC3D-1F79-4710-9A01-3BF56F68944C}">
      <text>
        <t xml:space="preserve">[Threaded comment]
Your version of Excel allows you to read this threaded comment; however, any edits to it will get removed if the file is opened in a newer version of Excel. Learn more: https://go.microsoft.com/fwlink/?linkid=870924
Comment:
    2.5% PC Retention
Reply:
    Plus final account 10k
</t>
      </text>
    </comment>
    <comment ref="AL158" authorId="282" shapeId="0" xr:uid="{EDDE22D3-B9BE-4698-93B1-3E663720056D}">
      <text>
        <t>[Threaded comment]
Your version of Excel allows you to read this threaded comment; however, any edits to it will get removed if the file is opened in a newer version of Excel. Learn more: https://go.microsoft.com/fwlink/?linkid=870924
Comment:
    Retention 2.5%</t>
      </text>
    </comment>
    <comment ref="AM158" authorId="283" shapeId="0" xr:uid="{B8A70CDB-5CB3-423E-A036-BCC3F459F9E6}">
      <text>
        <t>[Threaded comment]
Your version of Excel allows you to read this threaded comment; however, any edits to it will get removed if the file is opened in a newer version of Excel. Learn more: https://go.microsoft.com/fwlink/?linkid=870924
Comment:
    Extra income from additional Autex installation</t>
      </text>
    </comment>
    <comment ref="BS158" authorId="284" shapeId="0" xr:uid="{7FA7EF4B-A52C-4F39-810C-E009B5A4590D}">
      <text>
        <t>[Threaded comment]
Your version of Excel allows you to read this threaded comment; however, any edits to it will get removed if the file is opened in a newer version of Excel. Learn more: https://go.microsoft.com/fwlink/?linkid=870924
Comment:
    Extra work AC Vents , check figure with Dave.</t>
      </text>
    </comment>
    <comment ref="Z160" authorId="285" shapeId="0" xr:uid="{3725A29D-0D82-40C2-B4E1-190D8CA69769}">
      <text>
        <t>[Threaded comment]
Your version of Excel allows you to read this threaded comment; however, any edits to it will get removed if the file is opened in a newer version of Excel. Learn more: https://go.microsoft.com/fwlink/?linkid=870924
Comment:
    This figure represents TSK paying for the acoustics up front.</t>
      </text>
    </comment>
    <comment ref="S162" authorId="286" shapeId="0" xr:uid="{CA2714FD-8CF4-47E0-BC22-6EE99F7419D9}">
      <text>
        <t>[Threaded comment]
Your version of Excel allows you to read this threaded comment; however, any edits to it will get removed if the file is opened in a newer version of Excel. Learn more: https://go.microsoft.com/fwlink/?linkid=870924
Comment:
    Gross figure has been submitted by Dave.</t>
      </text>
    </comment>
    <comment ref="T162" authorId="287" shapeId="0" xr:uid="{04AF32C0-4C9F-4875-A952-CE5D800919F9}">
      <text>
        <t>[Threaded comment]
Your version of Excel allows you to read this threaded comment; however, any edits to it will get removed if the file is opened in a newer version of Excel. Learn more: https://go.microsoft.com/fwlink/?linkid=870924
Comment:
    Dave and Paul agreed figure, gone for payment.</t>
      </text>
    </comment>
    <comment ref="O163" authorId="288" shapeId="0" xr:uid="{08E57F43-BE05-4EA3-BBFC-38426057AB07}">
      <text>
        <t>[Threaded comment]
Your version of Excel allows you to read this threaded comment; however, any edits to it will get removed if the file is opened in a newer version of Excel. Learn more: https://go.microsoft.com/fwlink/?linkid=870924
Comment:
    After tax and retention. Received response from Stephen, confirmed that daywork sheets have been sent.
Stephen paid less than what was due.</t>
      </text>
    </comment>
    <comment ref="S163" authorId="289" shapeId="0" xr:uid="{2BC8897A-00CB-426B-9575-41970FF2CBA7}">
      <text>
        <t>[Threaded comment]
Your version of Excel allows you to read this threaded comment; however, any edits to it will get removed if the file is opened in a newer version of Excel. Learn more: https://go.microsoft.com/fwlink/?linkid=870924
Comment:
    October valuation including 20% reduction and materials
NOTE - now  changed to full value as at zero tax rate</t>
      </text>
    </comment>
    <comment ref="AF163" authorId="290" shapeId="0" xr:uid="{E3524000-4217-47DC-AB5B-4CEE61267115}">
      <text>
        <t>[Threaded comment]
Your version of Excel allows you to read this threaded comment; however, any edits to it will get removed if the file is opened in a newer version of Excel. Learn more: https://go.microsoft.com/fwlink/?linkid=870924
Comment:
    Final account PC retention, Dave gave figure.
Reply:
    This isestimate additional labour of 3000 plus Pcretention of 2600
Reply:
    Ronan agreed with Graham that he would get a discount.</t>
      </text>
    </comment>
    <comment ref="O164" authorId="291" shapeId="0" xr:uid="{5D7F56A2-8CD7-46F2-A071-5EFF19FBE78D}">
      <text>
        <t>[Threaded comment]
Your version of Excel allows you to read this threaded comment; however, any edits to it will get removed if the file is opened in a newer version of Excel. Learn more: https://go.microsoft.com/fwlink/?linkid=870924
Comment:
    After tax and after retention. Received response from Stephen, confirmed that daywork sheets have been sent.</t>
      </text>
    </comment>
    <comment ref="S164" authorId="292" shapeId="0" xr:uid="{EB9680CA-21CE-44E2-A2C2-C78CF331EE37}">
      <text>
        <t>[Threaded comment]
Your version of Excel allows you to read this threaded comment; however, any edits to it will get removed if the file is opened in a newer version of Excel. Learn more: https://go.microsoft.com/fwlink/?linkid=870924
Comment:
    1st Nov, this is the valuation Dave is submitting.</t>
      </text>
    </comment>
    <comment ref="U164" authorId="293" shapeId="0" xr:uid="{C5196DDB-4D8D-4EFD-8773-9B47E4B53B5D}">
      <text>
        <t>[Threaded comment]
Your version of Excel allows you to read this threaded comment; however, any edits to it will get removed if the file is opened in a newer version of Excel. Learn more: https://go.microsoft.com/fwlink/?linkid=870924
Comment:
    Dave to sit with OHLA and agree what will be achieved by this date. Dave to revert 14.11</t>
      </text>
    </comment>
    <comment ref="AC164" authorId="294" shapeId="0" xr:uid="{26612069-51AB-4462-B122-96CE634389F4}">
      <text>
        <t>[Threaded comment]
Your version of Excel allows you to read this threaded comment; however, any edits to it will get removed if the file is opened in a newer version of Excel. Learn more: https://go.microsoft.com/fwlink/?linkid=870924
Comment:
    Labour only as agreed with Stephen Eustace</t>
      </text>
    </comment>
    <comment ref="AJ164" authorId="295" shapeId="0" xr:uid="{4BEF1398-2CE6-40A4-9950-B75D1DAE3F09}">
      <text>
        <t>[Threaded comment]
Your version of Excel allows you to read this threaded comment; however, any edits to it will get removed if the file is opened in a newer version of Excel. Learn more: https://go.microsoft.com/fwlink/?linkid=870924
Comment:
    62k has been submitted</t>
      </text>
    </comment>
    <comment ref="S165" authorId="296" shapeId="0" xr:uid="{32BB9B63-B8BB-4CCB-BAFA-56140CC42C83}">
      <text>
        <t>[Threaded comment]
Your version of Excel allows you to read this threaded comment; however, any edits to it will get removed if the file is opened in a newer version of Excel. Learn more: https://go.microsoft.com/fwlink/?linkid=870924
Comment:
    Need to talk with Ray in CDM to see if we can get some earl(ier) payment
Reply:
    14 Nov , Dave going to site to see whatwork is completed</t>
      </text>
    </comment>
    <comment ref="U165" authorId="297" shapeId="0" xr:uid="{E03B181D-64E3-4EEA-B1C6-0A5D7AE13264}">
      <text>
        <t>[Threaded comment]
Your version of Excel allows you to read this threaded comment; however, any edits to it will get removed if the file is opened in a newer version of Excel. Learn more: https://go.microsoft.com/fwlink/?linkid=870924
Comment:
    Dave visitied site 11.12 to estimate work completed. Need to submit to Ray.</t>
      </text>
    </comment>
    <comment ref="AA165" authorId="298" shapeId="0" xr:uid="{47B1C7A8-DF8B-4992-BE9B-B198FC676EA1}">
      <text>
        <t>[Threaded comment]
Your version of Excel allows you to read this threaded comment; however, any edits to it will get removed if the file is opened in a newer version of Excel. Learn more: https://go.microsoft.com/fwlink/?linkid=870924
Comment:
    Actual figure from Ronan</t>
      </text>
    </comment>
    <comment ref="T166" authorId="299" shapeId="0" xr:uid="{AB41421B-4C1D-4803-8BE4-B4A822C743B5}">
      <text>
        <t>[Threaded comment]
Your version of Excel allows you to read this threaded comment; however, any edits to it will get removed if the file is opened in a newer version of Excel. Learn more: https://go.microsoft.com/fwlink/?linkid=870924
Comment:
    Valuation sent to Ray 4.12</t>
      </text>
    </comment>
    <comment ref="C170" authorId="300" shapeId="0" xr:uid="{5AD2D879-FA4B-44E5-9A2A-5F4097FE4048}">
      <text>
        <t>[Threaded comment]
Your version of Excel allows you to read this threaded comment; however, any edits to it will get removed if the file is opened in a newer version of Excel. Learn more: https://go.microsoft.com/fwlink/?linkid=870924
Comment:
    This is gross income, we have not allowed any additional resources at this time, they may be needed.</t>
      </text>
    </comment>
    <comment ref="D170" authorId="301" shapeId="0" xr:uid="{6352F6D8-3C5C-4D94-B737-A4C986FDBD2D}">
      <text>
        <t>[Threaded comment]
Your version of Excel allows you to read this threaded comment; however, any edits to it will get removed if the file is opened in a newer version of Excel. Learn more: https://go.microsoft.com/fwlink/?linkid=870924
Comment:
    This is gross income, we have not allowed any additional resources at this time, they may be needed.</t>
      </text>
    </comment>
    <comment ref="AF170" authorId="302" shapeId="0" xr:uid="{75513C39-1E61-461C-9770-0B47D5B6E506}">
      <text>
        <t>[Threaded comment]
Your version of Excel allows you to read this threaded comment; however, any edits to it will get removed if the file is opened in a newer version of Excel. Learn more: https://go.microsoft.com/fwlink/?linkid=870924
Comment:
    Ronan to confirm valuation going in 9.2</t>
      </text>
    </comment>
    <comment ref="AP170" authorId="303" shapeId="0" xr:uid="{EA88B347-77AA-4A51-AA80-A4BDF8078382}">
      <text>
        <t>[Threaded comment]
Your version of Excel allows you to read this threaded comment; however, any edits to it will get removed if the file is opened in a newer version of Excel. Learn more: https://go.microsoft.com/fwlink/?linkid=870924
Comment:
    Inv No 827</t>
      </text>
    </comment>
    <comment ref="AS170" authorId="304" shapeId="0" xr:uid="{21EFF32E-09BE-4683-BEF8-2976EDEC5E62}">
      <text>
        <t xml:space="preserve">[Threaded comment]
Your version of Excel allows you to read this threaded comment; however, any edits to it will get removed if the file is opened in a newer version of Excel. Learn more: https://go.microsoft.com/fwlink/?linkid=870924
Comment:
    4 weeks, 3 lads, @ 42.5 per hour
</t>
      </text>
    </comment>
    <comment ref="Y172" authorId="305" shapeId="0" xr:uid="{FF3BBEB2-237A-4CDD-80CF-A6854D37C118}">
      <text>
        <t>[Threaded comment]
Your version of Excel allows you to read this threaded comment; however, any edits to it will get removed if the file is opened in a newer version of Excel. Learn more: https://go.microsoft.com/fwlink/?linkid=870924
Comment:
    Total amount received from CDM for the three amounts was 24990</t>
      </text>
    </comment>
    <comment ref="AN173" authorId="306" shapeId="0" xr:uid="{1DCA0665-A064-4709-8CCB-9B2A7153E443}">
      <text>
        <t xml:space="preserve">[Threaded comment]
Your version of Excel allows you to read this threaded comment; however, any edits to it will get removed if the file is opened in a newer version of Excel. Learn more: https://go.microsoft.com/fwlink/?linkid=870924
Comment:
    Amount owed to Ifit plus work done by Flamestop which is due to be paid out to them.
</t>
      </text>
    </comment>
    <comment ref="AP173" authorId="307" shapeId="0" xr:uid="{3C136B34-5B1D-46E0-B53F-502E0DB354CC}">
      <text>
        <t>[Threaded comment]
Your version of Excel allows you to read this threaded comment; however, any edits to it will get removed if the file is opened in a newer version of Excel. Learn more: https://go.microsoft.com/fwlink/?linkid=870924
Comment:
    Invoice 826</t>
      </text>
    </comment>
    <comment ref="AF174" authorId="308" shapeId="0" xr:uid="{B40B0FDB-37D2-4F42-8E61-2D930C6E6F24}">
      <text>
        <t>[Threaded comment]
Your version of Excel allows you to read this threaded comment; however, any edits to it will get removed if the file is opened in a newer version of Excel. Learn more: https://go.microsoft.com/fwlink/?linkid=870924
Comment:
    Forecasting 35168 in total from CDM, they paid 34021, this is a negative fig to balance things, Dave to let me know he is happy with the reduced payment.
Reply:
    11.03 - Dave agrees with this figure.</t>
      </text>
    </comment>
    <comment ref="AW177" authorId="309" shapeId="0" xr:uid="{A9CEBCE0-AE64-4BE5-8AE1-138E8A0BF0D0}">
      <text>
        <t>[Threaded comment]
Your version of Excel allows you to read this threaded comment; however, any edits to it will get removed if the file is opened in a newer version of Excel. Learn more: https://go.microsoft.com/fwlink/?linkid=870924
Comment:
    DCU, Killiney, Black Forge</t>
      </text>
    </comment>
    <comment ref="P178" authorId="310" shapeId="0" xr:uid="{1A607AAF-9D10-4B00-B0E9-AB8DDE8A28B4}">
      <text>
        <t>[Threaded comment]
Your version of Excel allows you to read this threaded comment; however, any edits to it will get removed if the file is opened in a newer version of Excel. Learn more: https://go.microsoft.com/fwlink/?linkid=870924
Comment:
    Ronan to send this to Graham Dinh this week.
Agreed, may come in a week early. Full value.</t>
      </text>
    </comment>
    <comment ref="S178" authorId="311" shapeId="0" xr:uid="{07D54258-E529-4138-97AC-3377161FB6C0}">
      <text>
        <t>[Threaded comment]
Your version of Excel allows you to read this threaded comment; however, any edits to it will get removed if the file is opened in a newer version of Excel. Learn more: https://go.microsoft.com/fwlink/?linkid=870924
Comment:
    Ronan submitting 17.11 Balance plus extra works in lift shaft</t>
      </text>
    </comment>
    <comment ref="D179" authorId="312" shapeId="0" xr:uid="{A31D8DC6-506A-4E2D-AC7F-9C356AE7F578}">
      <text>
        <t>[Threaded comment]
Your version of Excel allows you to read this threaded comment; however, any edits to it will get removed if the file is opened in a newer version of Excel. Learn more: https://go.microsoft.com/fwlink/?linkid=870924
Comment:
    3 lads labour only for 2 weeks</t>
      </text>
    </comment>
    <comment ref="U179" authorId="313" shapeId="0" xr:uid="{82D8CDF6-8222-498C-B0BC-B3EB4458C379}">
      <text>
        <t>[Threaded comment]
Your version of Excel allows you to read this threaded comment; however, any edits to it will get removed if the file is opened in a newer version of Excel. Learn more: https://go.microsoft.com/fwlink/?linkid=870924
Comment:
    Labour cost us 7k, Graham looking for us to reduce our costs a bit.</t>
      </text>
    </comment>
    <comment ref="D180" authorId="314" shapeId="0" xr:uid="{3914BD54-FC22-457C-99D6-222BCAB798AA}">
      <text>
        <t>[Threaded comment]
Your version of Excel allows you to read this threaded comment; however, any edits to it will get removed if the file is opened in a newer version of Excel. Learn more: https://go.microsoft.com/fwlink/?linkid=870924
Comment:
    Estimate figure - Demolition and rebuild partitions</t>
      </text>
    </comment>
    <comment ref="D181" authorId="315" shapeId="0" xr:uid="{B8E63C80-7F37-46C9-A807-428BEAB5C554}">
      <text>
        <t>[Threaded comment]
Your version of Excel allows you to read this threaded comment; however, any edits to it will get removed if the file is opened in a newer version of Excel. Learn more: https://go.microsoft.com/fwlink/?linkid=870924
Comment:
    Estimate value = incl travel and subsistence</t>
      </text>
    </comment>
    <comment ref="BE182" authorId="316" shapeId="0" xr:uid="{EAE66976-8C4B-42A5-B01E-3B3EF490D54A}">
      <text>
        <t>[Threaded comment]
Your version of Excel allows you to read this threaded comment; however, any edits to it will get removed if the file is opened in a newer version of Excel. Learn more: https://go.microsoft.com/fwlink/?linkid=870924
Comment:
    Flamestop overpaid by 20k, they offset what was owed from Navan €18091 and Killenard but actually allowed us the full 20k. Therefore we made an extra €108.</t>
      </text>
    </comment>
    <comment ref="AY183" authorId="317" shapeId="0" xr:uid="{7AAA8E1A-BBDC-4B15-AE10-6694C04EB345}">
      <text>
        <t xml:space="preserve">[Threaded comment]
Your version of Excel allows you to read this threaded comment; however, any edits to it will get removed if the file is opened in a newer version of Excel. Learn more: https://go.microsoft.com/fwlink/?linkid=870924
Comment:
    Measure reqd on site </t>
      </text>
    </comment>
    <comment ref="BI185" authorId="318" shapeId="0" xr:uid="{87DDF42D-D572-45C0-ADBF-FE1BA0C8B7FA}">
      <text>
        <t>[Threaded comment]
Your version of Excel allows you to read this threaded comment; however, any edits to it will get removed if the file is opened in a newer version of Excel. Learn more: https://go.microsoft.com/fwlink/?linkid=870924
Comment:
    Ronan actually invoiced 22941
which includes material but Flamestop actually supplied the material</t>
      </text>
    </comment>
    <comment ref="BG190" authorId="319" shapeId="0" xr:uid="{9A712C9C-3E1A-4E19-A31D-EE95680F1EF1}">
      <text>
        <t>[Threaded comment]
Your version of Excel allows you to read this threaded comment; however, any edits to it will get removed if the file is opened in a newer version of Excel. Learn more: https://go.microsoft.com/fwlink/?linkid=870924
Comment:
    Additional works we did. To be invoiced when completed on Wed 7th.</t>
      </text>
    </comment>
    <comment ref="BZ191" authorId="320" shapeId="0" xr:uid="{6E134C67-CACE-42BB-8E71-EA022D384990}">
      <text>
        <t>[Threaded comment]
Your version of Excel allows you to read this threaded comment; however, any edits to it will get removed if the file is opened in a newer version of Excel. Learn more: https://go.microsoft.com/fwlink/?linkid=870924
Comment:
    Labour (estimate) plus travel</t>
      </text>
    </comment>
    <comment ref="BG192" authorId="321" shapeId="0" xr:uid="{2400719B-EAFA-46C5-AB14-C58908AD01D0}">
      <text>
        <t xml:space="preserve">[Threaded comment]
Your version of Excel allows you to read this threaded comment; however, any edits to it will get removed if the file is opened in a newer version of Excel. Learn more: https://go.microsoft.com/fwlink/?linkid=870924
Comment:
    Discounted from 7200
Reply:
    I HAVE INCREASED THIS amount as Flamestop made a payment for the 4 jobs to the value of €20537.50
</t>
      </text>
    </comment>
    <comment ref="AY196" authorId="322" shapeId="0" xr:uid="{637EABEE-6628-40E5-8F43-8BE779CDC885}">
      <text>
        <t>[Threaded comment]
Your version of Excel allows you to read this threaded comment; however, any edits to it will get removed if the file is opened in a newer version of Excel. Learn more: https://go.microsoft.com/fwlink/?linkid=870924
Comment:
    Jonathan taper</t>
      </text>
    </comment>
    <comment ref="BB196" authorId="323" shapeId="0" xr:uid="{999A866A-39AE-49B6-A872-A5ACF94F4377}">
      <text>
        <t xml:space="preserve">[Threaded comment]
Your version of Excel allows you to read this threaded comment; however, any edits to it will get removed if the file is opened in a newer version of Excel. Learn more: https://go.microsoft.com/fwlink/?linkid=870924
Comment:
    Starting Monday 24th June for one week.
</t>
      </text>
    </comment>
    <comment ref="BO196" authorId="324" shapeId="0" xr:uid="{7514097A-B1F2-45A0-8EA5-FBD30839EDB7}">
      <text>
        <t>[Threaded comment]
Your version of Excel allows you to read this threaded comment; however, any edits to it will get removed if the file is opened in a newer version of Excel. Learn more: https://go.microsoft.com/fwlink/?linkid=870924
Comment:
    Tapeing and Jointing balance owed.</t>
      </text>
    </comment>
    <comment ref="C197" authorId="325" shapeId="0" xr:uid="{FCFA289D-255A-4873-B537-B73FB1B47C1C}">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D197" authorId="326" shapeId="0" xr:uid="{FB4F311E-ABFA-47F1-AF30-CE3176EA7F86}">
      <text>
        <t>[Threaded comment]
Your version of Excel allows you to read this threaded comment; however, any edits to it will get removed if the file is opened in a newer version of Excel. Learn more: https://go.microsoft.com/fwlink/?linkid=870924
Comment:
    Full val incl materials</t>
      </text>
    </comment>
    <comment ref="Z197" authorId="327" shapeId="0" xr:uid="{9987F952-AB80-4CCC-964A-6E74743A5609}">
      <text>
        <t>[Threaded comment]
Your version of Excel allows you to read this threaded comment; however, any edits to it will get removed if the file is opened in a newer version of Excel. Learn more: https://go.microsoft.com/fwlink/?linkid=870924
Comment:
    Need to confirm start date. No need for additional men, accounted for in the figures below</t>
      </text>
    </comment>
    <comment ref="AF197" authorId="328" shapeId="0" xr:uid="{AE32B31A-F73B-4C27-82C1-DAA911F02F23}">
      <text>
        <t xml:space="preserve">[Threaded comment]
Your version of Excel allows you to read this threaded comment; however, any edits to it will get removed if the file is opened in a newer version of Excel. Learn more: https://go.microsoft.com/fwlink/?linkid=870924
Comment:
    Extra owed from first payment last week. </t>
      </text>
    </comment>
    <comment ref="AJ197" authorId="329" shapeId="0" xr:uid="{F4F0AFD0-C71C-4E4B-8A87-5A80025E9883}">
      <text>
        <t xml:space="preserve">[Threaded comment]
Your version of Excel allows you to read this threaded comment; however, any edits to it will get removed if the file is opened in a newer version of Excel. Learn more: https://go.microsoft.com/fwlink/?linkid=870924
Comment:
    Extra owed from first payment last week. </t>
      </text>
    </comment>
    <comment ref="AB198" authorId="330" shapeId="0" xr:uid="{FF274F3E-B196-4CD3-A986-1280C4EB04E6}">
      <text>
        <t>[Threaded comment]
Your version of Excel allows you to read this threaded comment; however, any edits to it will get removed if the file is opened in a newer version of Excel. Learn more: https://go.microsoft.com/fwlink/?linkid=870924
Comment:
    2.2 Jason spoke to Seamus (not Seamus O'Hara) as Becky is on holiday. He said it would be paid end of next week.</t>
      </text>
    </comment>
    <comment ref="AY199" authorId="331" shapeId="0" xr:uid="{AA592C01-022A-43B3-AB0B-500FD4A15D9B}">
      <text>
        <t>[Threaded comment]
Your version of Excel allows you to read this threaded comment; however, any edits to it will get removed if the file is opened in a newer version of Excel. Learn more: https://go.microsoft.com/fwlink/?linkid=870924
Comment:
    Confirmation payment will come on 17th, we needed to send them our insurance certificate.</t>
      </text>
    </comment>
    <comment ref="G204" authorId="332" shapeId="0" xr:uid="{C8FF533F-BF87-425E-ADFC-82176580A9DD}">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K205" authorId="333" shapeId="0" xr:uid="{751C9FCF-F98B-478F-AF17-8292FFEBB5FB}">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F206" authorId="334" shapeId="0" xr:uid="{9711E018-9A78-4119-B767-1DF4C70EC9AD}">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G206" authorId="335" shapeId="0" xr:uid="{DE237828-7753-4643-AA48-116C32638EB0}">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D208" authorId="336" shapeId="0" xr:uid="{80B03D9C-E7D0-4A84-81F8-6F1E32301136}">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K208" authorId="337" shapeId="0" xr:uid="{84AFD6AE-E398-42AA-BE80-7EF7F60769C7}">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L209" authorId="338" shapeId="0" xr:uid="{42602EF4-061D-4675-9467-250973EAE210}">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C210" authorId="339" shapeId="0" xr:uid="{4E7B7CE4-08FC-4F32-9126-8289D881ADFA}">
      <text>
        <t>[Threaded comment]
Your version of Excel allows you to read this threaded comment; however, any edits to it will get removed if the file is opened in a newer version of Excel. Learn more: https://go.microsoft.com/fwlink/?linkid=870924
Comment:
    VAT to be charged?</t>
      </text>
    </comment>
    <comment ref="N210" authorId="340" shapeId="0" xr:uid="{83D7F0C7-01B3-487A-8C7D-C13B114A5AAF}">
      <text>
        <t>[Threaded comment]
Your version of Excel allows you to read this threaded comment; however, any edits to it will get removed if the file is opened in a newer version of Excel. Learn more: https://go.microsoft.com/fwlink/?linkid=870924
Comment:
    Ivan spoke to Amanda, payment will be made next week into bank.</t>
      </text>
    </comment>
    <comment ref="J214" authorId="341" shapeId="0" xr:uid="{05E8BCEA-D318-4BFF-A882-26FB40C78186}">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K215" authorId="342" shapeId="0" xr:uid="{3115A2AD-1FA6-4746-8795-A2F5692C9224}">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H217" authorId="343" shapeId="0" xr:uid="{2A1A5E90-74BE-4B75-9A90-C50AC441CC72}">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L217" authorId="344" shapeId="0" xr:uid="{2F242690-E645-4D5D-864B-6C9AC9A37583}">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S217" authorId="345" shapeId="0" xr:uid="{1F9A711A-0625-45F2-9FEB-2747BE51D9EB}">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N218" authorId="346" shapeId="0" xr:uid="{8AD46D3A-7365-4EE1-B6A8-19BF5D8CAE4D}">
      <text>
        <t>[Threaded comment]
Your version of Excel allows you to read this threaded comment; however, any edits to it will get removed if the file is opened in a newer version of Excel. Learn more: https://go.microsoft.com/fwlink/?linkid=870924
Comment:
    Net of retention</t>
      </text>
    </comment>
    <comment ref="R218" authorId="347" shapeId="0" xr:uid="{AA410930-D493-454C-A71A-23DEF7000194}">
      <text>
        <t>[Threaded comment]
Your version of Excel allows you to read this threaded comment; however, any edits to it will get removed if the file is opened in a newer version of Excel. Learn more: https://go.microsoft.com/fwlink/?linkid=870924
Comment:
    Additional gym work, final payment.
Reply:
    This figure includes final account PC retention</t>
      </text>
    </comment>
    <comment ref="S218" authorId="348" shapeId="0" xr:uid="{BF01AE85-1D79-4BEB-B40D-D654F1A2E538}">
      <text>
        <t>[Threaded comment]
Your version of Excel allows you to read this threaded comment; however, any edits to it will get removed if the file is opened in a newer version of Excel. Learn more: https://go.microsoft.com/fwlink/?linkid=870924
Comment:
    Additional gym work, final payment.
Reply:
    This figure includes final account PC retention</t>
      </text>
    </comment>
    <comment ref="T232" authorId="349" shapeId="0" xr:uid="{7FDF8B89-3DE3-4BF1-A32C-9631EAFED03B}">
      <text>
        <t>[Threaded comment]
Your version of Excel allows you to read this threaded comment; however, any edits to it will get removed if the file is opened in a newer version of Excel. Learn more: https://go.microsoft.com/fwlink/?linkid=870924
Comment:
    This is the gross pay so it accounts for the tax owed (as we have moved to zero)</t>
      </text>
    </comment>
    <comment ref="W232" authorId="350" shapeId="0" xr:uid="{10287C5B-E2CD-419E-9907-A5FF81C9F93E}">
      <text>
        <t>[Threaded comment]
Your version of Excel allows you to read this threaded comment; however, any edits to it will get removed if the file is opened in a newer version of Excel. Learn more: https://go.microsoft.com/fwlink/?linkid=870924
Comment:
    Originally we were anticipating paying out Early jan, but delayed start.</t>
      </text>
    </comment>
    <comment ref="AE232" authorId="351" shapeId="0" xr:uid="{0CFBD065-2451-4DB9-AB7F-E12FA391DCCF}">
      <text>
        <t>[Threaded comment]
Your version of Excel allows you to read this threaded comment; however, any edits to it will get removed if the file is opened in a newer version of Excel. Learn more: https://go.microsoft.com/fwlink/?linkid=870924
Comment:
    Based on 900sqm done at 11 per  m.</t>
      </text>
    </comment>
    <comment ref="D233" authorId="352" shapeId="0" xr:uid="{54E228AD-173C-44E3-9B04-681B70552B5C}">
      <text>
        <t>[Threaded comment]
Your version of Excel allows you to read this threaded comment; however, any edits to it will get removed if the file is opened in a newer version of Excel. Learn more: https://go.microsoft.com/fwlink/?linkid=870924
Comment:
    7000 m @ 6.5</t>
      </text>
    </comment>
    <comment ref="BI245" authorId="353" shapeId="0" xr:uid="{56E4F324-85B4-43DE-8162-2BCDC023BBB3}">
      <text>
        <t>[Threaded comment]
Your version of Excel allows you to read this threaded comment; however, any edits to it will get removed if the file is opened in a newer version of Excel. Learn more: https://go.microsoft.com/fwlink/?linkid=870924
Comment:
    Brain Farrell</t>
      </text>
    </comment>
    <comment ref="AJ247" authorId="354" shapeId="0" xr:uid="{C9E6DA5C-F544-45C3-8539-60AB38CC54A1}">
      <text>
        <t>[Threaded comment]
Your version of Excel allows you to read this threaded comment; however, any edits to it will get removed if the file is opened in a newer version of Excel. Learn more: https://go.microsoft.com/fwlink/?linkid=870924
Comment:
    This is being held as security until feet on the ground in Beach Road.</t>
      </text>
    </comment>
    <comment ref="I254" authorId="355" shapeId="0" xr:uid="{21A76557-5CC8-41E5-B753-551C74D2F72F}">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M254" authorId="356" shapeId="0" xr:uid="{1D7C3FB9-C39B-4B14-8198-5DD6C03DA635}">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BH255" authorId="357" shapeId="0" xr:uid="{24795196-9158-4BFB-B6BF-08A2AD7FD363}">
      <text>
        <t>[Threaded comment]
Your version of Excel allows you to read this threaded comment; however, any edits to it will get removed if the file is opened in a newer version of Excel. Learn more: https://go.microsoft.com/fwlink/?linkid=870924
Comment:
    Statement recd from Fiona on 1.8.24</t>
      </text>
    </comment>
    <comment ref="AB258" authorId="358" shapeId="0" xr:uid="{35BD202C-2A57-425A-A26D-3502709E01AE}">
      <text>
        <t>[Threaded comment]
Your version of Excel allows you to read this threaded comment; however, any edits to it will get removed if the file is opened in a newer version of Excel. Learn more: https://go.microsoft.com/fwlink/?linkid=870924
Comment:
    Order now</t>
      </text>
    </comment>
    <comment ref="AZ258" authorId="359" shapeId="0" xr:uid="{0D44E0B5-6852-43AF-970F-1A92BB28AB51}">
      <text>
        <t>[Threaded comment]
Your version of Excel allows you to read this threaded comment; however, any edits to it will get removed if the file is opened in a newer version of Excel. Learn more: https://go.microsoft.com/fwlink/?linkid=870924
Comment:
    Balance due 30 days terms - £25422</t>
      </text>
    </comment>
    <comment ref="AJ260" authorId="360" shapeId="0" xr:uid="{F858F1CA-D7EB-417C-8078-A25A5F79DC62}">
      <text>
        <t>[Threaded comment]
Your version of Excel allows you to read this threaded comment; however, any edits to it will get removed if the file is opened in a newer version of Excel. Learn more: https://go.microsoft.com/fwlink/?linkid=870924
Comment:
    Payment due now</t>
      </text>
    </comment>
    <comment ref="G272" authorId="361" shapeId="0" xr:uid="{77F310CB-664C-48DE-8BFE-224AD8CF6F52}">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I272" authorId="362" shapeId="0" xr:uid="{9C078B2B-FE22-4E5E-9615-812B22E90591}">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J272" authorId="363" shapeId="0" xr:uid="{FC755AFC-8E22-4B58-9914-EA8331C824BD}">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K272" authorId="364" shapeId="0" xr:uid="{10D96245-28EA-42CD-A968-1F1B09DCE961}">
      <text>
        <t xml:space="preserve">[Threaded comment]
Your version of Excel allows you to read this threaded comment; however, any edits to it will get removed if the file is opened in a newer version of Excel. Learn more: https://go.microsoft.com/fwlink/?linkid=870924
Comment:
    Spreadsheet balance matches actual bal from Bank coming into 16.10
</t>
      </text>
    </comment>
    <comment ref="L272" authorId="365" shapeId="0" xr:uid="{F2F9EC8D-D359-48B6-9498-61D58850911D}">
      <text>
        <t>[Threaded comment]
Your version of Excel allows you to read this threaded comment; however, any edits to it will get removed if the file is opened in a newer version of Excel. Learn more: https://go.microsoft.com/fwlink/?linkid=870924
Comment:
    Spreadsheet balance and bank balance match coming into week 23.10</t>
      </text>
    </comment>
    <comment ref="M272" authorId="366" shapeId="0" xr:uid="{D7C2F449-0095-4B1E-98CF-4A665D1FE8B0}">
      <text>
        <t xml:space="preserve">[Threaded comment]
Your version of Excel allows you to read this threaded comment; however, any edits to it will get removed if the file is opened in a newer version of Excel. Learn more: https://go.microsoft.com/fwlink/?linkid=870924
Comment:
    Bank balance is €24,715 which is much the same.
</t>
      </text>
    </comment>
    <comment ref="N272" authorId="367" shapeId="0" xr:uid="{1180BA83-0B3C-45C5-B2B6-F7D043546C8E}">
      <text>
        <t xml:space="preserve">[Threaded comment]
Your version of Excel allows you to read this threaded comment; however, any edits to it will get removed if the file is opened in a newer version of Excel. Learn more: https://go.microsoft.com/fwlink/?linkid=870924
Comment:
    This exactly matches the bank balance on Sunday evening 5/11 </t>
      </text>
    </comment>
    <comment ref="P272" authorId="368" shapeId="0" xr:uid="{BD425D98-C617-4541-88A1-8B62C5A84CE8}">
      <text>
        <t>[Threaded comment]
Your version of Excel allows you to read this threaded comment; however, any edits to it will get removed if the file is opened in a newer version of Excel. Learn more: https://go.microsoft.com/fwlink/?linkid=870924
Comment:
    This balance matches bank balance exactly.</t>
      </text>
    </comment>
    <comment ref="Q272" authorId="369" shapeId="0" xr:uid="{D4DDA630-BD44-434A-BEDB-173479695253}">
      <text>
        <t>[Threaded comment]
Your version of Excel allows you to read this threaded comment; however, any edits to it will get removed if the file is opened in a newer version of Excel. Learn more: https://go.microsoft.com/fwlink/?linkid=870924
Comment:
    This figure balances with bank statement exactly.  Refer to transactions CSV on 24.11</t>
      </text>
    </comment>
    <comment ref="R272" authorId="370" shapeId="0" xr:uid="{C35A9FB2-3709-43D1-826C-25F1EBE06D48}">
      <text>
        <t>[Threaded comment]
Your version of Excel allows you to read this threaded comment; however, any edits to it will get removed if the file is opened in a newer version of Excel. Learn more: https://go.microsoft.com/fwlink/?linkid=870924
Comment:
    Balance matches exactly with bank statement as at 1.12 14:23pm</t>
      </text>
    </comment>
    <comment ref="S272" authorId="371" shapeId="0" xr:uid="{A1BDFD50-845F-43C4-8315-5B27C4479615}">
      <text>
        <t>[Threaded comment]
Your version of Excel allows you to read this threaded comment; however, any edits to it will get removed if the file is opened in a newer version of Excel. Learn more: https://go.microsoft.com/fwlink/?linkid=870924
Comment:
    Matches exactly with closing balance in Bank Friday 8th  Dec</t>
      </text>
    </comment>
    <comment ref="T272" authorId="372" shapeId="0" xr:uid="{5E1EF47D-F340-4C04-AB86-875892E5292F}">
      <text>
        <t>[Threaded comment]
Your version of Excel allows you to read this threaded comment; however, any edits to it will get removed if the file is opened in a newer version of Excel. Learn more: https://go.microsoft.com/fwlink/?linkid=870924
Comment:
    Agrees within a couple of euro.</t>
      </text>
    </comment>
    <comment ref="U272" authorId="373" shapeId="0" xr:uid="{B852EEAF-E37C-425C-9339-85477F34219E}">
      <text>
        <t>[Threaded comment]
Your version of Excel allows you to read this threaded comment; however, any edits to it will get removed if the file is opened in a newer version of Excel. Learn more: https://go.microsoft.com/fwlink/?linkid=870924
Comment:
    Reconciles to within 54c as per transactions posted on 24.12</t>
      </text>
    </comment>
    <comment ref="V272" authorId="374" shapeId="0" xr:uid="{11BC614B-8F5B-40CE-9EA6-AADC2FD100F4}">
      <text>
        <t>[Threaded comment]
Your version of Excel allows you to read this threaded comment; however, any edits to it will get removed if the file is opened in a newer version of Excel. Learn more: https://go.microsoft.com/fwlink/?linkid=870924
Comment:
    Agrees with bank transactions posted 31.12</t>
      </text>
    </comment>
    <comment ref="W272" authorId="375" shapeId="0" xr:uid="{78D681E2-9EE0-4B8F-A38C-B91756CF465C}">
      <text>
        <t>[Threaded comment]
Your version of Excel allows you to read this threaded comment; however, any edits to it will get removed if the file is opened in a newer version of Excel. Learn more: https://go.microsoft.com/fwlink/?linkid=870924
Comment:
    Balances with bank statement @ 5/1</t>
      </text>
    </comment>
    <comment ref="X272" authorId="376" shapeId="0" xr:uid="{E60E55EB-C561-43AD-B7BA-76ACDE08E5BA}">
      <text>
        <t>[Threaded comment]
Your version of Excel allows you to read this threaded comment; however, any edits to it will get removed if the file is opened in a newer version of Excel. Learn more: https://go.microsoft.com/fwlink/?linkid=870924
Comment:
    Balances with bank as at 12.1</t>
      </text>
    </comment>
    <comment ref="Y272" authorId="377" shapeId="0" xr:uid="{C3100DD5-D85B-45AB-920D-E6016B607437}">
      <text>
        <t>[Threaded comment]
Your version of Excel allows you to read this threaded comment; however, any edits to it will get removed if the file is opened in a newer version of Excel. Learn more: https://go.microsoft.com/fwlink/?linkid=870924
Comment:
    Balances with Bank Balance as at close of business 19.1</t>
      </text>
    </comment>
    <comment ref="Z272" authorId="378" shapeId="0" xr:uid="{1FB6C9BE-6C65-4398-9DF1-A4BF07935F84}">
      <text>
        <t>[Threaded comment]
Your version of Excel allows you to read this threaded comment; however, any edits to it will get removed if the file is opened in a newer version of Excel. Learn more: https://go.microsoft.com/fwlink/?linkid=870924
Comment:
    Agrees with Bank Balance 26.01.24</t>
      </text>
    </comment>
    <comment ref="AA272" authorId="379" shapeId="0" xr:uid="{5491433F-B08E-48E2-BB99-ED8490144D5A}">
      <text>
        <t>[Threaded comment]
Your version of Excel allows you to read this threaded comment; however, any edits to it will get removed if the file is opened in a newer version of Excel. Learn more: https://go.microsoft.com/fwlink/?linkid=870924
Comment:
    Balances with bank account as at Saturday 3.2.24</t>
      </text>
    </comment>
    <comment ref="AB272" authorId="380" shapeId="0" xr:uid="{2A1D6A80-3052-4D25-B3C5-4B071D432C4E}">
      <text>
        <t xml:space="preserve">[Threaded comment]
Your version of Excel allows you to read this threaded comment; however, any edits to it will get removed if the file is opened in a newer version of Excel. Learn more: https://go.microsoft.com/fwlink/?linkid=870924
Comment:
    Balances with bank as at cob 9.2
</t>
      </text>
    </comment>
    <comment ref="AC272" authorId="381" shapeId="0" xr:uid="{8591D837-2606-4441-BB93-1BD41746D9F2}">
      <text>
        <t>[Threaded comment]
Your version of Excel allows you to read this threaded comment; however, any edits to it will get removed if the file is opened in a newer version of Excel. Learn more: https://go.microsoft.com/fwlink/?linkid=870924
Comment:
    Agrees with bank balance as at COB 16.02</t>
      </text>
    </comment>
    <comment ref="AD272" authorId="382" shapeId="0" xr:uid="{8433E0A6-7D23-4212-BF03-6B07483E83B1}">
      <text>
        <t>[Threaded comment]
Your version of Excel allows you to read this threaded comment; however, any edits to it will get removed if the file is opened in a newer version of Excel. Learn more: https://go.microsoft.com/fwlink/?linkid=870924
Comment:
    Balances with bank as at 13:30 23.02, TSK may come in on top</t>
      </text>
    </comment>
    <comment ref="AE272" authorId="383" shapeId="0" xr:uid="{B4FA6BC6-F5A9-4645-818E-E0FA295B0F62}">
      <text>
        <t>[Threaded comment]
Your version of Excel allows you to read this threaded comment; however, any edits to it will get removed if the file is opened in a newer version of Excel. Learn more: https://go.microsoft.com/fwlink/?linkid=870924
Comment:
    Balance matches with Bank account as at Saturday morning 2 March</t>
      </text>
    </comment>
    <comment ref="AF272" authorId="384" shapeId="0" xr:uid="{4DDC8594-5EAC-4A19-A031-39B6DE85AF35}">
      <text>
        <t>[Threaded comment]
Your version of Excel allows you to read this threaded comment; however, any edits to it will get removed if the file is opened in a newer version of Excel. Learn more: https://go.microsoft.com/fwlink/?linkid=870924
Comment:
    Balances with bank account as at Saturday morning 9.3</t>
      </text>
    </comment>
    <comment ref="AG272" authorId="385" shapeId="0" xr:uid="{E30677B5-B9D1-4F1C-8AA2-C22A7B7DB672}">
      <text>
        <t>[Threaded comment]
Your version of Excel allows you to read this threaded comment; however, any edits to it will get removed if the file is opened in a newer version of Excel. Learn more: https://go.microsoft.com/fwlink/?linkid=870924
Comment:
    Balances with bank account @ 15.03</t>
      </text>
    </comment>
    <comment ref="AH272" authorId="386" shapeId="0" xr:uid="{6AE155E4-890D-4E64-B4B4-9C7F001CC524}">
      <text>
        <t>[Threaded comment]
Your version of Excel allows you to read this threaded comment; however, any edits to it will get removed if the file is opened in a newer version of Excel. Learn more: https://go.microsoft.com/fwlink/?linkid=870924
Comment:
    Agrees with bank balance as at 16.22 22.3.24</t>
      </text>
    </comment>
    <comment ref="AI272" authorId="387" shapeId="0" xr:uid="{C1ED18FA-0BCF-4D9D-86C1-4AD53B6D9BB6}">
      <text>
        <t xml:space="preserve">[Threaded comment]
Your version of Excel allows you to read this threaded comment; however, any edits to it will get removed if the file is opened in a newer version of Excel. Learn more: https://go.microsoft.com/fwlink/?linkid=870924
Comment:
    Agrees with bank balance BUT PART WAY DOWN TRANSACTIONS ON 2 April </t>
      </text>
    </comment>
    <comment ref="AJ272" authorId="388" shapeId="0" xr:uid="{5AFB032E-F182-4DA1-9148-E7FD727349E5}">
      <text>
        <t>[Threaded comment]
Your version of Excel allows you to read this threaded comment; however, any edits to it will get removed if the file is opened in a newer version of Excel. Learn more: https://go.microsoft.com/fwlink/?linkid=870924
Comment:
    Agrees with bank balance as at 8th April  It INCLUDES Walls and Extraspace which are pending items in the bank.</t>
      </text>
    </comment>
    <comment ref="AK272" authorId="389" shapeId="0" xr:uid="{8314B940-AF65-4128-877F-7896263D833C}">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12 April.
</t>
      </text>
    </comment>
    <comment ref="AL272" authorId="390" shapeId="0" xr:uid="{320C79D2-8E7B-4D53-A03D-15665FD2357A}">
      <text>
        <t>[Threaded comment]
Your version of Excel allows you to read this threaded comment; however, any edits to it will get removed if the file is opened in a newer version of Excel. Learn more: https://go.microsoft.com/fwlink/?linkid=870924
Comment:
    Agrees with bank account Saturday morning 20.04</t>
      </text>
    </comment>
    <comment ref="AM272" authorId="391" shapeId="0" xr:uid="{D880215C-2026-43C6-9D59-0B52892E616F}">
      <text>
        <t xml:space="preserve">[Threaded comment]
Your version of Excel allows you to read this threaded comment; however, any edits to it will get removed if the file is opened in a newer version of Excel. Learn more: https://go.microsoft.com/fwlink/?linkid=870924
Comment:
    Agrees with bank  as at COB 26th April
</t>
      </text>
    </comment>
    <comment ref="AN272" authorId="392" shapeId="0" xr:uid="{A1B66CCE-0C58-4CC4-ADA0-C241689A5F71}">
      <text>
        <t>[Threaded comment]
Your version of Excel allows you to read this threaded comment; however, any edits to it will get removed if the file is opened in a newer version of Excel. Learn more: https://go.microsoft.com/fwlink/?linkid=870924
Comment:
    Balances with bank account as at Saturday 4th May, after Chadwicks payment.</t>
      </text>
    </comment>
    <comment ref="AO272" authorId="393" shapeId="0" xr:uid="{A446ADBA-FC0D-4B9C-B666-6B47EAB44C72}">
      <text>
        <t>[Threaded comment]
Your version of Excel allows you to read this threaded comment; however, any edits to it will get removed if the file is opened in a newer version of Excel. Learn more: https://go.microsoft.com/fwlink/?linkid=870924
Comment:
    Agrees with bank balance 10.5.24</t>
      </text>
    </comment>
    <comment ref="AP272" authorId="394" shapeId="0" xr:uid="{5AA514E9-8D46-4478-8654-DB3E5F1C8705}">
      <text>
        <t xml:space="preserve">[Threaded comment]
Your version of Excel allows you to read this threaded comment; however, any edits to it will get removed if the file is opened in a newer version of Excel. Learn more: https://go.microsoft.com/fwlink/?linkid=870924
Comment:
    Balances with bank as at 17th May.
</t>
      </text>
    </comment>
    <comment ref="AQ272" authorId="395" shapeId="0" xr:uid="{25C66750-EC55-4E0F-964F-AB074D7E768D}">
      <text>
        <t>[Threaded comment]
Your version of Excel allows you to read this threaded comment; however, any edits to it will get removed if the file is opened in a newer version of Excel. Learn more: https://go.microsoft.com/fwlink/?linkid=870924
Comment:
    Agrees with bank balance as at Sunday 26 May</t>
      </text>
    </comment>
    <comment ref="AR272" authorId="396" shapeId="0" xr:uid="{B5440ED0-B5D3-4E60-84F5-5268A63A8BFB}">
      <text>
        <t xml:space="preserve">[Threaded comment]
Your version of Excel allows you to read this threaded comment; however, any edits to it will get removed if the file is opened in a newer version of Excel. Learn more: https://go.microsoft.com/fwlink/?linkid=870924
Comment:
    Agrees with bank statement 31.05
</t>
      </text>
    </comment>
    <comment ref="AS272" authorId="397" shapeId="0" xr:uid="{51E7FB11-5CE9-48B8-A517-B30DF75A3D65}">
      <text>
        <t>[Threaded comment]
Your version of Excel allows you to read this threaded comment; however, any edits to it will get removed if the file is opened in a newer version of Excel. Learn more: https://go.microsoft.com/fwlink/?linkid=870924
Comment:
    Balances with Bank Statement as at 17.43 Friday 7th June.  Does not incl Walls payment.</t>
      </text>
    </comment>
    <comment ref="AT272" authorId="398" shapeId="0" xr:uid="{A5AFA0B4-9811-499C-82D2-3EAD9D160631}">
      <text>
        <t>[Threaded comment]
Your version of Excel allows you to read this threaded comment; however, any edits to it will get removed if the file is opened in a newer version of Excel. Learn more: https://go.microsoft.com/fwlink/?linkid=870924
Comment:
    Agrees with bank balance as at 14 June 2024</t>
      </text>
    </comment>
    <comment ref="AU272" authorId="399" shapeId="0" xr:uid="{8C7FCEBE-E7CB-4792-BFC2-7996FCAA7AB7}">
      <text>
        <t>[Threaded comment]
Your version of Excel allows you to read this threaded comment; however, any edits to it will get removed if the file is opened in a newer version of Excel. Learn more: https://go.microsoft.com/fwlink/?linkid=870924
Comment:
    Agrees with bank balance as at 21st June</t>
      </text>
    </comment>
    <comment ref="AV272" authorId="400" shapeId="0" xr:uid="{ABB7405D-0C71-4B20-94C4-AC324F884825}">
      <text>
        <t>[Threaded comment]
Your version of Excel allows you to read this threaded comment; however, any edits to it will get removed if the file is opened in a newer version of Excel. Learn more: https://go.microsoft.com/fwlink/?linkid=870924
Comment:
    Agrees with bank balance as at 28 June.</t>
      </text>
    </comment>
    <comment ref="AW272" authorId="401" shapeId="0" xr:uid="{0F50D0A5-A032-483C-AA9B-5E889159A87B}">
      <text>
        <t xml:space="preserve">[Threaded comment]
Your version of Excel allows you to read this threaded comment; however, any edits to it will get removed if the file is opened in a newer version of Excel. Learn more: https://go.microsoft.com/fwlink/?linkid=870924
Comment:
    Balances with bank account as at 5.7.24 </t>
      </text>
    </comment>
    <comment ref="AX272" authorId="402" shapeId="0" xr:uid="{7FAE832E-A59E-459F-9985-68C14ED0B58E}">
      <text>
        <t>[Threaded comment]
Your version of Excel allows you to read this threaded comment; however, any edits to it will get removed if the file is opened in a newer version of Excel. Learn more: https://go.microsoft.com/fwlink/?linkid=870924
Comment:
    Agrees with bank bal on 12.7</t>
      </text>
    </comment>
    <comment ref="AY272" authorId="403" shapeId="0" xr:uid="{BE2FC7F9-8FF9-49FA-89EE-8F30A3B22FD6}">
      <text>
        <t>[Threaded comment]
Your version of Excel allows you to read this threaded comment; however, any edits to it will get removed if the file is opened in a newer version of Excel. Learn more: https://go.microsoft.com/fwlink/?linkid=870924
Comment:
    Agrees with bank account.</t>
      </text>
    </comment>
    <comment ref="AZ272" authorId="404" shapeId="0" xr:uid="{55DE9F13-1A5E-485C-9792-27B6636144C8}">
      <text>
        <t xml:space="preserve">[Threaded comment]
Your version of Excel allows you to read this threaded comment; however, any edits to it will get removed if the file is opened in a newer version of Excel. Learn more: https://go.microsoft.com/fwlink/?linkid=870924
Comment:
    Agrees with bank balance on 26.7
</t>
      </text>
    </comment>
    <comment ref="BA272" authorId="405" shapeId="0" xr:uid="{16AC09D2-8685-4ADC-B6B7-D2356127A964}">
      <text>
        <t>[Threaded comment]
Your version of Excel allows you to read this threaded comment; however, any edits to it will get removed if the file is opened in a newer version of Excel. Learn more: https://go.microsoft.com/fwlink/?linkid=870924
Comment:
    Agrees with bank balance on 2 August</t>
      </text>
    </comment>
    <comment ref="BB272" authorId="406" shapeId="0" xr:uid="{2A66695E-1A07-48B7-B498-1280337F7A38}">
      <text>
        <t xml:space="preserve">[Threaded comment]
Your version of Excel allows you to read this threaded comment; however, any edits to it will get removed if the file is opened in a newer version of Excel. Learn more: https://go.microsoft.com/fwlink/?linkid=870924
Comment:
    Agrees with bank balance at 9.8.24
</t>
      </text>
    </comment>
    <comment ref="BC272" authorId="407" shapeId="0" xr:uid="{82D63F32-C7D5-4706-B613-8495FADA4CB2}">
      <text>
        <t>[Threaded comment]
Your version of Excel allows you to read this threaded comment; however, any edits to it will get removed if the file is opened in a newer version of Excel. Learn more: https://go.microsoft.com/fwlink/?linkid=870924
Comment:
    Agrees with bank balance as at 16.08.24</t>
      </text>
    </comment>
    <comment ref="BE272" authorId="408" shapeId="0" xr:uid="{C4583C8E-28C4-4825-9934-E69F6C8C019F}">
      <text>
        <t>[Threaded comment]
Your version of Excel allows you to read this threaded comment; however, any edits to it will get removed if the file is opened in a newer version of Excel. Learn more: https://go.microsoft.com/fwlink/?linkid=870924
Comment:
    Agrees with bank balance at 23.08.24</t>
      </text>
    </comment>
    <comment ref="BF272" authorId="409" shapeId="0" xr:uid="{644B6586-AF6D-47AD-B5AA-F1950C15DBB6}">
      <text>
        <t xml:space="preserve">[Threaded comment]
Your version of Excel allows you to read this threaded comment; however, any edits to it will get removed if the file is opened in a newer version of Excel. Learn more: https://go.microsoft.com/fwlink/?linkid=870924
Comment:
    Agrees with bank ball 30.8
</t>
      </text>
    </comment>
    <comment ref="BH272" authorId="410" shapeId="0" xr:uid="{AB48603A-27FD-4BFF-AC2B-AF9761F1998C}">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8.9.24
</t>
      </text>
    </comment>
    <comment ref="BI272" authorId="411" shapeId="0" xr:uid="{B531B970-6B04-4C78-A1BA-4567BEF4E0FD}">
      <text>
        <t>[Threaded comment]
Your version of Excel allows you to read this threaded comment; however, any edits to it will get removed if the file is opened in a newer version of Excel. Learn more: https://go.microsoft.com/fwlink/?linkid=870924
Comment:
    Agrees with bank balance as at 13.09</t>
      </text>
    </comment>
    <comment ref="BJ272" authorId="412" shapeId="0" xr:uid="{E05A040E-F97E-47DF-826B-79F733920BA6}">
      <text>
        <t>[Threaded comment]
Your version of Excel allows you to read this threaded comment; however, any edits to it will get removed if the file is opened in a newer version of Excel. Learn more: https://go.microsoft.com/fwlink/?linkid=870924
Comment:
    Agrees with bank balance as at 22.9</t>
      </text>
    </comment>
    <comment ref="BL272" authorId="413" shapeId="0" xr:uid="{3275BAB2-87F3-4CA1-9F36-09D0F1B3ADD0}">
      <text>
        <t xml:space="preserve">[Threaded comment]
Your version of Excel allows you to read this threaded comment; however, any edits to it will get removed if the file is opened in a newer version of Excel. Learn more: https://go.microsoft.com/fwlink/?linkid=870924
Comment:
    Agrees with bank as at 27.9.24
</t>
      </text>
    </comment>
    <comment ref="BM272" authorId="414" shapeId="0" xr:uid="{7940FE6C-B78D-4D3D-9E2A-2E57AFBC7AAF}">
      <text>
        <t>[Threaded comment]
Your version of Excel allows you to read this threaded comment; however, any edits to it will get removed if the file is opened in a newer version of Excel. Learn more: https://go.microsoft.com/fwlink/?linkid=870924
Comment:
    Agrees with bank bal as at 4.10</t>
      </text>
    </comment>
    <comment ref="BO272" authorId="415" shapeId="0" xr:uid="{DAAA8C60-4A16-457C-B106-62AA215B6E5F}">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11.10.24
</t>
      </text>
    </comment>
    <comment ref="BP272" authorId="416" shapeId="0" xr:uid="{8EAD225E-A142-4AFD-BFB7-DDC82D4F2B53}">
      <text>
        <t xml:space="preserve">[Threaded comment]
Your version of Excel allows you to read this threaded comment; however, any edits to it will get removed if the file is opened in a newer version of Excel. Learn more: https://go.microsoft.com/fwlink/?linkid=870924
Comment:
    Agrees with bank balance </t>
      </text>
    </comment>
    <comment ref="BQ272" authorId="417" shapeId="0" xr:uid="{34E71207-C946-4326-936B-BE1B803EB71F}">
      <text>
        <t xml:space="preserve">[Threaded comment]
Your version of Excel allows you to read this threaded comment; however, any edits to it will get removed if the file is opened in a newer version of Excel. Learn more: https://go.microsoft.com/fwlink/?linkid=870924
Comment:
    Agrees with bank balance </t>
      </text>
    </comment>
    <comment ref="BR272" authorId="418" shapeId="0" xr:uid="{AB2B84D3-B9D1-4E46-A558-7674E225A637}">
      <text>
        <t>[Threaded comment]
Your version of Excel allows you to read this threaded comment; however, any edits to it will get removed if the file is opened in a newer version of Excel. Learn more: https://go.microsoft.com/fwlink/?linkid=870924
Comment:
    Agrees with bank balance as at 25.10</t>
      </text>
    </comment>
    <comment ref="BS272" authorId="419" shapeId="0" xr:uid="{9886A87A-120E-430F-9063-5AA1BA8A3002}">
      <text>
        <t>[Threaded comment]
Your version of Excel allows you to read this threaded comment; however, any edits to it will get removed if the file is opened in a newer version of Excel. Learn more: https://go.microsoft.com/fwlink/?linkid=870924
Comment:
    Agrees with bank balance 1st Nov</t>
      </text>
    </comment>
    <comment ref="BT272" authorId="420" shapeId="0" xr:uid="{C8E655BB-2446-4583-ADF4-E2E423C16217}">
      <text>
        <t xml:space="preserve">[Threaded comment]
Your version of Excel allows you to read this threaded comment; however, any edits to it will get removed if the file is opened in a newer version of Excel. Learn more: https://go.microsoft.com/fwlink/?linkid=870924
Comment:
    Agrees with bank balance 8.11.24
</t>
      </text>
    </comment>
    <comment ref="BV272" authorId="421" shapeId="0" xr:uid="{5FB5B17B-C29A-40A1-8B0B-D898B1BE2664}">
      <text>
        <t>[Threaded comment]
Your version of Excel allows you to read this threaded comment; however, any edits to it will get removed if the file is opened in a newer version of Excel. Learn more: https://go.microsoft.com/fwlink/?linkid=870924
Comment:
    Balances with bank as at 15.11</t>
      </text>
    </comment>
    <comment ref="BX272" authorId="422" shapeId="0" xr:uid="{D9113BFC-0C5F-4C6D-A620-1ABCD60C007F}">
      <text>
        <t>[Threaded comment]
Your version of Excel allows you to read this threaded comment; however, any edits to it will get removed if the file is opened in a newer version of Excel. Learn more: https://go.microsoft.com/fwlink/?linkid=870924
Comment:
    Agrees with bank as at 22.11</t>
      </text>
    </comment>
    <comment ref="BY272" authorId="423" shapeId="0" xr:uid="{1EBD59D9-3A58-44B2-B30C-80EF497E8E57}">
      <text>
        <t>[Threaded comment]
Your version of Excel allows you to read this threaded comment; however, any edits to it will get removed if the file is opened in a newer version of Excel. Learn more: https://go.microsoft.com/fwlink/?linkid=870924
Comment:
    Agrees with bank balance 25.11</t>
      </text>
    </comment>
    <comment ref="BZ272" authorId="424" shapeId="0" xr:uid="{89848112-8FBC-4097-AE78-15EA2C80D00C}">
      <text>
        <t>[Threaded comment]
Your version of Excel allows you to read this threaded comment; however, any edits to it will get removed if the file is opened in a newer version of Excel. Learn more: https://go.microsoft.com/fwlink/?linkid=870924
Comment:
    Agrees with bank balance 29.11</t>
      </text>
    </comment>
    <comment ref="CA272" authorId="425" shapeId="0" xr:uid="{45D4C527-6A21-4F30-B57E-FB99D9019986}">
      <text>
        <t>[Threaded comment]
Your version of Excel allows you to read this threaded comment; however, any edits to it will get removed if the file is opened in a newer version of Excel. Learn more: https://go.microsoft.com/fwlink/?linkid=870924
Comment:
    Agrees with bank as at 8.12</t>
      </text>
    </comment>
    <comment ref="CB272" authorId="426" shapeId="0" xr:uid="{8C9442AB-C159-40E2-AB47-305BE449186A}">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8.12
</t>
      </text>
    </comment>
    <comment ref="CC272" authorId="427" shapeId="0" xr:uid="{F6A8017E-92B7-4D3D-A510-3DCFCEA48DD9}">
      <text>
        <t>[Threaded comment]
Your version of Excel allows you to read this threaded comment; however, any edits to it will get removed if the file is opened in a newer version of Excel. Learn more: https://go.microsoft.com/fwlink/?linkid=870924
Comment:
    Balances with bank as at 13 Dec24</t>
      </text>
    </comment>
    <comment ref="CE272" authorId="428" shapeId="0" xr:uid="{80965EFA-3E6C-4999-B17C-C01A8D6BB6E2}">
      <text>
        <t>[Threaded comment]
Your version of Excel allows you to read this threaded comment; however, any edits to it will get removed if the file is opened in a newer version of Excel. Learn more: https://go.microsoft.com/fwlink/?linkid=870924
Comment:
    Agrees with bank balance as at 20/12</t>
      </text>
    </comment>
    <comment ref="CF272" authorId="429" shapeId="0" xr:uid="{24521590-0CD6-40BB-9AF1-020743AAAD4C}">
      <text>
        <t>[Threaded comment]
Your version of Excel allows you to read this threaded comment; however, any edits to it will get removed if the file is opened in a newer version of Excel. Learn more: https://go.microsoft.com/fwlink/?linkid=870924
Comment:
    Agrees with bank bal 31/12/24</t>
      </text>
    </comment>
    <comment ref="CG272" authorId="430" shapeId="0" xr:uid="{715EB064-B8D6-4F0D-AFE2-7733474AE812}">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3.1.25
</t>
      </text>
    </comment>
    <comment ref="CH272" authorId="431" shapeId="0" xr:uid="{F08D894D-CFA2-4A21-8E7C-705363C69FB0}">
      <text>
        <t>[Threaded comment]
Your version of Excel allows you to read this threaded comment; however, any edits to it will get removed if the file is opened in a newer version of Excel. Learn more: https://go.microsoft.com/fwlink/?linkid=870924
Comment:
    Agrees with bank balance 10th Jan</t>
      </text>
    </comment>
    <comment ref="CI272" authorId="432" shapeId="0" xr:uid="{EFE0DD21-E6F5-4464-8167-072AC8C4D2AD}">
      <text>
        <t>[Threaded comment]
Your version of Excel allows you to read this threaded comment; however, any edits to it will get removed if the file is opened in a newer version of Excel. Learn more: https://go.microsoft.com/fwlink/?linkid=870924
Comment:
    Agrees with bank balance as at 17.1.25</t>
      </text>
    </comment>
    <comment ref="CJ272" authorId="433" shapeId="0" xr:uid="{4D35F23A-3C03-4670-86BD-514DC318FD41}">
      <text>
        <t>[Threaded comment]
Your version of Excel allows you to read this threaded comment; however, any edits to it will get removed if the file is opened in a newer version of Excel. Learn more: https://go.microsoft.com/fwlink/?linkid=870924
Comment:
    Agrees with bank balance as at 24.01</t>
      </text>
    </comment>
    <comment ref="CK272" authorId="434" shapeId="0" xr:uid="{BBED0F22-7D10-4E14-8C92-9A3DCBA538B2}">
      <text>
        <t>[Threaded comment]
Your version of Excel allows you to read this threaded comment; however, any edits to it will get removed if the file is opened in a newer version of Excel. Learn more: https://go.microsoft.com/fwlink/?linkid=870924
Comment:
    Agrees with bank balance as at 31.1.25</t>
      </text>
    </comment>
    <comment ref="CL272" authorId="435" shapeId="0" xr:uid="{75F1B710-4EAC-41F0-B310-08ACBDED0E82}">
      <text>
        <t>[Threaded comment]
Your version of Excel allows you to read this threaded comment; however, any edits to it will get removed if the file is opened in a newer version of Excel. Learn more: https://go.microsoft.com/fwlink/?linkid=870924
Comment:
    Balances with bank acc 7.2.25</t>
      </text>
    </comment>
    <comment ref="CM272" authorId="436" shapeId="0" xr:uid="{2F7776E9-231A-4816-8885-5710E9AE259F}">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14.02.25
</t>
      </text>
    </comment>
    <comment ref="CN272" authorId="437" shapeId="0" xr:uid="{C429433D-74DC-4DE5-951C-993597A832CE}">
      <text>
        <t>[Threaded comment]
Your version of Excel allows you to read this threaded comment; however, any edits to it will get removed if the file is opened in a newer version of Excel. Learn more: https://go.microsoft.com/fwlink/?linkid=870924
Comment:
    Agrees with bank balance 21.02</t>
      </text>
    </comment>
    <comment ref="CO272" authorId="438" shapeId="0" xr:uid="{E65C6E46-A7C0-4D33-BB86-19517269DDD5}">
      <text>
        <t>[Threaded comment]
Your version of Excel allows you to read this threaded comment; however, any edits to it will get removed if the file is opened in a newer version of Excel. Learn more: https://go.microsoft.com/fwlink/?linkid=870924
Comment:
    Agrees with bank bal 28.02</t>
      </text>
    </comment>
    <comment ref="CP272" authorId="439" shapeId="0" xr:uid="{BE5651B4-FD8E-46E8-A11C-D44368A7005A}">
      <text>
        <t>[Threaded comment]
Your version of Excel allows you to read this threaded comment; however, any edits to it will get removed if the file is opened in a newer version of Excel. Learn more: https://go.microsoft.com/fwlink/?linkid=870924
Comment:
    Agrees with bank balance 7 March 25</t>
      </text>
    </comment>
    <comment ref="CQ272" authorId="440" shapeId="0" xr:uid="{079C6E80-2B21-40B8-8BC3-D37C5BD84D92}">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14.03
</t>
      </text>
    </comment>
    <comment ref="CR272" authorId="441" shapeId="0" xr:uid="{5FD16276-9E0C-48D2-89F8-FD7189CF4CA4}">
      <text>
        <t>[Threaded comment]
Your version of Excel allows you to read this threaded comment; however, any edits to it will get removed if the file is opened in a newer version of Excel. Learn more: https://go.microsoft.com/fwlink/?linkid=870924
Comment:
    Agrees with bank bal 21.03</t>
      </text>
    </comment>
    <comment ref="CS272" authorId="442" shapeId="0" xr:uid="{E4DE8CB5-A197-4CB8-9AC0-0BB684AEF168}">
      <text>
        <t>[Threaded comment]
Your version of Excel allows you to read this threaded comment; however, any edits to it will get removed if the file is opened in a newer version of Excel. Learn more: https://go.microsoft.com/fwlink/?linkid=870924
Comment:
    Agrees with bank as at 28.3</t>
      </text>
    </comment>
    <comment ref="CT272" authorId="443" shapeId="0" xr:uid="{A52A973C-2AFB-4A74-A0A7-FB4719211940}">
      <text>
        <t>[Threaded comment]
Your version of Excel allows you to read this threaded comment; however, any edits to it will get removed if the file is opened in a newer version of Excel. Learn more: https://go.microsoft.com/fwlink/?linkid=870924
Comment:
    Agrees with Bank Balance 4.4.25</t>
      </text>
    </comment>
    <comment ref="CU272" authorId="444" shapeId="0" xr:uid="{441ECA66-0D0C-4B95-B8BE-0F6BF3A14642}">
      <text>
        <t>[Threaded comment]
Your version of Excel allows you to read this threaded comment; however, any edits to it will get removed if the file is opened in a newer version of Excel. Learn more: https://go.microsoft.com/fwlink/?linkid=870924
Comment:
    Agrees with bank at 13.4.25</t>
      </text>
    </comment>
    <comment ref="CV272" authorId="445" shapeId="0" xr:uid="{EC4EE2D1-925E-4C73-8ABB-4A5B0458CE29}">
      <text>
        <t>[Threaded comment]
Your version of Excel allows you to read this threaded comment; however, any edits to it will get removed if the file is opened in a newer version of Excel. Learn more: https://go.microsoft.com/fwlink/?linkid=870924
Comment:
    Agrees with bank balance at 18.04.25</t>
      </text>
    </comment>
    <comment ref="CW272" authorId="446" shapeId="0" xr:uid="{1BF3283A-F31E-4F8F-BE18-6BAC30E605D8}">
      <text>
        <t>[Threaded comment]
Your version of Excel allows you to read this threaded comment; however, any edits to it will get removed if the file is opened in a newer version of Excel. Learn more: https://go.microsoft.com/fwlink/?linkid=870924
Comment:
    Agrees with Bank Balance 25.4.25</t>
      </text>
    </comment>
    <comment ref="CX272" authorId="447" shapeId="0" xr:uid="{139DB3FE-A545-4A48-BB0E-C223BBD5ED4C}">
      <text>
        <t>[Threaded comment]
Your version of Excel allows you to read this threaded comment; however, any edits to it will get removed if the file is opened in a newer version of Excel. Learn more: https://go.microsoft.com/fwlink/?linkid=870924
Comment:
    Agrees with bank bal 2.5.25</t>
      </text>
    </comment>
    <comment ref="CY272" authorId="448" shapeId="0" xr:uid="{0EB33964-D718-446B-A418-38F98CA098EB}">
      <text>
        <t xml:space="preserve">[Threaded comment]
Your version of Excel allows you to read this threaded comment; however, any edits to it will get removed if the file is opened in a newer version of Excel. Learn more: https://go.microsoft.com/fwlink/?linkid=870924
Comment:
    Agrees with bank balance 9.5.25
</t>
      </text>
    </comment>
    <comment ref="CZ272" authorId="449" shapeId="0" xr:uid="{7253D9FD-AF44-4ACD-9506-9460DBF8787A}">
      <text>
        <t>[Threaded comment]
Your version of Excel allows you to read this threaded comment; however, any edits to it will get removed if the file is opened in a newer version of Excel. Learn more: https://go.microsoft.com/fwlink/?linkid=870924
Comment:
    Agrees with bank bal as at 16.5</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tc={F602CCBF-5848-4FD6-B4B6-656FAD194F6A}</author>
    <author>tc={669FCAF5-1BD1-4BFB-BE99-7CE501E4C635}</author>
    <author>tc={5DAA880B-BCD7-467E-B30C-2F8A70F96B0B}</author>
    <author>tc={91DB6375-4FDF-4F3F-9F5F-E7278AFF5292}</author>
    <author>tc={031AE77B-EA0E-4A3F-917E-13FEB29B89CD}</author>
    <author>tc={D958DC08-37B4-442D-B77D-B8975662E8C2}</author>
    <author>tc={690464C7-6112-40CA-90C7-10258FB015C1}</author>
    <author>tc={D6F9386D-A40D-43FF-99A1-4743B45D8384}</author>
    <author>tc={361025B9-F806-4215-9921-8A46F89B1D79}</author>
    <author>tc={9594577A-FE76-4677-A6D7-4EAADCA9B797}</author>
    <author>tc={80BC752A-D320-4B4E-9135-C6A4001A4DE4}</author>
    <author>tc={258EFE35-670F-470D-BF5B-FD629E1E034F}</author>
    <author>tc={FE07DED6-0333-4E75-9A45-A295BE7DA390}</author>
    <author>tc={023F4258-D2A9-425D-A9A9-23B4EB2DEBEC}</author>
    <author>tc={413B7E27-44E7-40AB-9BE9-5DEEA5C64BC2}</author>
    <author>tc={5E76BA1B-27CA-4D2D-B21D-FB798DF4122E}</author>
    <author>tc={9BFFE414-19EC-4AB3-9A0D-4F4457DF7ED8}</author>
    <author>tc={F7769F0F-82BE-4C86-90B6-9D33D72557A2}</author>
    <author>tc={842E3A61-0156-4660-A107-D73923F52F51}</author>
    <author>tc={26C6B432-A20F-4032-A1F8-0714CE64F997}</author>
    <author>tc={0707952F-1EC3-4D3D-8E3E-4D14968601D0}</author>
    <author>tc={A7025D1D-CC1B-49B1-B918-1E375B2C678D}</author>
    <author>tc={2A847AF7-6358-4014-A8FC-51A105C645E6}</author>
  </authors>
  <commentList>
    <comment ref="C5" authorId="0" shapeId="0" xr:uid="{F602CCBF-5848-4FD6-B4B6-656FAD194F6A}">
      <text>
        <t>[Threaded comment]
Your version of Excel allows you to read this threaded comment; however, any edits to it will get removed if the file is opened in a newer version of Excel. Learn more: https://go.microsoft.com/fwlink/?linkid=870924
Comment:
    Chadwicks and TJ Omahony due</t>
      </text>
    </comment>
    <comment ref="C6" authorId="1" shapeId="0" xr:uid="{669FCAF5-1BD1-4BFB-BE99-7CE501E4C635}">
      <text>
        <t>[Threaded comment]
Your version of Excel allows you to read this threaded comment; however, any edits to it will get removed if the file is opened in a newer version of Excel. Learn more: https://go.microsoft.com/fwlink/?linkid=870924
Comment:
    Order 1500 week 2</t>
      </text>
    </comment>
    <comment ref="D6" authorId="2" shapeId="0" xr:uid="{5DAA880B-BCD7-467E-B30C-2F8A70F96B0B}">
      <text>
        <t>[Threaded comment]
Your version of Excel allows you to read this threaded comment; however, any edits to it will get removed if the file is opened in a newer version of Excel. Learn more: https://go.microsoft.com/fwlink/?linkid=870924
Comment:
    Order 2000 week 3</t>
      </text>
    </comment>
    <comment ref="G8" authorId="3" shapeId="0" xr:uid="{91DB6375-4FDF-4F3F-9F5F-E7278AFF5292}">
      <text>
        <t xml:space="preserve">[Threaded comment]
Your version of Excel allows you to read this threaded comment; however, any edits to it will get removed if the file is opened in a newer version of Excel. Learn more: https://go.microsoft.com/fwlink/?linkid=870924
Comment:
    Order 2000 week 6
</t>
      </text>
    </comment>
    <comment ref="G9" authorId="4" shapeId="0" xr:uid="{031AE77B-EA0E-4A3F-917E-13FEB29B89CD}">
      <text>
        <t xml:space="preserve">[Threaded comment]
Your version of Excel allows you to read this threaded comment; however, any edits to it will get removed if the file is opened in a newer version of Excel. Learn more: https://go.microsoft.com/fwlink/?linkid=870924
Comment:
    Last order for ceilings
</t>
      </text>
    </comment>
    <comment ref="C19" authorId="5" shapeId="0" xr:uid="{D958DC08-37B4-442D-B77D-B8975662E8C2}">
      <text>
        <t>[Threaded comment]
Your version of Excel allows you to read this threaded comment; however, any edits to it will get removed if the file is opened in a newer version of Excel. Learn more: https://go.microsoft.com/fwlink/?linkid=870924
Comment:
    Chadwicks and TJ Omahony due</t>
      </text>
    </comment>
    <comment ref="C20" authorId="6" shapeId="0" xr:uid="{690464C7-6112-40CA-90C7-10258FB015C1}">
      <text>
        <t>[Threaded comment]
Your version of Excel allows you to read this threaded comment; however, any edits to it will get removed if the file is opened in a newer version of Excel. Learn more: https://go.microsoft.com/fwlink/?linkid=870924
Comment:
    Order 1500 week 2</t>
      </text>
    </comment>
    <comment ref="D20" authorId="7" shapeId="0" xr:uid="{D6F9386D-A40D-43FF-99A1-4743B45D8384}">
      <text>
        <t>[Threaded comment]
Your version of Excel allows you to read this threaded comment; however, any edits to it will get removed if the file is opened in a newer version of Excel. Learn more: https://go.microsoft.com/fwlink/?linkid=870924
Comment:
    Order 2000 week 3</t>
      </text>
    </comment>
    <comment ref="G22" authorId="8" shapeId="0" xr:uid="{361025B9-F806-4215-9921-8A46F89B1D79}">
      <text>
        <t xml:space="preserve">[Threaded comment]
Your version of Excel allows you to read this threaded comment; however, any edits to it will get removed if the file is opened in a newer version of Excel. Learn more: https://go.microsoft.com/fwlink/?linkid=870924
Comment:
    Order 2000 week 6
</t>
      </text>
    </comment>
    <comment ref="G23" authorId="9" shapeId="0" xr:uid="{9594577A-FE76-4677-A6D7-4EAADCA9B797}">
      <text>
        <t xml:space="preserve">[Threaded comment]
Your version of Excel allows you to read this threaded comment; however, any edits to it will get removed if the file is opened in a newer version of Excel. Learn more: https://go.microsoft.com/fwlink/?linkid=870924
Comment:
    Last order for ceilings
</t>
      </text>
    </comment>
    <comment ref="C93" authorId="10" shapeId="0" xr:uid="{80BC752A-D320-4B4E-9135-C6A4001A4DE4}">
      <text>
        <t>[Threaded comment]
Your version of Excel allows you to read this threaded comment; however, any edits to it will get removed if the file is opened in a newer version of Excel. Learn more: https://go.microsoft.com/fwlink/?linkid=870924
Comment:
    20 men at 22 weeks</t>
      </text>
    </comment>
    <comment ref="E105" authorId="11" shapeId="0" xr:uid="{258EFE35-670F-470D-BF5B-FD629E1E034F}">
      <text>
        <t>[Threaded comment]
Your version of Excel allows you to read this threaded comment; however, any edits to it will get removed if the file is opened in a newer version of Excel. Learn more: https://go.microsoft.com/fwlink/?linkid=870924
Comment:
    This materials figure is based on 33% of the project value minus after 20% margin taken out.</t>
      </text>
    </comment>
    <comment ref="B106" authorId="12" shapeId="0" xr:uid="{FE07DED6-0333-4E75-9A45-A295BE7DA390}">
      <text>
        <t>[Threaded comment]
Your version of Excel allows you to read this threaded comment; however, any edits to it will get removed if the file is opened in a newer version of Excel. Learn more: https://go.microsoft.com/fwlink/?linkid=870924
Comment:
    Dave's estimate based on budgeted hours for Emanuel to work off.</t>
      </text>
    </comment>
    <comment ref="C115" authorId="13" shapeId="0" xr:uid="{023F4258-D2A9-425D-A9A9-23B4EB2DEBEC}">
      <text>
        <t xml:space="preserve">[Threaded comment]
Your version of Excel allows you to read this threaded comment; however, any edits to it will get removed if the file is opened in a newer version of Excel. Learn more: https://go.microsoft.com/fwlink/?linkid=870924
Comment:
    Labour in existing team
</t>
      </text>
    </comment>
    <comment ref="C121" authorId="14" shapeId="0" xr:uid="{413B7E27-44E7-40AB-9BE9-5DEEA5C64BC2}">
      <text>
        <t xml:space="preserve">[Threaded comment]
Your version of Excel allows you to read this threaded comment; however, any edits to it will get removed if the file is opened in a newer version of Excel. Learn more: https://go.microsoft.com/fwlink/?linkid=870924
Comment:
    Fixed cost to us from Demitriu </t>
      </text>
    </comment>
    <comment ref="C126" authorId="15" shapeId="0" xr:uid="{5E76BA1B-27CA-4D2D-B21D-FB798DF4122E}">
      <text>
        <t>[Threaded comment]
Your version of Excel allows you to read this threaded comment; however, any edits to it will get removed if the file is opened in a newer version of Excel. Learn more: https://go.microsoft.com/fwlink/?linkid=870924
Comment:
    20 men at 22 weeks</t>
      </text>
    </comment>
    <comment ref="B133" authorId="16" shapeId="0" xr:uid="{9BFFE414-19EC-4AB3-9A0D-4F4457DF7ED8}">
      <text>
        <t>[Threaded comment]
Your version of Excel allows you to read this threaded comment; however, any edits to it will get removed if the file is opened in a newer version of Excel. Learn more: https://go.microsoft.com/fwlink/?linkid=870924
Comment:
    Budget estimate( 4 fixers 8 weeks) Skim to be done on a price. ( measure required here.)</t>
      </text>
    </comment>
    <comment ref="C141" authorId="17" shapeId="0" xr:uid="{F7769F0F-82BE-4C86-90B6-9D33D72557A2}">
      <text>
        <t>[Threaded comment]
Your version of Excel allows you to read this threaded comment; however, any edits to it will get removed if the file is opened in a newer version of Excel. Learn more: https://go.microsoft.com/fwlink/?linkid=870924
Comment:
    Ronan estimate based on actual costs and amounts.
Standard costs, we need to agree better costs from suppliers.</t>
      </text>
    </comment>
    <comment ref="C142" authorId="18" shapeId="0" xr:uid="{842E3A61-0156-4660-A107-D73923F52F51}">
      <text>
        <t>[Threaded comment]
Your version of Excel allows you to read this threaded comment; however, any edits to it will get removed if the file is opened in a newer version of Excel. Learn more: https://go.microsoft.com/fwlink/?linkid=870924
Comment:
    This is a more exact figure based on labour rates from template</t>
      </text>
    </comment>
    <comment ref="B159" authorId="19" shapeId="0" xr:uid="{26C6B432-A20F-4032-A1F8-0714CE64F997}">
      <text>
        <t xml:space="preserve">[Threaded comment]
Your version of Excel allows you to read this threaded comment; however, any edits to it will get removed if the file is opened in a newer version of Excel. Learn more: https://go.microsoft.com/fwlink/?linkid=870924
Comment:
    This is performed by existing Subcontractors on PAYE
</t>
      </text>
    </comment>
    <comment ref="B161" authorId="20" shapeId="0" xr:uid="{0707952F-1EC3-4D3D-8E3E-4D14968601D0}">
      <text>
        <t>[Threaded comment]
Your version of Excel allows you to read this threaded comment; however, any edits to it will get removed if the file is opened in a newer version of Excel. Learn more: https://go.microsoft.com/fwlink/?linkid=870924
Comment:
    Floors only = 12 weeks x 6 men = 72 weeks.
Flat week at 42.5 hours @ €42.50 ph 
This assumes all new labour, however we may utilise some of the existing workforce in which case margin improves and costs will reduce.</t>
      </text>
    </comment>
    <comment ref="B162" authorId="21" shapeId="0" xr:uid="{A7025D1D-CC1B-49B1-B918-1E375B2C678D}">
      <text>
        <t>[Threaded comment]
Your version of Excel allows you to read this threaded comment; however, any edits to it will get removed if the file is opened in a newer version of Excel. Learn more: https://go.microsoft.com/fwlink/?linkid=870924
Comment:
    15 men for 8 weeks, 58 hours per man per week @26 per hour. = 1508 per week by 15 men = 22,620 per week gross.
12 weeks = 271k</t>
      </text>
    </comment>
    <comment ref="B163" authorId="22" shapeId="0" xr:uid="{2A847AF7-6358-4014-A8FC-51A105C645E6}">
      <text>
        <t>[Threaded comment]
Your version of Excel allows you to read this threaded comment; however, any edits to it will get removed if the file is opened in a newer version of Excel. Learn more: https://go.microsoft.com/fwlink/?linkid=870924
Comment:
    Revised labour figure to cater fur us using some of the existing labour.</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tc={275E61E3-C3CF-4CF6-A5FC-B9C6DAFFEA0B}</author>
    <author>tc={249725FE-9BC6-4066-B746-94F85F527AE8}</author>
    <author>tc={4CC652D7-C123-4A85-85A1-140E67E6B87C}</author>
    <author>tc={843BE503-5000-4914-ABF3-B1B20AA1BED3}</author>
    <author>tc={225E64AE-EF9B-4878-9CCA-39FF37C90149}</author>
    <author>tc={41B92C68-E697-47D0-B129-7596B1E9F8E8}</author>
    <author>tc={23309612-8551-42E8-9CBC-E5766C30143F}</author>
    <author>tc={FF257AED-BCAF-4D79-B844-6C96082F96D0}</author>
    <author>tc={3511F940-B083-4E77-B9DC-A9C5848492EA}</author>
    <author>tc={8955CB21-9574-4757-964F-2310443C1965}</author>
    <author>tc={EFF5FB42-1435-4DBB-B069-2BB80C6682BB}</author>
    <author>tc={E8F43211-F875-4749-849D-4CED6C4A122D}</author>
    <author>tc={A529B44C-0C8F-4BAC-A1C5-A08CE4C1ACC7}</author>
    <author>tc={A101A95F-79A3-4C1F-89EC-0B3C937A2321}</author>
    <author>tc={AFA1CAA3-1BA4-49BC-83FA-C87E27B619B9}</author>
    <author>tc={8484754F-8DD1-48E2-AEBB-DACC320DAB8E}</author>
    <author>tc={BD15D9CA-166B-4916-89F0-284BFB51C51D}</author>
    <author>tc={316D37CF-40C3-47F9-983C-CA7AF673489E}</author>
    <author>tc={7B932A38-BF79-42A6-B3A8-D4025F71DA42}</author>
    <author>tc={83712256-EEFC-4A0B-92DF-297F6EF8B87E}</author>
    <author>tc={17809D4E-CB99-4FE0-994C-5A6128582E1D}</author>
    <author>tc={1856638A-70B9-41D9-B408-5DFCBEC8A15B}</author>
    <author>tc={8CA8A783-EB52-4C49-A226-E675D0781E94}</author>
    <author>tc={58C09DFA-282E-4907-B138-0D02B15223AB}</author>
    <author>tc={FA07398F-1164-4743-8057-7B36CEBE1FCE}</author>
    <author>tc={7BC75AA3-38B4-4108-9FE1-0D98394B8833}</author>
    <author>tc={0054062B-E339-403C-8624-13538AF17482}</author>
    <author>tc={6BC56A4C-CEE9-4B69-AB0F-ECDCC0084B90}</author>
    <author>tc={6787B60E-FB3E-4114-8E07-ABFED72C5B09}</author>
    <author>tc={6A0AF492-EE13-4BB6-A272-1F62C962A4DC}</author>
    <author>tc={71EE0878-4DB6-4E29-A706-9B27F73C67FF}</author>
    <author>tc={3CCEEDD8-8A26-47CF-931A-D941AA8AC73E}</author>
    <author>tc={5003CBD5-3F39-431E-91AA-FD6E9438739E}</author>
    <author>tc={BC1DEA83-978B-4988-9BCA-25E1B4DECA8D}</author>
    <author>tc={1B25557B-FB6B-4642-B6AD-53B9DA0FA66C}</author>
    <author>tc={600D5BE4-DACB-4269-9A93-C913F7C0148A}</author>
    <author>tc={5AB8C2C7-A301-45CB-8ED8-DBA7F855AD36}</author>
    <author>tc={7FDA3F37-8FF6-497E-9C87-44F23E5FA5CF}</author>
    <author>tc={94B04329-067E-41B4-91E6-FD11D833A483}</author>
    <author>tc={71D0A4CA-B03B-407A-91DD-9643894862CA}</author>
    <author>tc={325AE060-E7F8-4B10-86FA-786E9FE2592E}</author>
    <author>tc={52510BEC-C313-45DD-A98E-A156B69F042E}</author>
    <author>tc={1F220AD6-A178-41AD-8354-F9C5FBCEC5B7}</author>
    <author>tc={5A5F702F-7443-4BF3-A4D4-A373F940C3B4}</author>
    <author>tc={20528B29-59E4-4A63-BF06-00D209B8DC05}</author>
    <author>tc={88E60B2A-BEB2-4020-A62B-16036055C60A}</author>
    <author>tc={EB0C8F25-B15C-42C7-A68D-E268237CE0F9}</author>
    <author>tc={27269064-D929-4889-9377-AAC78CE57321}</author>
    <author>tc={C4A870E9-14F7-4621-8A03-00064B338C89}</author>
    <author>tc={AC246577-55A0-47CB-85E9-16CC0720E2C8}</author>
    <author>tc={371A2CF1-E6DC-430E-801C-6CD83916B739}</author>
    <author>tc={3B775A56-68CE-4AB0-ABB6-92BB553463F3}</author>
    <author>tc={E5C2CF2B-8218-4543-94AD-FFC63FB4CADF}</author>
    <author>tc={1D087D75-51A5-445A-AA4F-2389DB07F706}</author>
    <author>tc={598CA79F-3EB2-4397-B5B0-B26A750E5C47}</author>
    <author>tc={20D31B96-B659-4EEC-AC4B-CD627EB020FB}</author>
    <author>tc={418CDB96-4087-4AA7-BD08-C29E78C9CBD6}</author>
    <author>tc={915C0624-D55F-4578-AF61-F51DC059FFD1}</author>
    <author>tc={05BD4507-C19B-4F17-936E-EE4DDDF2937C}</author>
    <author>tc={3865B009-1D5F-4D4B-A910-13F71B2319CB}</author>
    <author>tc={6609C5F3-30F5-4424-A449-7D8DCECEDC2C}</author>
    <author>tc={30B8FD3D-3207-4545-923F-7D27CEE73506}</author>
    <author>tc={354DBF65-B254-40BB-9EB1-7373D3F76627}</author>
    <author>tc={37585B92-F09C-4C69-ABB4-682E573155F2}</author>
    <author>tc={08AED18D-9E78-4789-81E9-B3D605771060}</author>
    <author>tc={8E2BFC21-CAD4-4803-BE3F-906D89DC9915}</author>
    <author>tc={E73573F2-ADC2-41D5-ACEF-C474C66711D5}</author>
    <author>tc={DB1F66F8-EB5A-4D6D-B1B8-59C4F19710F3}</author>
    <author>tc={2ADE7238-65E7-4244-B3F1-C129DF190BE5}</author>
    <author>tc={D775B6BC-93D1-4887-8BF0-C136868A85AD}</author>
    <author>tc={C3AD5BAD-6B25-4CD9-9A07-B664C6395D87}</author>
    <author>tc={152C6635-88F6-4717-9D93-5B52A22EACA1}</author>
    <author>tc={3B9BEF69-6F1F-4C95-9898-A6C9D0E8A98F}</author>
    <author>tc={0DAA8FA3-3789-41F5-BC5D-0B4A49E53F8C}</author>
    <author>tc={DCBB78F9-D7BA-47C7-87B0-B646ADA0E45D}</author>
    <author>tc={6993816F-B7DB-40B3-9910-AD69BA6819D4}</author>
    <author>tc={7D86AAF2-8A39-4653-B495-B57D36B7CD03}</author>
    <author>tc={12293C4D-F078-4929-88AC-C1C06C424D6B}</author>
    <author>tc={B8F3354E-0539-4AE0-89C0-B5295CB904ED}</author>
    <author>tc={E374879C-B05C-4636-82E2-3FDBD14A0B49}</author>
    <author>tc={786AFBFD-BB9A-4029-84D7-8AB6E74FA253}</author>
    <author>tc={AE6BDF79-7848-476C-B6FA-D692E08AA683}</author>
    <author>tc={36AE73C1-7BF1-4AF5-B435-AC3E1C5A324B}</author>
    <author>tc={543CD8A6-22BA-4FC8-B48D-AAE1A1A6A1AC}</author>
    <author>tc={221C00B3-1D3D-4C42-9340-9F6D007C798D}</author>
    <author>tc={85F1F93C-C0A6-4320-86B0-52F753E6CEF6}</author>
    <author>tc={8853D74E-24E4-4CC1-BA30-E91ABC64CDE8}</author>
    <author>tc={3F4CA93D-D6B8-42D6-BEFD-B1B721548B0C}</author>
    <author>tc={2D297F10-648C-4C87-97D4-ACD631A15349}</author>
    <author>tc={76BBEAD1-2227-4680-99FD-4FBB639BE80E}</author>
    <author>tc={714FA23E-DCDE-41BE-A4FD-CBF682EB79A9}</author>
    <author>tc={8E4EA42A-8FC2-4598-ABF8-7044D942F423}</author>
    <author>tc={27655D43-B0EF-4517-9765-013AC621CDA2}</author>
    <author>tc={AFE5B89C-2B21-4F6A-BC91-363322B2BBA9}</author>
    <author>tc={40489EA7-6D89-4ECC-8A8B-218989C6DB85}</author>
    <author>tc={7CE962A4-B37F-4279-A528-A3482A7EC790}</author>
    <author>tc={AB59A040-03AD-496D-9841-7B2F57080607}</author>
    <author>tc={BA28AF3C-1C33-425E-8EAF-51C905EA580C}</author>
    <author>tc={AC7DB4F4-83FC-4C16-A9D5-296075B1FC73}</author>
    <author>tc={65382E5B-0DB1-4D48-AEB2-B1B847C19A5A}</author>
    <author>tc={D7724E4E-A0DE-4816-B747-BCCE0AAE5B1A}</author>
    <author>tc={8AD8B020-41A5-4D4F-9C3D-C7AA62E15AED}</author>
    <author>tc={65905048-8C89-4999-B295-0EE8BE54D034}</author>
    <author>tc={D4DB8655-A32C-4E9E-B326-CBCF36088665}</author>
    <author>tc={D29FD4F1-3C7A-4088-A6A2-E1BE1D473FB8}</author>
    <author>tc={6685BF39-E466-4ABD-ACF4-08CD0DCC8690}</author>
    <author>tc={65188B15-C3A7-440A-B7F5-5A42840E6434}</author>
    <author>tc={A3074D89-5202-44AC-8BBB-8EBFE49A80E3}</author>
    <author>tc={CD005F8C-48B6-4ED0-98E2-E423377BF274}</author>
    <author>tc={3CA5C15B-22F5-4CA3-A771-392D99C972CA}</author>
    <author>tc={C11EFA76-7194-4508-B04E-FC6AFCAE38D9}</author>
    <author>tc={865CD737-A21E-4B5F-86D4-F1F491AC7E5B}</author>
    <author>tc={845C518E-F142-4213-A101-B5B855673808}</author>
    <author>tc={D1DA0976-13FD-42EB-AF0A-6B2BC93B7E42}</author>
    <author>tc={46BB93E6-7D54-43A4-B77A-A27AB6A4618A}</author>
    <author>tc={8E2F3356-2BE7-4CCC-9DC3-83C7218A251D}</author>
    <author>tc={C9B1336B-1C64-46AB-A36E-284B8CFC0B20}</author>
    <author>tc={8768FDA9-DEA1-43EC-A6C1-27D9768B59C7}</author>
    <author>tc={627DDB87-B339-405B-8A51-C1AB20D8A8E9}</author>
    <author>tc={8A353DA9-48E9-43E5-86CB-BB5768B577A1}</author>
    <author>tc={D0A0660D-0E9F-47B4-9371-C117449609A8}</author>
    <author>tc={05F61C0D-EF7B-4BB1-AF02-B3E86DCEFF23}</author>
    <author>tc={191FFEEA-4911-4932-A762-033D96019C96}</author>
    <author>tc={689C6CEF-FB6F-40F0-87BB-96B2320D9DB2}</author>
    <author>tc={0BC58C19-9997-46E0-BF53-A2073FFA846C}</author>
    <author>tc={2513801A-BD67-45BD-938B-E4270F0D35A7}</author>
    <author>tc={2A6079B5-2353-4D60-B338-EC56004310FB}</author>
    <author>tc={8334FC1B-21B1-4B28-814C-48EF5DA32B12}</author>
    <author>tc={AB631083-4B3D-41D7-AF38-29B37E20E180}</author>
    <author>tc={26A0254B-8C3F-4C03-AE12-0628C265D4E4}</author>
    <author>tc={58D98032-5166-43AF-835C-DE865E0DAD97}</author>
    <author>tc={FD2BC2E4-DFB7-4A42-840F-2B69065334FD}</author>
    <author>tc={68572440-CDE8-4340-93BC-34FEE9D88124}</author>
    <author>tc={1A117732-13A5-455F-AAB5-94088F1C5AB3}</author>
    <author>tc={E2F9D062-4B26-4374-B1B7-742DAE1491D1}</author>
    <author>tc={A463F9E5-095E-414E-BE25-FA182EC9EE82}</author>
    <author>tc={96FAF2CB-F0DB-4F77-80C7-0AE21FD2A9F8}</author>
    <author>tc={D0CC56DC-F4A3-48EE-BD90-9B6AC27E0479}</author>
    <author>tc={67DC8D49-525C-445E-9170-7ADEA45B5D30}</author>
    <author>tc={EC91E6A9-021A-4D52-8F43-90213FDE049C}</author>
    <author>tc={7A28E15C-7811-4B81-AF41-A6FC42227344}</author>
    <author>tc={8D7B25F2-716F-4DA1-83EF-D8E2E4422328}</author>
    <author>tc={6EA3A42C-1820-4CDD-B6DE-C2D101D5CE9D}</author>
    <author>tc={7D4CD877-897A-4845-A21D-691179E2B789}</author>
    <author>tc={4EC312A4-55C0-4676-93B9-B6653B9A460F}</author>
    <author>tc={AFDC189F-072B-402A-9A95-93F476AD53E2}</author>
    <author>tc={8286BBEA-1AD4-43B6-A5A2-34DA9714A51A}</author>
    <author>tc={E1027F7B-89B7-4837-BF54-E4D6CA763984}</author>
    <author>tc={1EFD9D0B-4BB4-46C9-9761-52AB60D9EA2E}</author>
    <author>tc={A98B79B6-F348-4E70-9DB9-5CDDCC9AE3C5}</author>
    <author>tc={1C7BD21C-877F-4071-A7AB-94D19D6AF50F}</author>
    <author>tc={33B32267-5BDF-4C4E-BB74-9C6834B51E34}</author>
    <author>tc={70706380-2B56-471D-A31E-E8BC1A89E9FA}</author>
    <author>tc={C2DA4EB9-519A-42DA-9EBC-C5DCACB76A4C}</author>
    <author>tc={4EF947C5-8E0B-4F6A-A351-104DA699A29F}</author>
    <author>tc={4F4A1F42-97D6-42AD-B7B7-073CEE043BBB}</author>
    <author>tc={B96EB76C-09CD-454C-A69E-46454B7BFA67}</author>
    <author>tc={A326A2A1-C6DB-4230-BF90-1DE88BC677CF}</author>
    <author>tc={400FB500-8F31-40A4-B877-91EF1CDB8AD7}</author>
    <author>tc={E1105D3E-003A-45BA-855A-A74481CBAA5B}</author>
    <author>tc={988686B9-8475-44A9-8247-B500A17D0BD3}</author>
    <author>tc={51350B0D-B130-486F-8687-1D0DE458F867}</author>
    <author>tc={1F22B76C-8091-49EF-ADF8-BFCC22E56FFF}</author>
    <author>tc={3EB7B189-0048-4BC9-BCA7-C1B8F845DF72}</author>
    <author>tc={D1E0FB6D-E0BC-4B48-84B8-3A7AE2CC95A0}</author>
    <author>tc={4E69939D-D470-4C4D-91DB-BE4E57684AB8}</author>
    <author>tc={82294C2D-3324-4194-AB63-8B1085272399}</author>
    <author>tc={24457720-FDED-40BC-A97D-D5CAD8E3BF44}</author>
    <author>tc={38FEDF01-08FC-4946-981C-B59637049FDF}</author>
    <author>tc={461FF06E-2121-4F1F-BAEF-643F1E05D054}</author>
    <author>tc={FFAE81C2-F2BC-4F27-BB46-65C5669077B6}</author>
    <author>tc={177FB2F5-9FB9-4A8D-A746-3A91ADD14CA9}</author>
    <author>tc={BDB88A77-78C4-4880-94C1-BCEF76B5E24B}</author>
    <author>tc={7E60F655-F28F-498C-9B42-524E00A2BBFB}</author>
    <author>tc={3381229C-02D1-4E92-9539-38FC1ED62953}</author>
    <author>tc={7598FE95-47AA-4C6A-8695-74704A79E65D}</author>
    <author>tc={B7FD4887-90ED-42CA-8554-9C15884DDFFF}</author>
    <author>tc={F1750365-9FE0-4F14-911D-6B32C51E04AF}</author>
    <author>tc={9B857B88-75BF-4AE4-A1D6-EAAA03E9182D}</author>
    <author>tc={2E32C8B0-2E86-47BB-9328-B3931E6FD296}</author>
    <author>tc={72067B71-49BC-4028-A5B6-C7C8F6123B4A}</author>
    <author>tc={FEAE08F2-4289-49EB-917E-88C2227C21AB}</author>
    <author>tc={E07AFEF5-9A98-49B7-80EB-36A8FC42A134}</author>
    <author>tc={1BE5952A-2F53-41C3-B178-26E43D57D1E6}</author>
    <author>tc={FF823E79-0BC5-4AAF-838B-2C490E429B35}</author>
    <author>tc={BE7E5199-B7BC-4187-B457-ECF14BCC7B5C}</author>
    <author>tc={47E97047-C953-40DD-8434-85896F0039AF}</author>
    <author>tc={9B7E8F75-A4F2-41F1-BAA0-B88731A5A1E7}</author>
    <author>tc={24BEE62C-DA7E-43D1-BFF7-210D04686A8C}</author>
    <author>tc={7642F35D-186E-4E02-BA79-E95A97C6677C}</author>
    <author>tc={0ACD79C5-741D-430B-BC02-A162540E48B6}</author>
    <author>tc={F4531B25-E7A4-4A09-A35A-ED14C127CB3F}</author>
    <author>tc={B3F11552-D680-4DE3-A32A-86D7DBB2ABFA}</author>
    <author>tc={7F39BCC3-8198-4D21-879A-85719CD868C5}</author>
    <author>tc={0FA8EB69-AF5B-4211-A3B0-464B548BBA82}</author>
    <author>tc={E28F3498-EEC5-4BD8-9C19-EB290EA62192}</author>
    <author>tc={12A8B8A8-DA4E-4394-9864-1547E1E0C382}</author>
    <author>tc={FDBFF0A2-E6AA-4216-AAC1-EE632444F2F3}</author>
    <author>tc={04D3A465-B31C-41F5-B5D1-C86327DB4628}</author>
    <author>tc={4215E7F0-2876-428E-9435-4B8CF7602E36}</author>
    <author>tc={92DDC508-5631-4F6D-B591-523616723AB6}</author>
    <author>tc={F0DE6AD8-26CE-49D3-AA1E-7D0548D5246F}</author>
    <author>tc={A96F5320-F40A-49AF-9A88-38284D0556E8}</author>
    <author>tc={323F884A-66F5-4F65-9CE1-FBA563B75E4D}</author>
    <author>tc={193A28CC-C022-4CEF-92B4-253C8B153D48}</author>
    <author>tc={69EE2492-4147-4FFD-9FB1-DE1B87A43305}</author>
    <author>tc={3CECA425-51AC-4773-8EBB-E27E0043A8AF}</author>
    <author>tc={DC0DB3A0-23FD-475E-AC07-08BE3ED3AE53}</author>
    <author>tc={640ADE95-5CDE-4E9C-A972-C0D1A97A582C}</author>
    <author>tc={2C2817E1-03A1-4F4F-BBBF-99B3F82BEE3F}</author>
    <author>tc={7F18E170-242E-4CA1-9D5A-2F6B6144C2D6}</author>
    <author>tc={74898A98-FBEE-4D4E-AEF5-D0C9A546A112}</author>
    <author>tc={4CFAA8FA-B94B-4802-9BF2-B86507842283}</author>
    <author>tc={BEDCFC34-B098-46C8-9B38-EAC2793187B1}</author>
    <author>tc={6C2ACD81-A196-4ADC-886B-5FCA04FE90A7}</author>
    <author>tc={6A50B4D4-3343-4DBA-9DFD-18B5D23A50F4}</author>
    <author>tc={ACDC9541-7DA7-4AB0-BF24-7B875D6696BA}</author>
    <author>tc={6FA86A87-A6DA-46FD-B33C-C07099551375}</author>
    <author>tc={50204DB5-4E58-46F3-8DC1-7F1BB332D8AF}</author>
    <author>tc={214CBCC8-0A40-428C-848E-B49A28DF41FD}</author>
    <author>tc={FB240670-80FD-48A1-A70E-745CE3793850}</author>
    <author>tc={62C16E6E-7891-4DD6-8DBC-B393BD15B8AA}</author>
    <author>tc={50931BEB-58E6-416D-9CC1-8457C3D0F8E2}</author>
    <author>tc={A4581195-6660-4F32-979D-69B579F2E0BF}</author>
    <author>tc={337DF17B-8A22-4051-AA57-882D8290D0AE}</author>
    <author>tc={6E45F2A6-6D9F-4836-A101-978C413B8CDC}</author>
    <author>tc={D50FBBA6-AE7D-4737-83B8-A008985D9EA3}</author>
    <author>tc={E693C33D-A3EE-4CBE-972E-345B77C864EF}</author>
    <author>tc={6BA59DAF-4FB9-455F-BE9F-EA3C2E2F7A5B}</author>
    <author>tc={2D5292D9-91E8-41A2-BDD8-B1378B371426}</author>
    <author>tc={32D830D8-1984-4341-9600-BE87382376BE}</author>
    <author>tc={1CE759E3-0DF1-4879-9F7C-3C3D67A6576B}</author>
    <author>tc={1E692C19-44FD-4EBA-BB73-BB1CAF4FF195}</author>
    <author>tc={E3825CF5-9ABA-4BED-BC23-547E1476961A}</author>
    <author>tc={C6267EEB-FFFE-4A8C-851B-75095225DE98}</author>
    <author>tc={567D54C9-7409-4D3F-A81F-2A0CBFAA78C1}</author>
    <author>tc={5E61E2DB-E54B-489B-BB4E-6821863C4EF4}</author>
    <author>tc={839E282C-F07F-4990-A856-435FACBCB304}</author>
    <author>tc={062AEB1F-4A43-45AB-8D7F-A9585B972476}</author>
    <author>tc={EA7D0B83-7127-4E42-98B1-10A93E73C993}</author>
    <author>tc={1383809D-9333-47E1-B380-873EDD8D8AF2}</author>
    <author>tc={8A9359BC-746F-4449-92F9-74A31A4696F3}</author>
    <author>tc={AF38CFE2-41DD-4490-8731-21E19FEFE303}</author>
    <author>tc={86209F64-B448-4EA3-B3D9-9CABE65BAC33}</author>
    <author>tc={7662ADB1-440D-4838-B537-4183E00349A3}</author>
    <author>tc={9532E5EE-B6B2-43B5-A6C9-1E39F160CB38}</author>
    <author>tc={B60161BD-88B6-42EE-81F1-18D5DEDC8412}</author>
    <author>tc={7730E7DB-BD70-42A3-BD56-0A8ADD1017C2}</author>
    <author>tc={B9F0DDF8-3C7F-4AAE-B757-CF95ABB02EB5}</author>
    <author>tc={2CC88045-8D3D-4CAC-A145-1E7E8457CF8E}</author>
    <author>tc={D51EEF3A-BD3A-4FF3-9BB7-314930D79C2B}</author>
    <author>tc={2A2B7523-9521-4A64-BD40-F897C1410D5B}</author>
    <author>tc={AB200056-CD54-41E3-8D92-7CD7D7E2D188}</author>
    <author>tc={5E3F6DFB-50EF-4D85-BDBB-6CC13C8B6E5D}</author>
    <author>tc={5E87842D-AA3F-45B0-B594-C2AEFA7C0353}</author>
    <author>tc={098676DB-B9BA-4567-A90B-FE078A830954}</author>
    <author>tc={CF11D410-42F6-493A-8DDB-6D8584401F67}</author>
    <author>tc={A9640BED-1283-4BC7-9A25-FA43A29880F8}</author>
    <author>tc={BE7C4092-9836-446E-B39E-2BDF13873878}</author>
    <author>tc={FB2E309A-0C6B-4308-A40E-66AD788E8638}</author>
    <author>tc={D954E12D-A837-4B77-AEC2-22324A32F815}</author>
    <author>tc={86F499E2-4883-4EB3-A337-2AA64EA08B68}</author>
    <author>tc={7CB301CA-EE9A-4166-8C3E-807101131940}</author>
    <author>tc={837CEAB6-D4ED-4540-83ED-7662BD0F4DC5}</author>
    <author>tc={EEF92991-3751-41EB-A250-8BF74D55F310}</author>
    <author>tc={A80D8D80-E8DA-47AA-934D-F40F9BA21D24}</author>
    <author>tc={A66FE8E8-0BE3-401A-8563-0EAC3E31A171}</author>
    <author>tc={AB7ACA91-765A-493A-A233-B24834DD9819}</author>
    <author>tc={AEA9C60B-F84C-453D-B102-7A4F0E1DCD62}</author>
    <author>tc={C93D085C-E942-42AB-9E9C-087B56F38DD5}</author>
    <author>tc={3F5342F0-B153-4ADC-B69E-91B96F10847A}</author>
    <author>tc={051C6FCF-CB63-48C1-BF50-AD0964A696CF}</author>
    <author>tc={ECC707BE-9091-4A9C-913D-6E9EB9E2DF4E}</author>
    <author>tc={E8AFE6B3-9BE9-42D1-B45F-23AA6FC2A01E}</author>
    <author>tc={7B9D6040-E40D-458B-9CD9-8FBA5680D526}</author>
    <author>tc={676EB513-8466-44FC-87F5-9EDD635649F5}</author>
    <author>tc={7A1F1013-E2D4-4DE6-8CF2-B1CC6D0FA83F}</author>
    <author>tc={00EF07E6-2171-4CD0-AE67-DE978E3E4257}</author>
    <author>tc={ADDB0D92-C4AB-43F0-A345-2C25B43A8086}</author>
    <author>tc={6067150F-B41C-40DD-B1D7-AF48E826B746}</author>
    <author>tc={1DAAEB54-A9D4-4A2D-8193-330CA42032A3}</author>
    <author>tc={F8E0F2CC-3EB0-47E4-A569-4DECF4043283}</author>
    <author>tc={0C968412-BD23-46FA-9F2C-6177E6B82901}</author>
    <author>tc={381E92AE-7F64-469E-A6BC-4271E588AC4E}</author>
    <author>tc={B9BA40EC-EFD8-4AB3-82F1-3DCF72828073}</author>
    <author>tc={78FFFAC1-3EDD-4395-88B6-500F7320B308}</author>
    <author>tc={D1BBB29F-7DE8-401D-86EB-4873C689B445}</author>
    <author>tc={A5436BBF-E938-4BF8-9455-116F2E158009}</author>
    <author>tc={038562E8-5A49-4316-9522-2556D8BD8281}</author>
    <author>tc={B2F228C0-9CA1-41F4-B448-2F73AFDE6B43}</author>
    <author>tc={7B4C75A5-0B22-445A-8B97-18362FB55D37}</author>
    <author>tc={D2C7916A-BAD2-4DFA-AF2B-3A87FB77BEC5}</author>
    <author>tc={25AE599C-CCFD-4D86-BC64-DC4BE0685E56}</author>
    <author>tc={CC63004E-152C-4096-A3CC-44499F83F84E}</author>
    <author>tc={90E3F5F4-3AC1-4EA9-90BA-671137D1AC61}</author>
    <author>tc={E23B8EED-46DB-4DD3-8F56-A0100C297AEC}</author>
    <author>tc={3E6EE54A-9565-47D5-B3EE-B66B03679AF5}</author>
    <author>tc={C5B2BFBD-7478-4FB1-A665-243A806DD0FB}</author>
    <author>tc={7C8E9F80-F939-4719-9EBE-2F4F31D39D90}</author>
    <author>tc={2E333DE9-D6C4-48FA-AA8F-F7586E25EC5C}</author>
    <author>tc={94A74F4F-F0E6-48EF-B900-A2E09A4C79AA}</author>
    <author>tc={93F97827-CC54-460A-AC9C-DA7ACF0CF5D6}</author>
    <author>tc={A6A4AE70-3E24-4562-A062-637A49DC3B26}</author>
    <author>tc={CF9AA789-4EA3-40E9-AE43-E5D628E5B95A}</author>
    <author>tc={235FE089-7C5F-4B23-8D67-AC5E34B7432E}</author>
    <author>tc={3C997E8C-D6D7-41B4-B878-51F078270FE9}</author>
    <author>tc={FD344B60-E006-4779-9F71-C590235C129E}</author>
    <author>tc={BB90E385-9369-421D-BD11-630096953C4C}</author>
    <author>tc={11FF3D75-2CA8-4C52-915E-05F1FB7193F2}</author>
  </authors>
  <commentList>
    <comment ref="T14" authorId="0" shapeId="0" xr:uid="{275E61E3-C3CF-4CF6-A5FC-B9C6DAFFEA0B}">
      <text>
        <t>[Threaded comment]
Your version of Excel allows you to read this threaded comment; however, any edits to it will get removed if the file is opened in a newer version of Excel. Learn more: https://go.microsoft.com/fwlink/?linkid=870924
Comment:
    1st Nov Jason spoke to Pamela in Townlink, she said that they are on site snagging and that we should forecast to receive retention mid Dec.</t>
      </text>
    </comment>
    <comment ref="AL14" authorId="1" shapeId="0" xr:uid="{249725FE-9BC6-4066-B746-94F85F527AE8}">
      <text>
        <t>[Threaded comment]
Your version of Excel allows you to read this threaded comment; however, any edits to it will get removed if the file is opened in a newer version of Excel. Learn more: https://go.microsoft.com/fwlink/?linkid=870924
Comment:
    2 April - refer to email  from Pamela Malone
2.4 Spoke to Pamela and she said that they are getting 80% of their retention around 19th April. She is checking with the QS and will revert with what we will be getting and when. 
5..1 Jason spoke to David Caulfield at Townlink, he said that they have completed snagging and gave the report to the customer.  The design team were meant to go to site before Christmas to confirm everything is completed but that did not happen.  He thinks they will do this next week.  Therefore pushing out.
Spoke to Pamela, Snagging completed, awaiting cert to be issued, it will be mid Jan when it gets paid.</t>
      </text>
    </comment>
    <comment ref="BX14" authorId="2" shapeId="0" xr:uid="{4CC652D7-C123-4A85-85A1-140E67E6B87C}">
      <text>
        <t>[Threaded comment]
Your version of Excel allows you to read this threaded comment; however, any edits to it will get removed if the file is opened in a newer version of Excel. Learn more: https://go.microsoft.com/fwlink/?linkid=870924
Comment:
    7.8 We believe the figure received from Townlink (see St Finbars) includes this retention figure.
Refer to comments in May figure.</t>
      </text>
    </comment>
    <comment ref="BI20" authorId="3" shapeId="0" xr:uid="{843BE503-5000-4914-ABF3-B1B20AA1BED3}">
      <text>
        <t>[Threaded comment]
Your version of Excel allows you to read this threaded comment; however, any edits to it will get removed if the file is opened in a newer version of Excel. Learn more: https://go.microsoft.com/fwlink/?linkid=870924
Comment:
    Brain Farrell</t>
      </text>
    </comment>
    <comment ref="CA22" authorId="4" shapeId="0" xr:uid="{225E64AE-EF9B-4878-9CCA-39FF37C90149}">
      <text>
        <t>[Threaded comment]
Your version of Excel allows you to read this threaded comment; however, any edits to it will get removed if the file is opened in a newer version of Excel. Learn more: https://go.microsoft.com/fwlink/?linkid=870924
Comment:
     Lime St</t>
      </text>
    </comment>
    <comment ref="AJ24" authorId="5" shapeId="0" xr:uid="{41B92C68-E697-47D0-B129-7596B1E9F8E8}">
      <text>
        <t>[Threaded comment]
Your version of Excel allows you to read this threaded comment; however, any edits to it will get removed if the file is opened in a newer version of Excel. Learn more: https://go.microsoft.com/fwlink/?linkid=870924
Comment:
    This is being held as security until feet on the ground in Beach Road.</t>
      </text>
    </comment>
    <comment ref="CC30" authorId="6" shapeId="0" xr:uid="{23309612-8551-42E8-9CBC-E5766C30143F}">
      <text>
        <t>[Threaded comment]
Your version of Excel allows you to read this threaded comment; however, any edits to it will get removed if the file is opened in a newer version of Excel. Learn more: https://go.microsoft.com/fwlink/?linkid=870924
Comment:
    November load out materials</t>
      </text>
    </comment>
    <comment ref="D32" authorId="7" shapeId="0" xr:uid="{FF257AED-BCAF-4D79-B844-6C96082F96D0}">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J32" authorId="8" shapeId="0" xr:uid="{3511F940-B083-4E77-B9DC-A9C5848492EA}">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U32" authorId="9" shapeId="0" xr:uid="{8955CB21-9574-4757-964F-2310443C1965}">
      <text>
        <t xml:space="preserve">[Threaded comment]
Your version of Excel allows you to read this threaded comment; however, any edits to it will get removed if the file is opened in a newer version of Excel. Learn more: https://go.microsoft.com/fwlink/?linkid=870924
Comment:
    This represents final payment plus PC Retention of 2.5%
Reply:
    Dave to speak to Brian Farrel and agree figure due and then for Ivan to agree with Richie </t>
      </text>
    </comment>
    <comment ref="AA32" authorId="10" shapeId="0" xr:uid="{EFF5FB42-1435-4DBB-B069-2BB80C6682BB}">
      <text>
        <t>[Threaded comment]
Your version of Excel allows you to read this threaded comment; however, any edits to it will get removed if the file is opened in a newer version of Excel. Learn more: https://go.microsoft.com/fwlink/?linkid=870924
Comment:
    Final account - bal owed.
QUESTION - is this a realistic date?</t>
      </text>
    </comment>
    <comment ref="AD32" authorId="11" shapeId="0" xr:uid="{E8F43211-F875-4749-849D-4CED6C4A122D}">
      <text>
        <t xml:space="preserve">[Threaded comment]
Your version of Excel allows you to read this threaded comment; however, any edits to it will get removed if the file is opened in a newer version of Excel. Learn more: https://go.microsoft.com/fwlink/?linkid=870924
Comment:
    Invoice 799
</t>
      </text>
    </comment>
    <comment ref="AG33" authorId="12" shapeId="0" xr:uid="{A529B44C-0C8F-4BAC-A1C5-A08CE4C1ACC7}">
      <text>
        <t>[Threaded comment]
Your version of Excel allows you to read this threaded comment; however, any edits to it will get removed if the file is opened in a newer version of Excel. Learn more: https://go.microsoft.com/fwlink/?linkid=870924
Comment:
    Invoice 798</t>
      </text>
    </comment>
    <comment ref="AW33" authorId="13" shapeId="0" xr:uid="{A101A95F-79A3-4C1F-89EC-0B3C937A2321}">
      <text>
        <t>[Threaded comment]
Your version of Excel allows you to read this threaded comment; however, any edits to it will get removed if the file is opened in a newer version of Excel. Learn more: https://go.microsoft.com/fwlink/?linkid=870924
Comment:
    Val going in Monday 27th May, fig will be confirmed then.</t>
      </text>
    </comment>
    <comment ref="BX33" authorId="14" shapeId="0" xr:uid="{AFA1CAA3-1BA4-49BC-83FA-C87E27B619B9}">
      <text>
        <t xml:space="preserve">[Threaded comment]
Your version of Excel allows you to read this threaded comment; however, any edits to it will get removed if the file is opened in a newer version of Excel. Learn more: https://go.microsoft.com/fwlink/?linkid=870924
Comment:
    Residual bal plus small retention </t>
      </text>
    </comment>
    <comment ref="R35" authorId="15" shapeId="0" xr:uid="{8484754F-8DD1-48E2-AEBB-DACC320DAB8E}">
      <text>
        <t>[Threaded comment]
Your version of Excel allows you to read this threaded comment; however, any edits to it will get removed if the file is opened in a newer version of Excel. Learn more: https://go.microsoft.com/fwlink/?linkid=870924
Comment:
    Invoice sent</t>
      </text>
    </comment>
    <comment ref="AB35" authorId="16" shapeId="0" xr:uid="{BD15D9CA-166B-4916-89F0-284BFB51C51D}">
      <text>
        <t xml:space="preserve">[Threaded comment]
Your version of Excel allows you to read this threaded comment; however, any edits to it will get removed if the file is opened in a newer version of Excel. Learn more: https://go.microsoft.com/fwlink/?linkid=870924
Comment:
    Originally forecast before christmas but didn’t come in.
</t>
      </text>
    </comment>
    <comment ref="L36" authorId="17" shapeId="0" xr:uid="{316D37CF-40C3-47F9-983C-CA7AF673489E}">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37" authorId="18" shapeId="0" xr:uid="{7B932A38-BF79-42A6-B3A8-D4025F71DA42}">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
Reply:
    12.6 Project value rose to this new number incl acoustic panels etc.</t>
      </text>
    </comment>
    <comment ref="M37" authorId="19" shapeId="0" xr:uid="{83712256-EEFC-4A0B-92DF-297F6EF8B87E}">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N37" authorId="20" shapeId="0" xr:uid="{17809D4E-CB99-4FE0-994C-5A6128582E1D}">
      <text>
        <t xml:space="preserve">[Threaded comment]
Your version of Excel allows you to read this threaded comment; however, any edits to it will get removed if the file is opened in a newer version of Excel. Learn more: https://go.microsoft.com/fwlink/?linkid=870924
Comment:
    Dave submitted this figure to TSK 1/11
We were expecting to receive €37143.56 less 20% tax = €29,715
</t>
      </text>
    </comment>
    <comment ref="O37" authorId="21" shapeId="0" xr:uid="{1856638A-70B9-41D9-B408-5DFCBEC8A15B}">
      <text>
        <t>[Threaded comment]
Your version of Excel allows you to read this threaded comment; however, any edits to it will get removed if the file is opened in a newer version of Excel. Learn more: https://go.microsoft.com/fwlink/?linkid=870924
Comment:
    This is invoice 752 plus additional amount on invoice 751. Refer to email from Wendy on 10th Nov.</t>
      </text>
    </comment>
    <comment ref="P37" authorId="22" shapeId="0" xr:uid="{8CA8A783-EB52-4C49-A226-E675D0781E94}">
      <text>
        <t xml:space="preserve">[Threaded comment]
Your version of Excel allows you to read this threaded comment; however, any edits to it will get removed if the file is opened in a newer version of Excel. Learn more: https://go.microsoft.com/fwlink/?linkid=870924
Comment:
    Includes order for acoustic strip
</t>
      </text>
    </comment>
    <comment ref="U37" authorId="23" shapeId="0" xr:uid="{58C09DFA-282E-4907-B138-0D02B15223AB}">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W37" authorId="24" shapeId="0" xr:uid="{FA07398F-1164-4743-8057-7B36CEBE1FCE}">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AB37" authorId="25" shapeId="0" xr:uid="{7BC75AA3-38B4-4108-9FE1-0D98394B8833}">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AF37" authorId="26" shapeId="0" xr:uid="{0054062B-E339-403C-8624-13538AF17482}">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Reply:
    This amount is the regular work and the acoustics
</t>
      </text>
    </comment>
    <comment ref="AK37" authorId="27" shapeId="0" xr:uid="{6BC56A4C-CEE9-4B69-AB0F-ECDCC0084B90}">
      <text>
        <t xml:space="preserve">[Threaded comment]
Your version of Excel allows you to read this threaded comment; however, any edits to it will get removed if the file is opened in a newer version of Excel. Learn more: https://go.microsoft.com/fwlink/?linkid=870924
Comment:
    2.5% PC Retention
Reply:
    Plus final account 10k
</t>
      </text>
    </comment>
    <comment ref="AL37" authorId="28" shapeId="0" xr:uid="{6787B60E-FB3E-4114-8E07-ABFED72C5B09}">
      <text>
        <t>[Threaded comment]
Your version of Excel allows you to read this threaded comment; however, any edits to it will get removed if the file is opened in a newer version of Excel. Learn more: https://go.microsoft.com/fwlink/?linkid=870924
Comment:
    Retention 2.5%</t>
      </text>
    </comment>
    <comment ref="AM37" authorId="29" shapeId="0" xr:uid="{6A0AF492-EE13-4BB6-A272-1F62C962A4DC}">
      <text>
        <t>[Threaded comment]
Your version of Excel allows you to read this threaded comment; however, any edits to it will get removed if the file is opened in a newer version of Excel. Learn more: https://go.microsoft.com/fwlink/?linkid=870924
Comment:
    Extra income from additional Autex installation</t>
      </text>
    </comment>
    <comment ref="BS37" authorId="30" shapeId="0" xr:uid="{71EE0878-4DB6-4E29-A706-9B27F73C67FF}">
      <text>
        <t>[Threaded comment]
Your version of Excel allows you to read this threaded comment; however, any edits to it will get removed if the file is opened in a newer version of Excel. Learn more: https://go.microsoft.com/fwlink/?linkid=870924
Comment:
    Extra work AC Vents , check figure with Dave.</t>
      </text>
    </comment>
    <comment ref="Z39" authorId="31" shapeId="0" xr:uid="{3CCEEDD8-8A26-47CF-931A-D941AA8AC73E}">
      <text>
        <t>[Threaded comment]
Your version of Excel allows you to read this threaded comment; however, any edits to it will get removed if the file is opened in a newer version of Excel. Learn more: https://go.microsoft.com/fwlink/?linkid=870924
Comment:
    This figure represents TSK paying for the acoustics up front.</t>
      </text>
    </comment>
    <comment ref="D41" authorId="32" shapeId="0" xr:uid="{5003CBD5-3F39-431E-91AA-FD6E9438739E}">
      <text>
        <t xml:space="preserve">[Threaded comment]
Your version of Excel allows you to read this threaded comment; however, any edits to it will get removed if the file is opened in a newer version of Excel. Learn more: https://go.microsoft.com/fwlink/?linkid=870924
Comment:
    New value from Dave 21 June
Also now includes 80k Balcony soffits
</t>
      </text>
    </comment>
    <comment ref="AI41" authorId="33" shapeId="0" xr:uid="{BC1DEA83-978B-4988-9BCA-25E1B4DECA8D}">
      <text>
        <t>[Threaded comment]
Your version of Excel allows you to read this threaded comment; however, any edits to it will get removed if the file is opened in a newer version of Excel. Learn more: https://go.microsoft.com/fwlink/?linkid=870924
Comment:
    Soffit work and loading out</t>
      </text>
    </comment>
    <comment ref="AO41" authorId="34" shapeId="0" xr:uid="{1B25557B-FB6B-4642-B6AD-53B9DA0FA66C}">
      <text>
        <t>[Threaded comment]
Your version of Excel allows you to read this threaded comment; however, any edits to it will get removed if the file is opened in a newer version of Excel. Learn more: https://go.microsoft.com/fwlink/?linkid=870924
Comment:
    50k Soffit work and loading out
11.03 Ronan to come back on what work and material will be done in March</t>
      </text>
    </comment>
    <comment ref="AX41" authorId="35" shapeId="0" xr:uid="{600D5BE4-DACB-4269-9A93-C913F7C0148A}">
      <text>
        <t>[Threaded comment]
Your version of Excel allows you to read this threaded comment; however, any edits to it will get removed if the file is opened in a newer version of Excel. Learn more: https://go.microsoft.com/fwlink/?linkid=870924
Comment:
    Payment on 5th July</t>
      </text>
    </comment>
    <comment ref="BH41" authorId="36" shapeId="0" xr:uid="{5AB8C2C7-A301-45CB-8ED8-DBA7F855AD36}">
      <text>
        <t>[Threaded comment]
Your version of Excel allows you to read this threaded comment; however, any edits to it will get removed if the file is opened in a newer version of Excel. Learn more: https://go.microsoft.com/fwlink/?linkid=870924
Comment:
    12.08 Dave checked figure and this is the net of retention val submitted ie 1158950 less previously paid 783900
This now includes balcony soffit 50% of valuation .
Reply:
    Also now reduces by 80k to cater for earlier payment of 200k.</t>
      </text>
    </comment>
    <comment ref="BR41" authorId="37" shapeId="0" xr:uid="{7FDA3F37-8FF6-497E-9C87-44F23E5FA5CF}">
      <text>
        <t xml:space="preserve">[Threaded comment]
Your version of Excel allows you to read this threaded comment; however, any edits to it will get removed if the file is opened in a newer version of Excel. Learn more: https://go.microsoft.com/fwlink/?linkid=870924
Comment:
    Add 40k re reduction in last payment </t>
      </text>
    </comment>
    <comment ref="BZ41" authorId="38" shapeId="0" xr:uid="{94B04329-067E-41B4-91E6-FD11D833A483}">
      <text>
        <t xml:space="preserve">[Threaded comment]
Your version of Excel allows you to read this threaded comment; however, any edits to it will get removed if the file is opened in a newer version of Excel. Learn more: https://go.microsoft.com/fwlink/?linkid=870924
Comment:
    This is final account with 2.5% retention paid.  Leaves 2.5% of 49,375 retention for future payment in 12 months. </t>
      </text>
    </comment>
    <comment ref="E42" authorId="39" shapeId="0" xr:uid="{71D0A4CA-B03B-407A-91DD-9643894862CA}">
      <text>
        <t>[Threaded comment]
Your version of Excel allows you to read this threaded comment; however, any edits to it will get removed if the file is opened in a newer version of Excel. Learn more: https://go.microsoft.com/fwlink/?linkid=870924
Comment:
    Current final account i.e. less 2.3% retention</t>
      </text>
    </comment>
    <comment ref="S44" authorId="40" shapeId="0" xr:uid="{325AE060-E7F8-4B10-86FA-786E9FE2592E}">
      <text>
        <t>[Threaded comment]
Your version of Excel allows you to read this threaded comment; however, any edits to it will get removed if the file is opened in a newer version of Excel. Learn more: https://go.microsoft.com/fwlink/?linkid=870924
Comment:
    Gross figure has been submitted by Dave.</t>
      </text>
    </comment>
    <comment ref="T44" authorId="41" shapeId="0" xr:uid="{52510BEC-C313-45DD-A98E-A156B69F042E}">
      <text>
        <t>[Threaded comment]
Your version of Excel allows you to read this threaded comment; however, any edits to it will get removed if the file is opened in a newer version of Excel. Learn more: https://go.microsoft.com/fwlink/?linkid=870924
Comment:
    Dave and Paul agreed figure, gone for payment.</t>
      </text>
    </comment>
    <comment ref="O45" authorId="42" shapeId="0" xr:uid="{1F220AD6-A178-41AD-8354-F9C5FBCEC5B7}">
      <text>
        <t>[Threaded comment]
Your version of Excel allows you to read this threaded comment; however, any edits to it will get removed if the file is opened in a newer version of Excel. Learn more: https://go.microsoft.com/fwlink/?linkid=870924
Comment:
    After tax and retention. Received response from Stephen, confirmed that daywork sheets have been sent.
Stephen paid less than what was due.</t>
      </text>
    </comment>
    <comment ref="S45" authorId="43" shapeId="0" xr:uid="{5A5F702F-7443-4BF3-A4D4-A373F940C3B4}">
      <text>
        <t>[Threaded comment]
Your version of Excel allows you to read this threaded comment; however, any edits to it will get removed if the file is opened in a newer version of Excel. Learn more: https://go.microsoft.com/fwlink/?linkid=870924
Comment:
    October valuation including 20% reduction and materials
NOTE - now  changed to full value as at zero tax rate</t>
      </text>
    </comment>
    <comment ref="AF45" authorId="44" shapeId="0" xr:uid="{20528B29-59E4-4A63-BF06-00D209B8DC05}">
      <text>
        <t>[Threaded comment]
Your version of Excel allows you to read this threaded comment; however, any edits to it will get removed if the file is opened in a newer version of Excel. Learn more: https://go.microsoft.com/fwlink/?linkid=870924
Comment:
    Final account PC retention, Dave gave figure.
Reply:
    This isestimate additional labour of 3000 plus Pcretention of 2600
Reply:
    Ronan agreed with Graham that he would get a discount.</t>
      </text>
    </comment>
    <comment ref="O46" authorId="45" shapeId="0" xr:uid="{88E60B2A-BEB2-4020-A62B-16036055C60A}">
      <text>
        <t>[Threaded comment]
Your version of Excel allows you to read this threaded comment; however, any edits to it will get removed if the file is opened in a newer version of Excel. Learn more: https://go.microsoft.com/fwlink/?linkid=870924
Comment:
    After tax and after retention. Received response from Stephen, confirmed that daywork sheets have been sent.</t>
      </text>
    </comment>
    <comment ref="S46" authorId="46" shapeId="0" xr:uid="{EB0C8F25-B15C-42C7-A68D-E268237CE0F9}">
      <text>
        <t>[Threaded comment]
Your version of Excel allows you to read this threaded comment; however, any edits to it will get removed if the file is opened in a newer version of Excel. Learn more: https://go.microsoft.com/fwlink/?linkid=870924
Comment:
    1st Nov, this is the valuation Dave is submitting.</t>
      </text>
    </comment>
    <comment ref="U46" authorId="47" shapeId="0" xr:uid="{27269064-D929-4889-9377-AAC78CE57321}">
      <text>
        <t>[Threaded comment]
Your version of Excel allows you to read this threaded comment; however, any edits to it will get removed if the file is opened in a newer version of Excel. Learn more: https://go.microsoft.com/fwlink/?linkid=870924
Comment:
    Dave to sit with OHLA and agree what will be achieved by this date. Dave to revert 14.11</t>
      </text>
    </comment>
    <comment ref="AC46" authorId="48" shapeId="0" xr:uid="{C4A870E9-14F7-4621-8A03-00064B338C89}">
      <text>
        <t>[Threaded comment]
Your version of Excel allows you to read this threaded comment; however, any edits to it will get removed if the file is opened in a newer version of Excel. Learn more: https://go.microsoft.com/fwlink/?linkid=870924
Comment:
    Labour only as agreed with Stephen Eustace</t>
      </text>
    </comment>
    <comment ref="AJ46" authorId="49" shapeId="0" xr:uid="{AC246577-55A0-47CB-85E9-16CC0720E2C8}">
      <text>
        <t>[Threaded comment]
Your version of Excel allows you to read this threaded comment; however, any edits to it will get removed if the file is opened in a newer version of Excel. Learn more: https://go.microsoft.com/fwlink/?linkid=870924
Comment:
    62k has been submitted</t>
      </text>
    </comment>
    <comment ref="S47" authorId="50" shapeId="0" xr:uid="{371A2CF1-E6DC-430E-801C-6CD83916B739}">
      <text>
        <t>[Threaded comment]
Your version of Excel allows you to read this threaded comment; however, any edits to it will get removed if the file is opened in a newer version of Excel. Learn more: https://go.microsoft.com/fwlink/?linkid=870924
Comment:
    Need to talk with Ray in CDM to see if we can get some earl(ier) payment
Reply:
    14 Nov , Dave going to site to see whatwork is completed</t>
      </text>
    </comment>
    <comment ref="U47" authorId="51" shapeId="0" xr:uid="{3B775A56-68CE-4AB0-ABB6-92BB553463F3}">
      <text>
        <t>[Threaded comment]
Your version of Excel allows you to read this threaded comment; however, any edits to it will get removed if the file is opened in a newer version of Excel. Learn more: https://go.microsoft.com/fwlink/?linkid=870924
Comment:
    Dave visitied site 11.12 to estimate work completed. Need to submit to Ray.</t>
      </text>
    </comment>
    <comment ref="AA47" authorId="52" shapeId="0" xr:uid="{E5C2CF2B-8218-4543-94AD-FFC63FB4CADF}">
      <text>
        <t>[Threaded comment]
Your version of Excel allows you to read this threaded comment; however, any edits to it will get removed if the file is opened in a newer version of Excel. Learn more: https://go.microsoft.com/fwlink/?linkid=870924
Comment:
    Actual figure from Ronan</t>
      </text>
    </comment>
    <comment ref="T48" authorId="53" shapeId="0" xr:uid="{1D087D75-51A5-445A-AA4F-2389DB07F706}">
      <text>
        <t>[Threaded comment]
Your version of Excel allows you to read this threaded comment; however, any edits to it will get removed if the file is opened in a newer version of Excel. Learn more: https://go.microsoft.com/fwlink/?linkid=870924
Comment:
    Valuation sent to Ray 4.12</t>
      </text>
    </comment>
    <comment ref="C52" authorId="54" shapeId="0" xr:uid="{598CA79F-3EB2-4397-B5B0-B26A750E5C47}">
      <text>
        <t>[Threaded comment]
Your version of Excel allows you to read this threaded comment; however, any edits to it will get removed if the file is opened in a newer version of Excel. Learn more: https://go.microsoft.com/fwlink/?linkid=870924
Comment:
    This is gross income, we have not allowed any additional resources at this time, they may be needed.</t>
      </text>
    </comment>
    <comment ref="D52" authorId="55" shapeId="0" xr:uid="{20D31B96-B659-4EEC-AC4B-CD627EB020FB}">
      <text>
        <t>[Threaded comment]
Your version of Excel allows you to read this threaded comment; however, any edits to it will get removed if the file is opened in a newer version of Excel. Learn more: https://go.microsoft.com/fwlink/?linkid=870924
Comment:
    This is gross income, we have not allowed any additional resources at this time, they may be needed.</t>
      </text>
    </comment>
    <comment ref="AF52" authorId="56" shapeId="0" xr:uid="{418CDB96-4087-4AA7-BD08-C29E78C9CBD6}">
      <text>
        <t>[Threaded comment]
Your version of Excel allows you to read this threaded comment; however, any edits to it will get removed if the file is opened in a newer version of Excel. Learn more: https://go.microsoft.com/fwlink/?linkid=870924
Comment:
    Ronan to confirm valuation going in 9.2</t>
      </text>
    </comment>
    <comment ref="AP52" authorId="57" shapeId="0" xr:uid="{915C0624-D55F-4578-AF61-F51DC059FFD1}">
      <text>
        <t>[Threaded comment]
Your version of Excel allows you to read this threaded comment; however, any edits to it will get removed if the file is opened in a newer version of Excel. Learn more: https://go.microsoft.com/fwlink/?linkid=870924
Comment:
    Inv No 827</t>
      </text>
    </comment>
    <comment ref="AS52" authorId="58" shapeId="0" xr:uid="{05BD4507-C19B-4F17-936E-EE4DDDF2937C}">
      <text>
        <t xml:space="preserve">[Threaded comment]
Your version of Excel allows you to read this threaded comment; however, any edits to it will get removed if the file is opened in a newer version of Excel. Learn more: https://go.microsoft.com/fwlink/?linkid=870924
Comment:
    4 weeks, 3 lads, @ 42.5 per hour
</t>
      </text>
    </comment>
    <comment ref="Y54" authorId="59" shapeId="0" xr:uid="{3865B009-1D5F-4D4B-A910-13F71B2319CB}">
      <text>
        <t>[Threaded comment]
Your version of Excel allows you to read this threaded comment; however, any edits to it will get removed if the file is opened in a newer version of Excel. Learn more: https://go.microsoft.com/fwlink/?linkid=870924
Comment:
    Total amount received from CDM for the three amounts was 24990</t>
      </text>
    </comment>
    <comment ref="AN55" authorId="60" shapeId="0" xr:uid="{6609C5F3-30F5-4424-A449-7D8DCECEDC2C}">
      <text>
        <t xml:space="preserve">[Threaded comment]
Your version of Excel allows you to read this threaded comment; however, any edits to it will get removed if the file is opened in a newer version of Excel. Learn more: https://go.microsoft.com/fwlink/?linkid=870924
Comment:
    Amount owed to Ifit plus work done by Flamestop which is due to be paid out to them.
</t>
      </text>
    </comment>
    <comment ref="AP55" authorId="61" shapeId="0" xr:uid="{30B8FD3D-3207-4545-923F-7D27CEE73506}">
      <text>
        <t>[Threaded comment]
Your version of Excel allows you to read this threaded comment; however, any edits to it will get removed if the file is opened in a newer version of Excel. Learn more: https://go.microsoft.com/fwlink/?linkid=870924
Comment:
    Invoice 826</t>
      </text>
    </comment>
    <comment ref="AF56" authorId="62" shapeId="0" xr:uid="{354DBF65-B254-40BB-9EB1-7373D3F76627}">
      <text>
        <t>[Threaded comment]
Your version of Excel allows you to read this threaded comment; however, any edits to it will get removed if the file is opened in a newer version of Excel. Learn more: https://go.microsoft.com/fwlink/?linkid=870924
Comment:
    Forecasting 35168 in total from CDM, they paid 34021, this is a negative fig to balance things, Dave to let me know he is happy with the reduced payment.
Reply:
    11.03 - Dave agrees with this figure.</t>
      </text>
    </comment>
    <comment ref="AW59" authorId="63" shapeId="0" xr:uid="{37585B92-F09C-4C69-ABB4-682E573155F2}">
      <text>
        <t>[Threaded comment]
Your version of Excel allows you to read this threaded comment; however, any edits to it will get removed if the file is opened in a newer version of Excel. Learn more: https://go.microsoft.com/fwlink/?linkid=870924
Comment:
    DCU, Killiney, Black Forge</t>
      </text>
    </comment>
    <comment ref="P61" authorId="64" shapeId="0" xr:uid="{08AED18D-9E78-4789-81E9-B3D605771060}">
      <text>
        <t>[Threaded comment]
Your version of Excel allows you to read this threaded comment; however, any edits to it will get removed if the file is opened in a newer version of Excel. Learn more: https://go.microsoft.com/fwlink/?linkid=870924
Comment:
    Ronan to send this to Graham Dinh this week.
Agreed, may come in a week early. Full value.</t>
      </text>
    </comment>
    <comment ref="S61" authorId="65" shapeId="0" xr:uid="{8E2BFC21-CAD4-4803-BE3F-906D89DC9915}">
      <text>
        <t>[Threaded comment]
Your version of Excel allows you to read this threaded comment; however, any edits to it will get removed if the file is opened in a newer version of Excel. Learn more: https://go.microsoft.com/fwlink/?linkid=870924
Comment:
    Ronan submitting 17.11 Balance plus extra works in lift shaft</t>
      </text>
    </comment>
    <comment ref="D62" authorId="66" shapeId="0" xr:uid="{E73573F2-ADC2-41D5-ACEF-C474C66711D5}">
      <text>
        <t>[Threaded comment]
Your version of Excel allows you to read this threaded comment; however, any edits to it will get removed if the file is opened in a newer version of Excel. Learn more: https://go.microsoft.com/fwlink/?linkid=870924
Comment:
    3 lads labour only for 2 weeks</t>
      </text>
    </comment>
    <comment ref="U62" authorId="67" shapeId="0" xr:uid="{DB1F66F8-EB5A-4D6D-B1B8-59C4F19710F3}">
      <text>
        <t>[Threaded comment]
Your version of Excel allows you to read this threaded comment; however, any edits to it will get removed if the file is opened in a newer version of Excel. Learn more: https://go.microsoft.com/fwlink/?linkid=870924
Comment:
    Labour cost us 7k, Graham looking for us to reduce our costs a bit.</t>
      </text>
    </comment>
    <comment ref="D63" authorId="68" shapeId="0" xr:uid="{2ADE7238-65E7-4244-B3F1-C129DF190BE5}">
      <text>
        <t>[Threaded comment]
Your version of Excel allows you to read this threaded comment; however, any edits to it will get removed if the file is opened in a newer version of Excel. Learn more: https://go.microsoft.com/fwlink/?linkid=870924
Comment:
    Estimate figure - Demolition and rebuild partitions</t>
      </text>
    </comment>
    <comment ref="D64" authorId="69" shapeId="0" xr:uid="{D775B6BC-93D1-4887-8BF0-C136868A85AD}">
      <text>
        <t>[Threaded comment]
Your version of Excel allows you to read this threaded comment; however, any edits to it will get removed if the file is opened in a newer version of Excel. Learn more: https://go.microsoft.com/fwlink/?linkid=870924
Comment:
    Estimate value = incl travel and subsistence</t>
      </text>
    </comment>
    <comment ref="BE65" authorId="70" shapeId="0" xr:uid="{C3AD5BAD-6B25-4CD9-9A07-B664C6395D87}">
      <text>
        <t>[Threaded comment]
Your version of Excel allows you to read this threaded comment; however, any edits to it will get removed if the file is opened in a newer version of Excel. Learn more: https://go.microsoft.com/fwlink/?linkid=870924
Comment:
    Flamestop overpaid by 20k, they offset what was owed from Navan €18091 and Killenard but actually allowed us the full 20k. Therefore we made an extra €108.</t>
      </text>
    </comment>
    <comment ref="AY66" authorId="71" shapeId="0" xr:uid="{152C6635-88F6-4717-9D93-5B52A22EACA1}">
      <text>
        <t xml:space="preserve">[Threaded comment]
Your version of Excel allows you to read this threaded comment; however, any edits to it will get removed if the file is opened in a newer version of Excel. Learn more: https://go.microsoft.com/fwlink/?linkid=870924
Comment:
    Measure reqd on site </t>
      </text>
    </comment>
    <comment ref="BI68" authorId="72" shapeId="0" xr:uid="{3B9BEF69-6F1F-4C95-9898-A6C9D0E8A98F}">
      <text>
        <t>[Threaded comment]
Your version of Excel allows you to read this threaded comment; however, any edits to it will get removed if the file is opened in a newer version of Excel. Learn more: https://go.microsoft.com/fwlink/?linkid=870924
Comment:
    Ronan actually invoiced 22941
which includes material but Flamestop actually supplied the material</t>
      </text>
    </comment>
    <comment ref="BG74" authorId="73" shapeId="0" xr:uid="{0DAA8FA3-3789-41F5-BC5D-0B4A49E53F8C}">
      <text>
        <t>[Threaded comment]
Your version of Excel allows you to read this threaded comment; however, any edits to it will get removed if the file is opened in a newer version of Excel. Learn more: https://go.microsoft.com/fwlink/?linkid=870924
Comment:
    Additional works we did. To be invoiced when completed on Wed 7th.</t>
      </text>
    </comment>
    <comment ref="BW75" authorId="74" shapeId="0" xr:uid="{DCBB78F9-D7BA-47C7-87B0-B646ADA0E45D}">
      <text>
        <t>[Threaded comment]
Your version of Excel allows you to read this threaded comment; however, any edits to it will get removed if the file is opened in a newer version of Excel. Learn more: https://go.microsoft.com/fwlink/?linkid=870924
Comment:
    Labour (estimate) plus travel</t>
      </text>
    </comment>
    <comment ref="BG76" authorId="75" shapeId="0" xr:uid="{6993816F-B7DB-40B3-9910-AD69BA6819D4}">
      <text>
        <t xml:space="preserve">[Threaded comment]
Your version of Excel allows you to read this threaded comment; however, any edits to it will get removed if the file is opened in a newer version of Excel. Learn more: https://go.microsoft.com/fwlink/?linkid=870924
Comment:
    Discounted from 7200
Reply:
    I HAVE INCREASED THIS amount as Flamestop made a payment for the 4 jobs to the value of €20537.50
</t>
      </text>
    </comment>
    <comment ref="AY81" authorId="76" shapeId="0" xr:uid="{7D86AAF2-8A39-4653-B495-B57D36B7CD03}">
      <text>
        <t>[Threaded comment]
Your version of Excel allows you to read this threaded comment; however, any edits to it will get removed if the file is opened in a newer version of Excel. Learn more: https://go.microsoft.com/fwlink/?linkid=870924
Comment:
    Jonathan taper</t>
      </text>
    </comment>
    <comment ref="BB81" authorId="77" shapeId="0" xr:uid="{12293C4D-F078-4929-88AC-C1C06C424D6B}">
      <text>
        <t xml:space="preserve">[Threaded comment]
Your version of Excel allows you to read this threaded comment; however, any edits to it will get removed if the file is opened in a newer version of Excel. Learn more: https://go.microsoft.com/fwlink/?linkid=870924
Comment:
    Starting Monday 24th June for one week.
</t>
      </text>
    </comment>
    <comment ref="BO81" authorId="78" shapeId="0" xr:uid="{B8F3354E-0539-4AE0-89C0-B5295CB904ED}">
      <text>
        <t>[Threaded comment]
Your version of Excel allows you to read this threaded comment; however, any edits to it will get removed if the file is opened in a newer version of Excel. Learn more: https://go.microsoft.com/fwlink/?linkid=870924
Comment:
    Tapeing and Jointing balance owed.</t>
      </text>
    </comment>
    <comment ref="C82" authorId="79" shapeId="0" xr:uid="{E374879C-B05C-4636-82E2-3FDBD14A0B49}">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D82" authorId="80" shapeId="0" xr:uid="{786AFBFD-BB9A-4029-84D7-8AB6E74FA253}">
      <text>
        <t>[Threaded comment]
Your version of Excel allows you to read this threaded comment; however, any edits to it will get removed if the file is opened in a newer version of Excel. Learn more: https://go.microsoft.com/fwlink/?linkid=870924
Comment:
    Full val incl materials</t>
      </text>
    </comment>
    <comment ref="Z82" authorId="81" shapeId="0" xr:uid="{AE6BDF79-7848-476C-B6FA-D692E08AA683}">
      <text>
        <t>[Threaded comment]
Your version of Excel allows you to read this threaded comment; however, any edits to it will get removed if the file is opened in a newer version of Excel. Learn more: https://go.microsoft.com/fwlink/?linkid=870924
Comment:
    Need to confirm start date. No need for additional men, accounted for in the figures below</t>
      </text>
    </comment>
    <comment ref="AF82" authorId="82" shapeId="0" xr:uid="{36AE73C1-7BF1-4AF5-B435-AC3E1C5A324B}">
      <text>
        <t xml:space="preserve">[Threaded comment]
Your version of Excel allows you to read this threaded comment; however, any edits to it will get removed if the file is opened in a newer version of Excel. Learn more: https://go.microsoft.com/fwlink/?linkid=870924
Comment:
    Extra owed from first payment last week. </t>
      </text>
    </comment>
    <comment ref="AJ82" authorId="83" shapeId="0" xr:uid="{543CD8A6-22BA-4FC8-B48D-AAE1A1A6A1AC}">
      <text>
        <t xml:space="preserve">[Threaded comment]
Your version of Excel allows you to read this threaded comment; however, any edits to it will get removed if the file is opened in a newer version of Excel. Learn more: https://go.microsoft.com/fwlink/?linkid=870924
Comment:
    Extra owed from first payment last week. </t>
      </text>
    </comment>
    <comment ref="D84" authorId="84" shapeId="0" xr:uid="{221C00B3-1D3D-4C42-9340-9F6D007C798D}">
      <text>
        <t>[Threaded comment]
Your version of Excel allows you to read this threaded comment; however, any edits to it will get removed if the file is opened in a newer version of Excel. Learn more: https://go.microsoft.com/fwlink/?linkid=870924
Comment:
    2000m2 of sand and cement @ €20pmsq
Reply:
    Sand and cement 11k , skim remainder</t>
      </text>
    </comment>
    <comment ref="W84" authorId="85" shapeId="0" xr:uid="{85F1F93C-C0A6-4320-86B0-52F753E6CEF6}">
      <text>
        <t xml:space="preserve">[Threaded comment]
Your version of Excel allows you to read this threaded comment; however, any edits to it will get removed if the file is opened in a newer version of Excel. Learn more: https://go.microsoft.com/fwlink/?linkid=870924
Comment:
    2 and 1 gang at 4 weeks. 500m per week </t>
      </text>
    </comment>
    <comment ref="AE84" authorId="86" shapeId="0" xr:uid="{8853D74E-24E4-4CC1-BA30-E91ABC64CDE8}">
      <text>
        <t>[Threaded comment]
Your version of Excel allows you to read this threaded comment; however, any edits to it will get removed if the file is opened in a newer version of Excel. Learn more: https://go.microsoft.com/fwlink/?linkid=870924
Comment:
    This represents 2250 sq m @ 20 p sq m</t>
      </text>
    </comment>
    <comment ref="AN84" authorId="87" shapeId="0" xr:uid="{3F4CA93D-D6B8-42D6-BEFD-B1B721548B0C}">
      <text>
        <t>[Threaded comment]
Your version of Excel allows you to read this threaded comment; however, any edits to it will get removed if the file is opened in a newer version of Excel. Learn more: https://go.microsoft.com/fwlink/?linkid=870924
Comment:
    Sand and Cement only</t>
      </text>
    </comment>
    <comment ref="AR84" authorId="88" shapeId="0" xr:uid="{2D297F10-648C-4C87-97D4-ACD631A15349}">
      <text>
        <t xml:space="preserve">[Threaded comment]
Your version of Excel allows you to read this threaded comment; however, any edits to it will get removed if the file is opened in a newer version of Excel. Learn more: https://go.microsoft.com/fwlink/?linkid=870924
Comment:
    Sand and cement only balance figure plus 13k of skim only
</t>
      </text>
    </comment>
    <comment ref="BB84" authorId="89" shapeId="0" xr:uid="{76BBEAD1-2227-4680-99FD-4FBB639BE80E}">
      <text>
        <t>[Threaded comment]
Your version of Excel allows you to read this threaded comment; however, any edits to it will get removed if the file is opened in a newer version of Excel. Learn more: https://go.microsoft.com/fwlink/?linkid=870924
Comment:
    Skim only balance</t>
      </text>
    </comment>
    <comment ref="D85" authorId="90" shapeId="0" xr:uid="{714FA23E-DCDE-41BE-A4FD-CBF682EB79A9}">
      <text>
        <t>[Threaded comment]
Your version of Excel allows you to read this threaded comment; however, any edits to it will get removed if the file is opened in a newer version of Excel. Learn more: https://go.microsoft.com/fwlink/?linkid=870924
Comment:
    Labour + Margin only</t>
      </text>
    </comment>
    <comment ref="AN85" authorId="91" shapeId="0" xr:uid="{8E4EA42A-8FC2-4598-ABF8-7044D942F423}">
      <text>
        <t>[Threaded comment]
Your version of Excel allows you to read this threaded comment; however, any edits to it will get removed if the file is opened in a newer version of Excel. Learn more: https://go.microsoft.com/fwlink/?linkid=870924
Comment:
    Metal framed only partitions</t>
      </text>
    </comment>
    <comment ref="C87" authorId="92" shapeId="0" xr:uid="{27655D43-B0EF-4517-9765-013AC621CDA2}">
      <text>
        <t>[Threaded comment]
Your version of Excel allows you to read this threaded comment; however, any edits to it will get removed if the file is opened in a newer version of Excel. Learn more: https://go.microsoft.com/fwlink/?linkid=870924
Comment:
    This is the latest new figure which includes the additions of fireseal, mesh, and additional partition walls.</t>
      </text>
    </comment>
    <comment ref="E87" authorId="93" shapeId="0" xr:uid="{AFE5B89C-2B21-4F6A-BC91-363322B2BBA9}">
      <text>
        <t>[Threaded comment]
Your version of Excel allows you to read this threaded comment; however, any edits to it will get removed if the file is opened in a newer version of Excel. Learn more: https://go.microsoft.com/fwlink/?linkid=870924
Comment:
    Final account ie 2.5% retention.</t>
      </text>
    </comment>
    <comment ref="BM87" authorId="94" shapeId="0" xr:uid="{40489EA7-6D89-4ECC-8A8B-218989C6DB85}">
      <text>
        <t>[Threaded comment]
Your version of Excel allows you to read this threaded comment; however, any edits to it will get removed if the file is opened in a newer version of Excel. Learn more: https://go.microsoft.com/fwlink/?linkid=870924
Comment:
    Dave originally had this spread out to Feb income, Ronan feel we are getting things going now so bringing it back in a month.</t>
      </text>
    </comment>
    <comment ref="AB89" authorId="95" shapeId="0" xr:uid="{7CE962A4-B37F-4279-A528-A3482A7EC790}">
      <text>
        <t>[Threaded comment]
Your version of Excel allows you to read this threaded comment; however, any edits to it will get removed if the file is opened in a newer version of Excel. Learn more: https://go.microsoft.com/fwlink/?linkid=870924
Comment:
    2.2 Jason spoke to Seamus (not Seamus O'Hara) as Becky is on holiday. He said it would be paid end of next week.</t>
      </text>
    </comment>
    <comment ref="AY90" authorId="96" shapeId="0" xr:uid="{AB59A040-03AD-496D-9841-7B2F57080607}">
      <text>
        <t>[Threaded comment]
Your version of Excel allows you to read this threaded comment; however, any edits to it will get removed if the file is opened in a newer version of Excel. Learn more: https://go.microsoft.com/fwlink/?linkid=870924
Comment:
    Confirmation payment will come on 17th, we needed to send them our insurance certificate.</t>
      </text>
    </comment>
    <comment ref="C92" authorId="97" shapeId="0" xr:uid="{BA28AF3C-1C33-425E-8EAF-51C905EA580C}">
      <text>
        <t>[Threaded comment]
Your version of Excel allows you to read this threaded comment; however, any edits to it will get removed if the file is opened in a newer version of Excel. Learn more: https://go.microsoft.com/fwlink/?linkid=870924
Comment:
    Gross Value</t>
      </text>
    </comment>
    <comment ref="AR92" authorId="98" shapeId="0" xr:uid="{AC7DB4F4-83FC-4C16-A9D5-296075B1FC73}">
      <text>
        <t>[Threaded comment]
Your version of Excel allows you to read this threaded comment; however, any edits to it will get removed if the file is opened in a newer version of Excel. Learn more: https://go.microsoft.com/fwlink/?linkid=870924
Comment:
    Valuation submitted</t>
      </text>
    </comment>
    <comment ref="AW92" authorId="99" shapeId="0" xr:uid="{65382E5B-0DB1-4D48-AEB2-B1B847C19A5A}">
      <text>
        <t xml:space="preserve">[Threaded comment]
Your version of Excel allows you to read this threaded comment; however, any edits to it will get removed if the file is opened in a newer version of Excel. Learn more: https://go.microsoft.com/fwlink/?linkid=870924
Comment:
    This val has been submitted
</t>
      </text>
    </comment>
    <comment ref="BB92" authorId="100" shapeId="0" xr:uid="{D7724E4E-A0DE-4816-B747-BCCE0AAE5B1A}">
      <text>
        <t>[Threaded comment]
Your version of Excel allows you to read this threaded comment; however, any edits to it will get removed if the file is opened in a newer version of Excel. Learn more: https://go.microsoft.com/fwlink/?linkid=870924
Comment:
    Add variations in this figure</t>
      </text>
    </comment>
    <comment ref="BO92" authorId="101" shapeId="0" xr:uid="{8AD8B020-41A5-4D4F-9C3D-C7AA62E15AED}">
      <text>
        <t>[Threaded comment]
Your version of Excel allows you to read this threaded comment; however, any edits to it will get removed if the file is opened in a newer version of Excel. Learn more: https://go.microsoft.com/fwlink/?linkid=870924
Comment:
    Final account at 2.5% retention</t>
      </text>
    </comment>
    <comment ref="G97" authorId="102" shapeId="0" xr:uid="{65905048-8C89-4999-B295-0EE8BE54D034}">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K98" authorId="103" shapeId="0" xr:uid="{D4DB8655-A32C-4E9E-B326-CBCF36088665}">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F99" authorId="104" shapeId="0" xr:uid="{D29FD4F1-3C7A-4088-A6A2-E1BE1D473FB8}">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G99" authorId="105" shapeId="0" xr:uid="{6685BF39-E466-4ABD-ACF4-08CD0DCC8690}">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D101" authorId="106" shapeId="0" xr:uid="{65188B15-C3A7-440A-B7F5-5A42840E6434}">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K101" authorId="107" shapeId="0" xr:uid="{A3074D89-5202-44AC-8BBB-8EBFE49A80E3}">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L102" authorId="108" shapeId="0" xr:uid="{CD005F8C-48B6-4ED0-98E2-E423377BF274}">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C103" authorId="109" shapeId="0" xr:uid="{3CA5C15B-22F5-4CA3-A771-392D99C972CA}">
      <text>
        <t>[Threaded comment]
Your version of Excel allows you to read this threaded comment; however, any edits to it will get removed if the file is opened in a newer version of Excel. Learn more: https://go.microsoft.com/fwlink/?linkid=870924
Comment:
    VAT to be charged?</t>
      </text>
    </comment>
    <comment ref="N103" authorId="110" shapeId="0" xr:uid="{C11EFA76-7194-4508-B04E-FC6AFCAE38D9}">
      <text>
        <t>[Threaded comment]
Your version of Excel allows you to read this threaded comment; however, any edits to it will get removed if the file is opened in a newer version of Excel. Learn more: https://go.microsoft.com/fwlink/?linkid=870924
Comment:
    Ivan spoke to Amanda, payment will be made next week into bank.</t>
      </text>
    </comment>
    <comment ref="J107" authorId="111" shapeId="0" xr:uid="{865CD737-A21E-4B5F-86D4-F1F491AC7E5B}">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K108" authorId="112" shapeId="0" xr:uid="{845C518E-F142-4213-A101-B5B855673808}">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H110" authorId="113" shapeId="0" xr:uid="{D1DA0976-13FD-42EB-AF0A-6B2BC93B7E42}">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L110" authorId="114" shapeId="0" xr:uid="{46BB93E6-7D54-43A4-B77A-A27AB6A4618A}">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S110" authorId="115" shapeId="0" xr:uid="{8E2F3356-2BE7-4CCC-9DC3-83C7218A251D}">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N111" authorId="116" shapeId="0" xr:uid="{C9B1336B-1C64-46AB-A36E-284B8CFC0B20}">
      <text>
        <t>[Threaded comment]
Your version of Excel allows you to read this threaded comment; however, any edits to it will get removed if the file is opened in a newer version of Excel. Learn more: https://go.microsoft.com/fwlink/?linkid=870924
Comment:
    Net of retention</t>
      </text>
    </comment>
    <comment ref="R111" authorId="117" shapeId="0" xr:uid="{8768FDA9-DEA1-43EC-A6C1-27D9768B59C7}">
      <text>
        <t>[Threaded comment]
Your version of Excel allows you to read this threaded comment; however, any edits to it will get removed if the file is opened in a newer version of Excel. Learn more: https://go.microsoft.com/fwlink/?linkid=870924
Comment:
    Additional gym work, final payment.
Reply:
    This figure includes final account PC retention</t>
      </text>
    </comment>
    <comment ref="S111" authorId="118" shapeId="0" xr:uid="{627DDB87-B339-405B-8A51-C1AB20D8A8E9}">
      <text>
        <t>[Threaded comment]
Your version of Excel allows you to read this threaded comment; however, any edits to it will get removed if the file is opened in a newer version of Excel. Learn more: https://go.microsoft.com/fwlink/?linkid=870924
Comment:
    Additional gym work, final payment.
Reply:
    This figure includes final account PC retention</t>
      </text>
    </comment>
    <comment ref="B119" authorId="119" shapeId="0" xr:uid="{8A353DA9-48E9-43E5-86CB-BB5768B577A1}">
      <text>
        <t>[Threaded comment]
Your version of Excel allows you to read this threaded comment; however, any edits to it will get removed if the file is opened in a newer version of Excel. Learn more: https://go.microsoft.com/fwlink/?linkid=870924
Comment:
    Vasile, Catalin, Gheorge, Gheorge, Cosmin, Ion, Ilie, Mircea, Adrian, Marian.</t>
      </text>
    </comment>
    <comment ref="B121" authorId="120" shapeId="0" xr:uid="{D0A0660D-0E9F-47B4-9371-C117449609A8}">
      <text>
        <t>[Threaded comment]
Your version of Excel allows you to read this threaded comment; however, any edits to it will get removed if the file is opened in a newer version of Excel. Learn more: https://go.microsoft.com/fwlink/?linkid=870924
Comment:
    Edgar, Vasil Bulz, Vasil Ursaciuc, Flavian, Daniel</t>
      </text>
    </comment>
    <comment ref="W121" authorId="121" shapeId="0" xr:uid="{05F61C0D-EF7B-4BB1-AF02-B3E86DCEFF23}">
      <text>
        <t>[Threaded comment]
Your version of Excel allows you to read this threaded comment; however, any edits to it will get removed if the file is opened in a newer version of Excel. Learn more: https://go.microsoft.com/fwlink/?linkid=870924
Comment:
    Taken 3k off for xmas holiday</t>
      </text>
    </comment>
    <comment ref="S122" authorId="122" shapeId="0" xr:uid="{191FFEEA-4911-4932-A762-033D96019C96}">
      <text>
        <t>[Threaded comment]
Your version of Excel allows you to read this threaded comment; however, any edits to it will get removed if the file is opened in a newer version of Excel. Learn more: https://go.microsoft.com/fwlink/?linkid=870924
Comment:
    Now incl 4 lads from Victor starting 22.11
The figure of 7500 for the 4 lads is gross</t>
      </text>
    </comment>
    <comment ref="U122" authorId="123" shapeId="0" xr:uid="{689C6CEF-FB6F-40F0-87BB-96B2320D9DB2}">
      <text>
        <t xml:space="preserve">[Threaded comment]
Your version of Excel allows you to read this threaded comment; however, any edits to it will get removed if the file is opened in a newer version of Excel. Learn more: https://go.microsoft.com/fwlink/?linkid=870924
Comment:
    Allowing for Victor extra 4 lads and reduction as some going home early </t>
      </text>
    </comment>
    <comment ref="W122" authorId="124" shapeId="0" xr:uid="{0BC58C19-9997-46E0-BF53-A2073FFA846C}">
      <text>
        <t>[Threaded comment]
Your version of Excel allows you to read this threaded comment; however, any edits to it will get removed if the file is opened in a newer version of Excel. Learn more: https://go.microsoft.com/fwlink/?linkid=870924
Comment:
    Reduced figure to cater for Xmas holiday time off.</t>
      </text>
    </comment>
    <comment ref="X122" authorId="125" shapeId="0" xr:uid="{2513801A-BD67-45BD-938B-E4270F0D35A7}">
      <text>
        <t xml:space="preserve">[Threaded comment]
Your version of Excel allows you to read this threaded comment; however, any edits to it will get removed if the file is opened in a newer version of Excel. Learn more: https://go.microsoft.com/fwlink/?linkid=870924
Comment:
    3 Days sub contractors
</t>
      </text>
    </comment>
    <comment ref="AC122" authorId="126" shapeId="0" xr:uid="{2A6079B5-2353-4D60-B338-EC56004310FB}">
      <text>
        <t>[Threaded comment]
Your version of Excel allows you to read this threaded comment; however, any edits to it will get removed if the file is opened in a newer version of Excel. Learn more: https://go.microsoft.com/fwlink/?linkid=870924
Comment:
    Estimated labour cost
Reply:
    Reducing Labour as Beech road will not start in Feb</t>
      </text>
    </comment>
    <comment ref="AF122" authorId="127" shapeId="0" xr:uid="{8334FC1B-21B1-4B28-814C-48EF5DA32B12}">
      <text>
        <t>[Threaded comment]
Your version of Excel allows you to read this threaded comment; however, any edits to it will get removed if the file is opened in a newer version of Excel. Learn more: https://go.microsoft.com/fwlink/?linkid=870924
Comment:
    Reduction in staff needed from March onwards based on Beach road coming in and no other jobs included yet.
Reply:
    Reduction in Emannuael's team as we will start slow in Beach Rd.</t>
      </text>
    </comment>
    <comment ref="BR122" authorId="128" shapeId="0" xr:uid="{AB631083-4B3D-41D7-AF38-29B37E20E180}">
      <text>
        <t>[Threaded comment]
Your version of Excel allows you to read this threaded comment; however, any edits to it will get removed if the file is opened in a newer version of Excel. Learn more: https://go.microsoft.com/fwlink/?linkid=870924
Comment:
    Emanuel and Mihai remain on site with less men</t>
      </text>
    </comment>
    <comment ref="AX123" authorId="129" shapeId="0" xr:uid="{26A0254B-8C3F-4C03-AE12-0628C265D4E4}">
      <text>
        <t>[Threaded comment]
Your version of Excel allows you to read this threaded comment; however, any edits to it will get removed if the file is opened in a newer version of Excel. Learn more: https://go.microsoft.com/fwlink/?linkid=870924
Comment:
    This is gross figure, net will be advised tomorrow.</t>
      </text>
    </comment>
    <comment ref="BP123" authorId="130" shapeId="0" xr:uid="{58D98032-5166-43AF-835C-DE865E0DAD97}">
      <text>
        <t>[Threaded comment]
Your version of Excel allows you to read this threaded comment; however, any edits to it will get removed if the file is opened in a newer version of Excel. Learn more: https://go.microsoft.com/fwlink/?linkid=870924
Comment:
    Victor in Moxy</t>
      </text>
    </comment>
    <comment ref="BS124" authorId="131" shapeId="0" xr:uid="{FD2BC2E4-DFB7-4A42-840F-2B69065334FD}">
      <text>
        <t xml:space="preserve">[Threaded comment]
Your version of Excel allows you to read this threaded comment; however, any edits to it will get removed if the file is opened in a newer version of Excel. Learn more: https://go.microsoft.com/fwlink/?linkid=870924
Comment:
    5 men as per Job calc, paid every two weeks.
</t>
      </text>
    </comment>
    <comment ref="BV125" authorId="132" shapeId="0" xr:uid="{68572440-CDE8-4340-93BC-34FEE9D88124}">
      <text>
        <t>[Threaded comment]
Your version of Excel allows you to read this threaded comment; however, any edits to it will get removed if the file is opened in a newer version of Excel. Learn more: https://go.microsoft.com/fwlink/?linkid=870924
Comment:
    Ronan checking full value of Demitru plastering. Total is €204500</t>
      </text>
    </comment>
    <comment ref="T132" authorId="133" shapeId="0" xr:uid="{1A117732-13A5-455F-AAB5-94088F1C5AB3}">
      <text>
        <t>[Threaded comment]
Your version of Excel allows you to read this threaded comment; however, any edits to it will get removed if the file is opened in a newer version of Excel. Learn more: https://go.microsoft.com/fwlink/?linkid=870924
Comment:
    This is the gross pay so it accounts for the tax owed (as we have moved to zero)</t>
      </text>
    </comment>
    <comment ref="W132" authorId="134" shapeId="0" xr:uid="{E2F9D062-4B26-4374-B1B7-742DAE1491D1}">
      <text>
        <t>[Threaded comment]
Your version of Excel allows you to read this threaded comment; however, any edits to it will get removed if the file is opened in a newer version of Excel. Learn more: https://go.microsoft.com/fwlink/?linkid=870924
Comment:
    Originally we were anticipating paying out Early jan, but delayed start.</t>
      </text>
    </comment>
    <comment ref="AE132" authorId="135" shapeId="0" xr:uid="{A463F9E5-095E-414E-BE25-FA182EC9EE82}">
      <text>
        <t>[Threaded comment]
Your version of Excel allows you to read this threaded comment; however, any edits to it will get removed if the file is opened in a newer version of Excel. Learn more: https://go.microsoft.com/fwlink/?linkid=870924
Comment:
    Based on 900sqm done at 11 per  m.</t>
      </text>
    </comment>
    <comment ref="D133" authorId="136" shapeId="0" xr:uid="{96FAF2CB-F0DB-4F77-80C7-0AE21FD2A9F8}">
      <text>
        <t>[Threaded comment]
Your version of Excel allows you to read this threaded comment; however, any edits to it will get removed if the file is opened in a newer version of Excel. Learn more: https://go.microsoft.com/fwlink/?linkid=870924
Comment:
    7000 m @ 6.5</t>
      </text>
    </comment>
    <comment ref="U138" authorId="137" shapeId="0" xr:uid="{D0CC56DC-F4A3-48EE-BD90-9B6AC27E0479}">
      <text>
        <t>[Threaded comment]
Your version of Excel allows you to read this threaded comment; however, any edits to it will get removed if the file is opened in a newer version of Excel. Learn more: https://go.microsoft.com/fwlink/?linkid=870924
Comment:
    Tax due to be paid, RCT Euro24707, P30 Euro19343 = total 44050.  Credit with Revenue Euro10795</t>
      </text>
    </comment>
    <comment ref="V138" authorId="138" shapeId="0" xr:uid="{67DC8D49-525C-445E-9170-7ADEA45B5D30}">
      <text>
        <t>[Threaded comment]
Your version of Excel allows you to read this threaded comment; however, any edits to it will get removed if the file is opened in a newer version of Excel. Learn more: https://go.microsoft.com/fwlink/?linkid=870924
Comment:
    Is there more to come? I was forecasting 34k to come out for Revenue.</t>
      </text>
    </comment>
    <comment ref="AE138" authorId="139" shapeId="0" xr:uid="{EC91E6A9-021A-4D52-8F43-90213FDE049C}">
      <text>
        <t>[Threaded comment]
Your version of Excel allows you to read this threaded comment; however, any edits to it will get removed if the file is opened in a newer version of Excel. Learn more: https://go.microsoft.com/fwlink/?linkid=870924
Comment:
    Reducing tax bill in line with labour reduction.</t>
      </text>
    </comment>
    <comment ref="BA138" authorId="140" shapeId="0" xr:uid="{7A28E15C-7811-4B81-AF41-A6FC42227344}">
      <text>
        <t>[Threaded comment]
Your version of Excel allows you to read this threaded comment; however, any edits to it will get removed if the file is opened in a newer version of Excel. Learn more: https://go.microsoft.com/fwlink/?linkid=870924
Comment:
    Exact amount from ROS</t>
      </text>
    </comment>
    <comment ref="Y139" authorId="141" shapeId="0" xr:uid="{8D7B25F2-716F-4DA1-83EF-D8E2E4422328}">
      <text>
        <t>[Threaded comment]
Your version of Excel allows you to read this threaded comment; however, any edits to it will get removed if the file is opened in a newer version of Excel. Learn more: https://go.microsoft.com/fwlink/?linkid=870924
Comment:
    2419EURO has been demanded from Revenue, HAS BEEN OFFSET AGAINST THE vat REFUND FIGURE ABOVE</t>
      </text>
    </comment>
    <comment ref="BA139" authorId="142" shapeId="0" xr:uid="{6EA3A42C-1820-4CDD-B6DE-C2D101D5CE9D}">
      <text>
        <t>[Threaded comment]
Your version of Excel allows you to read this threaded comment; however, any edits to it will get removed if the file is opened in a newer version of Excel. Learn more: https://go.microsoft.com/fwlink/?linkid=870924
Comment:
    Exact amount from ROS</t>
      </text>
    </comment>
    <comment ref="J141" authorId="143" shapeId="0" xr:uid="{7D4CD877-897A-4845-A21D-691179E2B789}">
      <text>
        <t>[Threaded comment]
Your version of Excel allows you to read this threaded comment; however, any edits to it will get removed if the file is opened in a newer version of Excel. Learn more: https://go.microsoft.com/fwlink/?linkid=870924
Comment:
    Incl VAT</t>
      </text>
    </comment>
    <comment ref="V141" authorId="144" shapeId="0" xr:uid="{4EC312A4-55C0-4676-93B9-B6653B9A460F}">
      <text>
        <t>[Threaded comment]
Your version of Excel allows you to read this threaded comment; however, any edits to it will get removed if the file is opened in a newer version of Excel. Learn more: https://go.microsoft.com/fwlink/?linkid=870924
Comment:
    Bringing forward a payment to December</t>
      </text>
    </comment>
    <comment ref="AB144" authorId="145" shapeId="0" xr:uid="{AFDC189F-072B-402A-9A95-93F476AD53E2}">
      <text>
        <t xml:space="preserve">[Threaded comment]
Your version of Excel allows you to read this threaded comment; however, any edits to it will get removed if the file is opened in a newer version of Excel. Learn more: https://go.microsoft.com/fwlink/?linkid=870924
Comment:
    Increase for new fleet, incl Jason maybe.
</t>
      </text>
    </comment>
    <comment ref="I145" authorId="146" shapeId="0" xr:uid="{8286BBEA-1AD4-43B6-A5A2-34DA9714A51A}">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AO146" authorId="147" shapeId="0" xr:uid="{E1027F7B-89B7-4837-BF54-E4D6CA763984}">
      <text>
        <t>[Threaded comment]
Your version of Excel allows you to read this threaded comment; however, any edits to it will get removed if the file is opened in a newer version of Excel. Learn more: https://go.microsoft.com/fwlink/?linkid=870924
Comment:
    8th May</t>
      </text>
    </comment>
    <comment ref="AE148" authorId="148" shapeId="0" xr:uid="{1EFD9D0B-4BB4-46C9-9761-52AB60D9EA2E}">
      <text>
        <t xml:space="preserve">[Threaded comment]
Your version of Excel allows you to read this threaded comment; however, any edits to it will get removed if the file is opened in a newer version of Excel. Learn more: https://go.microsoft.com/fwlink/?linkid=870924
Comment:
    Jan and Feb amount owed to Liam going from 513pm to 600pm for his fees.
</t>
      </text>
    </comment>
    <comment ref="AL150" authorId="149" shapeId="0" xr:uid="{A98B79B6-F348-4E70-9DB9-5CDDCC9AE3C5}">
      <text>
        <t>[Threaded comment]
Your version of Excel allows you to read this threaded comment; however, any edits to it will get removed if the file is opened in a newer version of Excel. Learn more: https://go.microsoft.com/fwlink/?linkid=870924
Comment:
    No payment in March?</t>
      </text>
    </comment>
    <comment ref="Y151" authorId="150" shapeId="0" xr:uid="{1C7BD21C-877F-4071-A7AB-94D19D6AF50F}">
      <text>
        <t>[Threaded comment]
Your version of Excel allows you to read this threaded comment; however, any edits to it will get removed if the file is opened in a newer version of Excel. Learn more: https://go.microsoft.com/fwlink/?linkid=870924
Comment:
    Moved from second week Jan</t>
      </text>
    </comment>
    <comment ref="AJ151" authorId="151" shapeId="0" xr:uid="{33B32267-5BDF-4C4E-BB74-9C6834B51E34}">
      <text>
        <t>[Threaded comment]
Your version of Excel allows you to read this threaded comment; however, any edits to it will get removed if the file is opened in a newer version of Excel. Learn more: https://go.microsoft.com/fwlink/?linkid=870924
Comment:
    Brought forward by two weeks and paid.</t>
      </text>
    </comment>
    <comment ref="AT151" authorId="152" shapeId="0" xr:uid="{70706380-2B56-471D-A31E-E8BC1A89E9FA}">
      <text>
        <t>[Threaded comment]
Your version of Excel allows you to read this threaded comment; however, any edits to it will get removed if the file is opened in a newer version of Excel. Learn more: https://go.microsoft.com/fwlink/?linkid=870924
Comment:
    This is March and April figures due.</t>
      </text>
    </comment>
    <comment ref="AY151" authorId="153" shapeId="0" xr:uid="{C2DA4EB9-519A-42DA-9EBC-C5DCACB76A4C}">
      <text>
        <t>[Threaded comment]
Your version of Excel allows you to read this threaded comment; however, any edits to it will get removed if the file is opened in a newer version of Excel. Learn more: https://go.microsoft.com/fwlink/?linkid=870924
Comment:
    Holding number for May figure due 23rd June.</t>
      </text>
    </comment>
    <comment ref="BL151" authorId="154" shapeId="0" xr:uid="{4EF947C5-8E0B-4F6A-A351-104DA699A29F}">
      <text>
        <t>[Threaded comment]
Your version of Excel allows you to read this threaded comment; however, any edits to it will get removed if the file is opened in a newer version of Excel. Learn more: https://go.microsoft.com/fwlink/?linkid=870924
Comment:
    Weeks 27 to 30 inclusive.</t>
      </text>
    </comment>
    <comment ref="BT151" authorId="155" shapeId="0" xr:uid="{4F4A1F42-97D6-42AD-B7B7-073CEE043BBB}">
      <text>
        <t>[Threaded comment]
Your version of Excel allows you to read this threaded comment; however, any edits to it will get removed if the file is opened in a newer version of Excel. Learn more: https://go.microsoft.com/fwlink/?linkid=870924
Comment:
    Weeks 31 to 35 inclusive</t>
      </text>
    </comment>
    <comment ref="BV151" authorId="156" shapeId="0" xr:uid="{B96EB76C-09CD-454C-A69E-46454B7BFA67}">
      <text>
        <t>[Threaded comment]
Your version of Excel allows you to read this threaded comment; however, any edits to it will get removed if the file is opened in a newer version of Excel. Learn more: https://go.microsoft.com/fwlink/?linkid=870924
Comment:
    Week 36 to 39 inclusive</t>
      </text>
    </comment>
    <comment ref="C152" authorId="157" shapeId="0" xr:uid="{A326A2A1-C6DB-4230-BF90-1DE88BC677CF}">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J152" authorId="158" shapeId="0" xr:uid="{400FB500-8F31-40A4-B877-91EF1CDB8AD7}">
      <text>
        <t>[Threaded comment]
Your version of Excel allows you to read this threaded comment; however, any edits to it will get removed if the file is opened in a newer version of Excel. Learn more: https://go.microsoft.com/fwlink/?linkid=870924
Comment:
    September payment</t>
      </text>
    </comment>
    <comment ref="Y152" authorId="159" shapeId="0" xr:uid="{E1105D3E-003A-45BA-855A-A74481CBAA5B}">
      <text>
        <t xml:space="preserve">[Threaded comment]
Your version of Excel allows you to read this threaded comment; however, any edits to it will get removed if the file is opened in a newer version of Excel. Learn more: https://go.microsoft.com/fwlink/?linkid=870924
Comment:
    Moved from first week January </t>
      </text>
    </comment>
    <comment ref="N153" authorId="160" shapeId="0" xr:uid="{988686B9-8475-44A9-8247-B500A17D0BD3}">
      <text>
        <t xml:space="preserve">[Threaded comment]
Your version of Excel allows you to read this threaded comment; however, any edits to it will get removed if the file is opened in a newer version of Excel. Learn more: https://go.microsoft.com/fwlink/?linkid=870924
Comment:
    Move to next week.
</t>
      </text>
    </comment>
    <comment ref="K155" authorId="161" shapeId="0" xr:uid="{51350B0D-B130-486F-8687-1D0DE458F867}">
      <text>
        <t>[Threaded comment]
Your version of Excel allows you to read this threaded comment; however, any edits to it will get removed if the file is opened in a newer version of Excel. Learn more: https://go.microsoft.com/fwlink/?linkid=870924
Comment:
    Check to make sure this is a credit card payment</t>
      </text>
    </comment>
    <comment ref="BB155" authorId="162" shapeId="0" xr:uid="{1F22B76C-8091-49EF-ADF8-BFCC22E56FFF}">
      <text>
        <t>[Threaded comment]
Your version of Excel allows you to read this threaded comment; however, any edits to it will get removed if the file is opened in a newer version of Excel. Learn more: https://go.microsoft.com/fwlink/?linkid=870924
Comment:
    Interim payment of 1,000 was made but then the full DD also came out.</t>
      </text>
    </comment>
    <comment ref="T156" authorId="163" shapeId="0" xr:uid="{3EB7B189-0048-4BC9-BCA7-C1B8F845DF72}">
      <text>
        <t>[Threaded comment]
Your version of Excel allows you to read this threaded comment; however, any edits to it will get removed if the file is opened in a newer version of Excel. Learn more: https://go.microsoft.com/fwlink/?linkid=870924
Comment:
    Quarterly overdraft interest (estimated)</t>
      </text>
    </comment>
    <comment ref="X162" authorId="164" shapeId="0" xr:uid="{D1E0FB6D-E0BC-4B48-84B8-3A7AE2CC95A0}">
      <text>
        <t xml:space="preserve">[Threaded comment]
Your version of Excel allows you to read this threaded comment; however, any edits to it will get removed if the file is opened in a newer version of Excel. Learn more: https://go.microsoft.com/fwlink/?linkid=870924
Comment:
    Darcy McGees
</t>
      </text>
    </comment>
    <comment ref="Z162" authorId="165" shapeId="0" xr:uid="{4E69939D-D470-4C4D-91DB-BE4E57684AB8}">
      <text>
        <t>[Threaded comment]
Your version of Excel allows you to read this threaded comment; however, any edits to it will get removed if the file is opened in a newer version of Excel. Learn more: https://go.microsoft.com/fwlink/?linkid=870924
Comment:
    Keoghs Café, Halfords</t>
      </text>
    </comment>
    <comment ref="AA162" authorId="166" shapeId="0" xr:uid="{82294C2D-3324-4194-AB63-8B1085272399}">
      <text>
        <t>[Threaded comment]
Your version of Excel allows you to read this threaded comment; however, any edits to it will get removed if the file is opened in a newer version of Excel. Learn more: https://go.microsoft.com/fwlink/?linkid=870924
Comment:
    Halfords,</t>
      </text>
    </comment>
    <comment ref="AD162" authorId="167" shapeId="0" xr:uid="{24457720-FDED-40BC-A97D-D5CAD8E3BF44}">
      <text>
        <t>[Threaded comment]
Your version of Excel allows you to read this threaded comment; however, any edits to it will get removed if the file is opened in a newer version of Excel. Learn more: https://go.microsoft.com/fwlink/?linkid=870924
Comment:
    Keoghs</t>
      </text>
    </comment>
    <comment ref="AE162" authorId="168" shapeId="0" xr:uid="{38FEDF01-08FC-4946-981C-B59637049FDF}">
      <text>
        <t xml:space="preserve">[Threaded comment]
Your version of Excel allows you to read this threaded comment; however, any edits to it will get removed if the file is opened in a newer version of Excel. Learn more: https://go.microsoft.com/fwlink/?linkid=870924
Comment:
    Keogh's
</t>
      </text>
    </comment>
    <comment ref="AH162" authorId="169" shapeId="0" xr:uid="{461FF06E-2121-4F1F-BAEF-643F1E05D054}">
      <text>
        <t xml:space="preserve">[Threaded comment]
Your version of Excel allows you to read this threaded comment; however, any edits to it will get removed if the file is opened in a newer version of Excel. Learn more: https://go.microsoft.com/fwlink/?linkid=870924
Comment:
    CEX phone for Dave, Supervalu, </t>
      </text>
    </comment>
    <comment ref="AI162" authorId="170" shapeId="0" xr:uid="{FFAE81C2-F2BC-4F27-BB46-65C5669077B6}">
      <text>
        <t>[Threaded comment]
Your version of Excel allows you to read this threaded comment; however, any edits to it will get removed if the file is opened in a newer version of Excel. Learn more: https://go.microsoft.com/fwlink/?linkid=870924
Comment:
    Darcy McGees</t>
      </text>
    </comment>
    <comment ref="AJ162" authorId="171" shapeId="0" xr:uid="{177FB2F5-9FB9-4A8D-A746-3A91ADD14CA9}">
      <text>
        <t>[Threaded comment]
Your version of Excel allows you to read this threaded comment; however, any edits to it will get removed if the file is opened in a newer version of Excel. Learn more: https://go.microsoft.com/fwlink/?linkid=870924
Comment:
    Eurolink, Westward, Home Store, B&amp;"</t>
      </text>
    </comment>
    <comment ref="AL162" authorId="172" shapeId="0" xr:uid="{BDB88A77-78C4-4880-94C1-BCEF76B5E24B}">
      <text>
        <t>[Threaded comment]
Your version of Excel allows you to read this threaded comment; however, any edits to it will get removed if the file is opened in a newer version of Excel. Learn more: https://go.microsoft.com/fwlink/?linkid=870924
Comment:
    Woodies</t>
      </text>
    </comment>
    <comment ref="AM162" authorId="173" shapeId="0" xr:uid="{7E60F655-F28F-498C-9B42-524E00A2BBFB}">
      <text>
        <t>[Threaded comment]
Your version of Excel allows you to read this threaded comment; however, any edits to it will get removed if the file is opened in a newer version of Excel. Learn more: https://go.microsoft.com/fwlink/?linkid=870924
Comment:
    Ivan Rome</t>
      </text>
    </comment>
    <comment ref="AN162" authorId="174" shapeId="0" xr:uid="{3381229C-02D1-4E92-9539-38FC1ED62953}">
      <text>
        <t xml:space="preserve">[Threaded comment]
Your version of Excel allows you to read this threaded comment; however, any edits to it will get removed if the file is opened in a newer version of Excel. Learn more: https://go.microsoft.com/fwlink/?linkid=870924
Comment:
    250 Ivan repaid withdrawal
101.34 paid to Dave for Punchestown
</t>
      </text>
    </comment>
    <comment ref="AR162" authorId="175" shapeId="0" xr:uid="{7598FE95-47AA-4C6A-8695-74704A79E65D}">
      <text>
        <t>[Threaded comment]
Your version of Excel allows you to read this threaded comment; however, any edits to it will get removed if the file is opened in a newer version of Excel. Learn more: https://go.microsoft.com/fwlink/?linkid=870924
Comment:
    Revolut charge</t>
      </text>
    </comment>
    <comment ref="AV162" authorId="176" shapeId="0" xr:uid="{B7FD4887-90ED-42CA-8554-9C15884DDFFF}">
      <text>
        <t>[Threaded comment]
Your version of Excel allows you to read this threaded comment; however, any edits to it will get removed if the file is opened in a newer version of Excel. Learn more: https://go.microsoft.com/fwlink/?linkid=870924
Comment:
    Ballinteer House</t>
      </text>
    </comment>
    <comment ref="AZ162" authorId="177" shapeId="0" xr:uid="{F1750365-9FE0-4F14-911D-6B32C51E04AF}">
      <text>
        <t>[Threaded comment]
Your version of Excel allows you to read this threaded comment; however, any edits to it will get removed if the file is opened in a newer version of Excel. Learn more: https://go.microsoft.com/fwlink/?linkid=870924
Comment:
    An Post</t>
      </text>
    </comment>
    <comment ref="BL162" authorId="178" shapeId="0" xr:uid="{9B857B88-75BF-4AE4-A1D6-EAAA03E9182D}">
      <text>
        <t>[Threaded comment]
Your version of Excel allows you to read this threaded comment; however, any edits to it will get removed if the file is opened in a newer version of Excel. Learn more: https://go.microsoft.com/fwlink/?linkid=870924
Comment:
    O’Connor roofing</t>
      </text>
    </comment>
    <comment ref="Q163" authorId="179" shapeId="0" xr:uid="{2E32C8B0-2E86-47BB-9328-B3931E6FD296}">
      <text>
        <t>[Threaded comment]
Your version of Excel allows you to read this threaded comment; however, any edits to it will get removed if the file is opened in a newer version of Excel. Learn more: https://go.microsoft.com/fwlink/?linkid=870924
Comment:
    Invoice dated 26.10 IFIT01</t>
      </text>
    </comment>
    <comment ref="BL163" authorId="180" shapeId="0" xr:uid="{72067B71-49BC-4028-A5B6-C7C8F6123B4A}">
      <text>
        <t>[Threaded comment]
Your version of Excel allows you to read this threaded comment; however, any edits to it will get removed if the file is opened in a newer version of Excel. Learn more: https://go.microsoft.com/fwlink/?linkid=870924
Comment:
    Invoice ref CAC02470 and CAC02435</t>
      </text>
    </comment>
    <comment ref="BN163" authorId="181" shapeId="0" xr:uid="{FEAE08F2-4289-49EB-917E-88C2227C21AB}">
      <text>
        <t>[Threaded comment]
Your version of Excel allows you to read this threaded comment; however, any edits to it will get removed if the file is opened in a newer version of Excel. Learn more: https://go.microsoft.com/fwlink/?linkid=870924
Comment:
    Ref CAC02477</t>
      </text>
    </comment>
    <comment ref="BR163" authorId="182" shapeId="0" xr:uid="{E07AFEF5-9A98-49B7-80EB-36A8FC42A134}">
      <text>
        <t>[Threaded comment]
Your version of Excel allows you to read this threaded comment; however, any edits to it will get removed if the file is opened in a newer version of Excel. Learn more: https://go.microsoft.com/fwlink/?linkid=870924
Comment:
    Invoice ref CAC02470 and CAC02435, CAC02477</t>
      </text>
    </comment>
    <comment ref="BW163" authorId="183" shapeId="0" xr:uid="{1BE5952A-2F53-41C3-B178-26E43D57D1E6}">
      <text>
        <t>[Threaded comment]
Your version of Excel allows you to read this threaded comment; however, any edits to it will get removed if the file is opened in a newer version of Excel. Learn more: https://go.microsoft.com/fwlink/?linkid=870924
Comment:
    Invoice ref CAC02470 and CAC02435, CAC02477</t>
      </text>
    </comment>
    <comment ref="P165" authorId="184" shapeId="0" xr:uid="{FF823E79-0BC5-4AAF-838B-2C490E429B35}">
      <text>
        <t>[Threaded comment]
Your version of Excel allows you to read this threaded comment; however, any edits to it will get removed if the file is opened in a newer version of Excel. Learn more: https://go.microsoft.com/fwlink/?linkid=870924
Comment:
    Cost of tape and bank fee</t>
      </text>
    </comment>
    <comment ref="BT166" authorId="185" shapeId="0" xr:uid="{BE7E5199-B7BC-4187-B457-ECF14BCC7B5C}">
      <text>
        <t>[Threaded comment]
Your version of Excel allows you to read this threaded comment; however, any edits to it will get removed if the file is opened in a newer version of Excel. Learn more: https://go.microsoft.com/fwlink/?linkid=870924
Comment:
    Week 36 to 44</t>
      </text>
    </comment>
    <comment ref="BA172" authorId="186" shapeId="0" xr:uid="{47E97047-C953-40DD-8434-85896F0039AF}">
      <text>
        <t>[Threaded comment]
Your version of Excel allows you to read this threaded comment; however, any edits to it will get removed if the file is opened in a newer version of Excel. Learn more: https://go.microsoft.com/fwlink/?linkid=870924
Comment:
    Invoice no 2024 1096</t>
      </text>
    </comment>
    <comment ref="BA183" authorId="187" shapeId="0" xr:uid="{9B7E8F75-A4F2-41F1-BAA0-B88731A5A1E7}">
      <text>
        <t>[Threaded comment]
Your version of Excel allows you to read this threaded comment; however, any edits to it will get removed if the file is opened in a newer version of Excel. Learn more: https://go.microsoft.com/fwlink/?linkid=870924
Comment:
    To Pay Chadwicks on account Atradius and wages</t>
      </text>
    </comment>
    <comment ref="AR189" authorId="188" shapeId="0" xr:uid="{24BEE62C-DA7E-43D1-BFF7-210D04686A8C}">
      <text>
        <t>[Threaded comment]
Your version of Excel allows you to read this threaded comment; however, any edits to it will get removed if the file is opened in a newer version of Excel. Learn more: https://go.microsoft.com/fwlink/?linkid=870924
Comment:
    25k payment moved to December</t>
      </text>
    </comment>
    <comment ref="AV189" authorId="189" shapeId="0" xr:uid="{7642F35D-186E-4E02-BA79-E95A97C6677C}">
      <text>
        <t>[Threaded comment]
Your version of Excel allows you to read this threaded comment; however, any edits to it will get removed if the file is opened in a newer version of Excel. Learn more: https://go.microsoft.com/fwlink/?linkid=870924
Comment:
    120k payment moved to December</t>
      </text>
    </comment>
    <comment ref="BB189" authorId="190" shapeId="0" xr:uid="{0ACD79C5-741D-430B-BC02-A162540E48B6}">
      <text>
        <t xml:space="preserve">[Threaded comment]
Your version of Excel allows you to read this threaded comment; however, any edits to it will get removed if the file is opened in a newer version of Excel. Learn more: https://go.microsoft.com/fwlink/?linkid=870924
Comment:
    Paid 8.8.24 </t>
      </text>
    </comment>
    <comment ref="AS190" authorId="191" shapeId="0" xr:uid="{F4531B25-E7A4-4A09-A35A-ED14C127CB3F}">
      <text>
        <t xml:space="preserve">[Threaded comment]
Your version of Excel allows you to read this threaded comment; however, any edits to it will get removed if the file is opened in a newer version of Excel. Learn more: https://go.microsoft.com/fwlink/?linkid=870924
Comment:
    Last of Mayweather investment </t>
      </text>
    </comment>
    <comment ref="G192" authorId="192" shapeId="0" xr:uid="{B3F11552-D680-4DE3-A32A-86D7DBB2ABFA}">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R192" authorId="193" shapeId="0" xr:uid="{7F39BCC3-8198-4D21-879A-85719CD868C5}">
      <text>
        <t>[Threaded comment]
Your version of Excel allows you to read this threaded comment; however, any edits to it will get removed if the file is opened in a newer version of Excel. Learn more: https://go.microsoft.com/fwlink/?linkid=870924
Comment:
    Payment made 27.11</t>
      </text>
    </comment>
    <comment ref="AX192" authorId="194" shapeId="0" xr:uid="{0FA8EB69-AF5B-4211-A3B0-464B548BBA82}">
      <text>
        <t xml:space="preserve">[Threaded comment]
Your version of Excel allows you to read this threaded comment; however, any edits to it will get removed if the file is opened in a newer version of Excel. Learn more: https://go.microsoft.com/fwlink/?linkid=870924
Comment:
    Estimate in addition to Beach Rd
</t>
      </text>
    </comment>
    <comment ref="BA192" authorId="195" shapeId="0" xr:uid="{E28F3498-EEC5-4BD8-9C19-EB290EA62192}">
      <text>
        <t>[Threaded comment]
Your version of Excel allows you to read this threaded comment; however, any edits to it will get removed if the file is opened in a newer version of Excel. Learn more: https://go.microsoft.com/fwlink/?linkid=870924
Comment:
20k paid on account 24.7</t>
      </text>
    </comment>
    <comment ref="BE192" authorId="196" shapeId="0" xr:uid="{12A8B8A8-DA4E-4394-9864-1547E1E0C382}">
      <text>
        <t>[Threaded comment]
Your version of Excel allows you to read this threaded comment; however, any edits to it will get removed if the file is opened in a newer version of Excel. Learn more: https://go.microsoft.com/fwlink/?linkid=870924
Comment:
    Interim pmnt made to allow Ronan order exterior render</t>
      </text>
    </comment>
    <comment ref="BH192" authorId="197" shapeId="0" xr:uid="{FDBFF0A2-E6AA-4216-AAC1-EE632444F2F3}">
      <text>
        <t>[Threaded comment]
Your version of Excel allows you to read this threaded comment; however, any edits to it will get removed if the file is opened in a newer version of Excel. Learn more: https://go.microsoft.com/fwlink/?linkid=870924
Comment:
    Actual balance owing</t>
      </text>
    </comment>
    <comment ref="BO192" authorId="198" shapeId="0" xr:uid="{04D3A465-B31C-41F5-B5D1-C86327DB4628}">
      <text>
        <t xml:space="preserve">[Threaded comment]
Your version of Excel allows you to read this threaded comment; however, any edits to it will get removed if the file is opened in a newer version of Excel. Learn more: https://go.microsoft.com/fwlink/?linkid=870924
Comment:
    Estimate in addition to Beach Rd
</t>
      </text>
    </comment>
    <comment ref="M193" authorId="199" shapeId="0" xr:uid="{4215E7F0-2876-428E-9435-4B8CF7602E36}">
      <text>
        <t xml:space="preserve">[Threaded comment]
Your version of Excel allows you to read this threaded comment; however, any edits to it will get removed if the file is opened in a newer version of Excel. Learn more: https://go.microsoft.com/fwlink/?linkid=870924
Comment:
    SIG bal as at 22.09 plus materials for Rhenus. Total was 44k, paid 30k early 17.10  </t>
      </text>
    </comment>
    <comment ref="Q193" authorId="200" shapeId="0" xr:uid="{92DDC508-5631-4F6D-B591-523616723AB6}">
      <text>
        <t>[Threaded comment]
Your version of Excel allows you to read this threaded comment; however, any edits to it will get removed if the file is opened in a newer version of Excel. Learn more: https://go.microsoft.com/fwlink/?linkid=870924
Comment:
    Amounts paid</t>
      </text>
    </comment>
    <comment ref="S193" authorId="201" shapeId="0" xr:uid="{F0DE6AD8-26CE-49D3-AA1E-7D0548D5246F}">
      <text>
        <t>[Threaded comment]
Your version of Excel allows you to read this threaded comment; however, any edits to it will get removed if the file is opened in a newer version of Excel. Learn more: https://go.microsoft.com/fwlink/?linkid=870924
Comment:
    This assumes we will use all our credit line with SIG.
5k paid early 9th Nov and 5k paid early on 15th Nov and 20th Nov, to allow us more credit.</t>
      </text>
    </comment>
    <comment ref="W193" authorId="202" shapeId="0" xr:uid="{A96F5320-F40A-49AF-9A88-38284D0556E8}">
      <text>
        <t xml:space="preserve">[Threaded comment]
Your version of Excel allows you to read this threaded comment; however, any edits to it will get removed if the file is opened in a newer version of Excel. Learn more: https://go.microsoft.com/fwlink/?linkid=870924
Comment:
    Estimated balance
</t>
      </text>
    </comment>
    <comment ref="AO193" authorId="203" shapeId="0" xr:uid="{323F884A-66F5-4F65-9CE1-FBA563B75E4D}">
      <text>
        <t>[Threaded comment]
Your version of Excel allows you to read this threaded comment; however, any edits to it will get removed if the file is opened in a newer version of Excel. Learn more: https://go.microsoft.com/fwlink/?linkid=870924
Comment:
    Figure up to 15th March, therefore more orders will be placed by end of March.</t>
      </text>
    </comment>
    <comment ref="AW193" authorId="204" shapeId="0" xr:uid="{193A28CC-C022-4CEF-92B4-253C8B153D48}">
      <text>
        <t>[Threaded comment]
Your version of Excel allows you to read this threaded comment; however, any edits to it will get removed if the file is opened in a newer version of Excel. Learn more: https://go.microsoft.com/fwlink/?linkid=870924
Comment:
    Overpaid by 10k as we made an early payment also.</t>
      </text>
    </comment>
    <comment ref="BB193" authorId="205" shapeId="0" xr:uid="{69EE2492-4147-4FFD-9FB1-DE1B87A43305}">
      <text>
        <t>[Threaded comment]
Your version of Excel allows you to read this threaded comment; however, any edits to it will get removed if the file is opened in a newer version of Excel. Learn more: https://go.microsoft.com/fwlink/?linkid=870924
Comment:
    €70,013 is amount owing for end of July (first week Auguse) however I overpaid in July by 10k, I made an early payment of 10k but didn’t take this into account when paying €36935 on 7 July.</t>
      </text>
    </comment>
    <comment ref="BH193" authorId="206" shapeId="0" xr:uid="{3CECA425-51AC-4773-8EBB-E27E0043A8AF}">
      <text>
        <t>[Threaded comment]
Your version of Excel allows you to read this threaded comment; however, any edits to it will get removed if the file is opened in a newer version of Excel. Learn more: https://go.microsoft.com/fwlink/?linkid=870924
Comment:
    All June orders as per statement from Deirdre.</t>
      </text>
    </comment>
    <comment ref="N194" authorId="207" shapeId="0" xr:uid="{DC0DB3A0-23FD-475E-AC07-08BE3ED3AE53}">
      <text>
        <t>[Threaded comment]
Your version of Excel allows you to read this threaded comment; however, any edits to it will get removed if the file is opened in a newer version of Excel. Learn more: https://go.microsoft.com/fwlink/?linkid=870924
Comment:
    Payment made for cash delivery</t>
      </text>
    </comment>
    <comment ref="Q194" authorId="208" shapeId="0" xr:uid="{640ADE95-5CDE-4E9C-A972-C0D1A97A582C}">
      <text>
        <t>[Threaded comment]
Your version of Excel allows you to read this threaded comment; however, any edits to it will get removed if the file is opened in a newer version of Excel. Learn more: https://go.microsoft.com/fwlink/?linkid=870924
Comment:
    Pyment on account</t>
      </text>
    </comment>
    <comment ref="V194" authorId="209" shapeId="0" xr:uid="{2C2817E1-03A1-4F4F-BBBF-99B3F82BEE3F}">
      <text>
        <t>[Threaded comment]
Your version of Excel allows you to read this threaded comment; however, any edits to it will get removed if the file is opened in a newer version of Excel. Learn more: https://go.microsoft.com/fwlink/?linkid=870924
Comment:
    Two orders placed for Belmayne and Rhenus</t>
      </text>
    </comment>
    <comment ref="AH194" authorId="210" shapeId="0" xr:uid="{7F18E170-242E-4CA1-9D5A-2F6B6144C2D6}">
      <text>
        <t>[Threaded comment]
Your version of Excel allows you to read this threaded comment; however, any edits to it will get removed if the file is opened in a newer version of Excel. Learn more: https://go.microsoft.com/fwlink/?linkid=870924
Comment:
    Refund</t>
      </text>
    </comment>
    <comment ref="AJ194" authorId="211" shapeId="0" xr:uid="{74898A98-FBEE-4D4E-AEF5-D0C9A546A112}">
      <text>
        <t xml:space="preserve">[Threaded comment]
Your version of Excel allows you to read this threaded comment; however, any edits to it will get removed if the file is opened in a newer version of Excel. Learn more: https://go.microsoft.com/fwlink/?linkid=870924
Comment:
    Holding figure
</t>
      </text>
    </comment>
    <comment ref="BC194" authorId="212" shapeId="0" xr:uid="{4CFAA8FA-B94B-4802-9BF2-B86507842283}">
      <text>
        <t>[Threaded comment]
Your version of Excel allows you to read this threaded comment; however, any edits to it will get removed if the file is opened in a newer version of Excel. Learn more: https://go.microsoft.com/fwlink/?linkid=870924
Comment:
    Interim payment as hitting limit</t>
      </text>
    </comment>
    <comment ref="BF194" authorId="213" shapeId="0" xr:uid="{BEDCFC34-B098-46C8-9B38-EAC2793187B1}">
      <text>
        <t>[Threaded comment]
Your version of Excel allows you to read this threaded comment; however, any edits to it will get removed if the file is opened in a newer version of Excel. Learn more: https://go.microsoft.com/fwlink/?linkid=870924
Comment:
    Interim payment as hitting limit</t>
      </text>
    </comment>
    <comment ref="BH194" authorId="214" shapeId="0" xr:uid="{6C2ACD81-A196-4ADC-886B-5FCA04FE90A7}">
      <text>
        <t xml:space="preserve">[Threaded comment]
Your version of Excel allows you to read this threaded comment; however, any edits to it will get removed if the file is opened in a newer version of Excel. Learn more: https://go.microsoft.com/fwlink/?linkid=870924
Comment:
    Actual July orders minus interim payment of 10000
.
</t>
      </text>
    </comment>
    <comment ref="AJ195" authorId="215" shapeId="0" xr:uid="{6A50B4D4-3343-4DBA-9DFD-18B5D23A50F4}">
      <text>
        <t>[Threaded comment]
Your version of Excel allows you to read this threaded comment; however, any edits to it will get removed if the file is opened in a newer version of Excel. Learn more: https://go.microsoft.com/fwlink/?linkid=870924
Comment:
    As per statement received 20.3</t>
      </text>
    </comment>
    <comment ref="AQ195" authorId="216" shapeId="0" xr:uid="{ACDC9541-7DA7-4AB0-BF24-7B875D6696BA}">
      <text>
        <t>[Threaded comment]
Your version of Excel allows you to read this threaded comment; however, any edits to it will get removed if the file is opened in a newer version of Excel. Learn more: https://go.microsoft.com/fwlink/?linkid=870924
Comment:
    As per statement received 20.03, most likely more orders will go on by end March for April payment.</t>
      </text>
    </comment>
    <comment ref="AV195" authorId="217" shapeId="0" xr:uid="{6FA86A87-A6DA-46FD-B33C-C07099551375}">
      <text>
        <t xml:space="preserve">[Threaded comment]
Your version of Excel allows you to read this threaded comment; however, any edits to it will get removed if the file is opened in a newer version of Excel. Learn more: https://go.microsoft.com/fwlink/?linkid=870924
Comment:
    Refer to email received from Jeanette on 1 May </t>
      </text>
    </comment>
    <comment ref="AY195" authorId="218" shapeId="0" xr:uid="{50204DB5-4E58-46F3-8DC1-7F1BB332D8AF}">
      <text>
        <t xml:space="preserve">[Threaded comment]
Your version of Excel allows you to read this threaded comment; however, any edits to it will get removed if the file is opened in a newer version of Excel. Learn more: https://go.microsoft.com/fwlink/?linkid=870924
Comment:
    Statement figure for May purchases
</t>
      </text>
    </comment>
    <comment ref="BB195" authorId="219" shapeId="0" xr:uid="{214CBCC8-0A40-428C-848E-B49A28DF41FD}">
      <text>
        <t>[Threaded comment]
Your version of Excel allows you to read this threaded comment; however, any edits to it will get removed if the file is opened in a newer version of Excel. Learn more: https://go.microsoft.com/fwlink/?linkid=870924
Comment:
    June purchases, figure from statement</t>
      </text>
    </comment>
    <comment ref="J196" authorId="220" shapeId="0" xr:uid="{FB240670-80FD-48A1-A70E-745CE3793850}">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R196" authorId="221" shapeId="0" xr:uid="{62C16E6E-7891-4DD6-8DBC-B393BD15B8AA}">
      <text>
        <t>[Threaded comment]
Your version of Excel allows you to read this threaded comment; however, any edits to it will get removed if the file is opened in a newer version of Excel. Learn more: https://go.microsoft.com/fwlink/?linkid=870924
Comment:
    Paid 27.11</t>
      </text>
    </comment>
    <comment ref="BH196" authorId="222" shapeId="0" xr:uid="{50931BEB-58E6-416D-9CC1-8457C3D0F8E2}">
      <text>
        <t>[Threaded comment]
Your version of Excel allows you to read this threaded comment; however, any edits to it will get removed if the file is opened in a newer version of Excel. Learn more: https://go.microsoft.com/fwlink/?linkid=870924
Comment:
    Up to 26.7</t>
      </text>
    </comment>
    <comment ref="BA197" authorId="223" shapeId="0" xr:uid="{A4581195-6660-4F32-979D-69B579F2E0BF}">
      <text>
        <t>[Threaded comment]
Your version of Excel allows you to read this threaded comment; however, any edits to it will get removed if the file is opened in a newer version of Excel. Learn more: https://go.microsoft.com/fwlink/?linkid=870924
Comment:
    New trading agreement, orders placed in June</t>
      </text>
    </comment>
    <comment ref="BH197" authorId="224" shapeId="0" xr:uid="{337DF17B-8A22-4051-AA57-882D8290D0AE}">
      <text>
        <t>[Threaded comment]
Your version of Excel allows you to read this threaded comment; however, any edits to it will get removed if the file is opened in a newer version of Excel. Learn more: https://go.microsoft.com/fwlink/?linkid=870924
Comment:
    Holding number</t>
      </text>
    </comment>
    <comment ref="BC198" authorId="225" shapeId="0" xr:uid="{6E45F2A6-6D9F-4836-A101-978C413B8CDC}">
      <text>
        <t>[Threaded comment]
Your version of Excel allows you to read this threaded comment; however, any edits to it will get removed if the file is opened in a newer version of Excel. Learn more: https://go.microsoft.com/fwlink/?linkid=870924
Comment:
    Check with Ivan and see if we can get credit.</t>
      </text>
    </comment>
    <comment ref="BG198" authorId="226" shapeId="0" xr:uid="{D50FBBA6-AE7D-4737-83B8-A008985D9EA3}">
      <text>
        <t xml:space="preserve">[Threaded comment]
Your version of Excel allows you to read this threaded comment; however, any edits to it will get removed if the file is opened in a newer version of Excel. Learn more: https://go.microsoft.com/fwlink/?linkid=870924
Comment:
    Eurospec 1 of the 8 balcony elevations materials
</t>
      </text>
    </comment>
    <comment ref="BO198" authorId="227" shapeId="0" xr:uid="{E693C33D-A3EE-4CBE-972E-345B77C864EF}">
      <text>
        <t>[Threaded comment]
Your version of Excel allows you to read this threaded comment; however, any edits to it will get removed if the file is opened in a newer version of Excel. Learn more: https://go.microsoft.com/fwlink/?linkid=870924
Comment:
    Remaining 3 elevations = Eurospec materials</t>
      </text>
    </comment>
    <comment ref="BZ198" authorId="228" shapeId="0" xr:uid="{6BA59DAF-4FB9-455F-BE9F-EA3C2E2F7A5B}">
      <text>
        <t>[Threaded comment]
Your version of Excel allows you to read this threaded comment; however, any edits to it will get removed if the file is opened in a newer version of Excel. Learn more: https://go.microsoft.com/fwlink/?linkid=870924
Comment:
    All orders in October 30 days credit</t>
      </text>
    </comment>
    <comment ref="BO200" authorId="229" shapeId="0" xr:uid="{2D5292D9-91E8-41A2-BDD8-B1378B371426}">
      <text>
        <t>[Threaded comment]
Your version of Excel allows you to read this threaded comment; however, any edits to it will get removed if the file is opened in a newer version of Excel. Learn more: https://go.microsoft.com/fwlink/?linkid=870924
Comment:
    Beach road materials. Invoice 0064712</t>
      </text>
    </comment>
    <comment ref="R201" authorId="230" shapeId="0" xr:uid="{32D830D8-1984-4341-9600-BE87382376BE}">
      <text>
        <t>[Threaded comment]
Your version of Excel allows you to read this threaded comment; however, any edits to it will get removed if the file is opened in a newer version of Excel. Learn more: https://go.microsoft.com/fwlink/?linkid=870924
Comment:
    Paid 27.11</t>
      </text>
    </comment>
    <comment ref="N202" authorId="231" shapeId="0" xr:uid="{1CE759E3-0DF1-4879-9F7C-3C3D67A6576B}">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R202" authorId="232" shapeId="0" xr:uid="{1E692C19-44FD-4EBA-BB73-BB1CAF4FF195}">
      <text>
        <t>[Threaded comment]
Your version of Excel allows you to read this threaded comment; however, any edits to it will get removed if the file is opened in a newer version of Excel. Learn more: https://go.microsoft.com/fwlink/?linkid=870924
Comment:
    Paid 27.11</t>
      </text>
    </comment>
    <comment ref="I205" authorId="233" shapeId="0" xr:uid="{E3825CF5-9ABA-4BED-BC23-547E1476961A}">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M205" authorId="234" shapeId="0" xr:uid="{C6267EEB-FFFE-4A8C-851B-75095225DE98}">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BH206" authorId="235" shapeId="0" xr:uid="{567D54C9-7409-4D3F-A81F-2A0CBFAA78C1}">
      <text>
        <t>[Threaded comment]
Your version of Excel allows you to read this threaded comment; however, any edits to it will get removed if the file is opened in a newer version of Excel. Learn more: https://go.microsoft.com/fwlink/?linkid=870924
Comment:
    Statement recd from Fiona on 1.8.24</t>
      </text>
    </comment>
    <comment ref="AB209" authorId="236" shapeId="0" xr:uid="{5E61E2DB-E54B-489B-BB4E-6821863C4EF4}">
      <text>
        <t>[Threaded comment]
Your version of Excel allows you to read this threaded comment; however, any edits to it will get removed if the file is opened in a newer version of Excel. Learn more: https://go.microsoft.com/fwlink/?linkid=870924
Comment:
    Order now</t>
      </text>
    </comment>
    <comment ref="AZ209" authorId="237" shapeId="0" xr:uid="{839E282C-F07F-4990-A856-435FACBCB304}">
      <text>
        <t>[Threaded comment]
Your version of Excel allows you to read this threaded comment; however, any edits to it will get removed if the file is opened in a newer version of Excel. Learn more: https://go.microsoft.com/fwlink/?linkid=870924
Comment:
    Balance due 30 days terms - £25422</t>
      </text>
    </comment>
    <comment ref="AJ211" authorId="238" shapeId="0" xr:uid="{062AEB1F-4A43-45AB-8D7F-A9585B972476}">
      <text>
        <t>[Threaded comment]
Your version of Excel allows you to read this threaded comment; however, any edits to it will get removed if the file is opened in a newer version of Excel. Learn more: https://go.microsoft.com/fwlink/?linkid=870924
Comment:
    Payment due now</t>
      </text>
    </comment>
    <comment ref="G220" authorId="239" shapeId="0" xr:uid="{EA7D0B83-7127-4E42-98B1-10A93E73C993}">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I220" authorId="240" shapeId="0" xr:uid="{1383809D-9333-47E1-B380-873EDD8D8AF2}">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J220" authorId="241" shapeId="0" xr:uid="{8A9359BC-746F-4449-92F9-74A31A4696F3}">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K220" authorId="242" shapeId="0" xr:uid="{AF38CFE2-41DD-4490-8731-21E19FEFE303}">
      <text>
        <t xml:space="preserve">[Threaded comment]
Your version of Excel allows you to read this threaded comment; however, any edits to it will get removed if the file is opened in a newer version of Excel. Learn more: https://go.microsoft.com/fwlink/?linkid=870924
Comment:
    Spreadsheet balance matches actual bal from Bank coming into 16.10
</t>
      </text>
    </comment>
    <comment ref="L220" authorId="243" shapeId="0" xr:uid="{86209F64-B448-4EA3-B3D9-9CABE65BAC33}">
      <text>
        <t>[Threaded comment]
Your version of Excel allows you to read this threaded comment; however, any edits to it will get removed if the file is opened in a newer version of Excel. Learn more: https://go.microsoft.com/fwlink/?linkid=870924
Comment:
    Spreadsheet balance and bank balance match coming into week 23.10</t>
      </text>
    </comment>
    <comment ref="M220" authorId="244" shapeId="0" xr:uid="{7662ADB1-440D-4838-B537-4183E00349A3}">
      <text>
        <t xml:space="preserve">[Threaded comment]
Your version of Excel allows you to read this threaded comment; however, any edits to it will get removed if the file is opened in a newer version of Excel. Learn more: https://go.microsoft.com/fwlink/?linkid=870924
Comment:
    Bank balance is €24,715 which is much the same.
</t>
      </text>
    </comment>
    <comment ref="N220" authorId="245" shapeId="0" xr:uid="{9532E5EE-B6B2-43B5-A6C9-1E39F160CB38}">
      <text>
        <t xml:space="preserve">[Threaded comment]
Your version of Excel allows you to read this threaded comment; however, any edits to it will get removed if the file is opened in a newer version of Excel. Learn more: https://go.microsoft.com/fwlink/?linkid=870924
Comment:
    This exactly matches the bank balance on Sunday evening 5/11 </t>
      </text>
    </comment>
    <comment ref="P220" authorId="246" shapeId="0" xr:uid="{B60161BD-88B6-42EE-81F1-18D5DEDC8412}">
      <text>
        <t>[Threaded comment]
Your version of Excel allows you to read this threaded comment; however, any edits to it will get removed if the file is opened in a newer version of Excel. Learn more: https://go.microsoft.com/fwlink/?linkid=870924
Comment:
    This balance matches bank balance exactly.</t>
      </text>
    </comment>
    <comment ref="Q220" authorId="247" shapeId="0" xr:uid="{7730E7DB-BD70-42A3-BD56-0A8ADD1017C2}">
      <text>
        <t>[Threaded comment]
Your version of Excel allows you to read this threaded comment; however, any edits to it will get removed if the file is opened in a newer version of Excel. Learn more: https://go.microsoft.com/fwlink/?linkid=870924
Comment:
    This figure balances with bank statement exactly.  Refer to transactions CSV on 24.11</t>
      </text>
    </comment>
    <comment ref="R220" authorId="248" shapeId="0" xr:uid="{B9F0DDF8-3C7F-4AAE-B757-CF95ABB02EB5}">
      <text>
        <t>[Threaded comment]
Your version of Excel allows you to read this threaded comment; however, any edits to it will get removed if the file is opened in a newer version of Excel. Learn more: https://go.microsoft.com/fwlink/?linkid=870924
Comment:
    Balance matches exactly with bank statement as at 1.12 14:23pm</t>
      </text>
    </comment>
    <comment ref="S220" authorId="249" shapeId="0" xr:uid="{2CC88045-8D3D-4CAC-A145-1E7E8457CF8E}">
      <text>
        <t>[Threaded comment]
Your version of Excel allows you to read this threaded comment; however, any edits to it will get removed if the file is opened in a newer version of Excel. Learn more: https://go.microsoft.com/fwlink/?linkid=870924
Comment:
    Matches exactly with closing balance in Bank Friday 8th  Dec</t>
      </text>
    </comment>
    <comment ref="T220" authorId="250" shapeId="0" xr:uid="{D51EEF3A-BD3A-4FF3-9BB7-314930D79C2B}">
      <text>
        <t>[Threaded comment]
Your version of Excel allows you to read this threaded comment; however, any edits to it will get removed if the file is opened in a newer version of Excel. Learn more: https://go.microsoft.com/fwlink/?linkid=870924
Comment:
    Agrees within a couple of euro.</t>
      </text>
    </comment>
    <comment ref="U220" authorId="251" shapeId="0" xr:uid="{2A2B7523-9521-4A64-BD40-F897C1410D5B}">
      <text>
        <t>[Threaded comment]
Your version of Excel allows you to read this threaded comment; however, any edits to it will get removed if the file is opened in a newer version of Excel. Learn more: https://go.microsoft.com/fwlink/?linkid=870924
Comment:
    Reconciles to within 54c as per transactions posted on 24.12</t>
      </text>
    </comment>
    <comment ref="V220" authorId="252" shapeId="0" xr:uid="{AB200056-CD54-41E3-8D92-7CD7D7E2D188}">
      <text>
        <t>[Threaded comment]
Your version of Excel allows you to read this threaded comment; however, any edits to it will get removed if the file is opened in a newer version of Excel. Learn more: https://go.microsoft.com/fwlink/?linkid=870924
Comment:
    Agrees with bank transactions posted 31.12</t>
      </text>
    </comment>
    <comment ref="W220" authorId="253" shapeId="0" xr:uid="{5E3F6DFB-50EF-4D85-BDBB-6CC13C8B6E5D}">
      <text>
        <t>[Threaded comment]
Your version of Excel allows you to read this threaded comment; however, any edits to it will get removed if the file is opened in a newer version of Excel. Learn more: https://go.microsoft.com/fwlink/?linkid=870924
Comment:
    Balances with bank statement @ 5/1</t>
      </text>
    </comment>
    <comment ref="X220" authorId="254" shapeId="0" xr:uid="{5E87842D-AA3F-45B0-B594-C2AEFA7C0353}">
      <text>
        <t>[Threaded comment]
Your version of Excel allows you to read this threaded comment; however, any edits to it will get removed if the file is opened in a newer version of Excel. Learn more: https://go.microsoft.com/fwlink/?linkid=870924
Comment:
    Balances with bank as at 12.1</t>
      </text>
    </comment>
    <comment ref="Y220" authorId="255" shapeId="0" xr:uid="{098676DB-B9BA-4567-A90B-FE078A830954}">
      <text>
        <t>[Threaded comment]
Your version of Excel allows you to read this threaded comment; however, any edits to it will get removed if the file is opened in a newer version of Excel. Learn more: https://go.microsoft.com/fwlink/?linkid=870924
Comment:
    Balances with Bank Balance as at close of business 19.1</t>
      </text>
    </comment>
    <comment ref="Z220" authorId="256" shapeId="0" xr:uid="{CF11D410-42F6-493A-8DDB-6D8584401F67}">
      <text>
        <t>[Threaded comment]
Your version of Excel allows you to read this threaded comment; however, any edits to it will get removed if the file is opened in a newer version of Excel. Learn more: https://go.microsoft.com/fwlink/?linkid=870924
Comment:
    Agrees with Bank Balance 26.01.24</t>
      </text>
    </comment>
    <comment ref="AA220" authorId="257" shapeId="0" xr:uid="{A9640BED-1283-4BC7-9A25-FA43A29880F8}">
      <text>
        <t>[Threaded comment]
Your version of Excel allows you to read this threaded comment; however, any edits to it will get removed if the file is opened in a newer version of Excel. Learn more: https://go.microsoft.com/fwlink/?linkid=870924
Comment:
    Balances with bank account as at Saturday 3.2.24</t>
      </text>
    </comment>
    <comment ref="AB220" authorId="258" shapeId="0" xr:uid="{BE7C4092-9836-446E-B39E-2BDF13873878}">
      <text>
        <t xml:space="preserve">[Threaded comment]
Your version of Excel allows you to read this threaded comment; however, any edits to it will get removed if the file is opened in a newer version of Excel. Learn more: https://go.microsoft.com/fwlink/?linkid=870924
Comment:
    Balances with bank as at cob 9.2
</t>
      </text>
    </comment>
    <comment ref="AC220" authorId="259" shapeId="0" xr:uid="{FB2E309A-0C6B-4308-A40E-66AD788E8638}">
      <text>
        <t>[Threaded comment]
Your version of Excel allows you to read this threaded comment; however, any edits to it will get removed if the file is opened in a newer version of Excel. Learn more: https://go.microsoft.com/fwlink/?linkid=870924
Comment:
    Agrees with bank balance as at COB 16.02</t>
      </text>
    </comment>
    <comment ref="AD220" authorId="260" shapeId="0" xr:uid="{D954E12D-A837-4B77-AEC2-22324A32F815}">
      <text>
        <t>[Threaded comment]
Your version of Excel allows you to read this threaded comment; however, any edits to it will get removed if the file is opened in a newer version of Excel. Learn more: https://go.microsoft.com/fwlink/?linkid=870924
Comment:
    Balances with bank as at 13:30 23.02, TSK may come in on top</t>
      </text>
    </comment>
    <comment ref="AE220" authorId="261" shapeId="0" xr:uid="{86F499E2-4883-4EB3-A337-2AA64EA08B68}">
      <text>
        <t>[Threaded comment]
Your version of Excel allows you to read this threaded comment; however, any edits to it will get removed if the file is opened in a newer version of Excel. Learn more: https://go.microsoft.com/fwlink/?linkid=870924
Comment:
    Balance matches with Bank account as at Saturday morning 2 March</t>
      </text>
    </comment>
    <comment ref="AF220" authorId="262" shapeId="0" xr:uid="{7CB301CA-EE9A-4166-8C3E-807101131940}">
      <text>
        <t>[Threaded comment]
Your version of Excel allows you to read this threaded comment; however, any edits to it will get removed if the file is opened in a newer version of Excel. Learn more: https://go.microsoft.com/fwlink/?linkid=870924
Comment:
    Balances with bank account as at Saturday morning 9.3</t>
      </text>
    </comment>
    <comment ref="AG220" authorId="263" shapeId="0" xr:uid="{837CEAB6-D4ED-4540-83ED-7662BD0F4DC5}">
      <text>
        <t>[Threaded comment]
Your version of Excel allows you to read this threaded comment; however, any edits to it will get removed if the file is opened in a newer version of Excel. Learn more: https://go.microsoft.com/fwlink/?linkid=870924
Comment:
    Balances with bank account @ 15.03</t>
      </text>
    </comment>
    <comment ref="AH220" authorId="264" shapeId="0" xr:uid="{EEF92991-3751-41EB-A250-8BF74D55F310}">
      <text>
        <t>[Threaded comment]
Your version of Excel allows you to read this threaded comment; however, any edits to it will get removed if the file is opened in a newer version of Excel. Learn more: https://go.microsoft.com/fwlink/?linkid=870924
Comment:
    Agrees with bank balance as at 16.22 22.3.24</t>
      </text>
    </comment>
    <comment ref="AI220" authorId="265" shapeId="0" xr:uid="{A80D8D80-E8DA-47AA-934D-F40F9BA21D24}">
      <text>
        <t xml:space="preserve">[Threaded comment]
Your version of Excel allows you to read this threaded comment; however, any edits to it will get removed if the file is opened in a newer version of Excel. Learn more: https://go.microsoft.com/fwlink/?linkid=870924
Comment:
    Agrees with bank balance BUT PART WAY DOWN TRANSACTIONS ON 2 April </t>
      </text>
    </comment>
    <comment ref="AJ220" authorId="266" shapeId="0" xr:uid="{A66FE8E8-0BE3-401A-8563-0EAC3E31A171}">
      <text>
        <t>[Threaded comment]
Your version of Excel allows you to read this threaded comment; however, any edits to it will get removed if the file is opened in a newer version of Excel. Learn more: https://go.microsoft.com/fwlink/?linkid=870924
Comment:
    Agrees with bank balance as at 8th April  It INCLUDES Walls and Extraspace which are pending items in the bank.</t>
      </text>
    </comment>
    <comment ref="AK220" authorId="267" shapeId="0" xr:uid="{AB7ACA91-765A-493A-A233-B24834DD9819}">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12 April.
</t>
      </text>
    </comment>
    <comment ref="AL220" authorId="268" shapeId="0" xr:uid="{AEA9C60B-F84C-453D-B102-7A4F0E1DCD62}">
      <text>
        <t>[Threaded comment]
Your version of Excel allows you to read this threaded comment; however, any edits to it will get removed if the file is opened in a newer version of Excel. Learn more: https://go.microsoft.com/fwlink/?linkid=870924
Comment:
    Agrees with bank account Saturday morning 20.04</t>
      </text>
    </comment>
    <comment ref="AM220" authorId="269" shapeId="0" xr:uid="{C93D085C-E942-42AB-9E9C-087B56F38DD5}">
      <text>
        <t xml:space="preserve">[Threaded comment]
Your version of Excel allows you to read this threaded comment; however, any edits to it will get removed if the file is opened in a newer version of Excel. Learn more: https://go.microsoft.com/fwlink/?linkid=870924
Comment:
    Agrees with bank  as at COB 26th April
</t>
      </text>
    </comment>
    <comment ref="AN220" authorId="270" shapeId="0" xr:uid="{3F5342F0-B153-4ADC-B69E-91B96F10847A}">
      <text>
        <t>[Threaded comment]
Your version of Excel allows you to read this threaded comment; however, any edits to it will get removed if the file is opened in a newer version of Excel. Learn more: https://go.microsoft.com/fwlink/?linkid=870924
Comment:
    Balances with bank account as at Saturday 4th May, after Chadwicks payment.</t>
      </text>
    </comment>
    <comment ref="AO220" authorId="271" shapeId="0" xr:uid="{051C6FCF-CB63-48C1-BF50-AD0964A696CF}">
      <text>
        <t>[Threaded comment]
Your version of Excel allows you to read this threaded comment; however, any edits to it will get removed if the file is opened in a newer version of Excel. Learn more: https://go.microsoft.com/fwlink/?linkid=870924
Comment:
    Agrees with bank balance 10.5.24</t>
      </text>
    </comment>
    <comment ref="AP220" authorId="272" shapeId="0" xr:uid="{ECC707BE-9091-4A9C-913D-6E9EB9E2DF4E}">
      <text>
        <t xml:space="preserve">[Threaded comment]
Your version of Excel allows you to read this threaded comment; however, any edits to it will get removed if the file is opened in a newer version of Excel. Learn more: https://go.microsoft.com/fwlink/?linkid=870924
Comment:
    Balances with bank as at 17th May.
</t>
      </text>
    </comment>
    <comment ref="AQ220" authorId="273" shapeId="0" xr:uid="{E8AFE6B3-9BE9-42D1-B45F-23AA6FC2A01E}">
      <text>
        <t>[Threaded comment]
Your version of Excel allows you to read this threaded comment; however, any edits to it will get removed if the file is opened in a newer version of Excel. Learn more: https://go.microsoft.com/fwlink/?linkid=870924
Comment:
    Agrees with bank balance as at Sunday 26 May</t>
      </text>
    </comment>
    <comment ref="AR220" authorId="274" shapeId="0" xr:uid="{7B9D6040-E40D-458B-9CD9-8FBA5680D526}">
      <text>
        <t xml:space="preserve">[Threaded comment]
Your version of Excel allows you to read this threaded comment; however, any edits to it will get removed if the file is opened in a newer version of Excel. Learn more: https://go.microsoft.com/fwlink/?linkid=870924
Comment:
    Agrees with bank statement 31.05
</t>
      </text>
    </comment>
    <comment ref="AS220" authorId="275" shapeId="0" xr:uid="{676EB513-8466-44FC-87F5-9EDD635649F5}">
      <text>
        <t>[Threaded comment]
Your version of Excel allows you to read this threaded comment; however, any edits to it will get removed if the file is opened in a newer version of Excel. Learn more: https://go.microsoft.com/fwlink/?linkid=870924
Comment:
    Balances with Bank Statement as at 17.43 Friday 7th June.  Does not incl Walls payment.</t>
      </text>
    </comment>
    <comment ref="AT220" authorId="276" shapeId="0" xr:uid="{7A1F1013-E2D4-4DE6-8CF2-B1CC6D0FA83F}">
      <text>
        <t>[Threaded comment]
Your version of Excel allows you to read this threaded comment; however, any edits to it will get removed if the file is opened in a newer version of Excel. Learn more: https://go.microsoft.com/fwlink/?linkid=870924
Comment:
    Agrees with bank balance as at 14 June 2024</t>
      </text>
    </comment>
    <comment ref="AU220" authorId="277" shapeId="0" xr:uid="{00EF07E6-2171-4CD0-AE67-DE978E3E4257}">
      <text>
        <t>[Threaded comment]
Your version of Excel allows you to read this threaded comment; however, any edits to it will get removed if the file is opened in a newer version of Excel. Learn more: https://go.microsoft.com/fwlink/?linkid=870924
Comment:
    Agrees with bank balance as at 21st June</t>
      </text>
    </comment>
    <comment ref="AV220" authorId="278" shapeId="0" xr:uid="{ADDB0D92-C4AB-43F0-A345-2C25B43A8086}">
      <text>
        <t>[Threaded comment]
Your version of Excel allows you to read this threaded comment; however, any edits to it will get removed if the file is opened in a newer version of Excel. Learn more: https://go.microsoft.com/fwlink/?linkid=870924
Comment:
    Agrees with bank balance as at 28 June.</t>
      </text>
    </comment>
    <comment ref="AW220" authorId="279" shapeId="0" xr:uid="{6067150F-B41C-40DD-B1D7-AF48E826B746}">
      <text>
        <t xml:space="preserve">[Threaded comment]
Your version of Excel allows you to read this threaded comment; however, any edits to it will get removed if the file is opened in a newer version of Excel. Learn more: https://go.microsoft.com/fwlink/?linkid=870924
Comment:
    Balances with bank account as at 5.7.24 </t>
      </text>
    </comment>
    <comment ref="AX220" authorId="280" shapeId="0" xr:uid="{1DAAEB54-A9D4-4A2D-8193-330CA42032A3}">
      <text>
        <t>[Threaded comment]
Your version of Excel allows you to read this threaded comment; however, any edits to it will get removed if the file is opened in a newer version of Excel. Learn more: https://go.microsoft.com/fwlink/?linkid=870924
Comment:
    Agrees with bank bal on 12.7</t>
      </text>
    </comment>
    <comment ref="AY220" authorId="281" shapeId="0" xr:uid="{F8E0F2CC-3EB0-47E4-A569-4DECF4043283}">
      <text>
        <t>[Threaded comment]
Your version of Excel allows you to read this threaded comment; however, any edits to it will get removed if the file is opened in a newer version of Excel. Learn more: https://go.microsoft.com/fwlink/?linkid=870924
Comment:
    Agrees with bank account.</t>
      </text>
    </comment>
    <comment ref="AZ220" authorId="282" shapeId="0" xr:uid="{0C968412-BD23-46FA-9F2C-6177E6B82901}">
      <text>
        <t xml:space="preserve">[Threaded comment]
Your version of Excel allows you to read this threaded comment; however, any edits to it will get removed if the file is opened in a newer version of Excel. Learn more: https://go.microsoft.com/fwlink/?linkid=870924
Comment:
    Agrees with bank balance on 26.7
</t>
      </text>
    </comment>
    <comment ref="BA220" authorId="283" shapeId="0" xr:uid="{381E92AE-7F64-469E-A6BC-4271E588AC4E}">
      <text>
        <t>[Threaded comment]
Your version of Excel allows you to read this threaded comment; however, any edits to it will get removed if the file is opened in a newer version of Excel. Learn more: https://go.microsoft.com/fwlink/?linkid=870924
Comment:
    Agrees with bank balance on 2 August</t>
      </text>
    </comment>
    <comment ref="BB220" authorId="284" shapeId="0" xr:uid="{B9BA40EC-EFD8-4AB3-82F1-3DCF72828073}">
      <text>
        <t xml:space="preserve">[Threaded comment]
Your version of Excel allows you to read this threaded comment; however, any edits to it will get removed if the file is opened in a newer version of Excel. Learn more: https://go.microsoft.com/fwlink/?linkid=870924
Comment:
    Agrees with bank balance at 9.8.24
</t>
      </text>
    </comment>
    <comment ref="BC220" authorId="285" shapeId="0" xr:uid="{78FFFAC1-3EDD-4395-88B6-500F7320B308}">
      <text>
        <t>[Threaded comment]
Your version of Excel allows you to read this threaded comment; however, any edits to it will get removed if the file is opened in a newer version of Excel. Learn more: https://go.microsoft.com/fwlink/?linkid=870924
Comment:
    Agrees with bank balance as at 16.08.24</t>
      </text>
    </comment>
    <comment ref="BE220" authorId="286" shapeId="0" xr:uid="{D1BBB29F-7DE8-401D-86EB-4873C689B445}">
      <text>
        <t>[Threaded comment]
Your version of Excel allows you to read this threaded comment; however, any edits to it will get removed if the file is opened in a newer version of Excel. Learn more: https://go.microsoft.com/fwlink/?linkid=870924
Comment:
    Agrees with bank balance at 23.08.24</t>
      </text>
    </comment>
    <comment ref="BF220" authorId="287" shapeId="0" xr:uid="{A5436BBF-E938-4BF8-9455-116F2E158009}">
      <text>
        <t xml:space="preserve">[Threaded comment]
Your version of Excel allows you to read this threaded comment; however, any edits to it will get removed if the file is opened in a newer version of Excel. Learn more: https://go.microsoft.com/fwlink/?linkid=870924
Comment:
    Agrees with bank ball 30.8
</t>
      </text>
    </comment>
    <comment ref="BH220" authorId="288" shapeId="0" xr:uid="{038562E8-5A49-4316-9522-2556D8BD8281}">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8.9.24
</t>
      </text>
    </comment>
    <comment ref="BI220" authorId="289" shapeId="0" xr:uid="{B2F228C0-9CA1-41F4-B448-2F73AFDE6B43}">
      <text>
        <t>[Threaded comment]
Your version of Excel allows you to read this threaded comment; however, any edits to it will get removed if the file is opened in a newer version of Excel. Learn more: https://go.microsoft.com/fwlink/?linkid=870924
Comment:
    Agrees with bank balance as at 13.09</t>
      </text>
    </comment>
    <comment ref="BJ220" authorId="290" shapeId="0" xr:uid="{7B4C75A5-0B22-445A-8B97-18362FB55D37}">
      <text>
        <t>[Threaded comment]
Your version of Excel allows you to read this threaded comment; however, any edits to it will get removed if the file is opened in a newer version of Excel. Learn more: https://go.microsoft.com/fwlink/?linkid=870924
Comment:
    Agrees with bank balance as at 22.9</t>
      </text>
    </comment>
    <comment ref="BL220" authorId="291" shapeId="0" xr:uid="{D2C7916A-BAD2-4DFA-AF2B-3A87FB77BEC5}">
      <text>
        <t xml:space="preserve">[Threaded comment]
Your version of Excel allows you to read this threaded comment; however, any edits to it will get removed if the file is opened in a newer version of Excel. Learn more: https://go.microsoft.com/fwlink/?linkid=870924
Comment:
    Agrees with bank as at 27.9.24
</t>
      </text>
    </comment>
    <comment ref="BM220" authorId="292" shapeId="0" xr:uid="{25AE599C-CCFD-4D86-BC64-DC4BE0685E56}">
      <text>
        <t>[Threaded comment]
Your version of Excel allows you to read this threaded comment; however, any edits to it will get removed if the file is opened in a newer version of Excel. Learn more: https://go.microsoft.com/fwlink/?linkid=870924
Comment:
    Agrees with bank bal as at 4.10</t>
      </text>
    </comment>
    <comment ref="BO220" authorId="293" shapeId="0" xr:uid="{CC63004E-152C-4096-A3CC-44499F83F84E}">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11.10.24
</t>
      </text>
    </comment>
    <comment ref="BP220" authorId="294" shapeId="0" xr:uid="{90E3F5F4-3AC1-4EA9-90BA-671137D1AC61}">
      <text>
        <t xml:space="preserve">[Threaded comment]
Your version of Excel allows you to read this threaded comment; however, any edits to it will get removed if the file is opened in a newer version of Excel. Learn more: https://go.microsoft.com/fwlink/?linkid=870924
Comment:
    Agrees with bank balance </t>
      </text>
    </comment>
    <comment ref="BQ220" authorId="295" shapeId="0" xr:uid="{E23B8EED-46DB-4DD3-8F56-A0100C297AEC}">
      <text>
        <t xml:space="preserve">[Threaded comment]
Your version of Excel allows you to read this threaded comment; however, any edits to it will get removed if the file is opened in a newer version of Excel. Learn more: https://go.microsoft.com/fwlink/?linkid=870924
Comment:
    Agrees with bank balance </t>
      </text>
    </comment>
    <comment ref="BR220" authorId="296" shapeId="0" xr:uid="{3E6EE54A-9565-47D5-B3EE-B66B03679AF5}">
      <text>
        <t>[Threaded comment]
Your version of Excel allows you to read this threaded comment; however, any edits to it will get removed if the file is opened in a newer version of Excel. Learn more: https://go.microsoft.com/fwlink/?linkid=870924
Comment:
    Agrees with bank balance as at 25.10</t>
      </text>
    </comment>
    <comment ref="BS220" authorId="297" shapeId="0" xr:uid="{C5B2BFBD-7478-4FB1-A665-243A806DD0FB}">
      <text>
        <t>[Threaded comment]
Your version of Excel allows you to read this threaded comment; however, any edits to it will get removed if the file is opened in a newer version of Excel. Learn more: https://go.microsoft.com/fwlink/?linkid=870924
Comment:
    Agrees with bank balance 1st Nov</t>
      </text>
    </comment>
    <comment ref="BT220" authorId="298" shapeId="0" xr:uid="{7C8E9F80-F939-4719-9EBE-2F4F31D39D90}">
      <text>
        <t xml:space="preserve">[Threaded comment]
Your version of Excel allows you to read this threaded comment; however, any edits to it will get removed if the file is opened in a newer version of Excel. Learn more: https://go.microsoft.com/fwlink/?linkid=870924
Comment:
    Agrees with bank balance 8.11.24
</t>
      </text>
    </comment>
    <comment ref="AN228" authorId="299" shapeId="0" xr:uid="{2E333DE9-D6C4-48FA-AA8F-F7586E25EC5C}">
      <text>
        <t xml:space="preserve">[Threaded comment]
Your version of Excel allows you to read this threaded comment; however, any edits to it will get removed if the file is opened in a newer version of Excel. Learn more: https://go.microsoft.com/fwlink/?linkid=870924
Comment:
    7 LADS
</t>
      </text>
    </comment>
    <comment ref="BM229" authorId="300" shapeId="0" xr:uid="{94A74F4F-F0E6-48EF-B900-A2E09A4C79AA}">
      <text>
        <t xml:space="preserve">[Threaded comment]
Your version of Excel allows you to read this threaded comment; however, any edits to it will get removed if the file is opened in a newer version of Excel. Learn more: https://go.microsoft.com/fwlink/?linkid=870924
Comment:
    Existing PAYE Labour
</t>
      </text>
    </comment>
    <comment ref="BS229" authorId="301" shapeId="0" xr:uid="{93F97827-CC54-460A-AC9C-DA7ACF0CF5D6}">
      <text>
        <t xml:space="preserve">[Threaded comment]
Your version of Excel allows you to read this threaded comment; however, any edits to it will get removed if the file is opened in a newer version of Excel. Learn more: https://go.microsoft.com/fwlink/?linkid=870924
Comment:
    Existing PAYE Labour
</t>
      </text>
    </comment>
    <comment ref="BX229" authorId="302" shapeId="0" xr:uid="{A6A4AE70-3E24-4562-A062-637A49DC3B26}">
      <text>
        <t xml:space="preserve">[Threaded comment]
Your version of Excel allows you to read this threaded comment; however, any edits to it will get removed if the file is opened in a newer version of Excel. Learn more: https://go.microsoft.com/fwlink/?linkid=870924
Comment:
    Existing PAYE Labour
</t>
      </text>
    </comment>
    <comment ref="BT237" authorId="303" shapeId="0" xr:uid="{CF9AA789-4EA3-40E9-AE43-E5D628E5B95A}">
      <text>
        <t xml:space="preserve">[Threaded comment]
Your version of Excel allows you to read this threaded comment; however, any edits to it will get removed if the file is opened in a newer version of Excel. Learn more: https://go.microsoft.com/fwlink/?linkid=870924
Comment:
    Margin only
</t>
      </text>
    </comment>
    <comment ref="D238" authorId="304" shapeId="0" xr:uid="{235FE089-7C5F-4B23-8D67-AC5E34B7432E}">
      <text>
        <t xml:space="preserve">[Threaded comment]
Your version of Excel allows you to read this threaded comment; however, any edits to it will get removed if the file is opened in a newer version of Excel. Learn more: https://go.microsoft.com/fwlink/?linkid=870924
Comment:
    Materials at 30% and labour at 25% some new men needed some existing.
</t>
      </text>
    </comment>
    <comment ref="BL238" authorId="305" shapeId="0" xr:uid="{3C997E8C-D6D7-41B4-B878-51F078270FE9}">
      <text>
        <t>[Threaded comment]
Your version of Excel allows you to read this threaded comment; however, any edits to it will get removed if the file is opened in a newer version of Excel. Learn more: https://go.microsoft.com/fwlink/?linkid=870924
Comment:
    Labour for Little Britain = assumes new men needed</t>
      </text>
    </comment>
    <comment ref="AW239" authorId="306" shapeId="0" xr:uid="{FD344B60-E006-4779-9F71-C590235C129E}">
      <text>
        <t>[Threaded comment]
Your version of Excel allows you to read this threaded comment; however, any edits to it will get removed if the file is opened in a newer version of Excel. Learn more: https://go.microsoft.com/fwlink/?linkid=870924
Comment:
    Two lads for 3 weeks approx, coming from existing labout (Vasile and one other PAYE).</t>
      </text>
    </comment>
    <comment ref="BL239" authorId="307" shapeId="0" xr:uid="{BB90E385-9369-421D-BD11-630096953C4C}">
      <text>
        <t>[Threaded comment]
Your version of Excel allows you to read this threaded comment; however, any edits to it will get removed if the file is opened in a newer version of Excel. Learn more: https://go.microsoft.com/fwlink/?linkid=870924
Comment:
    Full value less materials. Should get work done by end August, paid two weeks later.</t>
      </text>
    </comment>
    <comment ref="BR239" authorId="308" shapeId="0" xr:uid="{11FF3D75-2CA8-4C52-915E-05F1FB7193F2}">
      <text>
        <t>[Threaded comment]
Your version of Excel allows you to read this threaded comment; however, any edits to it will get removed if the file is opened in a newer version of Excel. Learn more: https://go.microsoft.com/fwlink/?linkid=870924
Comment:
    Full value less materials. Should get work done by end August, paid two weeks later.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tc={22053A56-DD6E-43AD-81B7-E853AB289009}</author>
    <author>tc={9882B656-CE89-45EC-B024-0ADCD98223FC}</author>
    <author>tc={B8CCEE86-6D2B-45C3-89D2-CE5858EA8B66}</author>
  </authors>
  <commentList>
    <comment ref="E3" authorId="0" shapeId="0" xr:uid="{22053A56-DD6E-43AD-81B7-E853AB289009}">
      <text>
        <t>[Threaded comment]
Your version of Excel allows you to read this threaded comment; however, any edits to it will get removed if the file is opened in a newer version of Excel. Learn more: https://go.microsoft.com/fwlink/?linkid=870924
Comment:
    Amended fig from Dave 29.10.24 email</t>
      </text>
    </comment>
    <comment ref="E48" authorId="1" shapeId="0" xr:uid="{9882B656-CE89-45EC-B024-0ADCD98223FC}">
      <text>
        <t>[Threaded comment]
Your version of Excel allows you to read this threaded comment; however, any edits to it will get removed if the file is opened in a newer version of Excel. Learn more: https://go.microsoft.com/fwlink/?linkid=870924
Comment:
    Genesis Shelbourne gone and therefore no included.</t>
      </text>
    </comment>
    <comment ref="E49" authorId="2" shapeId="0" xr:uid="{B8CCEE86-6D2B-45C3-89D2-CE5858EA8B66}">
      <text>
        <t xml:space="preserve">[Threaded comment]
Your version of Excel allows you to read this threaded comment; however, any edits to it will get removed if the file is opened in a newer version of Excel. Learn more: https://go.microsoft.com/fwlink/?linkid=870924
Comment:
    What we received in the account on 6/9 was 216 less.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tc={A220A5CB-AD60-406A-93D6-DFD6BFE4339A}</author>
    <author>tc={87D4B692-F174-4593-9CAF-E6556D312A72}</author>
    <author>tc={D203C996-88B5-43D2-A6FD-EDF4E4F1A22D}</author>
    <author>tc={267A4B38-0CF6-4929-BA26-0012EBAC0E63}</author>
    <author>tc={51477C3D-4476-4165-87D0-69CEA2361316}</author>
    <author>tc={0C11FD0A-8149-4562-AAE9-67743ED0C275}</author>
    <author>tc={E9129DA7-A1F0-43EA-A826-3FD1AAE230E0}</author>
    <author>tc={BC4E1E01-9B32-46BE-A58B-2D9A1679D72A}</author>
    <author>tc={5A8E925F-C69F-4F55-9A8C-0E7769EA019B}</author>
    <author>tc={7F2EC6EE-5672-430B-A1C0-3DB9A2F3D16A}</author>
    <author>tc={C5977CC1-DE92-4EEF-8ECA-8945E5596AB3}</author>
    <author>tc={173690A6-6755-42F2-B442-A58EE292F610}</author>
    <author>tc={CE4B5723-E77E-42CA-81D2-2182023BD6F7}</author>
    <author>tc={0B83463D-267A-4294-B92E-FDF98E5C4BD5}</author>
    <author>tc={AA0A3AF8-22BD-4490-9171-C88AC3E1A6F6}</author>
    <author>tc={BC8C14C2-65B6-45C7-9C61-D1F4B6667324}</author>
    <author>tc={C2266C57-FD65-425C-AE1A-73E18F471765}</author>
  </authors>
  <commentList>
    <comment ref="D8" authorId="0" shapeId="0" xr:uid="{A220A5CB-AD60-406A-93D6-DFD6BFE4339A}">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I8" authorId="1" shapeId="0" xr:uid="{87D4B692-F174-4593-9CAF-E6556D312A72}">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D9" authorId="2" shapeId="0" xr:uid="{D203C996-88B5-43D2-A6FD-EDF4E4F1A22D}">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t>
      </text>
    </comment>
    <comment ref="L9" authorId="3" shapeId="0" xr:uid="{267A4B38-0CF6-4929-BA26-0012EBAC0E63}">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R9" authorId="4" shapeId="0" xr:uid="{51477C3D-4476-4165-87D0-69CEA2361316}">
      <text>
        <t>[Threaded comment]
Your version of Excel allows you to read this threaded comment; however, any edits to it will get removed if the file is opened in a newer version of Excel. Learn more: https://go.microsoft.com/fwlink/?linkid=870924
Comment:
    Includes value of Floor 7 closing</t>
      </text>
    </comment>
    <comment ref="T9" authorId="5" shapeId="0" xr:uid="{0C11FD0A-8149-4562-AAE9-67743ED0C275}">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W9" authorId="6" shapeId="0" xr:uid="{E9129DA7-A1F0-43EA-A826-3FD1AAE230E0}">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X9" authorId="7" shapeId="0" xr:uid="{BC4E1E01-9B32-46BE-A58B-2D9A1679D72A}">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Y9" authorId="8" shapeId="0" xr:uid="{5A8E925F-C69F-4F55-9A8C-0E7769EA019B}">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t>
      </text>
    </comment>
    <comment ref="D10" authorId="9" shapeId="0" xr:uid="{7F2EC6EE-5672-430B-A1C0-3DB9A2F3D16A}">
      <text>
        <t>[Threaded comment]
Your version of Excel allows you to read this threaded comment; however, any edits to it will get removed if the file is opened in a newer version of Excel. Learn more: https://go.microsoft.com/fwlink/?linkid=870924
Comment:
    Margin and labour and materials (already ordered).</t>
      </text>
    </comment>
    <comment ref="M10" authorId="10" shapeId="0" xr:uid="{C5977CC1-DE92-4EEF-8ECA-8945E5596AB3}">
      <text>
        <t>[Threaded comment]
Your version of Excel allows you to read this threaded comment; however, any edits to it will get removed if the file is opened in a newer version of Excel. Learn more: https://go.microsoft.com/fwlink/?linkid=870924
Comment:
    After tax and after retention</t>
      </text>
    </comment>
    <comment ref="M11" authorId="11" shapeId="0" xr:uid="{173690A6-6755-42F2-B442-A58EE292F610}">
      <text>
        <t>[Threaded comment]
Your version of Excel allows you to read this threaded comment; however, any edits to it will get removed if the file is opened in a newer version of Excel. Learn more: https://go.microsoft.com/fwlink/?linkid=870924
Comment:
    Net of retention</t>
      </text>
    </comment>
    <comment ref="M12" authorId="12" shapeId="0" xr:uid="{CE4B5723-E77E-42CA-81D2-2182023BD6F7}">
      <text>
        <t>[Threaded comment]
Your version of Excel allows you to read this threaded comment; however, any edits to it will get removed if the file is opened in a newer version of Excel. Learn more: https://go.microsoft.com/fwlink/?linkid=870924
Comment:
    After tax and retention</t>
      </text>
    </comment>
    <comment ref="G13" authorId="13" shapeId="0" xr:uid="{0B83463D-267A-4294-B92E-FDF98E5C4BD5}">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K13" authorId="14" shapeId="0" xr:uid="{AA0A3AF8-22BD-4490-9171-C88AC3E1A6F6}">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M13" authorId="15" shapeId="0" xr:uid="{BC8C14C2-65B6-45C7-9C61-D1F4B6667324}">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C14" authorId="16" shapeId="0" xr:uid="{C2266C57-FD65-425C-AE1A-73E18F471765}">
      <text>
        <t>[Threaded comment]
Your version of Excel allows you to read this threaded comment; however, any edits to it will get removed if the file is opened in a newer version of Excel. Learn more: https://go.microsoft.com/fwlink/?linkid=870924
Comment:
    VAT to be charged?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tc={D3AA0FE7-7C8E-4058-844E-BEF32EF344A7}</author>
    <author>tc={00158BFF-ABCF-486F-9B4A-B0D0E127F507}</author>
  </authors>
  <commentList>
    <comment ref="C7" authorId="0" shapeId="0" xr:uid="{D3AA0FE7-7C8E-4058-844E-BEF32EF344A7}">
      <text>
        <t xml:space="preserve">[Threaded comment]
Your version of Excel allows you to read this threaded comment; however, any edits to it will get removed if the file is opened in a newer version of Excel. Learn more: https://go.microsoft.com/fwlink/?linkid=870924
Comment:
    Excludes doors
</t>
      </text>
    </comment>
    <comment ref="D7" authorId="1" shapeId="0" xr:uid="{00158BFF-ABCF-486F-9B4A-B0D0E127F507}">
      <text>
        <t>[Threaded comment]
Your version of Excel allows you to read this threaded comment; however, any edits to it will get removed if the file is opened in a newer version of Excel. Learn more: https://go.microsoft.com/fwlink/?linkid=870924
Comment:
    Excl doors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tc={FEE6D458-C55D-472F-B932-3F5ED25DFA91}</author>
    <author>tc={B0615BF2-2647-41EB-9739-B7EABB1DBDFF}</author>
  </authors>
  <commentList>
    <comment ref="E10" authorId="0" shapeId="0" xr:uid="{FEE6D458-C55D-472F-B932-3F5ED25DFA91}">
      <text>
        <t>[Threaded comment]
Your version of Excel allows you to read this threaded comment; however, any edits to it will get removed if the file is opened in a newer version of Excel. Learn more: https://go.microsoft.com/fwlink/?linkid=870924
Comment:
    Might start in Sept but calling October</t>
      </text>
    </comment>
    <comment ref="B49" authorId="1" shapeId="0" xr:uid="{B0615BF2-2647-41EB-9739-B7EABB1DBDFF}">
      <text>
        <t xml:space="preserve">[Threaded comment]
Your version of Excel allows you to read this threaded comment; however, any edits to it will get removed if the file is opened in a newer version of Excel. Learn more: https://go.microsoft.com/fwlink/?linkid=870924
Comment:
    Paul Sheerin, Jason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New</author>
  </authors>
  <commentList>
    <comment ref="F16" authorId="0" shapeId="0" xr:uid="{9C277FD1-DD08-4DF0-A646-2F7FC1BBACF3}">
      <text>
        <r>
          <rPr>
            <b/>
            <sz val="9"/>
            <color indexed="81"/>
            <rFont val="Tahoma"/>
            <family val="2"/>
          </rPr>
          <t>New:</t>
        </r>
        <r>
          <rPr>
            <sz val="9"/>
            <color indexed="81"/>
            <rFont val="Tahoma"/>
            <family val="2"/>
          </rPr>
          <t xml:space="preserve">
December Purchases</t>
        </r>
      </text>
    </comment>
    <comment ref="H16" authorId="0" shapeId="0" xr:uid="{79A5F127-5B28-472D-B5E2-ECB0793148A0}">
      <text>
        <r>
          <rPr>
            <b/>
            <sz val="9"/>
            <color indexed="81"/>
            <rFont val="Tahoma"/>
            <family val="2"/>
          </rPr>
          <t>New:</t>
        </r>
        <r>
          <rPr>
            <sz val="9"/>
            <color indexed="81"/>
            <rFont val="Tahoma"/>
            <family val="2"/>
          </rPr>
          <t xml:space="preserve">
December purchases
</t>
        </r>
      </text>
    </comment>
    <comment ref="J16" authorId="0" shapeId="0" xr:uid="{40CFCCF7-68B0-40E6-A4F4-03B59B68E580}">
      <text>
        <r>
          <rPr>
            <b/>
            <sz val="9"/>
            <color indexed="81"/>
            <rFont val="Tahoma"/>
            <family val="2"/>
          </rPr>
          <t>New:</t>
        </r>
        <r>
          <rPr>
            <sz val="9"/>
            <color indexed="81"/>
            <rFont val="Tahoma"/>
            <family val="2"/>
          </rPr>
          <t xml:space="preserve">
Forecast Jan purchases</t>
        </r>
      </text>
    </comment>
    <comment ref="L16" authorId="0" shapeId="0" xr:uid="{EDB9745E-9599-4257-A739-D49AE602B885}">
      <text>
        <r>
          <rPr>
            <b/>
            <sz val="9"/>
            <color indexed="81"/>
            <rFont val="Tahoma"/>
            <family val="2"/>
          </rPr>
          <t>New:</t>
        </r>
        <r>
          <rPr>
            <sz val="9"/>
            <color indexed="81"/>
            <rFont val="Tahoma"/>
            <family val="2"/>
          </rPr>
          <t xml:space="preserve">
Forecast Jan Purchases</t>
        </r>
      </text>
    </comment>
    <comment ref="F30" authorId="0" shapeId="0" xr:uid="{558FB4D5-0DE3-4F2F-A59D-28961BA6240A}">
      <text>
        <r>
          <rPr>
            <b/>
            <sz val="9"/>
            <color indexed="81"/>
            <rFont val="Tahoma"/>
            <family val="2"/>
          </rPr>
          <t>New:</t>
        </r>
        <r>
          <rPr>
            <sz val="9"/>
            <color indexed="81"/>
            <rFont val="Tahoma"/>
            <family val="2"/>
          </rPr>
          <t xml:space="preserve">
December RCT Revenue</t>
        </r>
      </text>
    </comment>
    <comment ref="J30" authorId="0" shapeId="0" xr:uid="{0F8CDDAE-50E4-4D57-925A-929EDC9707ED}">
      <text>
        <r>
          <rPr>
            <b/>
            <sz val="9"/>
            <color indexed="81"/>
            <rFont val="Tahoma"/>
            <family val="2"/>
          </rPr>
          <t>New:</t>
        </r>
        <r>
          <rPr>
            <sz val="9"/>
            <color indexed="81"/>
            <rFont val="Tahoma"/>
            <family val="2"/>
          </rPr>
          <t xml:space="preserve">
Jan RCT Revenue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tc={4215AAD4-1DF5-40AF-A10D-21B53E27F9AE}</author>
    <author>tc={06799101-7197-2240-B0FE-CD2FE09A12EA}</author>
    <author>tc={51AD295A-8CE9-4B33-8A4D-0FBD8B3BA7D3}</author>
    <author>tc={3F4E75CB-9163-498E-B40E-62D9B553B572}</author>
    <author>tc={805DC7A5-28CA-40D0-B1B8-820E82C35147}</author>
    <author>tc={29AA1425-46EF-1C46-A548-FA6DBC746BBB}</author>
  </authors>
  <commentList>
    <comment ref="M26" authorId="0" shapeId="0" xr:uid="{4215AAD4-1DF5-40AF-A10D-21B53E27F9AE}">
      <text>
        <t>[Threaded comment]
Your version of Excel allows you to read this threaded comment; however, any edits to it will get removed if the file is opened in a newer version of Excel. Learn more: https://go.microsoft.com/fwlink/?linkid=870924
Comment:
    Might start in Sept but calling October</t>
      </text>
    </comment>
    <comment ref="N26" authorId="1" shapeId="0" xr:uid="{06799101-7197-2240-B0FE-CD2FE09A12EA}">
      <text>
        <t>[Threaded comment]
Your version of Excel allows you to read this threaded comment; however, any edits to it will get removed if the file is opened in a newer version of Excel. Learn more: https://go.microsoft.com/fwlink/?linkid=870924
Comment:
    Might start in Sept but calling October</t>
      </text>
    </comment>
    <comment ref="D45" authorId="2" shapeId="0" xr:uid="{51AD295A-8CE9-4B33-8A4D-0FBD8B3BA7D3}">
      <text>
        <t xml:space="preserve">[Threaded comment]
Your version of Excel allows you to read this threaded comment; however, any edits to it will get removed if the file is opened in a newer version of Excel. Learn more: https://go.microsoft.com/fwlink/?linkid=870924
Comment:
    Figures coming from email sent to Graham on 31.08 </t>
      </text>
    </comment>
    <comment ref="B64" authorId="3" shapeId="0" xr:uid="{3F4E75CB-9163-498E-B40E-62D9B553B572}">
      <text>
        <t xml:space="preserve">[Threaded comment]
Your version of Excel allows you to read this threaded comment; however, any edits to it will get removed if the file is opened in a newer version of Excel. Learn more: https://go.microsoft.com/fwlink/?linkid=870924
Comment:
    Not due for 11 months
</t>
      </text>
    </comment>
    <comment ref="L79" authorId="4" shapeId="0" xr:uid="{805DC7A5-28CA-40D0-B1B8-820E82C35147}">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B93" authorId="5" shapeId="0" xr:uid="{29AA1425-46EF-1C46-A548-FA6DBC746BBB}">
      <text>
        <t xml:space="preserve">[Threaded comment]
Your version of Excel allows you to read this threaded comment; however, any edits to it will get removed if the file is opened in a newer version of Excel. Learn more: https://go.microsoft.com/fwlink/?linkid=870924
Comment:
    Paul Sheerin, Jason
</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tc={EE3CA8FA-9ED3-45D2-80EF-710159188664}</author>
    <author>tc={755145A5-B1A2-4EB7-93F6-EAC2412B6DC1}</author>
    <author>tc={F79B4681-90F5-4906-BC1B-BC484A962A22}</author>
    <author>tc={7F83C0E2-16F4-4103-82E9-65BA73B57941}</author>
    <author>tc={35DEBD05-3FE2-41A5-BDF7-67F33ACDA70D}</author>
    <author>tc={2BE740B8-0EEC-4E87-A98D-1324F6C662DE}</author>
    <author>tc={B2830E3E-5DC4-4352-A3C8-124ADD50F164}</author>
    <author>tc={AB059062-E5ED-4D22-940A-194334A8139B}</author>
    <author>tc={36BA7414-16EE-4660-9153-0A2525EECD06}</author>
    <author>tc={E1682EA4-9D04-4BC0-89EE-6BC66D8F856B}</author>
    <author>tc={E8F1B136-CFB0-4ED0-B83A-602B5004F155}</author>
    <author>tc={3491668E-3697-446A-AF0B-D5ABE6551D21}</author>
    <author>tc={F660DBED-BA65-4E8E-B256-78900F4CE8AC}</author>
    <author>tc={CAC5B4F3-5F8F-400B-AA26-DBCA9BCC76A2}</author>
    <author>tc={0DE773A9-2041-4EF7-AB0F-30C62D8FC24B}</author>
    <author>tc={9EE70A8A-E787-4DC7-813C-55FB538BEEE0}</author>
    <author>tc={503BCE58-7A0E-4768-BEE0-DFA6D447500C}</author>
    <author>tc={360412E4-FCEF-409E-A40E-7A7879807210}</author>
    <author>tc={7BBD5656-2FFC-4E2A-89CA-FB6B0EAB7534}</author>
    <author>tc={76399B90-7178-411C-904F-69CA07491002}</author>
    <author>tc={EC7596DB-2EB3-4D8F-9BE4-7707AFD9498E}</author>
    <author>tc={FF584402-29E3-4DE1-9F38-DA990A60E6A8}</author>
    <author>tc={91B75351-5C3F-4090-9F20-B37B540A736E}</author>
    <author>tc={19F0350D-64F9-4C84-BAD7-90FDE3FA8431}</author>
    <author>tc={4A7587BC-D7B9-4137-A9D6-B3E85A5EDE05}</author>
    <author>tc={D212141B-76EC-4637-855E-A82D8E9BB27D}</author>
    <author>tc={F344683F-4FE4-4F12-8449-1E4E2243FEC0}</author>
    <author>tc={CDF748C5-4845-424C-B4A4-195FA8BF94D0}</author>
    <author>tc={6AD1E5EF-473F-44D3-A1A8-6137AF266C5B}</author>
    <author>tc={9B37E51A-BE26-4B09-847B-7AE4E13F6C59}</author>
    <author>tc={4FEB6E14-46D1-4517-A503-D7D8D7512E53}</author>
    <author>tc={9BD58AB3-2710-4B43-A33C-8A8A39662B09}</author>
    <author>tc={34327F4D-A0E4-4F7A-B8DD-0F7C048854C9}</author>
    <author>tc={EAC15590-9476-485E-8298-54DA2439907E}</author>
    <author>tc={789D63D2-FDEB-47D6-8DF4-6C6EB7ED428F}</author>
    <author>tc={ACA50FDD-7289-4FF7-A2B3-1D6418461194}</author>
    <author>tc={CB3CB8BB-767C-4ADB-BFD3-6DCB7D12CEEB}</author>
    <author>tc={8FA5D5B2-2DAE-479E-B6A8-7FE8FD14BECA}</author>
    <author>tc={E5877288-B9E7-4600-831F-1FCA8E5EA211}</author>
    <author>tc={EFA65F08-41C3-44BC-90CD-3E24E3232B6D}</author>
    <author>tc={83C8B086-3E32-40D7-8132-182BD482A0C3}</author>
    <author>tc={BCC072BB-F242-4D7E-950F-00428F142DE5}</author>
    <author>tc={5D6F1D72-09B0-46A5-BB0B-73B24A6EEB2A}</author>
  </authors>
  <commentList>
    <comment ref="D27" authorId="0" shapeId="0" xr:uid="{EE3CA8FA-9ED3-45D2-80EF-710159188664}">
      <text>
        <t xml:space="preserve">[Threaded comment]
Your version of Excel allows you to read this threaded comment; however, any edits to it will get removed if the file is opened in a newer version of Excel. Learn more: https://go.microsoft.com/fwlink/?linkid=870924
Comment:
    Gross figure incl labour, materials, margin
</t>
      </text>
    </comment>
    <comment ref="I27" authorId="1" shapeId="0" xr:uid="{755145A5-B1A2-4EB7-93F6-EAC2412B6DC1}">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K29" authorId="2" shapeId="0" xr:uid="{F79B4681-90F5-4906-BC1B-BC484A962A22}">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30" authorId="3" shapeId="0" xr:uid="{7F83C0E2-16F4-4103-82E9-65BA73B57941}">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t>
      </text>
    </comment>
    <comment ref="K30" authorId="4" shapeId="0" xr:uid="{35DEBD05-3FE2-41A5-BDF7-67F33ACDA70D}">
      <text>
        <t>[Threaded comment]
Your version of Excel allows you to read this threaded comment; however, any edits to it will get removed if the file is opened in a newer version of Excel. Learn more: https://go.microsoft.com/fwlink/?linkid=870924
Comment:
    Project start for 24 weeks</t>
      </text>
    </comment>
    <comment ref="D31" authorId="5" shapeId="0" xr:uid="{2BE740B8-0EEC-4E87-A98D-1324F6C662DE}">
      <text>
        <t>[Threaded comment]
Your version of Excel allows you to read this threaded comment; however, any edits to it will get removed if the file is opened in a newer version of Excel. Learn more: https://go.microsoft.com/fwlink/?linkid=870924
Comment:
    Margin only</t>
      </text>
    </comment>
    <comment ref="D32" authorId="6" shapeId="0" xr:uid="{B2830E3E-5DC4-4352-A3C8-124ADD50F164}">
      <text>
        <t>[Threaded comment]
Your version of Excel allows you to read this threaded comment; however, any edits to it will get removed if the file is opened in a newer version of Excel. Learn more: https://go.microsoft.com/fwlink/?linkid=870924
Comment:
    Margin only</t>
      </text>
    </comment>
    <comment ref="D36" authorId="7" shapeId="0" xr:uid="{AB059062-E5ED-4D22-940A-194334A8139B}">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J36" authorId="8" shapeId="0" xr:uid="{36BA7414-16EE-4660-9153-0A2525EECD06}">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D37" authorId="9" shapeId="0" xr:uid="{E1682EA4-9D04-4BC0-89EE-6BC66D8F856B}">
      <text>
        <t>[Threaded comment]
Your version of Excel allows you to read this threaded comment; however, any edits to it will get removed if the file is opened in a newer version of Excel. Learn more: https://go.microsoft.com/fwlink/?linkid=870924
Comment:
    Margin and labour</t>
      </text>
    </comment>
    <comment ref="M37" authorId="10" shapeId="0" xr:uid="{E8F1B136-CFB0-4ED0-B83A-602B5004F155}">
      <text>
        <t>[Threaded comment]
Your version of Excel allows you to read this threaded comment; however, any edits to it will get removed if the file is opened in a newer version of Excel. Learn more: https://go.microsoft.com/fwlink/?linkid=870924
Comment:
    After tax and after retention</t>
      </text>
    </comment>
    <comment ref="M41" authorId="11" shapeId="0" xr:uid="{3491668E-3697-446A-AF0B-D5ABE6551D21}">
      <text>
        <t>[Threaded comment]
Your version of Excel allows you to read this threaded comment; however, any edits to it will get removed if the file is opened in a newer version of Excel. Learn more: https://go.microsoft.com/fwlink/?linkid=870924
Comment:
    Net of retention</t>
      </text>
    </comment>
    <comment ref="M43" authorId="12" shapeId="0" xr:uid="{F660DBED-BA65-4E8E-B256-78900F4CE8AC}">
      <text>
        <t>[Threaded comment]
Your version of Excel allows you to read this threaded comment; however, any edits to it will get removed if the file is opened in a newer version of Excel. Learn more: https://go.microsoft.com/fwlink/?linkid=870924
Comment:
    After tax and retention</t>
      </text>
    </comment>
    <comment ref="I44" authorId="13" shapeId="0" xr:uid="{CAC5B4F3-5F8F-400B-AA26-DBCA9BCC76A2}">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G51" authorId="14" shapeId="0" xr:uid="{0DE773A9-2041-4EF7-AB0F-30C62D8FC24B}">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K51" authorId="15" shapeId="0" xr:uid="{9EE70A8A-E787-4DC7-813C-55FB538BEEE0}">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M51" authorId="16" shapeId="0" xr:uid="{503BCE58-7A0E-4768-BEE0-DFA6D447500C}">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J52" authorId="17" shapeId="0" xr:uid="{360412E4-FCEF-409E-A40E-7A7879807210}">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J53" authorId="18" shapeId="0" xr:uid="{7BBD5656-2FFC-4E2A-89CA-FB6B0EAB7534}">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F54" authorId="19" shapeId="0" xr:uid="{76399B90-7178-411C-904F-69CA07491002}">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J55" authorId="20" shapeId="0" xr:uid="{EC7596DB-2EB3-4D8F-9BE4-7707AFD9498E}">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E56" authorId="21" shapeId="0" xr:uid="{FF584402-29E3-4DE1-9F38-DA990A60E6A8}">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F56" authorId="22" shapeId="0" xr:uid="{91B75351-5C3F-4090-9F20-B37B540A736E}">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C57" authorId="23" shapeId="0" xr:uid="{19F0350D-64F9-4C84-BAD7-90FDE3FA8431}">
      <text>
        <t>[Threaded comment]
Your version of Excel allows you to read this threaded comment; however, any edits to it will get removed if the file is opened in a newer version of Excel. Learn more: https://go.microsoft.com/fwlink/?linkid=870924
Comment:
    VAT to be charged?</t>
      </text>
    </comment>
    <comment ref="C58" authorId="24" shapeId="0" xr:uid="{4A7587BC-D7B9-4137-A9D6-B3E85A5EDE05}">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O58" authorId="25" shapeId="0" xr:uid="{D212141B-76EC-4637-855E-A82D8E9BB27D}">
      <text>
        <t>[Threaded comment]
Your version of Excel allows you to read this threaded comment; however, any edits to it will get removed if the file is opened in a newer version of Excel. Learn more: https://go.microsoft.com/fwlink/?linkid=870924
Comment:
    No need for additional men, accounted for in the figures below</t>
      </text>
    </comment>
    <comment ref="I76" authorId="26" shapeId="0" xr:uid="{F344683F-4FE4-4F12-8449-1E4E2243FEC0}">
      <text>
        <t>[Threaded comment]
Your version of Excel allows you to read this threaded comment; however, any edits to it will get removed if the file is opened in a newer version of Excel. Learn more: https://go.microsoft.com/fwlink/?linkid=870924
Comment:
    Including VAT</t>
      </text>
    </comment>
    <comment ref="H79" authorId="27" shapeId="0" xr:uid="{CDF748C5-4845-424C-B4A4-195FA8BF94D0}">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B82" authorId="28" shapeId="0" xr:uid="{6AD1E5EF-473F-44D3-A1A8-6137AF266C5B}">
      <text>
        <t xml:space="preserve">[Threaded comment]
Your version of Excel allows you to read this threaded comment; however, any edits to it will get removed if the file is opened in a newer version of Excel. Learn more: https://go.microsoft.com/fwlink/?linkid=870924
Comment:
    Not due for 11 months
</t>
      </text>
    </comment>
    <comment ref="C86" authorId="29" shapeId="0" xr:uid="{9B37E51A-BE26-4B09-847B-7AE4E13F6C59}">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I86" authorId="30" shapeId="0" xr:uid="{4FEB6E14-46D1-4517-A503-D7D8D7512E53}">
      <text>
        <t>[Threaded comment]
Your version of Excel allows you to read this threaded comment; however, any edits to it will get removed if the file is opened in a newer version of Excel. Learn more: https://go.microsoft.com/fwlink/?linkid=870924
Comment:
    September payment</t>
      </text>
    </comment>
    <comment ref="I102" authorId="31" shapeId="0" xr:uid="{9BD58AB3-2710-4B43-A33C-8A8A39662B09}">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H103" authorId="32" shapeId="0" xr:uid="{34327F4D-A0E4-4F7A-B8DD-0F7C048854C9}">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K103" authorId="33" shapeId="0" xr:uid="{EAC15590-9476-485E-8298-54DA2439907E}">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F104" authorId="34" shapeId="0" xr:uid="{789D63D2-FDEB-47D6-8DF4-6C6EB7ED428F}">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N105" authorId="35" shapeId="0" xr:uid="{ACA50FDD-7289-4FF7-A2B3-1D6418461194}">
      <text>
        <t>[Threaded comment]
Your version of Excel allows you to read this threaded comment; however, any edits to it will get removed if the file is opened in a newer version of Excel. Learn more: https://go.microsoft.com/fwlink/?linkid=870924
Comment:
    Ordered in October</t>
      </text>
    </comment>
    <comment ref="F112" authorId="36" shapeId="0" xr:uid="{CB3CB8BB-767C-4ADB-BFD3-6DCB7D12CEEB}">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H112" authorId="37" shapeId="0" xr:uid="{8FA5D5B2-2DAE-479E-B6A8-7FE8FD14BECA}">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I112" authorId="38" shapeId="0" xr:uid="{E5877288-B9E7-4600-831F-1FCA8E5EA211}">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D120" authorId="39" shapeId="0" xr:uid="{EFA65F08-41C3-44BC-90CD-3E24E3232B6D}">
      <text>
        <t>[Threaded comment]
Your version of Excel allows you to read this threaded comment; however, any edits to it will get removed if the file is opened in a newer version of Excel. Learn more: https://go.microsoft.com/fwlink/?linkid=870924
Comment:
    On hold 8.9.23</t>
      </text>
    </comment>
    <comment ref="C125" authorId="40" shapeId="0" xr:uid="{83C8B086-3E32-40D7-8132-182BD482A0C3}">
      <text>
        <t>[Threaded comment]
Your version of Excel allows you to read this threaded comment; however, any edits to it will get removed if the file is opened in a newer version of Excel. Learn more: https://go.microsoft.com/fwlink/?linkid=870924
Comment:
    Unlikely to go ahead</t>
      </text>
    </comment>
    <comment ref="D125" authorId="41" shapeId="0" xr:uid="{BCC072BB-F242-4D7E-950F-00428F142DE5}">
      <text>
        <t>[Threaded comment]
Your version of Excel allows you to read this threaded comment; however, any edits to it will get removed if the file is opened in a newer version of Excel. Learn more: https://go.microsoft.com/fwlink/?linkid=870924
Comment:
    Figures coming from email sent to Graham on 31.08 
Reply:
    Unlikely to go ahead</t>
      </text>
    </comment>
    <comment ref="B132" authorId="42" shapeId="0" xr:uid="{5D6F1D72-09B0-46A5-BB0B-73B24A6EEB2A}">
      <text>
        <t xml:space="preserve">[Threaded comment]
Your version of Excel allows you to read this threaded comment; however, any edits to it will get removed if the file is opened in a newer version of Excel. Learn more: https://go.microsoft.com/fwlink/?linkid=870924
Comment:
    Paul Sheerin, Jason
</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tc={B371541D-32C7-450B-8D27-B6EEC2E4C721}</author>
    <author>tc={8533C665-12CE-4E20-A8E1-D6F74B699B9C}</author>
    <author>tc={B772C10F-961D-4BDE-8F68-B6C52D8BF8BA}</author>
    <author>tc={E4F8AE64-AF51-4DD4-AF93-2B71F41E4085}</author>
    <author>tc={6C8618B2-C951-4E1F-AF04-264B72F78B1A}</author>
    <author>tc={85A8BEA8-BDF6-44E4-AB3D-5D023C5F475E}</author>
    <author>tc={12C32591-9B27-4D77-BE03-65825361D044}</author>
    <author>tc={26AEE0FD-D37A-4E84-836E-A9DC59DCAAEC}</author>
    <author>tc={24FF2AE0-3BD5-43AA-AE72-9D99E69067AA}</author>
    <author>tc={BECCAB60-399C-4734-829F-726FE4CE5A07}</author>
    <author>tc={69C33012-9880-4B62-8D25-E13C2DAA74E0}</author>
    <author>tc={F27D52C8-5B01-416E-9C79-D94D1A2043B5}</author>
    <author>tc={76F8DB63-59FB-458E-8DE6-353D7DF137C0}</author>
    <author>tc={F77936DF-A449-4343-855A-2C90F4D58040}</author>
    <author>tc={A8323EAD-5800-4279-B2D2-919B32924823}</author>
    <author>tc={9B9B9F86-9569-40B3-B43D-B55B54E22C8E}</author>
    <author>tc={B61D454A-9917-4037-A804-2A617D7F5478}</author>
    <author>tc={D6F7655A-D9EF-420A-934B-29185D49C274}</author>
    <author>tc={98BFA31F-FD40-4159-8848-F2A6979EAA61}</author>
    <author>tc={C14191BC-1AEB-48B0-97A4-8B3FB4C3F00D}</author>
    <author>tc={2172D075-48A5-4B6E-ACB1-AB7F733FBA02}</author>
    <author>tc={9A35A4AC-B03A-4796-A1A9-CD99DE971FAC}</author>
    <author>tc={4424238D-3C48-4BC9-9247-F1C20B76C926}</author>
    <author>tc={7093438D-0DEC-404D-9472-C0466D5B32A3}</author>
    <author>tc={3FF3775F-BD9F-4F8D-BD09-390B0A7DEF3C}</author>
    <author>tc={A9918C57-8C0C-445A-9607-40C83E2BEEE5}</author>
    <author>tc={F70BB729-FB9B-40B3-80EE-387D1CB45846}</author>
    <author>tc={0705D8EA-7814-4609-BC4E-658D30827A87}</author>
    <author>tc={27803C74-E38D-4924-A094-8755A4FACDBE}</author>
    <author>tc={7BF46C0C-625C-4DD8-A82A-34425E43BF09}</author>
    <author>tc={9B793F82-AC76-42FC-BE73-1977895FF188}</author>
    <author>tc={C12A4CFA-0F33-46FC-B65B-44044C8431B7}</author>
    <author>tc={5C74A504-656F-4D2D-A510-7AB1923BA8A5}</author>
    <author>tc={6DA52726-F47B-46B8-80D2-925E1C5CC839}</author>
    <author>tc={632CE5C1-B081-43D7-AA40-ED1FF8F4A2BB}</author>
    <author>tc={00BAAAC0-DEFF-4480-B978-9F6E01D2AB68}</author>
    <author>tc={5878EA58-408F-41C0-863B-1A01ECFAE504}</author>
    <author>tc={F049DE39-93FA-48AA-BDC4-53CAE3153185}</author>
    <author>tc={AD2058C0-0050-4D94-A8A6-5237F85DD2D1}</author>
    <author>tc={D660B73F-9C7D-4847-AC40-CA1A95C51E4C}</author>
    <author>tc={65B2593F-7ECB-4CAF-BB0E-85772E8137AD}</author>
    <author>tc={6A51C0DA-31B5-4CC9-8F46-2A0ABD9A5DA6}</author>
    <author>tc={7FA7D492-E208-4485-A5BC-5946CDAA7785}</author>
    <author>tc={344ABA15-EE79-4C92-957B-E079B4EB91E5}</author>
    <author>tc={EF53CCB0-C008-4613-B4A7-C875755883D8}</author>
    <author>tc={19E46178-5FE2-4E65-806C-B8011C9F61DC}</author>
    <author>tc={36AE26BD-7CAE-4B8F-86CB-88BFFFDE1E31}</author>
    <author>tc={6A87BC25-DF66-41FC-A306-F0DB236C2B59}</author>
    <author>tc={0CF549D6-05B0-4344-B149-F259E06C6FD0}</author>
    <author>tc={ECE9D30A-BFA7-4460-A823-BB0A71AC5346}</author>
    <author>tc={AB96E2D8-63DE-4045-A42A-6F04D0104B18}</author>
    <author>tc={74B354B0-D997-4F2B-B194-A9BDCA4AE4BD}</author>
    <author>tc={6585AC79-F461-4F2F-AFBC-1DBE955689D0}</author>
    <author>tc={A838A4B4-9247-4BE7-B1E7-812353EAC4AA}</author>
    <author>tc={71DA4818-7BCD-4557-9E50-E392E9205607}</author>
    <author>tc={D2FAFA8A-CA52-4CED-A672-1CFAC391A32F}</author>
    <author>tc={E3F55F17-53B7-47B2-8338-B6B43A0A96BB}</author>
    <author>tc={AE9686AE-B07F-48A3-A536-600C91F6CDDD}</author>
    <author>tc={2FCEED11-54FC-4A35-897B-F89CC0D729D0}</author>
    <author>tc={6F886E83-8684-44C9-B45B-D5B8065B31CE}</author>
    <author>tc={767E9F66-D8A2-4806-89A8-3E7E98B48D50}</author>
    <author>tc={8F14A064-1F86-4AF7-AB7A-ECB00B412CF7}</author>
    <author>tc={BD5E5597-B582-47E4-9162-411B7C2956DA}</author>
    <author>tc={798610D7-E049-485F-8231-437CDECB8A6D}</author>
    <author>tc={E5671911-6C42-475A-B4D2-B8A92D6E3A5B}</author>
    <author>tc={59E3FCCD-03C2-48DB-80BA-BB5DD41763A6}</author>
    <author>tc={B64925A7-F066-4E7E-8CEF-B73AB127226E}</author>
    <author>tc={F463A192-96BB-4BEE-AFA2-FF31385F6611}</author>
    <author>tc={8052A6F5-A03C-4743-97F8-D0729432BA91}</author>
    <author>tc={EA53E666-52E8-497E-857C-FB7D2BD13661}</author>
    <author>tc={44490909-BFF6-4EE8-8A2F-70BFB5C54CA9}</author>
    <author>tc={92632C56-0355-4BC0-B431-087C135273F8}</author>
    <author>tc={EE7894AF-6293-4212-AB8D-E5BAC486FD5E}</author>
    <author>tc={B8188190-5523-4DBC-A13C-F9CD025449F6}</author>
    <author>tc={9CACC3D0-ACB8-4E15-9ABA-69C365C41075}</author>
    <author>tc={30C58B8D-AB1F-4D8A-8C82-4EBCDED8B53A}</author>
    <author>tc={7B6F045B-4920-4F6A-9132-FE0884FD3012}</author>
    <author>tc={2D7F9E57-0E85-4F0E-8035-94F65A8AE9BE}</author>
    <author>tc={F107AE1C-23BE-4BEF-B235-D16A50F04AB7}</author>
    <author>tc={F214537B-9EB9-4E0A-B0C7-0F94EBCD2A62}</author>
    <author>tc={D136D93D-4EDD-49A1-B0B1-F12F1902B289}</author>
    <author>tc={FB446C06-4829-4D3B-B091-57D12749170A}</author>
    <author>tc={67C4240D-87B0-4E29-A3F1-C91E91CD9475}</author>
    <author>tc={7E93FA69-E5DD-4244-904A-843FFACCE38D}</author>
  </authors>
  <commentList>
    <comment ref="S12" authorId="0" shapeId="0" xr:uid="{B371541D-32C7-450B-8D27-B6EEC2E4C721}">
      <text>
        <t>[Threaded comment]
Your version of Excel allows you to read this threaded comment; however, any edits to it will get removed if the file is opened in a newer version of Excel. Learn more: https://go.microsoft.com/fwlink/?linkid=870924
Comment:
    1st Nov Jason spoke to Pamela in Townlink, she said that they are on site snagging and that we should forecast to receive retention mid Dec.</t>
      </text>
    </comment>
    <comment ref="D26" authorId="1" shapeId="0" xr:uid="{8533C665-12CE-4E20-A8E1-D6F74B699B9C}">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I26" authorId="2" shapeId="0" xr:uid="{B772C10F-961D-4BDE-8F68-B6C52D8BF8BA}">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U26" authorId="3" shapeId="0" xr:uid="{E4F8AE64-AF51-4DD4-AF93-2B71F41E4085}">
      <text>
        <t>[Threaded comment]
Your version of Excel allows you to read this threaded comment; however, any edits to it will get removed if the file is opened in a newer version of Excel. Learn more: https://go.microsoft.com/fwlink/?linkid=870924
Comment:
    This represents final payment plus PC Retention of 2.5%</t>
      </text>
    </comment>
    <comment ref="Q27" authorId="4" shapeId="0" xr:uid="{6C8618B2-C951-4E1F-AF04-264B72F78B1A}">
      <text>
        <t>[Threaded comment]
Your version of Excel allows you to read this threaded comment; however, any edits to it will get removed if the file is opened in a newer version of Excel. Learn more: https://go.microsoft.com/fwlink/?linkid=870924
Comment:
    Invoice sent</t>
      </text>
    </comment>
    <comment ref="D29" authorId="5" shapeId="0" xr:uid="{85A8BEA8-BDF6-44E4-AB3D-5D023C5F475E}">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t>
      </text>
    </comment>
    <comment ref="L29" authorId="6" shapeId="0" xr:uid="{12C32591-9B27-4D77-BE03-65825361D044}">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M29" authorId="7" shapeId="0" xr:uid="{26AEE0FD-D37A-4E84-836E-A9DC59DCAAEC}">
      <text>
        <t xml:space="preserve">[Threaded comment]
Your version of Excel allows you to read this threaded comment; however, any edits to it will get removed if the file is opened in a newer version of Excel. Learn more: https://go.microsoft.com/fwlink/?linkid=870924
Comment:
    Dave submitted this figure to TSK 1/11
We were expecting to receive €37143.56 less 20% tax = €29,715
</t>
      </text>
    </comment>
    <comment ref="R29" authorId="8" shapeId="0" xr:uid="{24FF2AE0-3BD5-43AA-AE72-9D99E69067AA}">
      <text>
        <t>[Threaded comment]
Your version of Excel allows you to read this threaded comment; however, any edits to it will get removed if the file is opened in a newer version of Excel. Learn more: https://go.microsoft.com/fwlink/?linkid=870924
Comment:
    Includes value of Floor 7 closing</t>
      </text>
    </comment>
    <comment ref="T29" authorId="9" shapeId="0" xr:uid="{BECCAB60-399C-4734-829F-726FE4CE5A07}">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V29" authorId="10" shapeId="0" xr:uid="{69C33012-9880-4B62-8D25-E13C2DAA74E0}">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W29" authorId="11" shapeId="0" xr:uid="{F27D52C8-5B01-416E-9C79-D94D1A2043B5}">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X29" authorId="12" shapeId="0" xr:uid="{76F8DB63-59FB-458E-8DE6-353D7DF137C0}">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t>
      </text>
    </comment>
    <comment ref="Y29" authorId="13" shapeId="0" xr:uid="{F77936DF-A449-4343-855A-2C90F4D58040}">
      <text>
        <t>[Threaded comment]
Your version of Excel allows you to read this threaded comment; however, any edits to it will get removed if the file is opened in a newer version of Excel. Learn more: https://go.microsoft.com/fwlink/?linkid=870924
Comment:
    2.5% PC Retention</t>
      </text>
    </comment>
    <comment ref="D31" authorId="14" shapeId="0" xr:uid="{A8323EAD-5800-4279-B2D2-919B32924823}">
      <text>
        <t>[Threaded comment]
Your version of Excel allows you to read this threaded comment; however, any edits to it will get removed if the file is opened in a newer version of Excel. Learn more: https://go.microsoft.com/fwlink/?linkid=870924
Comment:
    Margin and Labour figure only net of the 20% tax deduction</t>
      </text>
    </comment>
    <comment ref="D32" authorId="15" shapeId="0" xr:uid="{9B9B9F86-9569-40B3-B43D-B55B54E22C8E}">
      <text>
        <t>[Threaded comment]
Your version of Excel allows you to read this threaded comment; however, any edits to it will get removed if the file is opened in a newer version of Excel. Learn more: https://go.microsoft.com/fwlink/?linkid=870924
Comment:
    Margin only</t>
      </text>
    </comment>
    <comment ref="Q36" authorId="16" shapeId="0" xr:uid="{B61D454A-9917-4037-A804-2A617D7F5478}">
      <text>
        <t>[Threaded comment]
Your version of Excel allows you to read this threaded comment; however, any edits to it will get removed if the file is opened in a newer version of Excel. Learn more: https://go.microsoft.com/fwlink/?linkid=870924
Comment:
    Gross figure has been submitted by Dave.</t>
      </text>
    </comment>
    <comment ref="M38" authorId="17" shapeId="0" xr:uid="{D6F7655A-D9EF-420A-934B-29185D49C274}">
      <text>
        <t>[Threaded comment]
Your version of Excel allows you to read this threaded comment; however, any edits to it will get removed if the file is opened in a newer version of Excel. Learn more: https://go.microsoft.com/fwlink/?linkid=870924
Comment:
    Net of retention</t>
      </text>
    </comment>
    <comment ref="Q38" authorId="18" shapeId="0" xr:uid="{98BFA31F-FD40-4159-8848-F2A6979EAA61}">
      <text>
        <t xml:space="preserve">[Threaded comment]
Your version of Excel allows you to read this threaded comment; however, any edits to it will get removed if the file is opened in a newer version of Excel. Learn more: https://go.microsoft.com/fwlink/?linkid=870924
Comment:
    Additional gym work, final payment.
</t>
      </text>
    </comment>
    <comment ref="R38" authorId="19" shapeId="0" xr:uid="{C14191BC-1AEB-48B0-97A4-8B3FB4C3F00D}">
      <text>
        <t xml:space="preserve">[Threaded comment]
Your version of Excel allows you to read this threaded comment; however, any edits to it will get removed if the file is opened in a newer version of Excel. Learn more: https://go.microsoft.com/fwlink/?linkid=870924
Comment:
    Final account PC retention </t>
      </text>
    </comment>
    <comment ref="N40" authorId="20" shapeId="0" xr:uid="{2172D075-48A5-4B6E-ACB1-AB7F733FBA02}">
      <text>
        <t>[Threaded comment]
Your version of Excel allows you to read this threaded comment; however, any edits to it will get removed if the file is opened in a newer version of Excel. Learn more: https://go.microsoft.com/fwlink/?linkid=870924
Comment:
    After tax and retention. Received response from Stephen, confirmed that daywork sheets have been sent.
Stephen paid less than what was due.</t>
      </text>
    </comment>
    <comment ref="Q40" authorId="21" shapeId="0" xr:uid="{9A35A4AC-B03A-4796-A1A9-CD99DE971FAC}">
      <text>
        <t xml:space="preserve">[Threaded comment]
Your version of Excel allows you to read this threaded comment; however, any edits to it will get removed if the file is opened in a newer version of Excel. Learn more: https://go.microsoft.com/fwlink/?linkid=870924
Comment:
    October valuation including 20% reduction and materials
</t>
      </text>
    </comment>
    <comment ref="T40" authorId="22" shapeId="0" xr:uid="{4424238D-3C48-4BC9-9247-F1C20B76C926}">
      <text>
        <t>[Threaded comment]
Your version of Excel allows you to read this threaded comment; however, any edits to it will get removed if the file is opened in a newer version of Excel. Learn more: https://go.microsoft.com/fwlink/?linkid=870924
Comment:
    Final account PC retention, Dave gave figure.</t>
      </text>
    </comment>
    <comment ref="D41" authorId="23" shapeId="0" xr:uid="{7093438D-0DEC-404D-9472-C0466D5B32A3}">
      <text>
        <t>[Threaded comment]
Your version of Excel allows you to read this threaded comment; however, any edits to it will get removed if the file is opened in a newer version of Excel. Learn more: https://go.microsoft.com/fwlink/?linkid=870924
Comment:
    Margin and labour and materials (already ordered).</t>
      </text>
    </comment>
    <comment ref="N41" authorId="24" shapeId="0" xr:uid="{3FF3775F-BD9F-4F8D-BD09-390B0A7DEF3C}">
      <text>
        <t>[Threaded comment]
Your version of Excel allows you to read this threaded comment; however, any edits to it will get removed if the file is opened in a newer version of Excel. Learn more: https://go.microsoft.com/fwlink/?linkid=870924
Comment:
    After tax and after retention. Received response from Stephen, confirmed that daywork sheets have been sent.</t>
      </text>
    </comment>
    <comment ref="Q41" authorId="25" shapeId="0" xr:uid="{A9918C57-8C0C-445A-9607-40C83E2BEEE5}">
      <text>
        <t>[Threaded comment]
Your version of Excel allows you to read this threaded comment; however, any edits to it will get removed if the file is opened in a newer version of Excel. Learn more: https://go.microsoft.com/fwlink/?linkid=870924
Comment:
    1st Nov, this is the valuation Dave is submitting.</t>
      </text>
    </comment>
    <comment ref="T41" authorId="26" shapeId="0" xr:uid="{F70BB729-FB9B-40B3-80EE-387D1CB45846}">
      <text>
        <t>[Threaded comment]
Your version of Excel allows you to read this threaded comment; however, any edits to it will get removed if the file is opened in a newer version of Excel. Learn more: https://go.microsoft.com/fwlink/?linkid=870924
Comment:
    Dave to sit with OHLA and agree what will be achieved by this date. Dave to revert 14.11</t>
      </text>
    </comment>
    <comment ref="I42" authorId="27" shapeId="0" xr:uid="{0705D8EA-7814-4609-BC4E-658D30827A87}">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P43" authorId="28" shapeId="0" xr:uid="{27803C74-E38D-4924-A094-8755A4FACDBE}">
      <text>
        <t>[Threaded comment]
Your version of Excel allows you to read this threaded comment; however, any edits to it will get removed if the file is opened in a newer version of Excel. Learn more: https://go.microsoft.com/fwlink/?linkid=870924
Comment:
    Need to talk with Ray in CDM to see if we can get some earl(ier) payment</t>
      </text>
    </comment>
    <comment ref="G49" authorId="29" shapeId="0" xr:uid="{7BF46C0C-625C-4DD8-A82A-34425E43BF09}">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K49" authorId="30" shapeId="0" xr:uid="{9B793F82-AC76-42FC-BE73-1977895FF188}">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R49" authorId="31" shapeId="0" xr:uid="{C12A4CFA-0F33-46FC-B65B-44044C8431B7}">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J50" authorId="32" shapeId="0" xr:uid="{5C74A504-656F-4D2D-A510-7AB1923BA8A5}">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O51" authorId="33" shapeId="0" xr:uid="{6DA52726-F47B-46B8-80D2-925E1C5CC839}">
      <text>
        <t>[Threaded comment]
Your version of Excel allows you to read this threaded comment; however, any edits to it will get removed if the file is opened in a newer version of Excel. Learn more: https://go.microsoft.com/fwlink/?linkid=870924
Comment:
    Ronan to send this to Graham Dinh this week.</t>
      </text>
    </comment>
    <comment ref="K52" authorId="34" shapeId="0" xr:uid="{632CE5C1-B081-43D7-AA40-ED1FF8F4A2BB}">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C53" authorId="35" shapeId="0" xr:uid="{00BAAAC0-DEFF-4480-B978-9F6E01D2AB68}">
      <text>
        <t>[Threaded comment]
Your version of Excel allows you to read this threaded comment; however, any edits to it will get removed if the file is opened in a newer version of Excel. Learn more: https://go.microsoft.com/fwlink/?linkid=870924
Comment:
    VAT to be charged?</t>
      </text>
    </comment>
    <comment ref="M53" authorId="36" shapeId="0" xr:uid="{5878EA58-408F-41C0-863B-1A01ECFAE504}">
      <text>
        <t>[Threaded comment]
Your version of Excel allows you to read this threaded comment; however, any edits to it will get removed if the file is opened in a newer version of Excel. Learn more: https://go.microsoft.com/fwlink/?linkid=870924
Comment:
    Ivan spoke to Amanda, payment will be made next week into bank.</t>
      </text>
    </comment>
    <comment ref="C54" authorId="37" shapeId="0" xr:uid="{F049DE39-93FA-48AA-BDC4-53CAE3153185}">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T54" authorId="38" shapeId="0" xr:uid="{AD2058C0-0050-4D94-A8A6-5237F85DD2D1}">
      <text>
        <t>[Threaded comment]
Your version of Excel allows you to read this threaded comment; however, any edits to it will get removed if the file is opened in a newer version of Excel. Learn more: https://go.microsoft.com/fwlink/?linkid=870924
Comment:
    Need to confirm start date. No need for additional men, accounted for in the figures below</t>
      </text>
    </comment>
    <comment ref="K55" authorId="39" shapeId="0" xr:uid="{D660B73F-9C7D-4847-AC40-CA1A95C51E4C}">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57" authorId="40" shapeId="0" xr:uid="{65B2593F-7ECB-4CAF-BB0E-85772E8137AD}">
      <text>
        <t>[Threaded comment]
Your version of Excel allows you to read this threaded comment; however, any edits to it will get removed if the file is opened in a newer version of Excel. Learn more: https://go.microsoft.com/fwlink/?linkid=870924
Comment:
    2000m2 of sand and cement @ €20pmsq</t>
      </text>
    </comment>
    <comment ref="V57" authorId="41" shapeId="0" xr:uid="{6A51C0DA-31B5-4CC9-8F46-2A0ABD9A5DA6}">
      <text>
        <t xml:space="preserve">[Threaded comment]
Your version of Excel allows you to read this threaded comment; however, any edits to it will get removed if the file is opened in a newer version of Excel. Learn more: https://go.microsoft.com/fwlink/?linkid=870924
Comment:
    2 and 1 gang at 4 weeks. 500m per week </t>
      </text>
    </comment>
    <comment ref="D59" authorId="42" shapeId="0" xr:uid="{7FA7D492-E208-4485-A5BC-5946CDAA7785}">
      <text>
        <t>[Threaded comment]
Your version of Excel allows you to read this threaded comment; however, any edits to it will get removed if the file is opened in a newer version of Excel. Learn more: https://go.microsoft.com/fwlink/?linkid=870924
Comment:
    Labour + Margin only</t>
      </text>
    </comment>
    <comment ref="F65" authorId="43" shapeId="0" xr:uid="{344ABA15-EE79-4C92-957B-E079B4EB91E5}">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J66" authorId="44" shapeId="0" xr:uid="{EF53CCB0-C008-4613-B4A7-C875755883D8}">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E67" authorId="45" shapeId="0" xr:uid="{19E46178-5FE2-4E65-806C-B8011C9F61DC}">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F67" authorId="46" shapeId="0" xr:uid="{36AE26BD-7CAE-4B8F-86CB-88BFFFDE1E31}">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D69" authorId="47" shapeId="0" xr:uid="{6A87BC25-DF66-41FC-A306-F0DB236C2B59}">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J69" authorId="48" shapeId="0" xr:uid="{0CF549D6-05B0-4344-B149-F259E06C6FD0}">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B79" authorId="49" shapeId="0" xr:uid="{ECE9D30A-BFA7-4460-A823-BB0A71AC5346}">
      <text>
        <t>[Threaded comment]
Your version of Excel allows you to read this threaded comment; however, any edits to it will get removed if the file is opened in a newer version of Excel. Learn more: https://go.microsoft.com/fwlink/?linkid=870924
Comment:
    Vasile, Catalin, Gheorge, Gheorge, Cosmin, Ion, Ilie, Mircea, Adrian, Marian.</t>
      </text>
    </comment>
    <comment ref="B81" authorId="50" shapeId="0" xr:uid="{AB96E2D8-63DE-4045-A42A-6F04D0104B18}">
      <text>
        <t>[Threaded comment]
Your version of Excel allows you to read this threaded comment; however, any edits to it will get removed if the file is opened in a newer version of Excel. Learn more: https://go.microsoft.com/fwlink/?linkid=870924
Comment:
    Edgar, Vasil Bulz, Vasil Ursaciuc, Flavian, Daniel</t>
      </text>
    </comment>
    <comment ref="V81" authorId="51" shapeId="0" xr:uid="{74B354B0-D997-4F2B-B194-A9BDCA4AE4BD}">
      <text>
        <t>[Threaded comment]
Your version of Excel allows you to read this threaded comment; however, any edits to it will get removed if the file is opened in a newer version of Excel. Learn more: https://go.microsoft.com/fwlink/?linkid=870924
Comment:
    Taken 3k off for xmas holiday</t>
      </text>
    </comment>
    <comment ref="V82" authorId="52" shapeId="0" xr:uid="{6585AC79-F461-4F2F-AFBC-1DBE955689D0}">
      <text>
        <t>[Threaded comment]
Your version of Excel allows you to read this threaded comment; however, any edits to it will get removed if the file is opened in a newer version of Excel. Learn more: https://go.microsoft.com/fwlink/?linkid=870924
Comment:
    Reduced figure to cater for Xmas holiday time off.</t>
      </text>
    </comment>
    <comment ref="X82" authorId="53" shapeId="0" xr:uid="{A838A4B4-9247-4BE7-B1E7-812353EAC4AA}">
      <text>
        <t>[Threaded comment]
Your version of Excel allows you to read this threaded comment; however, any edits to it will get removed if the file is opened in a newer version of Excel. Learn more: https://go.microsoft.com/fwlink/?linkid=870924
Comment:
    Reduction in staff needed from March onwards based on Beach road coming in and no other jobs included yet.</t>
      </text>
    </comment>
    <comment ref="I86" authorId="54" shapeId="0" xr:uid="{71DA4818-7BCD-4557-9E50-E392E9205607}">
      <text>
        <t>[Threaded comment]
Your version of Excel allows you to read this threaded comment; however, any edits to it will get removed if the file is opened in a newer version of Excel. Learn more: https://go.microsoft.com/fwlink/?linkid=870924
Comment:
    Including VAT</t>
      </text>
    </comment>
    <comment ref="W88" authorId="55" shapeId="0" xr:uid="{D2FAFA8A-CA52-4CED-A672-1CFAC391A32F}">
      <text>
        <t xml:space="preserve">[Threaded comment]
Your version of Excel allows you to read this threaded comment; however, any edits to it will get removed if the file is opened in a newer version of Excel. Learn more: https://go.microsoft.com/fwlink/?linkid=870924
Comment:
    Increase for new fleet, incl Jason maybe.
</t>
      </text>
    </comment>
    <comment ref="H89" authorId="56" shapeId="0" xr:uid="{E3F55F17-53B7-47B2-8338-B6B43A0A96BB}">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B92" authorId="57" shapeId="0" xr:uid="{AE9686AE-B07F-48A3-A536-600C91F6CDDD}">
      <text>
        <t xml:space="preserve">[Threaded comment]
Your version of Excel allows you to read this threaded comment; however, any edits to it will get removed if the file is opened in a newer version of Excel. Learn more: https://go.microsoft.com/fwlink/?linkid=870924
Comment:
    Not due for 11 months
</t>
      </text>
    </comment>
    <comment ref="C96" authorId="58" shapeId="0" xr:uid="{2FCEED11-54FC-4A35-897B-F89CC0D729D0}">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I96" authorId="59" shapeId="0" xr:uid="{6F886E83-8684-44C9-B45B-D5B8065B31CE}">
      <text>
        <t>[Threaded comment]
Your version of Excel allows you to read this threaded comment; however, any edits to it will get removed if the file is opened in a newer version of Excel. Learn more: https://go.microsoft.com/fwlink/?linkid=870924
Comment:
    September payment</t>
      </text>
    </comment>
    <comment ref="M97" authorId="60" shapeId="0" xr:uid="{767E9F66-D8A2-4806-89A8-3E7E98B48D50}">
      <text>
        <t xml:space="preserve">[Threaded comment]
Your version of Excel allows you to read this threaded comment; however, any edits to it will get removed if the file is opened in a newer version of Excel. Learn more: https://go.microsoft.com/fwlink/?linkid=870924
Comment:
    Move to next week.
</t>
      </text>
    </comment>
    <comment ref="J98" authorId="61" shapeId="0" xr:uid="{8F14A064-1F86-4AF7-AB7A-ECB00B412CF7}">
      <text>
        <t>[Threaded comment]
Your version of Excel allows you to read this threaded comment; however, any edits to it will get removed if the file is opened in a newer version of Excel. Learn more: https://go.microsoft.com/fwlink/?linkid=870924
Comment:
    Check to make sure this is a credit card payment</t>
      </text>
    </comment>
    <comment ref="S99" authorId="62" shapeId="0" xr:uid="{BD5E5597-B582-47E4-9162-411B7C2956DA}">
      <text>
        <t>[Threaded comment]
Your version of Excel allows you to read this threaded comment; however, any edits to it will get removed if the file is opened in a newer version of Excel. Learn more: https://go.microsoft.com/fwlink/?linkid=870924
Comment:
    Quarterly overdraft interest (estimated)</t>
      </text>
    </comment>
    <comment ref="M115" authorId="63" shapeId="0" xr:uid="{798610D7-E049-485F-8231-437CDECB8A6D}">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L116" authorId="64" shapeId="0" xr:uid="{E5671911-6C42-475A-B4D2-B8A92D6E3A5B}">
      <text>
        <t xml:space="preserve">[Threaded comment]
Your version of Excel allows you to read this threaded comment; however, any edits to it will get removed if the file is opened in a newer version of Excel. Learn more: https://go.microsoft.com/fwlink/?linkid=870924
Comment:
    SIG bal as at 22.09 plus materials for Rhenus. Total was 44k, paid 30k early 17.10  </t>
      </text>
    </comment>
    <comment ref="R116" authorId="65" shapeId="0" xr:uid="{59E3FCCD-03C2-48DB-80BA-BB5DD41763A6}">
      <text>
        <t>[Threaded comment]
Your version of Excel allows you to read this threaded comment; however, any edits to it will get removed if the file is opened in a newer version of Excel. Learn more: https://go.microsoft.com/fwlink/?linkid=870924
Comment:
    This assumes we will use all our credit line with SIG.</t>
      </text>
    </comment>
    <comment ref="U116" authorId="66" shapeId="0" xr:uid="{B64925A7-F066-4E7E-8CEF-B73AB127226E}">
      <text>
        <t xml:space="preserve">[Threaded comment]
Your version of Excel allows you to read this threaded comment; however, any edits to it will get removed if the file is opened in a newer version of Excel. Learn more: https://go.microsoft.com/fwlink/?linkid=870924
Comment:
    This is the remainder of the SIG account balance as at 27.10 which is the email from Laura Peters showing €75,976 balance plus a further €8,204 orders placed after her statement came out.
</t>
      </text>
    </comment>
    <comment ref="I119" authorId="67" shapeId="0" xr:uid="{F463A192-96BB-4BEE-AFA2-FF31385F6611}">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H120" authorId="68" shapeId="0" xr:uid="{8052A6F5-A03C-4743-97F8-D0729432BA91}">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L120" authorId="69" shapeId="0" xr:uid="{EA53E666-52E8-497E-857C-FB7D2BD13661}">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F121" authorId="70" shapeId="0" xr:uid="{44490909-BFF6-4EE8-8A2F-70BFB5C54CA9}">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M122" authorId="71" shapeId="0" xr:uid="{92632C56-0355-4BC0-B431-087C135273F8}">
      <text>
        <t>[Threaded comment]
Your version of Excel allows you to read this threaded comment; however, any edits to it will get removed if the file is opened in a newer version of Excel. Learn more: https://go.microsoft.com/fwlink/?linkid=870924
Comment:
    Payment made for cash delivery</t>
      </text>
    </comment>
    <comment ref="P122" authorId="72" shapeId="0" xr:uid="{EE7894AF-6293-4212-AB8D-E5BAC486FD5E}">
      <text>
        <t>[Threaded comment]
Your version of Excel allows you to read this threaded comment; however, any edits to it will get removed if the file is opened in a newer version of Excel. Learn more: https://go.microsoft.com/fwlink/?linkid=870924
Comment:
    Ordered in October</t>
      </text>
    </comment>
    <comment ref="Q122" authorId="73" shapeId="0" xr:uid="{B8188190-5523-4DBC-A13C-F9CD025449F6}">
      <text>
        <t>[Threaded comment]
Your version of Excel allows you to read this threaded comment; however, any edits to it will get removed if the file is opened in a newer version of Excel. Learn more: https://go.microsoft.com/fwlink/?linkid=870924
Comment:
    Two orders placed for Belmayne and Rhenus</t>
      </text>
    </comment>
    <comment ref="F131" authorId="74" shapeId="0" xr:uid="{9CACC3D0-ACB8-4E15-9ABA-69C365C41075}">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H131" authorId="75" shapeId="0" xr:uid="{30C58B8D-AB1F-4D8A-8C82-4EBCDED8B53A}">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I131" authorId="76" shapeId="0" xr:uid="{7B6F045B-4920-4F6A-9132-FE0884FD3012}">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J131" authorId="77" shapeId="0" xr:uid="{2D7F9E57-0E85-4F0E-8035-94F65A8AE9BE}">
      <text>
        <t xml:space="preserve">[Threaded comment]
Your version of Excel allows you to read this threaded comment; however, any edits to it will get removed if the file is opened in a newer version of Excel. Learn more: https://go.microsoft.com/fwlink/?linkid=870924
Comment:
    Spreadsheet balance matches actual bal from Bank coming into 16.10
</t>
      </text>
    </comment>
    <comment ref="K131" authorId="78" shapeId="0" xr:uid="{F107AE1C-23BE-4BEF-B235-D16A50F04AB7}">
      <text>
        <t>[Threaded comment]
Your version of Excel allows you to read this threaded comment; however, any edits to it will get removed if the file is opened in a newer version of Excel. Learn more: https://go.microsoft.com/fwlink/?linkid=870924
Comment:
    Spreadsheet balance and bank balance match coming into week 23.10</t>
      </text>
    </comment>
    <comment ref="L131" authorId="79" shapeId="0" xr:uid="{F214537B-9EB9-4E0A-B0C7-0F94EBCD2A62}">
      <text>
        <t xml:space="preserve">[Threaded comment]
Your version of Excel allows you to read this threaded comment; however, any edits to it will get removed if the file is opened in a newer version of Excel. Learn more: https://go.microsoft.com/fwlink/?linkid=870924
Comment:
    Bank balance is €24,715 which is much the same.
</t>
      </text>
    </comment>
    <comment ref="M131" authorId="80" shapeId="0" xr:uid="{D136D93D-4EDD-49A1-B0B1-F12F1902B289}">
      <text>
        <t xml:space="preserve">[Threaded comment]
Your version of Excel allows you to read this threaded comment; however, any edits to it will get removed if the file is opened in a newer version of Excel. Learn more: https://go.microsoft.com/fwlink/?linkid=870924
Comment:
    This exactly matches the bank balance on Sunday evening 5/11 </t>
      </text>
    </comment>
    <comment ref="D140" authorId="81" shapeId="0" xr:uid="{FB446C06-4829-4D3B-B091-57D12749170A}">
      <text>
        <t>[Threaded comment]
Your version of Excel allows you to read this threaded comment; however, any edits to it will get removed if the file is opened in a newer version of Excel. Learn more: https://go.microsoft.com/fwlink/?linkid=870924
Comment:
    On hold 8.9.23</t>
      </text>
    </comment>
    <comment ref="C145" authorId="82" shapeId="0" xr:uid="{67C4240D-87B0-4E29-A3F1-C91E91CD9475}">
      <text>
        <t>[Threaded comment]
Your version of Excel allows you to read this threaded comment; however, any edits to it will get removed if the file is opened in a newer version of Excel. Learn more: https://go.microsoft.com/fwlink/?linkid=870924
Comment:
    Unlikely to go ahead</t>
      </text>
    </comment>
    <comment ref="D145" authorId="83" shapeId="0" xr:uid="{7E93FA69-E5DD-4244-904A-843FFACCE38D}">
      <text>
        <t>[Threaded comment]
Your version of Excel allows you to read this threaded comment; however, any edits to it will get removed if the file is opened in a newer version of Excel. Learn more: https://go.microsoft.com/fwlink/?linkid=870924
Comment:
    Figures coming from email sent to Graham on 31.08 
Reply:
    Unlikely to go ahead</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tc={33380B5B-8964-493D-B313-4BF41CD9CC43}</author>
    <author>tc={4274B13C-8711-4EF7-8B8E-7C7350944E47}</author>
    <author>tc={2B0BC094-A62C-4200-BBE9-41F2BEFA9B77}</author>
    <author>tc={EEDD4E2A-813F-47CB-8A97-AC40D5C0A0DC}</author>
    <author>tc={D5900460-1B47-4C4A-9011-A910C20F8CFE}</author>
    <author>tc={0F598AFD-A5F7-4497-AA32-92101000DD40}</author>
    <author>tc={7FCADCD6-D8B6-4F7E-B207-0E43E6B6DCB0}</author>
    <author>tc={5535B016-3058-4698-A373-DDE2BD69B6D3}</author>
    <author>tc={6DA93280-670E-4F57-97C2-DF0521F89643}</author>
    <author>tc={CA27B3FB-2606-49C9-9707-6816E50F749F}</author>
    <author>tc={8244E8C0-72C6-46EB-B0D6-C9F82F63CB22}</author>
    <author>tc={B378BF47-A558-4511-86AB-287C25111E3B}</author>
    <author>tc={D8D433D0-8278-4379-8894-1016EF1229C1}</author>
    <author>tc={87EE9548-7984-42D2-939B-693B4AE20459}</author>
    <author>tc={39E662FE-A6F5-4A79-A63F-B624CB66C6E9}</author>
    <author>tc={4E9624BA-9026-47CD-8F5D-DD7BAE124BCC}</author>
    <author>tc={6320FA39-F4BD-44E2-A37A-404494FF3326}</author>
    <author>tc={6151EEA9-019C-456D-9201-A0D6C1FE5B93}</author>
    <author>tc={3555430D-0F19-4DBB-981E-F5741B942E88}</author>
    <author>tc={6F63BAE1-2E2D-4B09-8316-C25438FC7D5E}</author>
    <author>tc={6D70DC47-93C5-4889-835A-B42EA7F2E712}</author>
    <author>tc={1D7810A3-3E62-4773-A076-5AA62FB8054D}</author>
    <author>tc={C80180DE-015D-4E47-882E-DB235C225884}</author>
    <author>tc={067C2DC2-C80E-4D9B-B6D7-481F61BBE3CC}</author>
    <author>tc={A8E6431B-C6A1-4F7D-A60E-D7F04461F7EF}</author>
    <author>tc={30412654-9F42-48AE-B0D0-EF2AC0AF66E4}</author>
    <author>tc={3E14EEBC-7A58-4DD1-AE6E-6478839BC4DB}</author>
    <author>tc={06FEB3B0-9420-4FCC-8B70-CF1A718D1FC0}</author>
    <author>tc={25B92F05-3A93-45BB-BB8F-D0128ACFBAC4}</author>
    <author>tc={48245B5B-1CD2-46F9-B09A-EE80FB375E17}</author>
    <author>tc={01F7BC81-0661-4468-8EAD-1B665D37BE61}</author>
    <author>tc={1497F3E8-8B98-4BFD-B9A4-AEC515AC999C}</author>
    <author>tc={B07551CC-F7D4-4FA0-981E-6D26C64345B0}</author>
    <author>tc={ED7A1F5F-3468-466B-B57B-0CDD6C018276}</author>
    <author>tc={6034F308-51C9-4BA6-A3A9-DCB85CB1AE04}</author>
    <author>tc={B7411028-EEF3-43F2-A1A7-9F1E0D902775}</author>
    <author>tc={99B91EF2-4EFB-463E-BFBC-0FB7FF6FCFDE}</author>
    <author>tc={DA21247E-6C6F-438E-A27A-AFB203D93251}</author>
    <author>tc={C0243781-D597-4C4F-A07E-9346C8A865F5}</author>
    <author>tc={61B2E327-C959-44A6-A6F6-3D0648E46A35}</author>
    <author>tc={195355E8-52DF-4A9C-BF8D-99C88E5492A6}</author>
    <author>tc={ACD24569-2FB7-425C-9F37-9F93CDD2B090}</author>
    <author>tc={2BCF0635-947A-47B1-9D36-B8EA4C1C4B9E}</author>
    <author>tc={97056C8F-208D-4560-BEC6-58417B165FDB}</author>
    <author>tc={5D934A69-E6C3-42B3-B75C-3B5438BC7606}</author>
    <author>tc={13D81016-B864-4C73-BA0C-AC263D8501E4}</author>
    <author>tc={27830B4D-C425-43C3-8D49-F3F2177C59AA}</author>
    <author>tc={E6A932FB-536A-4077-894E-7599F7082623}</author>
    <author>tc={360D2842-9676-4F35-B46E-2ED5710E6BCA}</author>
    <author>tc={B1E86C12-7534-43D9-B8EF-27E70F1B0232}</author>
    <author>tc={54937B07-115E-4ECA-A1AD-D1F837121701}</author>
    <author>tc={A8698ECC-D209-4590-B643-7A78D2DA0DEF}</author>
    <author>tc={BCFA4FD5-DCBC-462B-B90A-61BD38481FBA}</author>
    <author>tc={AEC591D2-717B-4EDD-9A3A-5B0F12F00426}</author>
    <author>tc={4C832F39-151E-4A7C-A70A-A7221DE0993D}</author>
    <author>tc={61B50CD7-7182-425F-A95A-6E084FC2C0C2}</author>
    <author>tc={FC562A41-D570-4E29-BEE4-51843599CE98}</author>
    <author>tc={705582B7-A4AE-48D6-A91B-A5E775F7EC38}</author>
    <author>tc={9750085F-F0B3-4044-BEFC-A8873F8ACEC0}</author>
    <author>tc={4F09C787-386A-42DE-9B8C-FF0C51A04B08}</author>
    <author>tc={FF72DCE1-3823-4C9E-AEEF-2B4B0933DB7C}</author>
    <author>tc={35DB5BB7-FA45-4684-BE0D-226BA4621970}</author>
    <author>tc={3EB73CC3-6B4C-4CA4-B7F6-72A60A591817}</author>
    <author>tc={22EADF4A-B4AF-4944-82CF-9555759DE677}</author>
    <author>tc={FECAF89B-D4B9-4D56-831F-49B58D681CF8}</author>
    <author>tc={DCC7C394-E82A-4BAB-8871-145A54FF27F3}</author>
    <author>tc={A3C2260B-D346-4868-9FD6-B54911ACD3C2}</author>
    <author>tc={67A595EE-31B6-4CFF-9329-B9B7DB0D0984}</author>
    <author>tc={48CBF2BA-8FE3-472E-9937-1095B7571775}</author>
    <author>tc={E8FFE713-EE40-4973-8052-E11FB69EF969}</author>
    <author>tc={B4399E35-C20B-47D8-956F-CB48BF06EF73}</author>
    <author>tc={ECD222A3-CE9E-41AC-A035-7140979372F9}</author>
    <author>tc={29CA7353-2409-4298-8CCF-465684B7FE49}</author>
    <author>tc={F559E381-4058-4329-8C1F-DAD4F5A0A967}</author>
    <author>tc={D7A6198A-B3D6-46EC-A2C5-FF85889200CB}</author>
    <author>tc={F5657584-250D-4EAE-8BA4-36B7A95CA724}</author>
    <author>tc={3F676BB7-5B25-4DA3-9CB1-16BA92784CAF}</author>
    <author>tc={6231947E-1DDC-4514-8CEF-CAD218FD23DA}</author>
    <author>tc={197B7414-414F-48F6-A989-30A7281E2A29}</author>
    <author>tc={6919D1DA-182A-41E9-BB90-4052D7F34252}</author>
    <author>tc={ACA5D7E7-8C23-486C-942A-57BAFB3F5CB4}</author>
    <author>tc={7B2B8A81-FBD1-4E47-A361-6A5B146DF953}</author>
    <author>tc={4FC96E87-145A-4522-8AB9-2213FE47F1D3}</author>
    <author>tc={72A2A36E-FE1D-4600-BB3A-244F659576AB}</author>
  </authors>
  <commentList>
    <comment ref="S12" authorId="0" shapeId="0" xr:uid="{33380B5B-8964-493D-B313-4BF41CD9CC43}">
      <text>
        <t>[Threaded comment]
Your version of Excel allows you to read this threaded comment; however, any edits to it will get removed if the file is opened in a newer version of Excel. Learn more: https://go.microsoft.com/fwlink/?linkid=870924
Comment:
    1st Nov Jason spoke to Pamela in Townlink, she said that they are on site snagging and that we should forecast to receive retention mid Dec.</t>
      </text>
    </comment>
    <comment ref="D26" authorId="1" shapeId="0" xr:uid="{4274B13C-8711-4EF7-8B8E-7C7350944E47}">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I26" authorId="2" shapeId="0" xr:uid="{2B0BC094-A62C-4200-BBE9-41F2BEFA9B77}">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U26" authorId="3" shapeId="0" xr:uid="{EEDD4E2A-813F-47CB-8A97-AC40D5C0A0DC}">
      <text>
        <t>[Threaded comment]
Your version of Excel allows you to read this threaded comment; however, any edits to it will get removed if the file is opened in a newer version of Excel. Learn more: https://go.microsoft.com/fwlink/?linkid=870924
Comment:
    This represents final payment plus PC Retention of 2.5%</t>
      </text>
    </comment>
    <comment ref="Q27" authorId="4" shapeId="0" xr:uid="{D5900460-1B47-4C4A-9011-A910C20F8CFE}">
      <text>
        <t>[Threaded comment]
Your version of Excel allows you to read this threaded comment; however, any edits to it will get removed if the file is opened in a newer version of Excel. Learn more: https://go.microsoft.com/fwlink/?linkid=870924
Comment:
    Invoice sent</t>
      </text>
    </comment>
    <comment ref="D29" authorId="5" shapeId="0" xr:uid="{0F598AFD-A5F7-4497-AA32-92101000DD40}">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t>
      </text>
    </comment>
    <comment ref="L29" authorId="6" shapeId="0" xr:uid="{7FCADCD6-D8B6-4F7E-B207-0E43E6B6DCB0}">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M29" authorId="7" shapeId="0" xr:uid="{5535B016-3058-4698-A373-DDE2BD69B6D3}">
      <text>
        <t xml:space="preserve">[Threaded comment]
Your version of Excel allows you to read this threaded comment; however, any edits to it will get removed if the file is opened in a newer version of Excel. Learn more: https://go.microsoft.com/fwlink/?linkid=870924
Comment:
    Dave submitted this figure to TSK 1/11
We were expecting to receive €37143.56 less 20% tax = €29,715
</t>
      </text>
    </comment>
    <comment ref="R29" authorId="8" shapeId="0" xr:uid="{6DA93280-670E-4F57-97C2-DF0521F89643}">
      <text>
        <t>[Threaded comment]
Your version of Excel allows you to read this threaded comment; however, any edits to it will get removed if the file is opened in a newer version of Excel. Learn more: https://go.microsoft.com/fwlink/?linkid=870924
Comment:
    Includes value of Floor 7 closing</t>
      </text>
    </comment>
    <comment ref="T29" authorId="9" shapeId="0" xr:uid="{CA27B3FB-2606-49C9-9707-6816E50F749F}">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V29" authorId="10" shapeId="0" xr:uid="{8244E8C0-72C6-46EB-B0D6-C9F82F63CB22}">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W29" authorId="11" shapeId="0" xr:uid="{B378BF47-A558-4511-86AB-287C25111E3B}">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X29" authorId="12" shapeId="0" xr:uid="{D8D433D0-8278-4379-8894-1016EF1229C1}">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t>
      </text>
    </comment>
    <comment ref="Y29" authorId="13" shapeId="0" xr:uid="{87EE9548-7984-42D2-939B-693B4AE20459}">
      <text>
        <t>[Threaded comment]
Your version of Excel allows you to read this threaded comment; however, any edits to it will get removed if the file is opened in a newer version of Excel. Learn more: https://go.microsoft.com/fwlink/?linkid=870924
Comment:
    2.5% PC Retention</t>
      </text>
    </comment>
    <comment ref="D31" authorId="14" shapeId="0" xr:uid="{39E662FE-A6F5-4A79-A63F-B624CB66C6E9}">
      <text>
        <t>[Threaded comment]
Your version of Excel allows you to read this threaded comment; however, any edits to it will get removed if the file is opened in a newer version of Excel. Learn more: https://go.microsoft.com/fwlink/?linkid=870924
Comment:
    Margin and Labour figure only net of the 20% tax deduction</t>
      </text>
    </comment>
    <comment ref="D32" authorId="15" shapeId="0" xr:uid="{4E9624BA-9026-47CD-8F5D-DD7BAE124BCC}">
      <text>
        <t>[Threaded comment]
Your version of Excel allows you to read this threaded comment; however, any edits to it will get removed if the file is opened in a newer version of Excel. Learn more: https://go.microsoft.com/fwlink/?linkid=870924
Comment:
    Margin only</t>
      </text>
    </comment>
    <comment ref="Q36" authorId="16" shapeId="0" xr:uid="{6320FA39-F4BD-44E2-A37A-404494FF3326}">
      <text>
        <t>[Threaded comment]
Your version of Excel allows you to read this threaded comment; however, any edits to it will get removed if the file is opened in a newer version of Excel. Learn more: https://go.microsoft.com/fwlink/?linkid=870924
Comment:
    Gross figure has been submitted by Dave.</t>
      </text>
    </comment>
    <comment ref="M38" authorId="17" shapeId="0" xr:uid="{6151EEA9-019C-456D-9201-A0D6C1FE5B93}">
      <text>
        <t>[Threaded comment]
Your version of Excel allows you to read this threaded comment; however, any edits to it will get removed if the file is opened in a newer version of Excel. Learn more: https://go.microsoft.com/fwlink/?linkid=870924
Comment:
    Net of retention</t>
      </text>
    </comment>
    <comment ref="Q38" authorId="18" shapeId="0" xr:uid="{3555430D-0F19-4DBB-981E-F5741B942E88}">
      <text>
        <t xml:space="preserve">[Threaded comment]
Your version of Excel allows you to read this threaded comment; however, any edits to it will get removed if the file is opened in a newer version of Excel. Learn more: https://go.microsoft.com/fwlink/?linkid=870924
Comment:
    Additional gym work, final payment.
</t>
      </text>
    </comment>
    <comment ref="R38" authorId="19" shapeId="0" xr:uid="{6F63BAE1-2E2D-4B09-8316-C25438FC7D5E}">
      <text>
        <t xml:space="preserve">[Threaded comment]
Your version of Excel allows you to read this threaded comment; however, any edits to it will get removed if the file is opened in a newer version of Excel. Learn more: https://go.microsoft.com/fwlink/?linkid=870924
Comment:
    Final account PC retention </t>
      </text>
    </comment>
    <comment ref="N40" authorId="20" shapeId="0" xr:uid="{6D70DC47-93C5-4889-835A-B42EA7F2E712}">
      <text>
        <t>[Threaded comment]
Your version of Excel allows you to read this threaded comment; however, any edits to it will get removed if the file is opened in a newer version of Excel. Learn more: https://go.microsoft.com/fwlink/?linkid=870924
Comment:
    After tax and retention. Received response from Stephen, confirmed that daywork sheets have been sent.
Stephen paid less than what was due.</t>
      </text>
    </comment>
    <comment ref="Q40" authorId="21" shapeId="0" xr:uid="{1D7810A3-3E62-4773-A076-5AA62FB8054D}">
      <text>
        <t xml:space="preserve">[Threaded comment]
Your version of Excel allows you to read this threaded comment; however, any edits to it will get removed if the file is opened in a newer version of Excel. Learn more: https://go.microsoft.com/fwlink/?linkid=870924
Comment:
    October valuation including 20% reduction and materials
</t>
      </text>
    </comment>
    <comment ref="T40" authorId="22" shapeId="0" xr:uid="{C80180DE-015D-4E47-882E-DB235C225884}">
      <text>
        <t>[Threaded comment]
Your version of Excel allows you to read this threaded comment; however, any edits to it will get removed if the file is opened in a newer version of Excel. Learn more: https://go.microsoft.com/fwlink/?linkid=870924
Comment:
    Final account PC retention, Dave gave figure.</t>
      </text>
    </comment>
    <comment ref="D41" authorId="23" shapeId="0" xr:uid="{067C2DC2-C80E-4D9B-B6D7-481F61BBE3CC}">
      <text>
        <t>[Threaded comment]
Your version of Excel allows you to read this threaded comment; however, any edits to it will get removed if the file is opened in a newer version of Excel. Learn more: https://go.microsoft.com/fwlink/?linkid=870924
Comment:
    Margin and labour and materials (already ordered).</t>
      </text>
    </comment>
    <comment ref="N41" authorId="24" shapeId="0" xr:uid="{A8E6431B-C6A1-4F7D-A60E-D7F04461F7EF}">
      <text>
        <t>[Threaded comment]
Your version of Excel allows you to read this threaded comment; however, any edits to it will get removed if the file is opened in a newer version of Excel. Learn more: https://go.microsoft.com/fwlink/?linkid=870924
Comment:
    After tax and after retention. Received response from Stephen, confirmed that daywork sheets have been sent.</t>
      </text>
    </comment>
    <comment ref="Q41" authorId="25" shapeId="0" xr:uid="{30412654-9F42-48AE-B0D0-EF2AC0AF66E4}">
      <text>
        <t>[Threaded comment]
Your version of Excel allows you to read this threaded comment; however, any edits to it will get removed if the file is opened in a newer version of Excel. Learn more: https://go.microsoft.com/fwlink/?linkid=870924
Comment:
    1st Nov, this is the valuation Dave is submitting.</t>
      </text>
    </comment>
    <comment ref="T41" authorId="26" shapeId="0" xr:uid="{3E14EEBC-7A58-4DD1-AE6E-6478839BC4DB}">
      <text>
        <t>[Threaded comment]
Your version of Excel allows you to read this threaded comment; however, any edits to it will get removed if the file is opened in a newer version of Excel. Learn more: https://go.microsoft.com/fwlink/?linkid=870924
Comment:
    Dave to sit with OHLA and agree what will be achieved by this date. Dave to revert 14.11</t>
      </text>
    </comment>
    <comment ref="I42" authorId="27" shapeId="0" xr:uid="{06FEB3B0-9420-4FCC-8B70-CF1A718D1FC0}">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P43" authorId="28" shapeId="0" xr:uid="{25B92F05-3A93-45BB-BB8F-D0128ACFBAC4}">
      <text>
        <t>[Threaded comment]
Your version of Excel allows you to read this threaded comment; however, any edits to it will get removed if the file is opened in a newer version of Excel. Learn more: https://go.microsoft.com/fwlink/?linkid=870924
Comment:
    Need to talk with Ray in CDM to see if we can get some earl(ier) payment</t>
      </text>
    </comment>
    <comment ref="G49" authorId="29" shapeId="0" xr:uid="{48245B5B-1CD2-46F9-B09A-EE80FB375E17}">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K49" authorId="30" shapeId="0" xr:uid="{01F7BC81-0661-4468-8EAD-1B665D37BE61}">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R49" authorId="31" shapeId="0" xr:uid="{1497F3E8-8B98-4BFD-B9A4-AEC515AC999C}">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J50" authorId="32" shapeId="0" xr:uid="{B07551CC-F7D4-4FA0-981E-6D26C64345B0}">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O51" authorId="33" shapeId="0" xr:uid="{ED7A1F5F-3468-466B-B57B-0CDD6C018276}">
      <text>
        <t>[Threaded comment]
Your version of Excel allows you to read this threaded comment; however, any edits to it will get removed if the file is opened in a newer version of Excel. Learn more: https://go.microsoft.com/fwlink/?linkid=870924
Comment:
    Ronan to send this to Graham Dinh this week.</t>
      </text>
    </comment>
    <comment ref="K52" authorId="34" shapeId="0" xr:uid="{6034F308-51C9-4BA6-A3A9-DCB85CB1AE04}">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C53" authorId="35" shapeId="0" xr:uid="{B7411028-EEF3-43F2-A1A7-9F1E0D902775}">
      <text>
        <t>[Threaded comment]
Your version of Excel allows you to read this threaded comment; however, any edits to it will get removed if the file is opened in a newer version of Excel. Learn more: https://go.microsoft.com/fwlink/?linkid=870924
Comment:
    VAT to be charged?</t>
      </text>
    </comment>
    <comment ref="M53" authorId="36" shapeId="0" xr:uid="{99B91EF2-4EFB-463E-BFBC-0FB7FF6FCFDE}">
      <text>
        <t>[Threaded comment]
Your version of Excel allows you to read this threaded comment; however, any edits to it will get removed if the file is opened in a newer version of Excel. Learn more: https://go.microsoft.com/fwlink/?linkid=870924
Comment:
    Ivan spoke to Amanda, payment will be made next week into bank.</t>
      </text>
    </comment>
    <comment ref="C54" authorId="37" shapeId="0" xr:uid="{DA21247E-6C6F-438E-A27A-AFB203D93251}">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T54" authorId="38" shapeId="0" xr:uid="{C0243781-D597-4C4F-A07E-9346C8A865F5}">
      <text>
        <t>[Threaded comment]
Your version of Excel allows you to read this threaded comment; however, any edits to it will get removed if the file is opened in a newer version of Excel. Learn more: https://go.microsoft.com/fwlink/?linkid=870924
Comment:
    Need to confirm start date. No need for additional men, accounted for in the figures below</t>
      </text>
    </comment>
    <comment ref="K55" authorId="39" shapeId="0" xr:uid="{61B2E327-C959-44A6-A6F6-3D0648E46A35}">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57" authorId="40" shapeId="0" xr:uid="{195355E8-52DF-4A9C-BF8D-99C88E5492A6}">
      <text>
        <t>[Threaded comment]
Your version of Excel allows you to read this threaded comment; however, any edits to it will get removed if the file is opened in a newer version of Excel. Learn more: https://go.microsoft.com/fwlink/?linkid=870924
Comment:
    2000m2 of sand and cement @ €20pmsq</t>
      </text>
    </comment>
    <comment ref="V57" authorId="41" shapeId="0" xr:uid="{ACD24569-2FB7-425C-9F37-9F93CDD2B090}">
      <text>
        <t xml:space="preserve">[Threaded comment]
Your version of Excel allows you to read this threaded comment; however, any edits to it will get removed if the file is opened in a newer version of Excel. Learn more: https://go.microsoft.com/fwlink/?linkid=870924
Comment:
    2 and 1 gang at 4 weeks. 500m per week </t>
      </text>
    </comment>
    <comment ref="D59" authorId="42" shapeId="0" xr:uid="{2BCF0635-947A-47B1-9D36-B8EA4C1C4B9E}">
      <text>
        <t>[Threaded comment]
Your version of Excel allows you to read this threaded comment; however, any edits to it will get removed if the file is opened in a newer version of Excel. Learn more: https://go.microsoft.com/fwlink/?linkid=870924
Comment:
    Labour + Margin only</t>
      </text>
    </comment>
    <comment ref="F65" authorId="43" shapeId="0" xr:uid="{97056C8F-208D-4560-BEC6-58417B165FDB}">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J66" authorId="44" shapeId="0" xr:uid="{5D934A69-E6C3-42B3-B75C-3B5438BC7606}">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E67" authorId="45" shapeId="0" xr:uid="{13D81016-B864-4C73-BA0C-AC263D8501E4}">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F67" authorId="46" shapeId="0" xr:uid="{27830B4D-C425-43C3-8D49-F3F2177C59AA}">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D69" authorId="47" shapeId="0" xr:uid="{E6A932FB-536A-4077-894E-7599F7082623}">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J69" authorId="48" shapeId="0" xr:uid="{360D2842-9676-4F35-B46E-2ED5710E6BCA}">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B79" authorId="49" shapeId="0" xr:uid="{B1E86C12-7534-43D9-B8EF-27E70F1B0232}">
      <text>
        <t>[Threaded comment]
Your version of Excel allows you to read this threaded comment; however, any edits to it will get removed if the file is opened in a newer version of Excel. Learn more: https://go.microsoft.com/fwlink/?linkid=870924
Comment:
    Vasile, Catalin, Gheorge, Gheorge, Cosmin, Ion, Ilie, Mircea, Adrian, Marian.</t>
      </text>
    </comment>
    <comment ref="B81" authorId="50" shapeId="0" xr:uid="{54937B07-115E-4ECA-A1AD-D1F837121701}">
      <text>
        <t>[Threaded comment]
Your version of Excel allows you to read this threaded comment; however, any edits to it will get removed if the file is opened in a newer version of Excel. Learn more: https://go.microsoft.com/fwlink/?linkid=870924
Comment:
    Edgar, Vasil Bulz, Vasil Ursaciuc, Flavian, Daniel</t>
      </text>
    </comment>
    <comment ref="V81" authorId="51" shapeId="0" xr:uid="{A8698ECC-D209-4590-B643-7A78D2DA0DEF}">
      <text>
        <t>[Threaded comment]
Your version of Excel allows you to read this threaded comment; however, any edits to it will get removed if the file is opened in a newer version of Excel. Learn more: https://go.microsoft.com/fwlink/?linkid=870924
Comment:
    Taken 3k off for xmas holiday</t>
      </text>
    </comment>
    <comment ref="V82" authorId="52" shapeId="0" xr:uid="{BCFA4FD5-DCBC-462B-B90A-61BD38481FBA}">
      <text>
        <t>[Threaded comment]
Your version of Excel allows you to read this threaded comment; however, any edits to it will get removed if the file is opened in a newer version of Excel. Learn more: https://go.microsoft.com/fwlink/?linkid=870924
Comment:
    Reduced figure to cater for Xmas holiday time off.</t>
      </text>
    </comment>
    <comment ref="X82" authorId="53" shapeId="0" xr:uid="{AEC591D2-717B-4EDD-9A3A-5B0F12F00426}">
      <text>
        <t>[Threaded comment]
Your version of Excel allows you to read this threaded comment; however, any edits to it will get removed if the file is opened in a newer version of Excel. Learn more: https://go.microsoft.com/fwlink/?linkid=870924
Comment:
    Reduction in staff needed from March onwards based on Beach road coming in and no other jobs included yet.</t>
      </text>
    </comment>
    <comment ref="I86" authorId="54" shapeId="0" xr:uid="{4C832F39-151E-4A7C-A70A-A7221DE0993D}">
      <text>
        <t>[Threaded comment]
Your version of Excel allows you to read this threaded comment; however, any edits to it will get removed if the file is opened in a newer version of Excel. Learn more: https://go.microsoft.com/fwlink/?linkid=870924
Comment:
    Including VAT</t>
      </text>
    </comment>
    <comment ref="W88" authorId="55" shapeId="0" xr:uid="{61B50CD7-7182-425F-A95A-6E084FC2C0C2}">
      <text>
        <t xml:space="preserve">[Threaded comment]
Your version of Excel allows you to read this threaded comment; however, any edits to it will get removed if the file is opened in a newer version of Excel. Learn more: https://go.microsoft.com/fwlink/?linkid=870924
Comment:
    Increase for new fleet, incl Jason maybe.
</t>
      </text>
    </comment>
    <comment ref="H89" authorId="56" shapeId="0" xr:uid="{FC562A41-D570-4E29-BEE4-51843599CE98}">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B92" authorId="57" shapeId="0" xr:uid="{705582B7-A4AE-48D6-A91B-A5E775F7EC38}">
      <text>
        <t xml:space="preserve">[Threaded comment]
Your version of Excel allows you to read this threaded comment; however, any edits to it will get removed if the file is opened in a newer version of Excel. Learn more: https://go.microsoft.com/fwlink/?linkid=870924
Comment:
    Not due for 11 months
</t>
      </text>
    </comment>
    <comment ref="C96" authorId="58" shapeId="0" xr:uid="{9750085F-F0B3-4044-BEFC-A8873F8ACEC0}">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I96" authorId="59" shapeId="0" xr:uid="{4F09C787-386A-42DE-9B8C-FF0C51A04B08}">
      <text>
        <t>[Threaded comment]
Your version of Excel allows you to read this threaded comment; however, any edits to it will get removed if the file is opened in a newer version of Excel. Learn more: https://go.microsoft.com/fwlink/?linkid=870924
Comment:
    September payment</t>
      </text>
    </comment>
    <comment ref="M97" authorId="60" shapeId="0" xr:uid="{FF72DCE1-3823-4C9E-AEEF-2B4B0933DB7C}">
      <text>
        <t xml:space="preserve">[Threaded comment]
Your version of Excel allows you to read this threaded comment; however, any edits to it will get removed if the file is opened in a newer version of Excel. Learn more: https://go.microsoft.com/fwlink/?linkid=870924
Comment:
    Move to next week.
</t>
      </text>
    </comment>
    <comment ref="J98" authorId="61" shapeId="0" xr:uid="{35DB5BB7-FA45-4684-BE0D-226BA4621970}">
      <text>
        <t>[Threaded comment]
Your version of Excel allows you to read this threaded comment; however, any edits to it will get removed if the file is opened in a newer version of Excel. Learn more: https://go.microsoft.com/fwlink/?linkid=870924
Comment:
    Check to make sure this is a credit card payment</t>
      </text>
    </comment>
    <comment ref="S99" authorId="62" shapeId="0" xr:uid="{3EB73CC3-6B4C-4CA4-B7F6-72A60A591817}">
      <text>
        <t>[Threaded comment]
Your version of Excel allows you to read this threaded comment; however, any edits to it will get removed if the file is opened in a newer version of Excel. Learn more: https://go.microsoft.com/fwlink/?linkid=870924
Comment:
    Quarterly overdraft interest (estimated)</t>
      </text>
    </comment>
    <comment ref="M115" authorId="63" shapeId="0" xr:uid="{22EADF4A-B4AF-4944-82CF-9555759DE677}">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L116" authorId="64" shapeId="0" xr:uid="{FECAF89B-D4B9-4D56-831F-49B58D681CF8}">
      <text>
        <t xml:space="preserve">[Threaded comment]
Your version of Excel allows you to read this threaded comment; however, any edits to it will get removed if the file is opened in a newer version of Excel. Learn more: https://go.microsoft.com/fwlink/?linkid=870924
Comment:
    SIG bal as at 22.09 plus materials for Rhenus. Total was 44k, paid 30k early 17.10  </t>
      </text>
    </comment>
    <comment ref="Q116" authorId="65" shapeId="0" xr:uid="{DCC7C394-E82A-4BAB-8871-145A54FF27F3}">
      <text>
        <t>[Threaded comment]
Your version of Excel allows you to read this threaded comment; however, any edits to it will get removed if the file is opened in a newer version of Excel. Learn more: https://go.microsoft.com/fwlink/?linkid=870924
Comment:
    This assumes we will use all our credit line with SIG.</t>
      </text>
    </comment>
    <comment ref="U116" authorId="66" shapeId="0" xr:uid="{A3C2260B-D346-4868-9FD6-B54911ACD3C2}">
      <text>
        <t xml:space="preserve">[Threaded comment]
Your version of Excel allows you to read this threaded comment; however, any edits to it will get removed if the file is opened in a newer version of Excel. Learn more: https://go.microsoft.com/fwlink/?linkid=870924
Comment:
    This is the remainder of the SIG account balance as at 27.10 which is the email from Laura Peters showing €75,976 balance plus a further €8,204 orders placed after her statement came out.
</t>
      </text>
    </comment>
    <comment ref="I119" authorId="67" shapeId="0" xr:uid="{67A595EE-31B6-4CFF-9329-B9B7DB0D0984}">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H120" authorId="68" shapeId="0" xr:uid="{48CBF2BA-8FE3-472E-9937-1095B7571775}">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L120" authorId="69" shapeId="0" xr:uid="{E8FFE713-EE40-4973-8052-E11FB69EF969}">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F121" authorId="70" shapeId="0" xr:uid="{B4399E35-C20B-47D8-956F-CB48BF06EF73}">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M122" authorId="71" shapeId="0" xr:uid="{ECD222A3-CE9E-41AC-A035-7140979372F9}">
      <text>
        <t>[Threaded comment]
Your version of Excel allows you to read this threaded comment; however, any edits to it will get removed if the file is opened in a newer version of Excel. Learn more: https://go.microsoft.com/fwlink/?linkid=870924
Comment:
    Payment made for cash delivery</t>
      </text>
    </comment>
    <comment ref="Q122" authorId="72" shapeId="0" xr:uid="{29CA7353-2409-4298-8CCF-465684B7FE49}">
      <text>
        <t>[Threaded comment]
Your version of Excel allows you to read this threaded comment; however, any edits to it will get removed if the file is opened in a newer version of Excel. Learn more: https://go.microsoft.com/fwlink/?linkid=870924
Comment:
    Ordered in October</t>
      </text>
    </comment>
    <comment ref="U122" authorId="73" shapeId="0" xr:uid="{F559E381-4058-4329-8C1F-DAD4F5A0A967}">
      <text>
        <t>[Threaded comment]
Your version of Excel allows you to read this threaded comment; however, any edits to it will get removed if the file is opened in a newer version of Excel. Learn more: https://go.microsoft.com/fwlink/?linkid=870924
Comment:
    Two orders placed for Belmayne and Rhenus</t>
      </text>
    </comment>
    <comment ref="F131" authorId="74" shapeId="0" xr:uid="{D7A6198A-B3D6-46EC-A2C5-FF85889200CB}">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H131" authorId="75" shapeId="0" xr:uid="{F5657584-250D-4EAE-8BA4-36B7A95CA724}">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I131" authorId="76" shapeId="0" xr:uid="{3F676BB7-5B25-4DA3-9CB1-16BA92784CAF}">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J131" authorId="77" shapeId="0" xr:uid="{6231947E-1DDC-4514-8CEF-CAD218FD23DA}">
      <text>
        <t xml:space="preserve">[Threaded comment]
Your version of Excel allows you to read this threaded comment; however, any edits to it will get removed if the file is opened in a newer version of Excel. Learn more: https://go.microsoft.com/fwlink/?linkid=870924
Comment:
    Spreadsheet balance matches actual bal from Bank coming into 16.10
</t>
      </text>
    </comment>
    <comment ref="K131" authorId="78" shapeId="0" xr:uid="{197B7414-414F-48F6-A989-30A7281E2A29}">
      <text>
        <t>[Threaded comment]
Your version of Excel allows you to read this threaded comment; however, any edits to it will get removed if the file is opened in a newer version of Excel. Learn more: https://go.microsoft.com/fwlink/?linkid=870924
Comment:
    Spreadsheet balance and bank balance match coming into week 23.10</t>
      </text>
    </comment>
    <comment ref="L131" authorId="79" shapeId="0" xr:uid="{6919D1DA-182A-41E9-BB90-4052D7F34252}">
      <text>
        <t xml:space="preserve">[Threaded comment]
Your version of Excel allows you to read this threaded comment; however, any edits to it will get removed if the file is opened in a newer version of Excel. Learn more: https://go.microsoft.com/fwlink/?linkid=870924
Comment:
    Bank balance is €24,715 which is much the same.
</t>
      </text>
    </comment>
    <comment ref="M131" authorId="80" shapeId="0" xr:uid="{ACA5D7E7-8C23-486C-942A-57BAFB3F5CB4}">
      <text>
        <t xml:space="preserve">[Threaded comment]
Your version of Excel allows you to read this threaded comment; however, any edits to it will get removed if the file is opened in a newer version of Excel. Learn more: https://go.microsoft.com/fwlink/?linkid=870924
Comment:
    This exactly matches the bank balance on Sunday evening 5/11 </t>
      </text>
    </comment>
    <comment ref="D140" authorId="81" shapeId="0" xr:uid="{7B2B8A81-FBD1-4E47-A361-6A5B146DF953}">
      <text>
        <t>[Threaded comment]
Your version of Excel allows you to read this threaded comment; however, any edits to it will get removed if the file is opened in a newer version of Excel. Learn more: https://go.microsoft.com/fwlink/?linkid=870924
Comment:
    On hold 8.9.23</t>
      </text>
    </comment>
    <comment ref="C145" authorId="82" shapeId="0" xr:uid="{4FC96E87-145A-4522-8AB9-2213FE47F1D3}">
      <text>
        <t>[Threaded comment]
Your version of Excel allows you to read this threaded comment; however, any edits to it will get removed if the file is opened in a newer version of Excel. Learn more: https://go.microsoft.com/fwlink/?linkid=870924
Comment:
    Unlikely to go ahead</t>
      </text>
    </comment>
    <comment ref="D145" authorId="83" shapeId="0" xr:uid="{72A2A36E-FE1D-4600-BB3A-244F659576AB}">
      <text>
        <t>[Threaded comment]
Your version of Excel allows you to read this threaded comment; however, any edits to it will get removed if the file is opened in a newer version of Excel. Learn more: https://go.microsoft.com/fwlink/?linkid=870924
Comment:
    Figures coming from email sent to Graham on 31.08 
Reply:
    Unlikely to go ahead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<sst xmlns="http://schemas.openxmlformats.org/spreadsheetml/2006/main" count="4746" uniqueCount="1063">
  <si>
    <t xml:space="preserve"> </t>
  </si>
  <si>
    <t>Forecast</t>
  </si>
  <si>
    <t>Cashflow Sept 23 to August 24</t>
  </si>
  <si>
    <t>Week 1</t>
  </si>
  <si>
    <t xml:space="preserve">Week2 </t>
  </si>
  <si>
    <t>Week 3 18/9</t>
  </si>
  <si>
    <t>Week 4 25/9</t>
  </si>
  <si>
    <t>Week 5 - 2/10</t>
  </si>
  <si>
    <t>Week 6 - (9th Oct)</t>
  </si>
  <si>
    <t>Week 42 (16th Oct)</t>
  </si>
  <si>
    <t>Week 43 (22-28)</t>
  </si>
  <si>
    <t>Week 44 - 29/4th Nov</t>
  </si>
  <si>
    <t>Week 45 - 5/11th Nov</t>
  </si>
  <si>
    <t>Week 46 12-18 Nov</t>
  </si>
  <si>
    <t>Week 47 19-25 Nov</t>
  </si>
  <si>
    <t>Week 48 26-2nd Dec</t>
  </si>
  <si>
    <t>Week 49 3-9 Dec</t>
  </si>
  <si>
    <t>Week 50 10-16 Dec</t>
  </si>
  <si>
    <t>Week 51 17-23 Dec</t>
  </si>
  <si>
    <t>Week 52 24-30 Dec</t>
  </si>
  <si>
    <t>Week 1 - 1-7 Jan</t>
  </si>
  <si>
    <t>Week 2 - 8-14 Jan</t>
  </si>
  <si>
    <t>Week 3 - 15-21 Jan</t>
  </si>
  <si>
    <t>Week 4 - 22- 28 Jan</t>
  </si>
  <si>
    <t>Week 5 - 29 Jan - 4 Feb</t>
  </si>
  <si>
    <t>Week 6 - 5 - 11 Feb</t>
  </si>
  <si>
    <t>Week 7 - 12 - 18 Feb</t>
  </si>
  <si>
    <t>Week 8 - 19 - 25 Feb</t>
  </si>
  <si>
    <t>Week 9 - 26 - 03 Mar</t>
  </si>
  <si>
    <t>Week 10 - 4 - 10 Mar</t>
  </si>
  <si>
    <t>Week 11 - 11 - 17 Mar</t>
  </si>
  <si>
    <t>Week 12 - 18 - 24 Mar</t>
  </si>
  <si>
    <t>Week 13 - 25 - 31 Mar</t>
  </si>
  <si>
    <t>Week 14 - 1 - 7 Apr</t>
  </si>
  <si>
    <t>Week 15 - 8-14 Apr</t>
  </si>
  <si>
    <t>Week 16 = 15-21 Apr</t>
  </si>
  <si>
    <t>Week 17 = 22-28 Apr</t>
  </si>
  <si>
    <t>Week 18 = 29-5 May</t>
  </si>
  <si>
    <t>Week 19 = 6-12 May</t>
  </si>
  <si>
    <t>Week 20 = 13-19 May</t>
  </si>
  <si>
    <t>Week 21 = 20-26 May</t>
  </si>
  <si>
    <t>Week 22=27May-2June</t>
  </si>
  <si>
    <t>Week 23 = 3-9 June</t>
  </si>
  <si>
    <t>Week 24 = 10- 16 June</t>
  </si>
  <si>
    <t>Week 25 = 17- 23 June</t>
  </si>
  <si>
    <t>Week 26 = 24-30 June</t>
  </si>
  <si>
    <t>Bank Balance Overdraft b/f - available funds</t>
  </si>
  <si>
    <t>VAT Refund</t>
  </si>
  <si>
    <t xml:space="preserve">VAT Refund if winning Point </t>
  </si>
  <si>
    <t>SBCI</t>
  </si>
  <si>
    <t>Retentions</t>
  </si>
  <si>
    <t>Townlink Bakers Yard - 01-4627131 Pamela, pamela.malone@townlink.ie. David Caulfield</t>
  </si>
  <si>
    <t xml:space="preserve">Ardmac -Montrose - Hugh Ward 0861426586 - +Damien McCorry </t>
  </si>
  <si>
    <t>Walls - Central Bank - Dan Healy</t>
  </si>
  <si>
    <t>Ardmac - Cairn HO</t>
  </si>
  <si>
    <t>Ardmac - Hilton Hotel Kilmainham</t>
  </si>
  <si>
    <t>Townlink - Temple Street</t>
  </si>
  <si>
    <t>Kealys - Furz Road</t>
  </si>
  <si>
    <t>All Q4 24</t>
  </si>
  <si>
    <t>Walls Glencar House 1</t>
  </si>
  <si>
    <t>Walls Glencar House 2</t>
  </si>
  <si>
    <t>Structuretone Twilio</t>
  </si>
  <si>
    <t>DAA</t>
  </si>
  <si>
    <t>Live jobs - Labour and Material</t>
  </si>
  <si>
    <t>Project Value</t>
  </si>
  <si>
    <t>Income</t>
  </si>
  <si>
    <t>Kealys Rhenus - Brian Farrell</t>
  </si>
  <si>
    <t>Kealys Fernbank - existing labour</t>
  </si>
  <si>
    <t>Walls Glencar - Water Damage</t>
  </si>
  <si>
    <t>TSK (Richard Reilly)  - We Work - Toilet areas</t>
  </si>
  <si>
    <t>TSK (Richard Reilly)  - We Work incl Acoustics</t>
  </si>
  <si>
    <t>No materials</t>
  </si>
  <si>
    <t xml:space="preserve">TSK (Richard Reilly)  - We Work </t>
  </si>
  <si>
    <t>TSK (Richard Reilly)  - We Work Acoustics Material</t>
  </si>
  <si>
    <t>TSK (Richard Reilly)  - We Work Acoustics Labour</t>
  </si>
  <si>
    <t>Walls Beach Road Apartments</t>
  </si>
  <si>
    <t>Recalc required</t>
  </si>
  <si>
    <t>Walls Beach Road Soffit install</t>
  </si>
  <si>
    <t>Walls Beach Road SFS</t>
  </si>
  <si>
    <t>OHLA Stapolin - Extra GYM - Paul Welden / Niall Donoghue</t>
  </si>
  <si>
    <t>OHLA Laytown (Sept work completed) - Stephen</t>
  </si>
  <si>
    <t>OHLA Belmayne - original project and running additional labour</t>
  </si>
  <si>
    <t>CDM Stravitek Central Hotel - Labour only</t>
  </si>
  <si>
    <t>CDM Stravitek Northbrook House (Carrigohane) - Labour only</t>
  </si>
  <si>
    <t>CDM Stravitek Newmarket Sq - Labour only</t>
  </si>
  <si>
    <t>CDM Google Daywork</t>
  </si>
  <si>
    <t>CDM Extra amount received - and Cork</t>
  </si>
  <si>
    <t>CDM DCU -Labour only</t>
  </si>
  <si>
    <t>CDM Central Hotel Phase 2 Flooring - Labour only</t>
  </si>
  <si>
    <t xml:space="preserve">CDM Grand Canal - labour only </t>
  </si>
  <si>
    <t>CDM Dundrum - labour and material</t>
  </si>
  <si>
    <t xml:space="preserve">CDM Payment shortfall </t>
  </si>
  <si>
    <t>CDM AWN</t>
  </si>
  <si>
    <t xml:space="preserve">CDM Payment  </t>
  </si>
  <si>
    <t>Flamestop WeWork Skirting</t>
  </si>
  <si>
    <t>Flamestop Dundrum</t>
  </si>
  <si>
    <t>Flamestop Kilashee</t>
  </si>
  <si>
    <t>Flamestop Killenard</t>
  </si>
  <si>
    <t>Flamestop Lorrequer House - labour only</t>
  </si>
  <si>
    <t>Flamestop Rathgar Church</t>
  </si>
  <si>
    <t>Flamestop Cavan Hospital</t>
  </si>
  <si>
    <t>Flamestop O'Casey Avenue - Park West</t>
  </si>
  <si>
    <t>Flamestop De Paul Hostel</t>
  </si>
  <si>
    <t>Flamestop extra payment</t>
  </si>
  <si>
    <t>Extraspace - Pfizer</t>
  </si>
  <si>
    <t>Townlink - St Finbars Cabra - Mesh</t>
  </si>
  <si>
    <t>Townlink - St Finbars Cabra - Sand and Cement and external Skim</t>
  </si>
  <si>
    <t>Townlink - St Finbars Cabra - Drylining, Ceilings, BWICS, internal skim</t>
  </si>
  <si>
    <t>Townlink - St Finbars Cabra -Fire rated ceiling</t>
  </si>
  <si>
    <t>Townlink payment retention</t>
  </si>
  <si>
    <t>O'Hara's Sandyford Becky Davis 0599720509</t>
  </si>
  <si>
    <t xml:space="preserve">McKeown - Delgany Creche - Liam Flynn </t>
  </si>
  <si>
    <t>McKeown - Aisling Hotel</t>
  </si>
  <si>
    <t>CDM Point Bowling Alley - Ceilings and Partitions</t>
  </si>
  <si>
    <t>CDM Point Bowling Alley - Floors</t>
  </si>
  <si>
    <t>CDM Point Bowling Alley = Labour Cost assuming all new - Ceilings and Partitions</t>
  </si>
  <si>
    <t xml:space="preserve">CDM Point Bowling Alley = Labour Cost assuming using PAYE </t>
  </si>
  <si>
    <t>Work Completed</t>
  </si>
  <si>
    <t>Kealys Rhenus - ongoing</t>
  </si>
  <si>
    <t>Kealys owing - Deansgrange + Kia</t>
  </si>
  <si>
    <t>Flamestop Raheny Butcher</t>
  </si>
  <si>
    <t>Flamestop Ashbourne</t>
  </si>
  <si>
    <t>Flamestop aged</t>
  </si>
  <si>
    <t>Walls - Glencar House - Conor</t>
  </si>
  <si>
    <t>Flamestop St James Hospital Ph 2</t>
  </si>
  <si>
    <t>Extraspace - ceiling - Mater</t>
  </si>
  <si>
    <t>OHLA Stapolin - Paul Welden / Niall Donoghue</t>
  </si>
  <si>
    <t>OHLA Laytown (August work completed) - Stephen</t>
  </si>
  <si>
    <t>OHLA Ashbourne (August work completed) - Paul Welden</t>
  </si>
  <si>
    <t>CDM Stravitek Google</t>
  </si>
  <si>
    <t>Flamestop Kilashee Phase2</t>
  </si>
  <si>
    <t>Flamestop Raheny</t>
  </si>
  <si>
    <t>Flamestop Portmarnock</t>
  </si>
  <si>
    <t>OHLA Ashbourne (Sept work completed)</t>
  </si>
  <si>
    <t>WeWork Payment due week 44 but delayed</t>
  </si>
  <si>
    <t>CDM Dundrum daywork - Greenacres(?)</t>
  </si>
  <si>
    <t>Investment</t>
  </si>
  <si>
    <t>Target work - yet to be confirmed</t>
  </si>
  <si>
    <t xml:space="preserve"> View of iFit type jobs to come</t>
  </si>
  <si>
    <t>iFitinteriorsDomesic</t>
  </si>
  <si>
    <t>Cluna</t>
  </si>
  <si>
    <t>Fixed Costs</t>
  </si>
  <si>
    <t>Wages PAYE Christian</t>
  </si>
  <si>
    <t>Wages PAYE Dave</t>
  </si>
  <si>
    <t>(1) Wages PAYE Tradesmen x 11</t>
  </si>
  <si>
    <t>Wages Ivan and Ronan</t>
  </si>
  <si>
    <t>(3) Subcontractors Fortnightly (Emanuel, Mihai)</t>
  </si>
  <si>
    <t>Mihail</t>
  </si>
  <si>
    <t>`</t>
  </si>
  <si>
    <t>Victor &amp; Livia Vescu, Gabriel (Navan and Delgany)</t>
  </si>
  <si>
    <t xml:space="preserve">Gabriel Vescu paid to Victor and Livia Vesco </t>
  </si>
  <si>
    <t>Emanuel re xMas Bonus (R+I)incl in figure above</t>
  </si>
  <si>
    <t>St Finbars Wages - Sand, Cement only - Price - Demitriu</t>
  </si>
  <si>
    <t xml:space="preserve">St Finbars - Demitriu Skim only </t>
  </si>
  <si>
    <t>Demitriu (Daniel Ursaciuc) Delgany and Finbars</t>
  </si>
  <si>
    <t>Demitriu - Tape and Jointing</t>
  </si>
  <si>
    <t>Flamestop Navan and DCU - Victor 5 additiona lads</t>
  </si>
  <si>
    <t xml:space="preserve">WAGE ADJUSTMENT  - PAID LESS THAN FORECAST </t>
  </si>
  <si>
    <t>Monthly Tax payments RCT</t>
  </si>
  <si>
    <t>Monthly Tax payments PAYE</t>
  </si>
  <si>
    <t>AllGo Rewards (Government initiative)</t>
  </si>
  <si>
    <t>Spotted Lab</t>
  </si>
  <si>
    <t>Client xmas voucher</t>
  </si>
  <si>
    <t xml:space="preserve">  </t>
  </si>
  <si>
    <t>Spawell iFit premises rent</t>
  </si>
  <si>
    <t>iFit Motor Finance - BMW</t>
  </si>
  <si>
    <t>DCI Fuel Card</t>
  </si>
  <si>
    <t>Easytrip</t>
  </si>
  <si>
    <t>Peninsula HR support</t>
  </si>
  <si>
    <t>Motor tax &amp; Insurance</t>
  </si>
  <si>
    <t>Professional Fees - Liam Butler</t>
  </si>
  <si>
    <t>Liam Butler - Management Accounts</t>
  </si>
  <si>
    <t>Close Brothers - Publice Liability Insurance</t>
  </si>
  <si>
    <t>Safety - Jim Doherty</t>
  </si>
  <si>
    <t>Bookeeping - Sarah Hill</t>
  </si>
  <si>
    <t>DLGC</t>
  </si>
  <si>
    <t>Bank - Credit card repayments</t>
  </si>
  <si>
    <t>AIB Bank Interest</t>
  </si>
  <si>
    <t>Bank fees week 1 October</t>
  </si>
  <si>
    <t>Eir</t>
  </si>
  <si>
    <t>SAGE</t>
  </si>
  <si>
    <t>Go Cardless</t>
  </si>
  <si>
    <t>Misc 2/11</t>
  </si>
  <si>
    <t>Atlas</t>
  </si>
  <si>
    <t>MFC Accountants</t>
  </si>
  <si>
    <t>TSK - Order Acoustic Strip from UK</t>
  </si>
  <si>
    <t>Connect Trade Union</t>
  </si>
  <si>
    <t>Paul Coughlan</t>
  </si>
  <si>
    <t>B&amp;Q</t>
  </si>
  <si>
    <t>Firhouse Steel (WeWork Posts)</t>
  </si>
  <si>
    <t>Dave Ryan Christmas Bonus</t>
  </si>
  <si>
    <t>Hero Fireproof</t>
  </si>
  <si>
    <t>Destruction Tools</t>
  </si>
  <si>
    <t>Spawell Electricity</t>
  </si>
  <si>
    <t>Historical labour / subcontractors</t>
  </si>
  <si>
    <t>(5) Subcontractors Historical - Victor</t>
  </si>
  <si>
    <t>(5) Subcontractors Historical - Dumitriu (Daniel)</t>
  </si>
  <si>
    <t>Finance</t>
  </si>
  <si>
    <t>Revenue DPSS Repayment</t>
  </si>
  <si>
    <t>SBCI - AIB</t>
  </si>
  <si>
    <t>Flenders Finance</t>
  </si>
  <si>
    <t>Linked Finance</t>
  </si>
  <si>
    <t>Mayweather Investment</t>
  </si>
  <si>
    <t>Mayweather Investment Repayment (Investment 1 and 2)</t>
  </si>
  <si>
    <t>Mayweather Inter Account Trf</t>
  </si>
  <si>
    <t>Suppliers</t>
  </si>
  <si>
    <t>Atradius (Tennants - Alan Cullen)</t>
  </si>
  <si>
    <t>SIG - Ciaran Kelly / Donnacha (Historical)</t>
  </si>
  <si>
    <t>SIG rolling payments - new account</t>
  </si>
  <si>
    <t>SAS Historical - Cathal McGuinness - Shelagh Donovan in UK-  0861031500</t>
  </si>
  <si>
    <t>SAS New Account - 60 days terms</t>
  </si>
  <si>
    <t>CIS - Eugene</t>
  </si>
  <si>
    <t>Murdocks (Timber) 01-4564030</t>
  </si>
  <si>
    <t xml:space="preserve">Chadwicks - Brian Simpson / David Frazer </t>
  </si>
  <si>
    <t xml:space="preserve">CDM Point </t>
  </si>
  <si>
    <t>Gripfix - Fiona Lawless 01-8011001 accounts@gripfix.ie  Alan Duffy alan@gripfix.ie -Credit 5000</t>
  </si>
  <si>
    <t>St Finbars Sand and Cement</t>
  </si>
  <si>
    <t>Mckeons Delgany Creche (Chadwicks)</t>
  </si>
  <si>
    <t>TSK Acoustics - Autex</t>
  </si>
  <si>
    <t>TSK Additional Acoustics - Autex</t>
  </si>
  <si>
    <t>Kealys Fernbank materials</t>
  </si>
  <si>
    <t>Ivan Cr Card</t>
  </si>
  <si>
    <t>FiFinance</t>
  </si>
  <si>
    <t>Rounding</t>
  </si>
  <si>
    <t>Weekly income / cash position</t>
  </si>
  <si>
    <t>Rolling cash balance</t>
  </si>
  <si>
    <t>Week 2 - 8-15 Jan</t>
  </si>
  <si>
    <t>Week 3 - 16-23 Jan</t>
  </si>
  <si>
    <t>Week 4 - 23- 31 Jan</t>
  </si>
  <si>
    <t>Tenders / Pending work</t>
  </si>
  <si>
    <t>Materials</t>
  </si>
  <si>
    <t>Week 45</t>
  </si>
  <si>
    <t>MIHAIL BOUHAR</t>
  </si>
  <si>
    <t>EMANUEL SANGEORZAN</t>
  </si>
  <si>
    <t>VASILE BULZ</t>
  </si>
  <si>
    <t>EDGARAS VOSYLIUS</t>
  </si>
  <si>
    <t>VASILE URSACIUC</t>
  </si>
  <si>
    <t>DUMITRU DANIEL GRIGOROAIA</t>
  </si>
  <si>
    <t>FLAVIAN IONUT COZMA</t>
  </si>
  <si>
    <t>DANIEL URSACIUC</t>
  </si>
  <si>
    <t>Payment  Date</t>
  </si>
  <si>
    <t>Week Number 45</t>
  </si>
  <si>
    <t xml:space="preserve">Gross </t>
  </si>
  <si>
    <t xml:space="preserve">Taxable </t>
  </si>
  <si>
    <t>Taxable Adds</t>
  </si>
  <si>
    <t>Allow. Deds.</t>
  </si>
  <si>
    <t xml:space="preserve"> PRSI  </t>
  </si>
  <si>
    <t>Non Tax. Adds.</t>
  </si>
  <si>
    <t>Non Allow Deds.</t>
  </si>
  <si>
    <t xml:space="preserve">Net  </t>
  </si>
  <si>
    <t>Name</t>
  </si>
  <si>
    <t>Pay</t>
  </si>
  <si>
    <t xml:space="preserve">Benefits* </t>
  </si>
  <si>
    <t xml:space="preserve">PAYE </t>
  </si>
  <si>
    <t xml:space="preserve">USC </t>
  </si>
  <si>
    <t>(EE)</t>
  </si>
  <si>
    <t xml:space="preserve">LPT </t>
  </si>
  <si>
    <t xml:space="preserve">(ER) </t>
  </si>
  <si>
    <t>Berdila, Vasile</t>
  </si>
  <si>
    <t>Catalin Nastasa, Gabriel</t>
  </si>
  <si>
    <t>Danci, Gheorghe</t>
  </si>
  <si>
    <t>Fungiur, Gheorghe</t>
  </si>
  <si>
    <t>Hrincescu, Cosmin</t>
  </si>
  <si>
    <t>Lungu, Ion</t>
  </si>
  <si>
    <t>Margine, Ilie</t>
  </si>
  <si>
    <t>Pasere, Cristian</t>
  </si>
  <si>
    <t>Rezmives, Mircea</t>
  </si>
  <si>
    <t>Roca, Adrian</t>
  </si>
  <si>
    <t>Ryan, David</t>
  </si>
  <si>
    <t>Stirbu, Marian</t>
  </si>
  <si>
    <t>Grand Total ()</t>
  </si>
  <si>
    <t>Week 46</t>
  </si>
  <si>
    <t>Tax %</t>
  </si>
  <si>
    <t>Hrs</t>
  </si>
  <si>
    <t>Rate</t>
  </si>
  <si>
    <t>Gross</t>
  </si>
  <si>
    <t>Tax</t>
  </si>
  <si>
    <t>Nett</t>
  </si>
  <si>
    <t>Vasile Bulz</t>
  </si>
  <si>
    <t>Edgaras Vosylius</t>
  </si>
  <si>
    <t>Vasile Sorin Ursaciuc</t>
  </si>
  <si>
    <t>Danny Grigoria</t>
  </si>
  <si>
    <t>Flavian Cozma</t>
  </si>
  <si>
    <t>Daniel Ursaciuc</t>
  </si>
  <si>
    <t>Week Number 46</t>
  </si>
  <si>
    <t>Flynn, Ivan</t>
  </si>
  <si>
    <t>Flynn, Ronan</t>
  </si>
  <si>
    <t xml:space="preserve"> Week</t>
  </si>
  <si>
    <t>ifit</t>
  </si>
  <si>
    <t>Sarah</t>
  </si>
  <si>
    <t>Mihai Bouhar Plasterers</t>
  </si>
  <si>
    <t>Emanuel Sangeorzan</t>
  </si>
  <si>
    <t>Week Number 47</t>
  </si>
  <si>
    <t>Gabriel Vescu - 2210462NA</t>
  </si>
  <si>
    <t>Week Number 48</t>
  </si>
  <si>
    <t>Week Number 49</t>
  </si>
  <si>
    <t>Victor and Livia Vescu - 3788025SH</t>
  </si>
  <si>
    <t>Week Number 50</t>
  </si>
  <si>
    <t>Week Number 1</t>
  </si>
  <si>
    <t>1 Saturdays</t>
  </si>
  <si>
    <t>Week Number 2</t>
  </si>
  <si>
    <t>Week Number 3</t>
  </si>
  <si>
    <t>Week Number 4</t>
  </si>
  <si>
    <t>Overpaid 0n 17-11-2023</t>
  </si>
  <si>
    <t>REPAYMENT OVER 4 WEEKS</t>
  </si>
  <si>
    <t>79.70 PER WEEK</t>
  </si>
  <si>
    <t>to be input</t>
  </si>
  <si>
    <t>Week Number 6</t>
  </si>
  <si>
    <t>Daniel (Dumitru) Ursaciuc</t>
  </si>
  <si>
    <t>Week Number 15</t>
  </si>
  <si>
    <t>Cozma, Flavian Ionut</t>
  </si>
  <si>
    <t>Grigoroaia, Dumitru Daniel</t>
  </si>
  <si>
    <t>Week Number 16</t>
  </si>
  <si>
    <t>Townlink Bakers Yard</t>
  </si>
  <si>
    <t>Kealys Rhenus</t>
  </si>
  <si>
    <t>OHLA Belamayne</t>
  </si>
  <si>
    <t>Kealy's Rhenus</t>
  </si>
  <si>
    <t>Value</t>
  </si>
  <si>
    <t>Sept</t>
  </si>
  <si>
    <t>Oct</t>
  </si>
  <si>
    <t xml:space="preserve">Oct </t>
  </si>
  <si>
    <t>Nov</t>
  </si>
  <si>
    <t>Dec</t>
  </si>
  <si>
    <t xml:space="preserve">week2 </t>
  </si>
  <si>
    <t>week3</t>
  </si>
  <si>
    <t>week4</t>
  </si>
  <si>
    <t>week5</t>
  </si>
  <si>
    <t>week6</t>
  </si>
  <si>
    <t>week7</t>
  </si>
  <si>
    <t>week8</t>
  </si>
  <si>
    <t>week9</t>
  </si>
  <si>
    <t>week10</t>
  </si>
  <si>
    <t>week11</t>
  </si>
  <si>
    <t>week12</t>
  </si>
  <si>
    <t>week13</t>
  </si>
  <si>
    <t>week14</t>
  </si>
  <si>
    <t>week15</t>
  </si>
  <si>
    <t>week16</t>
  </si>
  <si>
    <t>week17</t>
  </si>
  <si>
    <t>week18</t>
  </si>
  <si>
    <t>week19</t>
  </si>
  <si>
    <t>week20</t>
  </si>
  <si>
    <t>week21</t>
  </si>
  <si>
    <t>Payments (Labour and material)</t>
  </si>
  <si>
    <t>1st and 2nd</t>
  </si>
  <si>
    <t>31st</t>
  </si>
  <si>
    <t>Materials forecast and due date for payment</t>
  </si>
  <si>
    <t>Materials Phase 1 To be ordered</t>
  </si>
  <si>
    <t xml:space="preserve">Materials Phase 2 To be ordered - </t>
  </si>
  <si>
    <t>Materials Phase 3 To be ordered</t>
  </si>
  <si>
    <t>Labour</t>
  </si>
  <si>
    <t>Labour and Materials incoming payments (Aug valuation)</t>
  </si>
  <si>
    <t>Labour and Materials incoming payments (Sept valuation)</t>
  </si>
  <si>
    <t>Labour and Materials incoming payments</t>
  </si>
  <si>
    <t>OHLA Belmayne</t>
  </si>
  <si>
    <t>CDM DCU Costs</t>
  </si>
  <si>
    <t>Hr rate</t>
  </si>
  <si>
    <t>Hrs /week</t>
  </si>
  <si>
    <t>Total by week</t>
  </si>
  <si>
    <t>Overall Total</t>
  </si>
  <si>
    <t>Turnover</t>
  </si>
  <si>
    <t>Weeks skilled</t>
  </si>
  <si>
    <t>Weeks unskilled</t>
  </si>
  <si>
    <t>Flamestop Kilashee Revenue</t>
  </si>
  <si>
    <t>Man Weeks</t>
  </si>
  <si>
    <t>Travel</t>
  </si>
  <si>
    <t>Flamestop Kilashee Costs</t>
  </si>
  <si>
    <t>Flamestop Abbey Street</t>
  </si>
  <si>
    <t>Revenue</t>
  </si>
  <si>
    <t>Costs</t>
  </si>
  <si>
    <t xml:space="preserve">Retention </t>
  </si>
  <si>
    <t>Revenue Tax Deduction</t>
  </si>
  <si>
    <t xml:space="preserve">Value </t>
  </si>
  <si>
    <t>OHLA Stapolin</t>
  </si>
  <si>
    <t>Due</t>
  </si>
  <si>
    <t>Margin</t>
  </si>
  <si>
    <t xml:space="preserve">Labour </t>
  </si>
  <si>
    <t>Extraspace</t>
  </si>
  <si>
    <t>OHLA Laytown</t>
  </si>
  <si>
    <t>TSK Toilets</t>
  </si>
  <si>
    <t>Actual to 27.11</t>
  </si>
  <si>
    <t>24 week program</t>
  </si>
  <si>
    <t>TSK Main works</t>
  </si>
  <si>
    <t>Retention 5%</t>
  </si>
  <si>
    <t>Retention</t>
  </si>
  <si>
    <t>Extraspace Pfizer</t>
  </si>
  <si>
    <t>Walls Beach Road</t>
  </si>
  <si>
    <t>Net value</t>
  </si>
  <si>
    <t>Margin analysis</t>
  </si>
  <si>
    <t>Value - Measured works</t>
  </si>
  <si>
    <t>Value - SFS and render</t>
  </si>
  <si>
    <t>Materials - measured work only</t>
  </si>
  <si>
    <t>Labour - measured work only</t>
  </si>
  <si>
    <t>Labour - Management (Emanuel)</t>
  </si>
  <si>
    <t>Job Value before margin of 20% (estimate fig)</t>
  </si>
  <si>
    <t>Job value after retention, tax, and material</t>
  </si>
  <si>
    <t>Townlink - St Finbars</t>
  </si>
  <si>
    <t>Less retention 5%</t>
  </si>
  <si>
    <t>Less tax</t>
  </si>
  <si>
    <t>Value - Drylining, Ceilings, BWICS, Plastering in also</t>
  </si>
  <si>
    <t>Ceilings</t>
  </si>
  <si>
    <t>Drylining &amp; BWICS</t>
  </si>
  <si>
    <t>Labour - drylining</t>
  </si>
  <si>
    <t>BWICS</t>
  </si>
  <si>
    <t>Labour - Plastering skim only labour element</t>
  </si>
  <si>
    <t>Value - Plastering - Sand , Cement , Skim</t>
  </si>
  <si>
    <t>Value - Plastering</t>
  </si>
  <si>
    <t>McKeons Delgany Creche</t>
  </si>
  <si>
    <t>Gypline</t>
  </si>
  <si>
    <t>Metal and board</t>
  </si>
  <si>
    <t xml:space="preserve">Start </t>
  </si>
  <si>
    <t>Collen Dundalk - Pentagon Pharma</t>
  </si>
  <si>
    <t>Feb</t>
  </si>
  <si>
    <t>1st Mar</t>
  </si>
  <si>
    <t>April</t>
  </si>
  <si>
    <t>May</t>
  </si>
  <si>
    <t>June</t>
  </si>
  <si>
    <t>July</t>
  </si>
  <si>
    <t>Ceilings, Plasterboard, Metal</t>
  </si>
  <si>
    <t>Outgoing costs</t>
  </si>
  <si>
    <t>Material</t>
  </si>
  <si>
    <t xml:space="preserve">Ordered from Chadwicks in Feb paid first week of May, </t>
  </si>
  <si>
    <t>Kealys - Frank Keane BMW</t>
  </si>
  <si>
    <t>CDM Point</t>
  </si>
  <si>
    <t>Net Value</t>
  </si>
  <si>
    <t>Value - ceilings and partitions</t>
  </si>
  <si>
    <t>Value - Floors</t>
  </si>
  <si>
    <t>Materials ceilings and partitions</t>
  </si>
  <si>
    <t>sq m of plasterboard</t>
  </si>
  <si>
    <t xml:space="preserve">Labour - Floors only </t>
  </si>
  <si>
    <t>Material cost</t>
  </si>
  <si>
    <t>Labour = Ceilings and Linings, Box Outs - Labour Cost</t>
  </si>
  <si>
    <t>NOTE - Unlikely to take this amount of men.</t>
  </si>
  <si>
    <t>Insulation and metal</t>
  </si>
  <si>
    <t>Total Material incl VAT</t>
  </si>
  <si>
    <t>Aged Creditors</t>
  </si>
  <si>
    <t>Supplier</t>
  </si>
  <si>
    <t>Totals</t>
  </si>
  <si>
    <t>SIG</t>
  </si>
  <si>
    <t>Flender</t>
  </si>
  <si>
    <t>Tennants</t>
  </si>
  <si>
    <t>CIS</t>
  </si>
  <si>
    <t>Etag</t>
  </si>
  <si>
    <t>Chadwicks</t>
  </si>
  <si>
    <t>HPC</t>
  </si>
  <si>
    <t>SAS Glencar</t>
  </si>
  <si>
    <t>Walls payment</t>
  </si>
  <si>
    <t>Gripfix</t>
  </si>
  <si>
    <t>Murdocks</t>
  </si>
  <si>
    <t>SAS Deleted</t>
  </si>
  <si>
    <t>Aged Debtors</t>
  </si>
  <si>
    <t xml:space="preserve">Ardmac </t>
  </si>
  <si>
    <t>c</t>
  </si>
  <si>
    <t>Ashbourne</t>
  </si>
  <si>
    <t>r</t>
  </si>
  <si>
    <t>30.09.24</t>
  </si>
  <si>
    <t>Bakers Yard</t>
  </si>
  <si>
    <t>30.09.23</t>
  </si>
  <si>
    <t>BAM</t>
  </si>
  <si>
    <t>Belmayne</t>
  </si>
  <si>
    <t>j</t>
  </si>
  <si>
    <t xml:space="preserve">Bon Secours </t>
  </si>
  <si>
    <t>20.07.24</t>
  </si>
  <si>
    <t>Cairn Head Office</t>
  </si>
  <si>
    <t>CDM Stravitech</t>
  </si>
  <si>
    <t>Central Bank</t>
  </si>
  <si>
    <t>ClydeHouse</t>
  </si>
  <si>
    <t>Collen</t>
  </si>
  <si>
    <t>Customer/Project</t>
  </si>
  <si>
    <t>RETENTION</t>
  </si>
  <si>
    <t>1-30 Days</t>
  </si>
  <si>
    <t>WIP</t>
  </si>
  <si>
    <t>22.09.23</t>
  </si>
  <si>
    <t>DJI</t>
  </si>
  <si>
    <t>Dundrum</t>
  </si>
  <si>
    <t>Flamestop</t>
  </si>
  <si>
    <t>Furze Road</t>
  </si>
  <si>
    <t>01.03.24</t>
  </si>
  <si>
    <t>Genesis</t>
  </si>
  <si>
    <t>Paid?</t>
  </si>
  <si>
    <t>Gone</t>
  </si>
  <si>
    <t>Glencar House</t>
  </si>
  <si>
    <t>01.09.24</t>
  </si>
  <si>
    <t>Google</t>
  </si>
  <si>
    <t>Hilton Kilmainham</t>
  </si>
  <si>
    <t>01.09.23</t>
  </si>
  <si>
    <t>Kealy Construction</t>
  </si>
  <si>
    <t>Kilashee</t>
  </si>
  <si>
    <t>Kingram House</t>
  </si>
  <si>
    <t>25.05.24</t>
  </si>
  <si>
    <t xml:space="preserve">Laytown </t>
  </si>
  <si>
    <t>Lime Street</t>
  </si>
  <si>
    <t>1.05.24</t>
  </si>
  <si>
    <t>Montrose</t>
  </si>
  <si>
    <t>27.09.23</t>
  </si>
  <si>
    <t>OHLA</t>
  </si>
  <si>
    <t>Portmarnock</t>
  </si>
  <si>
    <t>Rhenus</t>
  </si>
  <si>
    <t>Roscrea</t>
  </si>
  <si>
    <t xml:space="preserve">Shelbourne </t>
  </si>
  <si>
    <t>20.01.21</t>
  </si>
  <si>
    <t>St James</t>
  </si>
  <si>
    <t>Stapolin</t>
  </si>
  <si>
    <t>Temple Street</t>
  </si>
  <si>
    <t>Townlink</t>
  </si>
  <si>
    <t xml:space="preserve">Walls </t>
  </si>
  <si>
    <t>Walls Glencar</t>
  </si>
  <si>
    <t xml:space="preserve">Kealys </t>
  </si>
  <si>
    <t>Q1</t>
  </si>
  <si>
    <t>Q2</t>
  </si>
  <si>
    <t>Q3</t>
  </si>
  <si>
    <t>Q4</t>
  </si>
  <si>
    <t>Retentions Due</t>
  </si>
  <si>
    <t>Project - Material forecast</t>
  </si>
  <si>
    <t>Jan</t>
  </si>
  <si>
    <t>TSK Phase 1</t>
  </si>
  <si>
    <t>TSK Phase 2 - subject to PO</t>
  </si>
  <si>
    <t>Extraspace - Mater Ceilings</t>
  </si>
  <si>
    <t>Walls Beech Road (start date TBC)</t>
  </si>
  <si>
    <t>Current Contracts.</t>
  </si>
  <si>
    <t>Work in Progress (WIP)</t>
  </si>
  <si>
    <t xml:space="preserve"> Contract Value </t>
  </si>
  <si>
    <t>Gross Profit</t>
  </si>
  <si>
    <t xml:space="preserve">Forecasted labour Costs </t>
  </si>
  <si>
    <t>Forecasted Material Costs</t>
  </si>
  <si>
    <t xml:space="preserve">Walls Glencar House </t>
  </si>
  <si>
    <t>Upcoming Projects Labour Only</t>
  </si>
  <si>
    <t>CDM Stravitek Central Hotel</t>
  </si>
  <si>
    <t>CDM Stravitek  Greenacres</t>
  </si>
  <si>
    <t>CDM Stravitek Carrigohane</t>
  </si>
  <si>
    <t>CDM Stravitek Newmarket Sq</t>
  </si>
  <si>
    <t>Cluna Development</t>
  </si>
  <si>
    <t>TSK We Work</t>
  </si>
  <si>
    <t xml:space="preserve">Notes </t>
  </si>
  <si>
    <t>Turnover 2022</t>
  </si>
  <si>
    <t>Gross Profit at tender stage 25%</t>
  </si>
  <si>
    <t>Project Material forecast</t>
  </si>
  <si>
    <t>Project labour forecast</t>
  </si>
  <si>
    <t>Fixed Costs for next 12 months</t>
  </si>
  <si>
    <t>Fixed Costs per month</t>
  </si>
  <si>
    <t>Overheads</t>
  </si>
  <si>
    <t>Salaries</t>
  </si>
  <si>
    <t xml:space="preserve">David </t>
  </si>
  <si>
    <t>Rent</t>
  </si>
  <si>
    <t>Christian</t>
  </si>
  <si>
    <t>Jeep Finance</t>
  </si>
  <si>
    <t>Ronan</t>
  </si>
  <si>
    <t>DCI</t>
  </si>
  <si>
    <t>Ivan</t>
  </si>
  <si>
    <t>Publice Liability Insurance</t>
  </si>
  <si>
    <t>Pensions PAYE</t>
  </si>
  <si>
    <t>Safety</t>
  </si>
  <si>
    <t>Jim Doherty</t>
  </si>
  <si>
    <t>Bookeeping</t>
  </si>
  <si>
    <t>Loan Repayments Monthly</t>
  </si>
  <si>
    <t>David</t>
  </si>
  <si>
    <t>Nett Profit</t>
  </si>
  <si>
    <t xml:space="preserve">Current live Projects </t>
  </si>
  <si>
    <t xml:space="preserve"> Rhenus</t>
  </si>
  <si>
    <t xml:space="preserve"> Belamayne</t>
  </si>
  <si>
    <t xml:space="preserve"> Portmarnock</t>
  </si>
  <si>
    <t xml:space="preserve"> Abbey Street</t>
  </si>
  <si>
    <t xml:space="preserve"> Stapolin</t>
  </si>
  <si>
    <t xml:space="preserve"> Ashbourne</t>
  </si>
  <si>
    <t xml:space="preserve"> Laytown</t>
  </si>
  <si>
    <t>Upcoming Projects</t>
  </si>
  <si>
    <t>Cluna Developments</t>
  </si>
  <si>
    <t>CDM DCU</t>
  </si>
  <si>
    <t>CDM Central Hotel Phase 2</t>
  </si>
  <si>
    <t xml:space="preserve">TSK </t>
  </si>
  <si>
    <t>Beach Road</t>
  </si>
  <si>
    <t>AIB Dawson Street</t>
  </si>
  <si>
    <t>Subcontractors</t>
  </si>
  <si>
    <t>Total income</t>
  </si>
  <si>
    <t>Labour only</t>
  </si>
  <si>
    <t>Labour and Materials</t>
  </si>
  <si>
    <t>OHLA Ashbourne</t>
  </si>
  <si>
    <t>Scenario1</t>
  </si>
  <si>
    <t>Scenario2</t>
  </si>
  <si>
    <t>Previous paid</t>
  </si>
  <si>
    <t>IFIT INTERIORS WEEKLY CASHFLOW PLANNER</t>
  </si>
  <si>
    <t>Week Ending</t>
  </si>
  <si>
    <t>Bank Opening Balance</t>
  </si>
  <si>
    <t>Money In</t>
  </si>
  <si>
    <t>Sales  Invoices</t>
  </si>
  <si>
    <t>Vat Refund</t>
  </si>
  <si>
    <t>Other</t>
  </si>
  <si>
    <t>Total Money in</t>
  </si>
  <si>
    <t>Money Out</t>
  </si>
  <si>
    <t xml:space="preserve"> Suppliers</t>
  </si>
  <si>
    <t>Accountant Martin Mchugh</t>
  </si>
  <si>
    <t>Accountant Liam Butler</t>
  </si>
  <si>
    <t>PL Insurance</t>
  </si>
  <si>
    <t xml:space="preserve">Office Rent </t>
  </si>
  <si>
    <t>Credit Cards</t>
  </si>
  <si>
    <t>Phones</t>
  </si>
  <si>
    <t>Employee salaries</t>
  </si>
  <si>
    <t>Revenue P30</t>
  </si>
  <si>
    <t>Revenue RCT</t>
  </si>
  <si>
    <t xml:space="preserve">Pension </t>
  </si>
  <si>
    <t>Union</t>
  </si>
  <si>
    <t>Total Money Out</t>
  </si>
  <si>
    <t>Closing Balance</t>
  </si>
  <si>
    <t>PURCHASES</t>
  </si>
  <si>
    <t>Purchases</t>
  </si>
  <si>
    <t>Sig</t>
  </si>
  <si>
    <t>SAS</t>
  </si>
  <si>
    <t>Uvalue</t>
  </si>
  <si>
    <t xml:space="preserve">
TJ Omahony</t>
  </si>
  <si>
    <t>SDG</t>
  </si>
  <si>
    <t>Wogans</t>
  </si>
  <si>
    <t>Loxam</t>
  </si>
  <si>
    <t>Hire Here</t>
  </si>
  <si>
    <t>Hilti</t>
  </si>
  <si>
    <t>AEF</t>
  </si>
  <si>
    <t>Total</t>
  </si>
  <si>
    <t>SALES</t>
  </si>
  <si>
    <t>Contractor</t>
  </si>
  <si>
    <t>Walls CBOI</t>
  </si>
  <si>
    <t>Collen Airport</t>
  </si>
  <si>
    <t>Ardmac Hilton</t>
  </si>
  <si>
    <t>Ardmac Montrose</t>
  </si>
  <si>
    <t>Ardmac Intel</t>
  </si>
  <si>
    <t>BAM Lime Street</t>
  </si>
  <si>
    <t>Week 3</t>
  </si>
  <si>
    <t>Week 4</t>
  </si>
  <si>
    <t>Week 5</t>
  </si>
  <si>
    <t>Week 6</t>
  </si>
  <si>
    <t>Week 7</t>
  </si>
  <si>
    <t>Week 8</t>
  </si>
  <si>
    <t>Week 9</t>
  </si>
  <si>
    <t>Bank Balance Overdraft b/f</t>
  </si>
  <si>
    <t>Cairn HO</t>
  </si>
  <si>
    <t>Hotel Kilmainham</t>
  </si>
  <si>
    <t>Furz Road</t>
  </si>
  <si>
    <t>Lime Street and Kingram</t>
  </si>
  <si>
    <t>Walls Beach Road Common Areas</t>
  </si>
  <si>
    <t>Live jobs - Labour only</t>
  </si>
  <si>
    <t>OHLA Ashbourne (August work completed)</t>
  </si>
  <si>
    <t>OHLA Laytown (August work completed)</t>
  </si>
  <si>
    <t>CDM Central Hotel</t>
  </si>
  <si>
    <t>Additional work not itemised yet</t>
  </si>
  <si>
    <t>Wages PAYE Dave and Christian</t>
  </si>
  <si>
    <t>Wages PAYE Tradesmen</t>
  </si>
  <si>
    <t>Subcontractors Weekly x 3</t>
  </si>
  <si>
    <t>Subcontractors Fortnightly x 15</t>
  </si>
  <si>
    <t>Subcontractors Historical</t>
  </si>
  <si>
    <t>eTag</t>
  </si>
  <si>
    <t>SAS - Cathal</t>
  </si>
  <si>
    <t>Total monthly income</t>
  </si>
  <si>
    <t>Total rolling income</t>
  </si>
  <si>
    <t>Upcoming Jobs</t>
  </si>
  <si>
    <t>Professional Fees</t>
  </si>
  <si>
    <t>Week 7 (16th Oct)</t>
  </si>
  <si>
    <t>Week 8 (23rd Oct)</t>
  </si>
  <si>
    <t>Week 9 - 30/31st Oct</t>
  </si>
  <si>
    <t xml:space="preserve">Ardmac -Montrose - Damien McCorry - </t>
  </si>
  <si>
    <t>Walls - Central Bank</t>
  </si>
  <si>
    <t>Job Starts</t>
  </si>
  <si>
    <t>OHLA Stapolin - Final phase - Paul Welden / Niall Donoghue</t>
  </si>
  <si>
    <t>Subcontractors for TSK main x 5</t>
  </si>
  <si>
    <t>Victor</t>
  </si>
  <si>
    <t>Dumitriu (Daniel)</t>
  </si>
  <si>
    <t xml:space="preserve">Spotted Lab </t>
  </si>
  <si>
    <t>iFit premises rent</t>
  </si>
  <si>
    <t>iFit Motor Finance</t>
  </si>
  <si>
    <t xml:space="preserve">Credit cards </t>
  </si>
  <si>
    <t xml:space="preserve">SIG TSK materials </t>
  </si>
  <si>
    <t>Murdocks (Timber)</t>
  </si>
  <si>
    <t>TJ O'Mahony - Pat Mullins</t>
  </si>
  <si>
    <t>Walls Finglas</t>
  </si>
  <si>
    <t>Irish Life</t>
  </si>
  <si>
    <t>Collen - Grange Castle</t>
  </si>
  <si>
    <t>Vardis Kiliney - Marlet</t>
  </si>
  <si>
    <t>SISK</t>
  </si>
  <si>
    <t>Townlink - St Finbars Cabra</t>
  </si>
  <si>
    <t>CDM Stravitek  Greenacres - Labour only</t>
  </si>
  <si>
    <t>CDM Stravitek Carrigohane - Labour only</t>
  </si>
  <si>
    <t>Flamestop Kilashee Final Valuation</t>
  </si>
  <si>
    <t>Townlink - St Finbars Cabra - Sand and Cement</t>
  </si>
  <si>
    <t>Townlink - St Finbars Cabra - Remaining Sand and Cement</t>
  </si>
  <si>
    <t>Townlink - St Finbars Cabra - Drylining, Ceilings, BWICS</t>
  </si>
  <si>
    <t>(1) Wages PAYE Tradesmen x 10</t>
  </si>
  <si>
    <t>(2) Subcontractors Weekly x 5</t>
  </si>
  <si>
    <t>(3) Subcontractors Fortnightly (incl TSK lads)</t>
  </si>
  <si>
    <t>St Finbars Wages PAYE - Demitriu 2 and 1</t>
  </si>
  <si>
    <t>Spotted Lab (Jason)</t>
  </si>
  <si>
    <t xml:space="preserve">Bank - Credit cards </t>
  </si>
  <si>
    <t>G</t>
  </si>
  <si>
    <t>Mayweather Investment Repayment</t>
  </si>
  <si>
    <t>SIG - Ciaran Kelly / Donnacha</t>
  </si>
  <si>
    <t>SAS - Cathal McGuinness - Shelagh in UK-  0861031500</t>
  </si>
  <si>
    <t>TJ O'Mahony - Laura / Pat Mullins</t>
  </si>
  <si>
    <t>Frank Keane Garage</t>
  </si>
  <si>
    <t>OHLA additional schools</t>
  </si>
  <si>
    <t>Flamestop Raheny Phase 2</t>
  </si>
  <si>
    <t>Flamestop Kilashee October Valuation</t>
  </si>
  <si>
    <t>Week 27 = 1-7 July</t>
  </si>
  <si>
    <t>Week 29 = 15-21 July</t>
  </si>
  <si>
    <t>Week 28 = 8-14 July</t>
  </si>
  <si>
    <t>Week 30 = 22-28 July</t>
  </si>
  <si>
    <t>Week 31 = 29 July -4 Aug</t>
  </si>
  <si>
    <t>Week 32 = 4 - 10 Aug</t>
  </si>
  <si>
    <t>CDM Holding number</t>
  </si>
  <si>
    <t>CDM Holding number labour</t>
  </si>
  <si>
    <t>Holding Numbers =&gt;</t>
  </si>
  <si>
    <t>Pensions PAYE - CIF CWPS Trustees</t>
  </si>
  <si>
    <t>Trajan</t>
  </si>
  <si>
    <t xml:space="preserve">Gabriel  Victor </t>
  </si>
  <si>
    <t>Friday 19th</t>
  </si>
  <si>
    <t>Friday 5th July</t>
  </si>
  <si>
    <t>CDM = DCU, Killiney, Black Forge</t>
  </si>
  <si>
    <t>Flamestop Gorey</t>
  </si>
  <si>
    <t>Flamestop Little Britain = Labour and Material</t>
  </si>
  <si>
    <t>Flamestop = materials and labour cost</t>
  </si>
  <si>
    <t>Extraspace Clondalkin</t>
  </si>
  <si>
    <t>START</t>
  </si>
  <si>
    <t>(3) Subcontractors Fortnightly Victor and Trajan  Beach Road additional</t>
  </si>
  <si>
    <t>Kealy's Frank Keane BMW Naas Road</t>
  </si>
  <si>
    <t>Townlink Mike Barnett - Pamela Malone = Townlink Income</t>
  </si>
  <si>
    <t>Loxam payment</t>
  </si>
  <si>
    <t>August</t>
  </si>
  <si>
    <t>Walls Beach Road Apartments - Alan McGrath</t>
  </si>
  <si>
    <t>SDG Acoustic Plasterboard = Ciaran Donnelly</t>
  </si>
  <si>
    <t>Chadwicks - Brian Simpson / David Frazer = 60 days</t>
  </si>
  <si>
    <t>Week 36 = 2 - 8 Sept</t>
  </si>
  <si>
    <t>Week 37 = 9  - 15 Sept</t>
  </si>
  <si>
    <t>Week 38 = 16  - 22 Sept</t>
  </si>
  <si>
    <t>Week 39 = 23  - 29 Sept</t>
  </si>
  <si>
    <t>Week 40 = 30  -6 Oct</t>
  </si>
  <si>
    <r>
      <t xml:space="preserve">TJ O'Mahony (HPC) - Laura Donnelly 01-4091418 / Pat Mullins 086-7948092 = Increase credit to </t>
    </r>
    <r>
      <rPr>
        <sz val="10"/>
        <color rgb="FFFF0000"/>
        <rFont val="Calibri"/>
        <family val="2"/>
        <scheme val="minor"/>
      </rPr>
      <t>€50,000</t>
    </r>
  </si>
  <si>
    <r>
      <t>UValue Paul Dunleavy - 0860428542</t>
    </r>
    <r>
      <rPr>
        <sz val="10"/>
        <color rgb="FFFF0000"/>
        <rFont val="Calibri"/>
        <family val="2"/>
        <scheme val="minor"/>
      </rPr>
      <t xml:space="preserve"> 30k Limit 30 Day terms</t>
    </r>
  </si>
  <si>
    <t>DSS Dave Reilly = 0861534932</t>
  </si>
  <si>
    <t>Derek Joiner</t>
  </si>
  <si>
    <t>Flamestop Ceiling = Tullamore Minogue</t>
  </si>
  <si>
    <r>
      <rPr>
        <b/>
        <sz val="10"/>
        <color rgb="FFFF0000"/>
        <rFont val="Calibri"/>
        <family val="2"/>
        <scheme val="minor"/>
      </rPr>
      <t>PTSB</t>
    </r>
    <r>
      <rPr>
        <sz val="10"/>
        <color theme="1"/>
        <rFont val="Calibri"/>
        <family val="2"/>
        <scheme val="minor"/>
      </rPr>
      <t xml:space="preserve"> Repayments</t>
    </r>
  </si>
  <si>
    <t>PTSB Income</t>
  </si>
  <si>
    <t>Net of retention / Final account figure</t>
  </si>
  <si>
    <t>Mayweather Golf Day</t>
  </si>
  <si>
    <t>Flamestop Baldoyle Head Office</t>
  </si>
  <si>
    <t>START Thursday</t>
  </si>
  <si>
    <t>START Tuesday</t>
  </si>
  <si>
    <t>Nationwide Safety</t>
  </si>
  <si>
    <t>Saturday 7th</t>
  </si>
  <si>
    <t>Week 34 =19 -25 Aug</t>
  </si>
  <si>
    <t>Week 35 = 26 - 1 Sept</t>
  </si>
  <si>
    <t>Week 33 = 12 -18 Aug</t>
  </si>
  <si>
    <t>Saturday 17th</t>
  </si>
  <si>
    <t>Week 41 = 7-13 Oct</t>
  </si>
  <si>
    <t>Week 42 = 14-20 Oct</t>
  </si>
  <si>
    <t>Week 43 = Oct 21-27</t>
  </si>
  <si>
    <t>Week 44 = 28-3 Nov</t>
  </si>
  <si>
    <t>Week 45 = 4-10 Nov</t>
  </si>
  <si>
    <t>Week 46 = 11-17 Nov</t>
  </si>
  <si>
    <t>Week 47 = 18-24 Nov</t>
  </si>
  <si>
    <t>Week 48 = 25-1 Dec</t>
  </si>
  <si>
    <t>CFM Group = Dina Insurance</t>
  </si>
  <si>
    <t>Saturday 21st</t>
  </si>
  <si>
    <t xml:space="preserve">Saturday 5th </t>
  </si>
  <si>
    <t>Week 49 =2-8 Dec</t>
  </si>
  <si>
    <t>Week 50 =9-15 Dec</t>
  </si>
  <si>
    <t>Week 51 =16-22 Dec</t>
  </si>
  <si>
    <t>Satrurday 19th</t>
  </si>
  <si>
    <t>Townlink - Kingram</t>
  </si>
  <si>
    <t>BAM - Lime Street, Colin O'Rourke</t>
  </si>
  <si>
    <t>Flamestop Monaghan - Maheraclune</t>
  </si>
  <si>
    <t>Flamestop Navan Dalgan (Columbans) - Labour only</t>
  </si>
  <si>
    <t>Flamestop Woodies Tullamore</t>
  </si>
  <si>
    <t>Radius DCI Fuel Card</t>
  </si>
  <si>
    <t>SIG rolling payments - new account = 60 Days = Deirdre = 01-6234541</t>
  </si>
  <si>
    <t>eTag - Jeanette 0873367445 Ac No. IFI001</t>
  </si>
  <si>
    <t>Moxy</t>
  </si>
  <si>
    <t>Victor's crew</t>
  </si>
  <si>
    <t>Total labour for fixing @ 30 weeks</t>
  </si>
  <si>
    <t>Material skim</t>
  </si>
  <si>
    <t>Skimming labour, 18500 Sq m @6.5per msq</t>
  </si>
  <si>
    <t xml:space="preserve">Total labour </t>
  </si>
  <si>
    <t>Skim material</t>
  </si>
  <si>
    <t>Net profit</t>
  </si>
  <si>
    <t>Flamestop Killenard Phase 3 + Ongoing</t>
  </si>
  <si>
    <t>10 men per week 54 hour average and 26€ per hour, however in the cashflow we are saying that 5 of these will be our own lads and 5 from Victor.</t>
  </si>
  <si>
    <t>(2) Subcontractors Weekly x 1 Vasile Ursac &amp; Brian</t>
  </si>
  <si>
    <t>Kealys Head Office emergency work</t>
  </si>
  <si>
    <t>Flamestop P3</t>
  </si>
  <si>
    <t>Walls</t>
  </si>
  <si>
    <t>WALLS</t>
  </si>
  <si>
    <t>Eurospec Wogans = Walls Beach Road Balcony soffits materials</t>
  </si>
  <si>
    <t>Demitriu (Daniel Ursaciuc) plastering Beach Road</t>
  </si>
  <si>
    <t>Flamestop Anner Hotel</t>
  </si>
  <si>
    <t>Flamestop An Post Kore Business Park = existing labour</t>
  </si>
  <si>
    <t>Kealy's An Post Kore = existing labour</t>
  </si>
  <si>
    <t>Flamestop South City Bus Park M7 Citywest</t>
  </si>
  <si>
    <t>Collen - Affidea Portlaois</t>
  </si>
  <si>
    <t>Saturday 11th</t>
  </si>
  <si>
    <t>Q4 24 + OHLA</t>
  </si>
  <si>
    <t>Victor for Beach Road</t>
  </si>
  <si>
    <t>Point Square</t>
  </si>
  <si>
    <t>CDM Holding Number = Gyms 4 men</t>
  </si>
  <si>
    <t>Flamestop Seabrook Manor</t>
  </si>
  <si>
    <t>Week 6 = 3-9 
Feb</t>
  </si>
  <si>
    <t>Week 7 = 10-16 
Feb</t>
  </si>
  <si>
    <t>Week 8 = 17-23
Feb</t>
  </si>
  <si>
    <t>Week 9 = 24 -2
Mar</t>
  </si>
  <si>
    <t>Week 10 = 3-9 
Mar</t>
  </si>
  <si>
    <t>Week 11 = 10-16
Mar</t>
  </si>
  <si>
    <t>Week 12 = 17-23 
Mar</t>
  </si>
  <si>
    <t>Week 13 = 24-30 
Mar</t>
  </si>
  <si>
    <t>Week 14 = 31-6 
April</t>
  </si>
  <si>
    <r>
      <t xml:space="preserve">Walls </t>
    </r>
    <r>
      <rPr>
        <b/>
        <sz val="10"/>
        <color theme="1"/>
        <rFont val="Calibri"/>
        <family val="2"/>
        <scheme val="minor"/>
      </rPr>
      <t>Merville</t>
    </r>
    <r>
      <rPr>
        <sz val="10"/>
        <color theme="1"/>
        <rFont val="Calibri"/>
        <family val="2"/>
        <scheme val="minor"/>
      </rPr>
      <t xml:space="preserve"> Income Materials</t>
    </r>
  </si>
  <si>
    <r>
      <t xml:space="preserve">Walls </t>
    </r>
    <r>
      <rPr>
        <b/>
        <sz val="10"/>
        <color theme="1"/>
        <rFont val="Calibri"/>
        <family val="2"/>
        <scheme val="minor"/>
      </rPr>
      <t>Merville</t>
    </r>
    <r>
      <rPr>
        <sz val="10"/>
        <color theme="1"/>
        <rFont val="Calibri"/>
        <family val="2"/>
        <scheme val="minor"/>
      </rPr>
      <t xml:space="preserve"> Income Valuations</t>
    </r>
  </si>
  <si>
    <t>Week 2 =6-12 Jan</t>
  </si>
  <si>
    <t>Week 3 = 13-19 Jan</t>
  </si>
  <si>
    <t>Week 4 =20-26 Jan</t>
  </si>
  <si>
    <t>Week 5=27 Jan - 2 Feb</t>
  </si>
  <si>
    <t>Week 52 =22-29 Dec</t>
  </si>
  <si>
    <t>Week 1 =30 Dec -5 Jan</t>
  </si>
  <si>
    <t xml:space="preserve">Flamestop holding number </t>
  </si>
  <si>
    <t xml:space="preserve">White Fire Offices holding number </t>
  </si>
  <si>
    <t>McKeowns National Rehab</t>
  </si>
  <si>
    <t>Saturday 16th</t>
  </si>
  <si>
    <t>Due to us from week 46 20% tax deducted</t>
  </si>
  <si>
    <t>November</t>
  </si>
  <si>
    <t>December</t>
  </si>
  <si>
    <t>January</t>
  </si>
  <si>
    <t>February</t>
  </si>
  <si>
    <t>March</t>
  </si>
  <si>
    <t>September</t>
  </si>
  <si>
    <t>October</t>
  </si>
  <si>
    <t>Material Cost</t>
  </si>
  <si>
    <t>Labour cost</t>
  </si>
  <si>
    <t>Balance</t>
  </si>
  <si>
    <t>Rolling cash flow</t>
  </si>
  <si>
    <t>Skim</t>
  </si>
  <si>
    <t>Block 1</t>
  </si>
  <si>
    <t>Block 2 Ground floor</t>
  </si>
  <si>
    <t>Block 2 Floors 1-5</t>
  </si>
  <si>
    <t>Bloc 1 Ground Floor</t>
  </si>
  <si>
    <t>Block 3 Ground floor</t>
  </si>
  <si>
    <t>Block 3 Floors 1-5</t>
  </si>
  <si>
    <t>#</t>
  </si>
  <si>
    <t>Net of 2.5% retention</t>
  </si>
  <si>
    <t>Merville material</t>
  </si>
  <si>
    <t>BAM - Lime Street, Michael O'Hea</t>
  </si>
  <si>
    <t>Collen Affidea Portlaois</t>
  </si>
  <si>
    <t>Material income</t>
  </si>
  <si>
    <t>Material income Lead</t>
  </si>
  <si>
    <t>Material payment boards and metal</t>
  </si>
  <si>
    <t>Labour income</t>
  </si>
  <si>
    <t>Cashflow Forecast</t>
  </si>
  <si>
    <t>Saturday 24th</t>
  </si>
  <si>
    <t>IFIT</t>
  </si>
  <si>
    <t>3283289PH</t>
  </si>
  <si>
    <t>28.11.24</t>
  </si>
  <si>
    <t>11/11/2024</t>
  </si>
  <si>
    <t>28905-867-S67/11/24 36 FITZWILLIAM 3223</t>
  </si>
  <si>
    <t>10/11/2024</t>
  </si>
  <si>
    <t>28904-866-S68/11/24 FITZ TENNIS 3133</t>
  </si>
  <si>
    <t>06/11/2024</t>
  </si>
  <si>
    <t>28902-868-S70/11/24 60 WILLOW AVE 3192</t>
  </si>
  <si>
    <t>01/11/2024</t>
  </si>
  <si>
    <t>28903-856-S69/11/24 29 RAVENSDALE 3210</t>
  </si>
  <si>
    <t>Walls Beach Rd variations level 5 and tapers</t>
  </si>
  <si>
    <t>Possible start</t>
  </si>
  <si>
    <t>Subcontractors Weekly x 1 Vasile Ursac &amp; Brian</t>
  </si>
  <si>
    <t>Wages PAYE Tradesmen x 11</t>
  </si>
  <si>
    <t>Subcontractors Fortnightly = Emanuel for Flamestop Citywest</t>
  </si>
  <si>
    <t>Flamestop Connolly Stairs</t>
  </si>
  <si>
    <t>Kealys Connolly Stairs</t>
  </si>
  <si>
    <t>Kingslodge</t>
  </si>
  <si>
    <t>Beach House</t>
  </si>
  <si>
    <t>Belevedere (willow Av) Phase 2</t>
  </si>
  <si>
    <t>Material payment lead Tradecraft</t>
  </si>
  <si>
    <t>CDM</t>
  </si>
  <si>
    <t>Kealys</t>
  </si>
  <si>
    <t>McKeowns</t>
  </si>
  <si>
    <t>Collen Affidea</t>
  </si>
  <si>
    <t>Walls Merville</t>
  </si>
  <si>
    <t>Townlink St Finbars</t>
  </si>
  <si>
    <t>Live Jobs</t>
  </si>
  <si>
    <t>Kealy's Fernbank Phase 3</t>
  </si>
  <si>
    <t>White Fire</t>
  </si>
  <si>
    <r>
      <rPr>
        <b/>
        <sz val="10"/>
        <rFont val="Calibri"/>
        <family val="2"/>
        <scheme val="minor"/>
      </rPr>
      <t>PTSB</t>
    </r>
    <r>
      <rPr>
        <sz val="10"/>
        <color theme="1"/>
        <rFont val="Calibri"/>
        <family val="2"/>
        <scheme val="minor"/>
      </rPr>
      <t xml:space="preserve"> Repayments</t>
    </r>
  </si>
  <si>
    <t>Fiona Cr Card</t>
  </si>
  <si>
    <t>HISTORICAL</t>
  </si>
  <si>
    <t>Historical Jobs</t>
  </si>
  <si>
    <t>Flamestop Dept of Foreign Affairs</t>
  </si>
  <si>
    <t>Wages and Tax</t>
  </si>
  <si>
    <t>Fixed Costs &amp; Overheads</t>
  </si>
  <si>
    <t>Historical Suppliers</t>
  </si>
  <si>
    <t>Saturday 14th</t>
  </si>
  <si>
    <t xml:space="preserve">Flamestop The Crofton </t>
  </si>
  <si>
    <t>Autex</t>
  </si>
  <si>
    <t>Revenue late payment fee</t>
  </si>
  <si>
    <t>Revenue DPSS Repayment and fees</t>
  </si>
  <si>
    <t>Week 15 = 7-13 
April</t>
  </si>
  <si>
    <t>Week 16 = 14-20 
April</t>
  </si>
  <si>
    <t>Week 17 = 21-27 
April</t>
  </si>
  <si>
    <t>Week 18 = 28 - 4 May</t>
  </si>
  <si>
    <t>Historical Retentions</t>
  </si>
  <si>
    <t>TJOMahony paid on Ivan Card</t>
  </si>
  <si>
    <t>Taper Jonathan = Beach Road = L5 finish</t>
  </si>
  <si>
    <t>Subcontractors Fortnightly = Emanuel</t>
  </si>
  <si>
    <t>Subcontractors Fortnightly = Mihai</t>
  </si>
  <si>
    <t>Walls Beach Road = Water Damage level 5 = T&amp;M</t>
  </si>
  <si>
    <t>AIB= SBCI</t>
  </si>
  <si>
    <t>Palmerstown House (room hire)</t>
  </si>
  <si>
    <t>Kealys Connolly Stairs = Additional ceiling</t>
  </si>
  <si>
    <t>Townlink Bon Secours = Pamela</t>
  </si>
  <si>
    <t>Walls Glencar House 2 = Conor Mirren</t>
  </si>
  <si>
    <t>Week 19 = 5-11 May</t>
  </si>
  <si>
    <t>Week 20 = 12-18 May</t>
  </si>
  <si>
    <t>Week 21 = 19-25 May</t>
  </si>
  <si>
    <t>Week 22 = 26-1 June</t>
  </si>
  <si>
    <t>Week 23 = 2-8 June</t>
  </si>
  <si>
    <t>Week 24 = 9-15 June</t>
  </si>
  <si>
    <t>Week 25 = 16-22 June</t>
  </si>
  <si>
    <t>Week 26 = 23-29 June</t>
  </si>
  <si>
    <t>Week 27 = 30-6 July</t>
  </si>
  <si>
    <t>Week 28 = 7-13 July</t>
  </si>
  <si>
    <t>Week 29 = 14-20 July</t>
  </si>
  <si>
    <t>Week 30 = 21-27 July</t>
  </si>
  <si>
    <t>Week 31 = 28-3 August</t>
  </si>
  <si>
    <t>Week 32 = 4-10 August</t>
  </si>
  <si>
    <t>Week 33 = 11-17 August</t>
  </si>
  <si>
    <t>Week 34= 18-24 August</t>
  </si>
  <si>
    <t>Week 35 = 25-31 August</t>
  </si>
  <si>
    <t>Week 36 = 1-7 Sept</t>
  </si>
  <si>
    <t>Week 37 =8-14 Sept</t>
  </si>
  <si>
    <t>Week 38= 15-21 Sept</t>
  </si>
  <si>
    <t>Week 39= 22-28 Sept</t>
  </si>
  <si>
    <t xml:space="preserve">Week 40= 29-5 Oct </t>
  </si>
  <si>
    <t>Week 41= 6-12 Oct</t>
  </si>
  <si>
    <t>Week 42= 13-19 Oct</t>
  </si>
  <si>
    <t>Week 43= 20-26 Oct</t>
  </si>
  <si>
    <t>Week 44= 27-2 Nov</t>
  </si>
  <si>
    <t>Week 45= 3-9 Nov</t>
  </si>
  <si>
    <t>Week 46= 10-16 Nov</t>
  </si>
  <si>
    <t>Week 47= 17-23 Nov</t>
  </si>
  <si>
    <t>Week 48= 24-30 Nov</t>
  </si>
  <si>
    <t>Week 49= 1-7 Dec</t>
  </si>
  <si>
    <t>Week 50= 8-14 Dec</t>
  </si>
  <si>
    <t>Week 51= 15-21 Dec</t>
  </si>
  <si>
    <t>Week 52= 22-28 Dec</t>
  </si>
  <si>
    <t>Week 1= 29-4 Jan</t>
  </si>
  <si>
    <t>Friday 2nd May</t>
  </si>
  <si>
    <t>Friday 6th June</t>
  </si>
  <si>
    <t>Friday 4th July</t>
  </si>
  <si>
    <t>Fri 5th Sept</t>
  </si>
  <si>
    <t>Friday 1st Aug</t>
  </si>
  <si>
    <t>Fri 3rd Oct</t>
  </si>
  <si>
    <t>Fri 7th Nov</t>
  </si>
  <si>
    <t>Week 2= 5-11 Jan</t>
  </si>
  <si>
    <t>Last wk May</t>
  </si>
  <si>
    <t xml:space="preserve">Sonica Fitout </t>
  </si>
  <si>
    <t>Liquidator payout</t>
  </si>
  <si>
    <t>Sergiu for Beach Road water damage (CSS Premium Services)</t>
  </si>
  <si>
    <t>POSSIBLE START</t>
  </si>
  <si>
    <t>Friday 28th March</t>
  </si>
  <si>
    <t>Merville</t>
  </si>
  <si>
    <t>Plastering</t>
  </si>
  <si>
    <t>Per floor</t>
  </si>
  <si>
    <t>18 Floors in total, budget 1 floor completed per week</t>
  </si>
  <si>
    <t>Ardmac</t>
  </si>
  <si>
    <t>SK Biotec</t>
  </si>
  <si>
    <r>
      <t xml:space="preserve">TJ O'Mahony </t>
    </r>
    <r>
      <rPr>
        <b/>
        <sz val="10"/>
        <color rgb="FFFF0000"/>
        <rFont val="Calibri"/>
        <family val="2"/>
        <scheme val="minor"/>
      </rPr>
      <t>(HPC)</t>
    </r>
    <r>
      <rPr>
        <sz val="10"/>
        <color theme="1"/>
        <rFont val="Calibri"/>
        <family val="2"/>
        <scheme val="minor"/>
      </rPr>
      <t xml:space="preserve"> - Laura Donnelly 01-4091418 / Pat Mullins 086-7948092 = Increase credit to </t>
    </r>
    <r>
      <rPr>
        <sz val="10"/>
        <color rgb="FFFF0000"/>
        <rFont val="Calibri"/>
        <family val="2"/>
        <scheme val="minor"/>
      </rPr>
      <t>€50,000</t>
    </r>
  </si>
  <si>
    <t>DSS Dave Reilly = 0861534932 Laura / Leah</t>
  </si>
  <si>
    <t>Navigate Capital - Graham Byrne</t>
  </si>
  <si>
    <t>Lullymore</t>
  </si>
  <si>
    <t>SDG Wearesdg</t>
  </si>
  <si>
    <t>Subcontractors Fortnightly Merville = Sergiu (CSS Premium Services)</t>
  </si>
  <si>
    <t>Saturday 7th June</t>
  </si>
  <si>
    <t>Sat 5th July</t>
  </si>
  <si>
    <t>Sat 2nd August</t>
  </si>
  <si>
    <t>Toyota Liffey Valley</t>
  </si>
  <si>
    <t>Flamestop Observatory</t>
  </si>
  <si>
    <t>Flamestop Saint Gobain</t>
  </si>
  <si>
    <t>Subcontractor Plasterer Affidea = Alex</t>
  </si>
  <si>
    <t>Director loan to Ifit</t>
  </si>
  <si>
    <r>
      <t>Uvalue  = Clodagh / Paul- 0860428542</t>
    </r>
    <r>
      <rPr>
        <sz val="10"/>
        <color rgb="FFFF0000"/>
        <rFont val="Calibri"/>
        <family val="2"/>
        <scheme val="minor"/>
      </rPr>
      <t xml:space="preserve"> 30k Limit 30 Day terms</t>
    </r>
  </si>
  <si>
    <t>Porche</t>
  </si>
  <si>
    <t>TSK</t>
  </si>
  <si>
    <t xml:space="preserve">Extra two days </t>
  </si>
  <si>
    <t>Finglas Road - Smart Repair</t>
  </si>
  <si>
    <r>
      <rPr>
        <b/>
        <sz val="10"/>
        <rFont val="Calibri"/>
        <family val="2"/>
        <scheme val="minor"/>
      </rPr>
      <t>PTSB</t>
    </r>
    <r>
      <rPr>
        <sz val="10"/>
        <color theme="1"/>
        <rFont val="Calibri"/>
        <family val="2"/>
        <scheme val="minor"/>
      </rPr>
      <t xml:space="preserve"> Repayment of Stocking Loan</t>
    </r>
  </si>
  <si>
    <t>BAM = School Phase 1</t>
  </si>
  <si>
    <t>BAM School Phase 1 = Total Value</t>
  </si>
  <si>
    <t>BAM Total Value</t>
  </si>
  <si>
    <t>Phase 1 Floor Area 8176mSq</t>
  </si>
  <si>
    <t>Phase 2 4500</t>
  </si>
  <si>
    <t>Phase 3 2000</t>
  </si>
  <si>
    <t xml:space="preserve">BAM School  </t>
  </si>
  <si>
    <t>Floor Area Calc</t>
  </si>
  <si>
    <t>Cost</t>
  </si>
  <si>
    <t>Partition sell</t>
  </si>
  <si>
    <t xml:space="preserve">Material Cost </t>
  </si>
  <si>
    <t>Grid Ceiling SqM</t>
  </si>
  <si>
    <t>Ceiling</t>
  </si>
  <si>
    <t>Partitions</t>
  </si>
  <si>
    <t>Cost Split</t>
  </si>
  <si>
    <t>Total Cost</t>
  </si>
  <si>
    <t xml:space="preserve">Margin </t>
  </si>
  <si>
    <t>Material Cost additional = Trim linear Mtr (4350m)</t>
  </si>
  <si>
    <t>Weekly labour cost (27 weeks) from 1st week June to 1st week Dec</t>
  </si>
  <si>
    <t>Labour Cost</t>
  </si>
  <si>
    <t>Labour Cost additional = Trim linear Mtr (4350m)</t>
  </si>
  <si>
    <t>Week 1-9 = 30%</t>
  </si>
  <si>
    <t>Week 9-18 = 40%</t>
  </si>
  <si>
    <t>Week 19 -27 = 30%</t>
  </si>
  <si>
    <t>Partitions first fix</t>
  </si>
  <si>
    <t>Partitions second fix</t>
  </si>
  <si>
    <t>Ordered first two months</t>
  </si>
  <si>
    <t>19k June and 19k July</t>
  </si>
  <si>
    <t>Closing in Sept</t>
  </si>
  <si>
    <t>13k in August 13k Sept</t>
  </si>
  <si>
    <t>Partitions full material cost</t>
  </si>
  <si>
    <t>Full Materials Cost</t>
  </si>
  <si>
    <t>Ceilings and Trim</t>
  </si>
  <si>
    <t>Ceilings and Trim first fix</t>
  </si>
  <si>
    <t>Ceilings and Trim second fix</t>
  </si>
  <si>
    <t>22k July 22k August</t>
  </si>
  <si>
    <t>10k Sept  41k November</t>
  </si>
  <si>
    <t>Weekly labour cost</t>
  </si>
  <si>
    <t>Monthly Materials cost</t>
  </si>
  <si>
    <t>Biweekly</t>
  </si>
  <si>
    <t>Pay Suppliers</t>
  </si>
  <si>
    <t>Sept week1</t>
  </si>
  <si>
    <t>October week 1</t>
  </si>
  <si>
    <t>Nov week 1</t>
  </si>
  <si>
    <t>Feb week 1</t>
  </si>
  <si>
    <t>Dec week 1</t>
  </si>
  <si>
    <t>Materials payments to suppliers</t>
  </si>
  <si>
    <t>Income estimation</t>
  </si>
  <si>
    <t>27 weeks</t>
  </si>
  <si>
    <t xml:space="preserve">Month 1 </t>
  </si>
  <si>
    <t xml:space="preserve">Income </t>
  </si>
  <si>
    <t>Materials only</t>
  </si>
  <si>
    <t>Walls Clongriffen</t>
  </si>
  <si>
    <t xml:space="preserve">Ordering </t>
  </si>
  <si>
    <t>Pay out</t>
  </si>
  <si>
    <t>Amount</t>
  </si>
  <si>
    <t>Emanuel plastering Beach Road and Merville</t>
  </si>
  <si>
    <t>Labour Start</t>
  </si>
  <si>
    <t>Tot</t>
  </si>
  <si>
    <t>Total Job Value = 6 months</t>
  </si>
  <si>
    <t>Materials only = Phase 1</t>
  </si>
  <si>
    <t>Materials only = Phase 2</t>
  </si>
  <si>
    <t>Started PAYE</t>
  </si>
  <si>
    <t xml:space="preserve">Subcontractors for BAM </t>
  </si>
  <si>
    <t xml:space="preserve">St Finbars </t>
  </si>
  <si>
    <t>Beach Rd</t>
  </si>
  <si>
    <t>November / Dec Valuation</t>
  </si>
  <si>
    <t>November /Dec  Valuation</t>
  </si>
  <si>
    <t>Various jobs</t>
  </si>
  <si>
    <t>Main office</t>
  </si>
  <si>
    <t>Lime St</t>
  </si>
  <si>
    <t>Bon Secours</t>
  </si>
  <si>
    <t>Owing @ 31.12.24</t>
  </si>
  <si>
    <t>Main contractor</t>
  </si>
  <si>
    <t>Job</t>
  </si>
  <si>
    <t>Item</t>
  </si>
  <si>
    <t>Potential jobs</t>
  </si>
  <si>
    <t>Walls Clongriffin</t>
  </si>
  <si>
    <t>Material only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</si>
</sst>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_-&quot;€&quot;* #,##0.00_-;\-&quot;€&quot;* #,##0.00_-;_-&quot;€&quot;* &quot;-&quot;??_-;_-@_-"/>
    <numFmt numFmtId="165" formatCode="_-* #,##0.00_-;\-* #,##0.00_-;_-* &quot;-&quot;??_-;_-@_-"/>
    <numFmt numFmtId="166" formatCode="_-&quot;£&quot;* #,##0.00_-;\-&quot;£&quot;* #,##0.00_-;_-&quot;£&quot;* &quot;-&quot;??_-;_-@_-"/>
    <numFmt numFmtId="167" formatCode="&quot;€&quot;#,##0.00_);[Red]\(&quot;€&quot;#,##0.00\)"/>
    <numFmt numFmtId="168" formatCode="_-[$€-2]\ * #,##0.00_-;\-[$€-2]\ * #,##0.00_-;_-[$€-2]\ * &quot;-&quot;??_-;_-@_-"/>
    <numFmt numFmtId="169" formatCode="[$€-2]\ #,##0.00"/>
    <numFmt numFmtId="170" formatCode="[$€-1809]#,##0.00"/>
    <numFmt numFmtId="171" formatCode="_-[$€-1809]* #,##0.00_-;\-[$€-1809]* #,##0.00_-;_-[$€-1809]* &quot;-&quot;??_-;_-@_-"/>
    <numFmt numFmtId="172" formatCode="_([$€-2]\ * #,##0.00_);_([$€-2]\ * \(#,##0.00\);_([$€-2]\ * &quot;-&quot;??_);_(@_)"/>
    <numFmt numFmtId="173" formatCode="&quot;€&quot;#,##0.00"/>
    <numFmt numFmtId="174" formatCode="&quot;€&quot;#,##0"/>
    <numFmt numFmtId="175" formatCode="dd&quot;/&quot;mm&quot;/&quot;yy"/>
    <numFmt numFmtId="176" formatCode="#,##0.00_);\-#,##0.00"/>
    <numFmt numFmtId="177" formatCode="#,##0.00_ ;\-#,##0.00\ "/>
    <numFmt numFmtId="178" formatCode="0.0"/>
    <numFmt numFmtId="179" formatCode="[$€-1809]#,##0"/>
    <numFmt numFmtId="180" formatCode="[$£-809]#,##0.00"/>
    <numFmt numFmtId="181" formatCode="0.000"/>
    <numFmt numFmtId="182" formatCode="&quot;€&quot;#,##0.00000"/>
    <numFmt numFmtId="183" formatCode="[$€-2]\ #,##0"/>
    <numFmt numFmtId="184" formatCode="&quot;€&quot;#,##0.0"/>
  </numFmts>
  <fonts count="68">
    <font>
      <sz val="11"/>
      <color theme="1"/>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14"/>
      <color theme="0"/>
      <name val="Calibri"/>
      <family val="2"/>
      <scheme val="minor"/>
    </font>
    <font>
      <sz val="16"/>
      <color theme="0"/>
      <name val="Calibri"/>
      <family val="2"/>
      <scheme val="minor"/>
    </font>
    <font>
      <b/>
      <sz val="12"/>
      <color theme="0"/>
      <name val="Calibri"/>
      <family val="2"/>
      <scheme val="minor"/>
    </font>
    <font>
      <b/>
      <sz val="12"/>
      <color theme="1"/>
      <name val="Calibri"/>
      <family val="2"/>
      <scheme val="minor"/>
    </font>
    <font>
      <b/>
      <sz val="14"/>
      <color theme="1"/>
      <name val="Calibri"/>
      <family val="2"/>
      <scheme val="minor"/>
    </font>
    <font>
      <sz val="11"/>
      <color theme="0"/>
      <name val="Calibri"/>
      <family val="2"/>
      <scheme val="minor"/>
    </font>
    <font>
      <b/>
      <sz val="11"/>
      <color rgb="FF000000"/>
      <name val="Calibri"/>
      <family val="2"/>
    </font>
    <font>
      <b/>
      <sz val="12"/>
      <color rgb="FFFF0000"/>
      <name val="Calibri"/>
      <family val="2"/>
    </font>
    <font>
      <sz val="8"/>
      <name val="Calibri"/>
      <family val="2"/>
      <scheme val="minor"/>
    </font>
    <font>
      <b/>
      <sz val="11"/>
      <color theme="1"/>
      <name val="Calibri"/>
      <family val="2"/>
      <scheme val="minor"/>
    </font>
    <font>
      <sz val="11"/>
      <color rgb="FF000000"/>
      <name val="Calibri"/>
      <family val="2"/>
    </font>
    <font>
      <b/>
      <sz val="18"/>
      <color theme="1"/>
      <name val="Calibri"/>
      <family val="2"/>
      <scheme val="minor"/>
    </font>
    <font>
      <b/>
      <sz val="18"/>
      <color rgb="FFFF0000"/>
      <name val="Calibri"/>
      <family val="2"/>
      <scheme val="minor"/>
    </font>
    <font>
      <sz val="14"/>
      <color theme="1"/>
      <name val="Calibri"/>
      <family val="2"/>
      <scheme val="minor"/>
    </font>
    <font>
      <b/>
      <u/>
      <sz val="12"/>
      <color theme="1"/>
      <name val="Calibri"/>
      <family val="2"/>
      <scheme val="minor"/>
    </font>
    <font>
      <sz val="11"/>
      <color rgb="FFFF0000"/>
      <name val="Calibri"/>
      <family val="2"/>
      <scheme val="minor"/>
    </font>
    <font>
      <sz val="9"/>
      <color indexed="81"/>
      <name val="Tahoma"/>
      <family val="2"/>
    </font>
    <font>
      <sz val="18"/>
      <color theme="1"/>
      <name val="Calibri"/>
      <family val="2"/>
      <scheme val="minor"/>
    </font>
    <font>
      <b/>
      <u/>
      <sz val="14"/>
      <color theme="1"/>
      <name val="Calibri"/>
      <family val="2"/>
      <scheme val="minor"/>
    </font>
    <font>
      <u/>
      <sz val="11"/>
      <color theme="1"/>
      <name val="Calibri"/>
      <family val="2"/>
      <scheme val="minor"/>
    </font>
    <font>
      <b/>
      <sz val="16"/>
      <color theme="1"/>
      <name val="Calibri"/>
      <family val="2"/>
      <scheme val="minor"/>
    </font>
    <font>
      <b/>
      <sz val="9"/>
      <color indexed="81"/>
      <name val="Tahoma"/>
      <family val="2"/>
    </font>
    <font>
      <sz val="11"/>
      <color theme="9" tint="-0.499984740745262"/>
      <name val="Calibri"/>
      <family val="2"/>
      <scheme val="minor"/>
    </font>
    <font>
      <b/>
      <sz val="11"/>
      <color rgb="FFFF0000"/>
      <name val="Calibri"/>
      <family val="2"/>
      <scheme val="minor"/>
    </font>
    <font>
      <sz val="11"/>
      <name val="Calibri"/>
      <family val="2"/>
      <scheme val="minor"/>
    </font>
    <font>
      <b/>
      <sz val="12"/>
      <color rgb="FFFF0000"/>
      <name val="Calibri"/>
      <family val="2"/>
      <scheme val="minor"/>
    </font>
    <font>
      <b/>
      <sz val="10"/>
      <color theme="1"/>
      <name val="Calibri"/>
      <family val="2"/>
      <scheme val="minor"/>
    </font>
    <font>
      <b/>
      <sz val="10"/>
      <color rgb="FFFF0000"/>
      <name val="Calibri"/>
      <family val="2"/>
      <scheme val="minor"/>
    </font>
    <font>
      <b/>
      <sz val="10"/>
      <color rgb="FF000000"/>
      <name val="Calibri"/>
      <family val="2"/>
    </font>
    <font>
      <sz val="10"/>
      <name val="Calibri"/>
      <family val="2"/>
      <scheme val="minor"/>
    </font>
    <font>
      <sz val="10"/>
      <color rgb="FF000000"/>
      <name val="Calibri"/>
      <family val="2"/>
    </font>
    <font>
      <sz val="10"/>
      <color rgb="FFFF0000"/>
      <name val="Calibri"/>
      <family val="2"/>
      <scheme val="minor"/>
    </font>
    <font>
      <b/>
      <sz val="10"/>
      <color rgb="FFFF0000"/>
      <name val="Calibri"/>
      <family val="2"/>
    </font>
    <font>
      <b/>
      <sz val="8"/>
      <color theme="1"/>
      <name val="Calibri"/>
      <family val="2"/>
      <scheme val="minor"/>
    </font>
    <font>
      <sz val="8"/>
      <color theme="1"/>
      <name val="Calibri"/>
      <family val="2"/>
      <scheme val="minor"/>
    </font>
    <font>
      <sz val="10"/>
      <color theme="1"/>
      <name val="Calibri"/>
      <family val="2"/>
    </font>
    <font>
      <sz val="10"/>
      <name val="Arial"/>
      <family val="2"/>
    </font>
    <font>
      <sz val="10"/>
      <color indexed="8"/>
      <name val="MS Sans Serif"/>
      <family val="2"/>
    </font>
    <font>
      <sz val="10"/>
      <color rgb="FF000000"/>
      <name val="Arial"/>
      <family val="2"/>
    </font>
    <font>
      <b/>
      <sz val="10"/>
      <color indexed="8"/>
      <name val="Arial"/>
      <family val="2"/>
    </font>
    <font>
      <sz val="10"/>
      <color indexed="8"/>
      <name val="MS Sans Serif"/>
    </font>
    <font>
      <b/>
      <sz val="10"/>
      <color indexed="18"/>
      <name val="Arial"/>
      <family val="2"/>
    </font>
    <font>
      <sz val="10"/>
      <color indexed="8"/>
      <name val="Arial"/>
      <family val="2"/>
    </font>
    <font>
      <b/>
      <u/>
      <sz val="11"/>
      <color rgb="FFC00000"/>
      <name val="Calibri"/>
      <family val="2"/>
      <scheme val="minor"/>
    </font>
    <font>
      <u/>
      <sz val="11"/>
      <name val="Calibri"/>
      <family val="2"/>
      <scheme val="minor"/>
    </font>
    <font>
      <u/>
      <sz val="11"/>
      <color rgb="FFC00000"/>
      <name val="Calibri"/>
      <family val="2"/>
      <scheme val="minor"/>
    </font>
    <font>
      <b/>
      <sz val="11"/>
      <color rgb="FFC00000"/>
      <name val="Calibri"/>
      <family val="2"/>
      <scheme val="minor"/>
    </font>
    <font>
      <sz val="20"/>
      <color theme="1"/>
      <name val="Calibri"/>
      <family val="2"/>
      <scheme val="minor"/>
    </font>
    <font>
      <b/>
      <sz val="11"/>
      <color indexed="8"/>
      <name val="Arial"/>
      <family val="2"/>
    </font>
    <font>
      <b/>
      <sz val="11"/>
      <color indexed="18"/>
      <name val="Arial"/>
      <family val="2"/>
    </font>
    <font>
      <sz val="11"/>
      <color indexed="8"/>
      <name val="Arial"/>
      <family val="2"/>
    </font>
    <font>
      <sz val="22"/>
      <color theme="0"/>
      <name val="Calibri"/>
      <family val="2"/>
      <scheme val="minor"/>
    </font>
    <font>
      <sz val="22"/>
      <color rgb="FFFF0000"/>
      <name val="Calibri"/>
      <family val="2"/>
      <scheme val="minor"/>
    </font>
    <font>
      <sz val="36"/>
      <color theme="0"/>
      <name val="Calibri"/>
      <family val="2"/>
      <scheme val="minor"/>
    </font>
    <font>
      <sz val="11"/>
      <color rgb="FFC00000"/>
      <name val="Calibri"/>
      <family val="2"/>
      <scheme val="minor"/>
    </font>
    <font>
      <u/>
      <sz val="10"/>
      <color theme="1"/>
      <name val="Calibri"/>
      <family val="2"/>
      <scheme val="minor"/>
    </font>
    <font>
      <sz val="11"/>
      <color indexed="8"/>
      <name val="MS Sans Serif"/>
    </font>
    <font>
      <b/>
      <sz val="10"/>
      <name val="Calibri"/>
      <family val="2"/>
      <scheme val="minor"/>
    </font>
    <font>
      <sz val="11"/>
      <color rgb="FF4D4D4D"/>
      <name val="Roboto"/>
    </font>
    <font>
      <sz val="26"/>
      <color theme="1"/>
      <name val="Calibri"/>
      <family val="2"/>
      <scheme val="minor"/>
    </font>
    <font>
      <b/>
      <sz val="10"/>
      <color rgb="FF00B050"/>
      <name val="Calibri"/>
      <family val="2"/>
      <scheme val="minor"/>
    </font>
    <font>
      <b/>
      <sz val="8"/>
      <color rgb="FFFF0000"/>
      <name val="Calibri"/>
      <family val="2"/>
      <scheme val="minor"/>
    </font>
    <font>
      <b/>
      <sz val="11"/>
      <name val="Calibri"/>
      <family val="2"/>
      <scheme val="minor"/>
    </font>
    <font>
      <b/>
      <sz val="20"/>
      <color rgb="FFFF0000"/>
      <name val="Calibri"/>
      <family val="2"/>
      <scheme val="minor"/>
    </font>
  </fonts>
  <fills count="30">
    <fill>
      <patternFill patternType="none"/>
    </fill>
    <fill>
      <patternFill patternType="gray125"/>
    </fill>
    <fill>
      <patternFill patternType="solid">
        <fgColor rgb="FFFF0000"/>
        <bgColor indexed="64"/>
      </patternFill>
    </fill>
    <fill>
      <patternFill patternType="solid">
        <fgColor rgb="FF002060"/>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6" tint="0.39997558519241921"/>
        <bgColor indexed="64"/>
      </patternFill>
    </fill>
    <fill>
      <patternFill patternType="solid">
        <fgColor rgb="FFA7C369"/>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1"/>
        <bgColor indexed="64"/>
      </patternFill>
    </fill>
    <fill>
      <patternFill patternType="solid">
        <fgColor rgb="FF40EE65"/>
        <bgColor indexed="64"/>
      </patternFill>
    </fill>
    <fill>
      <patternFill patternType="solid">
        <fgColor rgb="FFF5F5F5"/>
        <bgColor indexed="64"/>
      </patternFill>
    </fill>
    <fill>
      <patternFill patternType="solid">
        <fgColor rgb="FFFFFFFF"/>
        <bgColor indexed="64"/>
      </patternFill>
    </fill>
    <fill>
      <gradientFill degree="45">
        <stop position="0">
          <color rgb="FF00B0F0"/>
        </stop>
        <stop position="1">
          <color rgb="FF92D050"/>
        </stop>
      </gradientFill>
    </fill>
    <fill>
      <patternFill patternType="solid">
        <fgColor theme="3" tint="0.499984740745262"/>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00B0F0"/>
        <bgColor auto="1"/>
      </patternFill>
    </fill>
  </fills>
  <borders count="7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double">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bottom style="medium">
        <color indexed="64"/>
      </bottom>
      <diagonal/>
    </border>
    <border>
      <left/>
      <right/>
      <top/>
      <bottom style="thin">
        <color indexed="64"/>
      </bottom>
      <diagonal/>
    </border>
    <border>
      <left style="medium">
        <color theme="2" tint="-0.249977111117893"/>
      </left>
      <right/>
      <top/>
      <bottom style="medium">
        <color indexed="64"/>
      </bottom>
      <diagonal/>
    </border>
    <border>
      <left/>
      <right style="thin">
        <color rgb="FFFF0000"/>
      </right>
      <top/>
      <bottom/>
      <diagonal/>
    </border>
    <border>
      <left style="thick">
        <color rgb="FFFF0000"/>
      </left>
      <right style="thick">
        <color rgb="FFFF0000"/>
      </right>
      <top style="thick">
        <color rgb="FFFF0000"/>
      </top>
      <bottom/>
      <diagonal/>
    </border>
    <border>
      <left style="thick">
        <color rgb="FFFF0000"/>
      </left>
      <right style="thick">
        <color rgb="FFFF0000"/>
      </right>
      <top style="thin">
        <color indexed="64"/>
      </top>
      <bottom style="thin">
        <color indexed="64"/>
      </bottom>
      <diagonal/>
    </border>
    <border>
      <left style="thick">
        <color rgb="FFFF0000"/>
      </left>
      <right style="thick">
        <color rgb="FFFF0000"/>
      </right>
      <top/>
      <bottom/>
      <diagonal/>
    </border>
    <border>
      <left style="thick">
        <color rgb="FFFF0000"/>
      </left>
      <right style="thick">
        <color rgb="FFFF0000"/>
      </right>
      <top style="thin">
        <color indexed="64"/>
      </top>
      <bottom style="double">
        <color indexed="64"/>
      </bottom>
      <diagonal/>
    </border>
    <border>
      <left style="thick">
        <color rgb="FFFF0000"/>
      </left>
      <right style="thick">
        <color rgb="FFFF0000"/>
      </right>
      <top/>
      <bottom style="thin">
        <color rgb="FFFF0000"/>
      </bottom>
      <diagonal/>
    </border>
    <border>
      <left style="thick">
        <color rgb="FFFF0000"/>
      </left>
      <right style="thick">
        <color rgb="FFFF0000"/>
      </right>
      <top/>
      <bottom style="thick">
        <color rgb="FFFF0000"/>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ck">
        <color rgb="FFFF0000"/>
      </left>
      <right/>
      <top/>
      <bottom/>
      <diagonal/>
    </border>
    <border>
      <left style="medium">
        <color indexed="64"/>
      </left>
      <right/>
      <top style="thin">
        <color indexed="18"/>
      </top>
      <bottom style="medium">
        <color indexed="64"/>
      </bottom>
      <diagonal/>
    </border>
    <border>
      <left/>
      <right/>
      <top style="thin">
        <color indexed="18"/>
      </top>
      <bottom style="medium">
        <color indexed="64"/>
      </bottom>
      <diagonal/>
    </border>
    <border>
      <left/>
      <right style="medium">
        <color indexed="64"/>
      </right>
      <top style="thin">
        <color indexed="18"/>
      </top>
      <bottom style="medium">
        <color indexed="64"/>
      </bottom>
      <diagonal/>
    </border>
    <border>
      <left/>
      <right style="thin">
        <color indexed="64"/>
      </right>
      <top style="medium">
        <color indexed="64"/>
      </top>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5">
    <xf numFmtId="0" fontId="0" fillId="0" borderId="0"/>
    <xf numFmtId="166" fontId="1" fillId="0" borderId="0" applyFont="0" applyFill="0" applyBorder="0" applyAlignment="0" applyProtection="0"/>
    <xf numFmtId="0" fontId="40" fillId="0" borderId="0"/>
    <xf numFmtId="0" fontId="41" fillId="0" borderId="0"/>
    <xf numFmtId="165" fontId="1" fillId="0" borderId="0" applyFont="0" applyFill="0" applyBorder="0" applyAlignment="0" applyProtection="0"/>
  </cellStyleXfs>
  <cellXfs count="728">
    <xf numFmtId="0" fontId="0" fillId="0" borderId="0" xfId="0"/>
    <xf numFmtId="0" fontId="2" fillId="0" borderId="1" xfId="0" applyFont="1" applyBorder="1"/>
    <xf numFmtId="168" fontId="2" fillId="0" borderId="1" xfId="0" applyNumberFormat="1" applyFont="1" applyBorder="1"/>
    <xf numFmtId="0" fontId="2" fillId="0" borderId="0" xfId="0" applyFont="1"/>
    <xf numFmtId="0" fontId="3" fillId="0" borderId="0" xfId="0" applyFont="1"/>
    <xf numFmtId="0" fontId="4" fillId="2" borderId="0" xfId="0" applyFont="1" applyFill="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5" borderId="1" xfId="0" applyFont="1" applyFill="1" applyBorder="1"/>
    <xf numFmtId="14" fontId="3" fillId="0" borderId="0" xfId="0" applyNumberFormat="1" applyFont="1"/>
    <xf numFmtId="168" fontId="2" fillId="0" borderId="2" xfId="0" applyNumberFormat="1" applyFont="1" applyBorder="1"/>
    <xf numFmtId="0" fontId="2" fillId="5" borderId="0" xfId="0" applyFont="1" applyFill="1"/>
    <xf numFmtId="0" fontId="3" fillId="0" borderId="1" xfId="0" applyFont="1" applyBorder="1"/>
    <xf numFmtId="168" fontId="2" fillId="0" borderId="0" xfId="0" applyNumberFormat="1" applyFont="1"/>
    <xf numFmtId="0" fontId="0" fillId="0" borderId="0" xfId="0" applyAlignment="1">
      <alignment horizontal="right" indent="1"/>
    </xf>
    <xf numFmtId="166" fontId="0" fillId="0" borderId="0" xfId="1" applyFont="1"/>
    <xf numFmtId="0" fontId="5" fillId="2" borderId="0" xfId="0" applyFont="1" applyFill="1"/>
    <xf numFmtId="0" fontId="6" fillId="3" borderId="1" xfId="0" applyFont="1" applyFill="1" applyBorder="1" applyAlignment="1">
      <alignment horizontal="right" indent="1"/>
    </xf>
    <xf numFmtId="17" fontId="6" fillId="3" borderId="1" xfId="1" applyNumberFormat="1" applyFont="1" applyFill="1" applyBorder="1" applyAlignment="1">
      <alignment horizontal="center"/>
    </xf>
    <xf numFmtId="14" fontId="6" fillId="3" borderId="1" xfId="1" applyNumberFormat="1" applyFont="1" applyFill="1" applyBorder="1"/>
    <xf numFmtId="0" fontId="0" fillId="6" borderId="0" xfId="0" applyFill="1"/>
    <xf numFmtId="0" fontId="0" fillId="6" borderId="0" xfId="0" applyFill="1" applyAlignment="1">
      <alignment horizontal="right" indent="1"/>
    </xf>
    <xf numFmtId="166" fontId="0" fillId="6" borderId="0" xfId="1" applyFont="1" applyFill="1"/>
    <xf numFmtId="169" fontId="0" fillId="0" borderId="1" xfId="1" applyNumberFormat="1" applyFont="1" applyBorder="1"/>
    <xf numFmtId="169" fontId="0" fillId="0" borderId="1" xfId="1" applyNumberFormat="1" applyFont="1" applyFill="1" applyBorder="1"/>
    <xf numFmtId="169" fontId="0" fillId="5" borderId="3" xfId="1" applyNumberFormat="1" applyFont="1" applyFill="1" applyBorder="1"/>
    <xf numFmtId="169" fontId="0" fillId="5" borderId="4" xfId="1" applyNumberFormat="1" applyFont="1" applyFill="1" applyBorder="1"/>
    <xf numFmtId="169" fontId="0" fillId="5" borderId="5" xfId="1" applyNumberFormat="1" applyFont="1" applyFill="1" applyBorder="1"/>
    <xf numFmtId="169" fontId="0" fillId="5" borderId="6" xfId="1" applyNumberFormat="1" applyFont="1" applyFill="1" applyBorder="1"/>
    <xf numFmtId="9" fontId="0" fillId="0" borderId="0" xfId="0" applyNumberFormat="1"/>
    <xf numFmtId="10" fontId="0" fillId="0" borderId="0" xfId="0" applyNumberFormat="1"/>
    <xf numFmtId="0" fontId="8" fillId="0" borderId="0" xfId="0" applyFont="1"/>
    <xf numFmtId="4" fontId="0" fillId="0" borderId="0" xfId="0" applyNumberFormat="1"/>
    <xf numFmtId="9" fontId="0" fillId="6" borderId="0" xfId="0" applyNumberFormat="1" applyFill="1"/>
    <xf numFmtId="17" fontId="9" fillId="6" borderId="0" xfId="0" applyNumberFormat="1" applyFont="1" applyFill="1"/>
    <xf numFmtId="0" fontId="7" fillId="0" borderId="0" xfId="0" applyFont="1"/>
    <xf numFmtId="170" fontId="0" fillId="0" borderId="0" xfId="0" applyNumberFormat="1" applyAlignment="1">
      <alignment horizontal="center" vertical="center"/>
    </xf>
    <xf numFmtId="2" fontId="0" fillId="0" borderId="0" xfId="0" applyNumberFormat="1"/>
    <xf numFmtId="0" fontId="0" fillId="0" borderId="0" xfId="0" applyAlignment="1">
      <alignment horizontal="center" vertical="center"/>
    </xf>
    <xf numFmtId="170" fontId="0" fillId="0" borderId="7" xfId="0" applyNumberFormat="1" applyBorder="1" applyAlignment="1">
      <alignment horizontal="center" vertical="center"/>
    </xf>
    <xf numFmtId="0" fontId="0" fillId="2" borderId="0" xfId="0" applyFill="1"/>
    <xf numFmtId="0" fontId="10" fillId="0" borderId="0" xfId="0" applyFont="1"/>
    <xf numFmtId="0" fontId="11" fillId="0" borderId="0" xfId="0" applyFont="1"/>
    <xf numFmtId="0" fontId="10" fillId="0" borderId="0" xfId="0" applyFont="1" applyAlignment="1">
      <alignment wrapText="1"/>
    </xf>
    <xf numFmtId="171" fontId="0" fillId="0" borderId="0" xfId="1" applyNumberFormat="1" applyFont="1" applyAlignment="1">
      <alignment horizontal="center" vertical="center"/>
    </xf>
    <xf numFmtId="171" fontId="0" fillId="0" borderId="0" xfId="0" applyNumberFormat="1" applyAlignment="1">
      <alignment horizontal="center" vertical="center"/>
    </xf>
    <xf numFmtId="170" fontId="0" fillId="0" borderId="0" xfId="0" applyNumberFormat="1"/>
    <xf numFmtId="168" fontId="0" fillId="0" borderId="0" xfId="0" applyNumberFormat="1"/>
    <xf numFmtId="0" fontId="0" fillId="0" borderId="0" xfId="1" applyNumberFormat="1" applyFont="1"/>
    <xf numFmtId="171" fontId="0" fillId="0" borderId="0" xfId="1" applyNumberFormat="1" applyFont="1"/>
    <xf numFmtId="171" fontId="0" fillId="0" borderId="0" xfId="0" applyNumberFormat="1"/>
    <xf numFmtId="168" fontId="0" fillId="0" borderId="0" xfId="1" applyNumberFormat="1" applyFont="1"/>
    <xf numFmtId="173" fontId="0" fillId="0" borderId="0" xfId="0" applyNumberFormat="1"/>
    <xf numFmtId="0" fontId="15" fillId="0" borderId="0" xfId="0" applyFont="1"/>
    <xf numFmtId="0" fontId="16" fillId="0" borderId="9" xfId="0" applyFont="1" applyBorder="1"/>
    <xf numFmtId="0" fontId="15" fillId="0" borderId="10" xfId="0" applyFont="1" applyBorder="1"/>
    <xf numFmtId="0" fontId="15" fillId="0" borderId="11" xfId="0" applyFont="1" applyBorder="1"/>
    <xf numFmtId="0" fontId="0" fillId="0" borderId="12" xfId="0" applyBorder="1"/>
    <xf numFmtId="0" fontId="0" fillId="0" borderId="13" xfId="0" applyBorder="1"/>
    <xf numFmtId="0" fontId="13" fillId="0" borderId="12" xfId="0" applyFont="1" applyBorder="1"/>
    <xf numFmtId="0" fontId="14" fillId="0" borderId="12" xfId="0" applyFont="1" applyBorder="1"/>
    <xf numFmtId="0" fontId="0" fillId="0" borderId="14" xfId="0" applyBorder="1"/>
    <xf numFmtId="173" fontId="0" fillId="0" borderId="15" xfId="0" applyNumberFormat="1" applyBorder="1"/>
    <xf numFmtId="0" fontId="0" fillId="7" borderId="12" xfId="0" applyFill="1" applyBorder="1"/>
    <xf numFmtId="173" fontId="0" fillId="7" borderId="8" xfId="0" applyNumberFormat="1" applyFill="1" applyBorder="1"/>
    <xf numFmtId="17" fontId="0" fillId="0" borderId="13" xfId="0" applyNumberFormat="1" applyBorder="1"/>
    <xf numFmtId="173" fontId="0" fillId="0" borderId="13" xfId="0" applyNumberFormat="1" applyBorder="1"/>
    <xf numFmtId="173" fontId="0" fillId="7" borderId="17" xfId="0" applyNumberFormat="1" applyFill="1" applyBorder="1"/>
    <xf numFmtId="17" fontId="0" fillId="7" borderId="1" xfId="0" applyNumberFormat="1" applyFill="1" applyBorder="1"/>
    <xf numFmtId="0" fontId="15" fillId="0" borderId="18" xfId="0" applyFont="1" applyBorder="1"/>
    <xf numFmtId="0" fontId="0" fillId="0" borderId="4" xfId="0" applyBorder="1"/>
    <xf numFmtId="173" fontId="0" fillId="0" borderId="4" xfId="0" applyNumberFormat="1" applyBorder="1"/>
    <xf numFmtId="0" fontId="0" fillId="7" borderId="4" xfId="0" applyFill="1" applyBorder="1"/>
    <xf numFmtId="0" fontId="0" fillId="0" borderId="19" xfId="0" applyBorder="1"/>
    <xf numFmtId="167" fontId="0" fillId="0" borderId="13" xfId="0" applyNumberFormat="1" applyBorder="1"/>
    <xf numFmtId="17" fontId="0" fillId="7" borderId="20" xfId="0" applyNumberFormat="1" applyFill="1" applyBorder="1"/>
    <xf numFmtId="173" fontId="0" fillId="4" borderId="16" xfId="0" applyNumberFormat="1" applyFill="1" applyBorder="1"/>
    <xf numFmtId="17" fontId="0" fillId="0" borderId="0" xfId="0" applyNumberFormat="1"/>
    <xf numFmtId="174" fontId="0" fillId="0" borderId="0" xfId="0" applyNumberFormat="1"/>
    <xf numFmtId="167" fontId="0" fillId="0" borderId="0" xfId="0" applyNumberFormat="1"/>
    <xf numFmtId="0" fontId="13" fillId="5" borderId="1" xfId="0" applyFont="1" applyFill="1" applyBorder="1" applyAlignment="1">
      <alignment horizontal="center" vertical="center"/>
    </xf>
    <xf numFmtId="0" fontId="0" fillId="0" borderId="4" xfId="0" applyBorder="1" applyAlignment="1">
      <alignment horizontal="center" vertical="center"/>
    </xf>
    <xf numFmtId="173" fontId="0" fillId="0" borderId="4" xfId="0" applyNumberFormat="1" applyBorder="1" applyAlignment="1">
      <alignment horizontal="center" vertical="center"/>
    </xf>
    <xf numFmtId="0" fontId="18" fillId="0" borderId="12" xfId="0" applyFont="1" applyBorder="1"/>
    <xf numFmtId="17" fontId="13" fillId="7" borderId="21" xfId="0" applyNumberFormat="1" applyFont="1" applyFill="1" applyBorder="1" applyAlignment="1">
      <alignment horizontal="center" vertical="center"/>
    </xf>
    <xf numFmtId="17" fontId="13" fillId="7" borderId="1" xfId="0" applyNumberFormat="1" applyFont="1" applyFill="1" applyBorder="1" applyAlignment="1">
      <alignment horizontal="center" vertical="center"/>
    </xf>
    <xf numFmtId="17" fontId="13" fillId="7" borderId="20" xfId="0" applyNumberFormat="1" applyFont="1" applyFill="1" applyBorder="1" applyAlignment="1">
      <alignment horizontal="center" vertical="center"/>
    </xf>
    <xf numFmtId="0" fontId="0" fillId="0" borderId="1" xfId="0" applyBorder="1" applyAlignment="1">
      <alignment horizontal="left" indent="1"/>
    </xf>
    <xf numFmtId="0" fontId="0" fillId="6" borderId="0" xfId="0" applyFill="1" applyAlignment="1">
      <alignment horizontal="left"/>
    </xf>
    <xf numFmtId="0" fontId="0" fillId="0" borderId="0" xfId="0" applyAlignment="1">
      <alignment horizontal="left"/>
    </xf>
    <xf numFmtId="0" fontId="5" fillId="2" borderId="0" xfId="0" applyFont="1" applyFill="1" applyAlignment="1">
      <alignment horizontal="left"/>
    </xf>
    <xf numFmtId="0" fontId="6" fillId="3" borderId="1" xfId="0" applyFont="1" applyFill="1" applyBorder="1" applyAlignment="1">
      <alignment horizontal="left" indent="1"/>
    </xf>
    <xf numFmtId="173" fontId="19" fillId="0" borderId="15" xfId="0" applyNumberFormat="1" applyFont="1" applyBorder="1"/>
    <xf numFmtId="0" fontId="0" fillId="4" borderId="12" xfId="0" applyFill="1" applyBorder="1"/>
    <xf numFmtId="0" fontId="0" fillId="4" borderId="4" xfId="0" applyFill="1" applyBorder="1"/>
    <xf numFmtId="1" fontId="0" fillId="0" borderId="0" xfId="0" applyNumberFormat="1"/>
    <xf numFmtId="0" fontId="13" fillId="0" borderId="0" xfId="0" applyFont="1"/>
    <xf numFmtId="0" fontId="0" fillId="0" borderId="22" xfId="0" applyBorder="1"/>
    <xf numFmtId="173" fontId="13" fillId="0" borderId="22" xfId="0" applyNumberFormat="1" applyFont="1" applyBorder="1"/>
    <xf numFmtId="173" fontId="0" fillId="0" borderId="22" xfId="0" applyNumberFormat="1" applyBorder="1"/>
    <xf numFmtId="173" fontId="14" fillId="0" borderId="22" xfId="0" applyNumberFormat="1" applyFont="1" applyBorder="1"/>
    <xf numFmtId="173" fontId="10" fillId="0" borderId="22" xfId="0" applyNumberFormat="1" applyFont="1" applyBorder="1"/>
    <xf numFmtId="173" fontId="0" fillId="7" borderId="22" xfId="0" applyNumberFormat="1" applyFill="1" applyBorder="1"/>
    <xf numFmtId="173" fontId="0" fillId="4" borderId="22" xfId="0" applyNumberFormat="1" applyFill="1" applyBorder="1"/>
    <xf numFmtId="0" fontId="21" fillId="9" borderId="0" xfId="0" applyFont="1" applyFill="1"/>
    <xf numFmtId="0" fontId="0" fillId="9" borderId="0" xfId="0" applyFill="1"/>
    <xf numFmtId="0" fontId="13" fillId="0" borderId="0" xfId="0" applyFont="1" applyAlignment="1">
      <alignment horizontal="right"/>
    </xf>
    <xf numFmtId="14" fontId="0" fillId="10" borderId="1" xfId="0" applyNumberFormat="1" applyFill="1" applyBorder="1"/>
    <xf numFmtId="14" fontId="0" fillId="10" borderId="0" xfId="0" applyNumberFormat="1" applyFill="1"/>
    <xf numFmtId="14" fontId="0" fillId="0" borderId="0" xfId="0" applyNumberFormat="1"/>
    <xf numFmtId="0" fontId="13" fillId="0" borderId="3" xfId="0" applyFont="1" applyBorder="1" applyAlignment="1">
      <alignment horizontal="center"/>
    </xf>
    <xf numFmtId="170" fontId="0" fillId="5" borderId="1" xfId="0" applyNumberFormat="1" applyFill="1" applyBorder="1"/>
    <xf numFmtId="0" fontId="0" fillId="0" borderId="4" xfId="0" applyBorder="1" applyAlignment="1">
      <alignment horizontal="center"/>
    </xf>
    <xf numFmtId="170" fontId="0" fillId="0" borderId="4" xfId="0" applyNumberFormat="1" applyBorder="1"/>
    <xf numFmtId="0" fontId="22" fillId="0" borderId="4" xfId="0" applyFont="1" applyBorder="1" applyAlignment="1">
      <alignment horizontal="center"/>
    </xf>
    <xf numFmtId="0" fontId="13" fillId="0" borderId="4" xfId="0" applyFont="1" applyBorder="1" applyAlignment="1">
      <alignment horizontal="center"/>
    </xf>
    <xf numFmtId="170" fontId="0" fillId="11" borderId="7" xfId="0" applyNumberFormat="1" applyFill="1" applyBorder="1"/>
    <xf numFmtId="0" fontId="23" fillId="0" borderId="4" xfId="0" applyFont="1" applyBorder="1" applyAlignment="1">
      <alignment horizontal="center"/>
    </xf>
    <xf numFmtId="0" fontId="0" fillId="0" borderId="4" xfId="0" applyBorder="1" applyAlignment="1">
      <alignment horizontal="right" vertical="top"/>
    </xf>
    <xf numFmtId="168" fontId="0" fillId="0" borderId="0" xfId="0" applyNumberFormat="1" applyAlignment="1">
      <alignment horizontal="center"/>
    </xf>
    <xf numFmtId="170" fontId="0" fillId="2" borderId="0" xfId="0" applyNumberFormat="1" applyFill="1"/>
    <xf numFmtId="170" fontId="0" fillId="12" borderId="7" xfId="0" applyNumberFormat="1" applyFill="1" applyBorder="1"/>
    <xf numFmtId="0" fontId="24" fillId="0" borderId="6" xfId="0" applyFont="1" applyBorder="1" applyAlignment="1">
      <alignment horizontal="center"/>
    </xf>
    <xf numFmtId="170" fontId="0" fillId="0" borderId="6" xfId="0" applyNumberFormat="1" applyBorder="1"/>
    <xf numFmtId="170" fontId="0" fillId="4" borderId="23" xfId="0" applyNumberFormat="1" applyFill="1" applyBorder="1"/>
    <xf numFmtId="170" fontId="0" fillId="4" borderId="7" xfId="0" applyNumberFormat="1" applyFill="1" applyBorder="1"/>
    <xf numFmtId="170" fontId="0" fillId="5" borderId="7" xfId="0" applyNumberFormat="1" applyFill="1" applyBorder="1"/>
    <xf numFmtId="0" fontId="24" fillId="5" borderId="0" xfId="0" applyFont="1" applyFill="1" applyAlignment="1">
      <alignment horizontal="center" vertical="center"/>
    </xf>
    <xf numFmtId="0" fontId="13" fillId="13" borderId="24" xfId="0" applyFont="1" applyFill="1" applyBorder="1" applyAlignment="1">
      <alignment horizontal="center" vertical="center"/>
    </xf>
    <xf numFmtId="17" fontId="17" fillId="13" borderId="25" xfId="0" applyNumberFormat="1" applyFont="1" applyFill="1" applyBorder="1" applyAlignment="1">
      <alignment horizontal="center" vertical="center"/>
    </xf>
    <xf numFmtId="0" fontId="13" fillId="13" borderId="26" xfId="0" applyFont="1" applyFill="1" applyBorder="1" applyAlignment="1">
      <alignment horizontal="left"/>
    </xf>
    <xf numFmtId="164" fontId="0" fillId="0" borderId="27" xfId="0" applyNumberFormat="1" applyBorder="1" applyAlignment="1">
      <alignment horizontal="right" vertical="center" indent="3"/>
    </xf>
    <xf numFmtId="164" fontId="0" fillId="0" borderId="28" xfId="0" applyNumberFormat="1" applyBorder="1" applyAlignment="1">
      <alignment horizontal="right" vertical="center" indent="3"/>
    </xf>
    <xf numFmtId="164" fontId="26" fillId="0" borderId="29" xfId="0" applyNumberFormat="1" applyFont="1" applyBorder="1" applyAlignment="1">
      <alignment horizontal="center" vertical="center"/>
    </xf>
    <xf numFmtId="0" fontId="13" fillId="13" borderId="30" xfId="0" applyFont="1" applyFill="1" applyBorder="1" applyAlignment="1">
      <alignment horizontal="left"/>
    </xf>
    <xf numFmtId="164" fontId="27" fillId="13" borderId="21" xfId="0" applyNumberFormat="1" applyFont="1" applyFill="1" applyBorder="1"/>
    <xf numFmtId="164" fontId="27" fillId="13" borderId="1" xfId="0" applyNumberFormat="1" applyFont="1" applyFill="1" applyBorder="1"/>
    <xf numFmtId="164" fontId="26" fillId="13" borderId="20" xfId="0" applyNumberFormat="1" applyFont="1" applyFill="1" applyBorder="1"/>
    <xf numFmtId="164" fontId="0" fillId="0" borderId="31" xfId="0" applyNumberFormat="1" applyBorder="1"/>
    <xf numFmtId="164" fontId="0" fillId="0" borderId="1" xfId="0" applyNumberFormat="1" applyBorder="1"/>
    <xf numFmtId="164" fontId="0" fillId="0" borderId="1" xfId="0" applyNumberFormat="1" applyBorder="1" applyAlignment="1">
      <alignment wrapText="1"/>
    </xf>
    <xf numFmtId="164" fontId="26" fillId="0" borderId="20" xfId="0" applyNumberFormat="1" applyFont="1" applyBorder="1"/>
    <xf numFmtId="164" fontId="0" fillId="13" borderId="21" xfId="0" applyNumberFormat="1" applyFill="1" applyBorder="1"/>
    <xf numFmtId="164" fontId="0" fillId="13" borderId="1" xfId="0" applyNumberFormat="1" applyFill="1" applyBorder="1"/>
    <xf numFmtId="164" fontId="0" fillId="13" borderId="20" xfId="0" applyNumberFormat="1" applyFill="1" applyBorder="1"/>
    <xf numFmtId="164" fontId="0" fillId="0" borderId="21" xfId="0" applyNumberFormat="1" applyBorder="1"/>
    <xf numFmtId="164" fontId="0" fillId="0" borderId="20" xfId="0" applyNumberFormat="1" applyBorder="1"/>
    <xf numFmtId="0" fontId="13" fillId="13" borderId="32" xfId="0" applyFont="1" applyFill="1" applyBorder="1" applyAlignment="1">
      <alignment horizontal="left"/>
    </xf>
    <xf numFmtId="164" fontId="0" fillId="0" borderId="33" xfId="0" applyNumberFormat="1" applyBorder="1"/>
    <xf numFmtId="164" fontId="0" fillId="0" borderId="3" xfId="0" applyNumberFormat="1" applyBorder="1"/>
    <xf numFmtId="164" fontId="0" fillId="0" borderId="34" xfId="0" applyNumberFormat="1" applyBorder="1"/>
    <xf numFmtId="164" fontId="0" fillId="13" borderId="33" xfId="0" applyNumberFormat="1" applyFill="1" applyBorder="1"/>
    <xf numFmtId="164" fontId="0" fillId="13" borderId="3" xfId="0" applyNumberFormat="1" applyFill="1" applyBorder="1"/>
    <xf numFmtId="164" fontId="0" fillId="13" borderId="34" xfId="0" applyNumberFormat="1" applyFill="1" applyBorder="1"/>
    <xf numFmtId="164" fontId="0" fillId="13" borderId="33" xfId="0" applyNumberFormat="1" applyFill="1" applyBorder="1" applyAlignment="1">
      <alignment horizontal="right" vertical="center" indent="3"/>
    </xf>
    <xf numFmtId="164" fontId="0" fillId="13" borderId="3" xfId="0" applyNumberFormat="1" applyFill="1" applyBorder="1" applyAlignment="1">
      <alignment horizontal="right" vertical="center" indent="3"/>
    </xf>
    <xf numFmtId="164" fontId="0" fillId="13" borderId="34" xfId="0" applyNumberFormat="1" applyFill="1" applyBorder="1" applyAlignment="1">
      <alignment horizontal="center" vertical="center"/>
    </xf>
    <xf numFmtId="0" fontId="13" fillId="13" borderId="35" xfId="0" applyFont="1" applyFill="1" applyBorder="1" applyAlignment="1">
      <alignment horizontal="center" vertical="center"/>
    </xf>
    <xf numFmtId="164" fontId="0" fillId="0" borderId="36" xfId="0" applyNumberFormat="1" applyBorder="1" applyAlignment="1">
      <alignment horizontal="right" vertical="center" indent="3"/>
    </xf>
    <xf numFmtId="164" fontId="0" fillId="0" borderId="37" xfId="0" applyNumberFormat="1" applyBorder="1" applyAlignment="1">
      <alignment horizontal="right" vertical="center" indent="3"/>
    </xf>
    <xf numFmtId="0" fontId="9" fillId="0" borderId="0" xfId="0" applyFont="1"/>
    <xf numFmtId="17" fontId="17" fillId="13" borderId="38" xfId="0" applyNumberFormat="1" applyFont="1" applyFill="1" applyBorder="1" applyAlignment="1">
      <alignment horizontal="center" vertical="center"/>
    </xf>
    <xf numFmtId="14" fontId="17" fillId="13" borderId="1" xfId="0" applyNumberFormat="1" applyFont="1" applyFill="1" applyBorder="1" applyAlignment="1">
      <alignment horizontal="center" vertical="center"/>
    </xf>
    <xf numFmtId="0" fontId="13" fillId="13" borderId="26" xfId="0" applyFont="1" applyFill="1" applyBorder="1"/>
    <xf numFmtId="164" fontId="28" fillId="13" borderId="1" xfId="0" applyNumberFormat="1" applyFont="1" applyFill="1" applyBorder="1"/>
    <xf numFmtId="164" fontId="28" fillId="13" borderId="6" xfId="0" applyNumberFormat="1" applyFont="1" applyFill="1" applyBorder="1"/>
    <xf numFmtId="164" fontId="28" fillId="13" borderId="39" xfId="0" applyNumberFormat="1" applyFont="1" applyFill="1" applyBorder="1"/>
    <xf numFmtId="0" fontId="13" fillId="13" borderId="30" xfId="0" applyFont="1" applyFill="1" applyBorder="1" applyAlignment="1">
      <alignment horizontal="left" vertical="top"/>
    </xf>
    <xf numFmtId="164" fontId="28" fillId="13" borderId="21" xfId="0" applyNumberFormat="1" applyFont="1" applyFill="1" applyBorder="1"/>
    <xf numFmtId="164" fontId="28" fillId="13" borderId="20" xfId="0" applyNumberFormat="1" applyFont="1" applyFill="1" applyBorder="1"/>
    <xf numFmtId="0" fontId="13" fillId="13" borderId="32" xfId="0" applyFont="1" applyFill="1" applyBorder="1" applyAlignment="1">
      <alignment horizontal="left" vertical="top"/>
    </xf>
    <xf numFmtId="164" fontId="0" fillId="13" borderId="4" xfId="0" applyNumberFormat="1" applyFill="1" applyBorder="1"/>
    <xf numFmtId="0" fontId="13" fillId="13" borderId="30" xfId="0" applyFont="1" applyFill="1" applyBorder="1" applyAlignment="1">
      <alignment horizontal="left" vertical="top" wrapText="1"/>
    </xf>
    <xf numFmtId="0" fontId="13" fillId="13" borderId="32" xfId="0" applyFont="1" applyFill="1" applyBorder="1" applyAlignment="1">
      <alignment horizontal="center" vertical="center"/>
    </xf>
    <xf numFmtId="164" fontId="0" fillId="0" borderId="40" xfId="0" applyNumberFormat="1" applyBorder="1" applyAlignment="1">
      <alignment horizontal="right" vertical="center" indent="3"/>
    </xf>
    <xf numFmtId="164" fontId="0" fillId="0" borderId="25" xfId="0" applyNumberFormat="1" applyBorder="1" applyAlignment="1">
      <alignment horizontal="right" vertical="center" indent="3"/>
    </xf>
    <xf numFmtId="164" fontId="0" fillId="0" borderId="41" xfId="0" applyNumberFormat="1" applyBorder="1" applyAlignment="1">
      <alignment horizontal="right" vertical="center" indent="3"/>
    </xf>
    <xf numFmtId="0" fontId="7" fillId="0" borderId="22" xfId="0" applyFont="1" applyBorder="1"/>
    <xf numFmtId="0" fontId="7" fillId="0" borderId="4" xfId="0" applyFont="1" applyBorder="1"/>
    <xf numFmtId="173" fontId="19" fillId="0" borderId="0" xfId="0" applyNumberFormat="1" applyFont="1"/>
    <xf numFmtId="173" fontId="0" fillId="0" borderId="0" xfId="0" applyNumberFormat="1" applyAlignment="1">
      <alignment horizontal="right"/>
    </xf>
    <xf numFmtId="173" fontId="0" fillId="8" borderId="4" xfId="0" applyNumberFormat="1" applyFill="1" applyBorder="1"/>
    <xf numFmtId="173" fontId="0" fillId="0" borderId="12" xfId="0" applyNumberFormat="1" applyBorder="1"/>
    <xf numFmtId="173" fontId="28" fillId="0" borderId="0" xfId="0" applyNumberFormat="1" applyFont="1"/>
    <xf numFmtId="173" fontId="0" fillId="4" borderId="0" xfId="0" applyNumberFormat="1" applyFill="1"/>
    <xf numFmtId="173" fontId="0" fillId="4" borderId="13" xfId="0" applyNumberFormat="1" applyFill="1" applyBorder="1"/>
    <xf numFmtId="173" fontId="0" fillId="0" borderId="19" xfId="0" applyNumberFormat="1" applyBorder="1"/>
    <xf numFmtId="0" fontId="0" fillId="0" borderId="15" xfId="0" applyBorder="1"/>
    <xf numFmtId="173" fontId="0" fillId="0" borderId="16" xfId="0" applyNumberFormat="1" applyBorder="1"/>
    <xf numFmtId="0" fontId="29" fillId="5" borderId="42" xfId="0" applyFont="1" applyFill="1" applyBorder="1"/>
    <xf numFmtId="0" fontId="10" fillId="5" borderId="42" xfId="0" applyFont="1" applyFill="1" applyBorder="1"/>
    <xf numFmtId="0" fontId="13" fillId="5" borderId="42" xfId="0" applyFont="1" applyFill="1" applyBorder="1"/>
    <xf numFmtId="173" fontId="13" fillId="5" borderId="42" xfId="0" applyNumberFormat="1" applyFont="1" applyFill="1" applyBorder="1"/>
    <xf numFmtId="17" fontId="0" fillId="7" borderId="21" xfId="0" applyNumberFormat="1" applyFill="1" applyBorder="1"/>
    <xf numFmtId="171" fontId="0" fillId="0" borderId="22" xfId="1" applyNumberFormat="1" applyFont="1" applyBorder="1" applyAlignment="1">
      <alignment horizontal="center" vertical="center"/>
    </xf>
    <xf numFmtId="0" fontId="0" fillId="0" borderId="43" xfId="0" applyBorder="1"/>
    <xf numFmtId="0" fontId="16" fillId="0" borderId="22" xfId="0" applyFont="1" applyBorder="1"/>
    <xf numFmtId="0" fontId="15" fillId="0" borderId="4" xfId="0" applyFont="1" applyBorder="1"/>
    <xf numFmtId="173" fontId="10" fillId="0" borderId="12" xfId="0" applyNumberFormat="1" applyFont="1" applyBorder="1"/>
    <xf numFmtId="173" fontId="29" fillId="5" borderId="42" xfId="0" applyNumberFormat="1" applyFont="1" applyFill="1" applyBorder="1"/>
    <xf numFmtId="0" fontId="8" fillId="0" borderId="12" xfId="0" applyFont="1" applyBorder="1"/>
    <xf numFmtId="0" fontId="30" fillId="0" borderId="0" xfId="0" applyFont="1"/>
    <xf numFmtId="0" fontId="30" fillId="0" borderId="4" xfId="0" applyFont="1" applyBorder="1"/>
    <xf numFmtId="0" fontId="30" fillId="0" borderId="10" xfId="0" applyFont="1" applyBorder="1"/>
    <xf numFmtId="0" fontId="30" fillId="0" borderId="11" xfId="0" applyFont="1" applyBorder="1"/>
    <xf numFmtId="0" fontId="2" fillId="0" borderId="22" xfId="0" applyFont="1" applyBorder="1"/>
    <xf numFmtId="0" fontId="2" fillId="0" borderId="4" xfId="0" applyFont="1" applyBorder="1"/>
    <xf numFmtId="0" fontId="2" fillId="0" borderId="13" xfId="0" applyFont="1" applyBorder="1"/>
    <xf numFmtId="17" fontId="2" fillId="7" borderId="21" xfId="0" applyNumberFormat="1" applyFont="1" applyFill="1" applyBorder="1"/>
    <xf numFmtId="17" fontId="2" fillId="7" borderId="1" xfId="0" applyNumberFormat="1" applyFont="1" applyFill="1" applyBorder="1"/>
    <xf numFmtId="173" fontId="30" fillId="0" borderId="22" xfId="0" applyNumberFormat="1" applyFont="1" applyBorder="1"/>
    <xf numFmtId="173" fontId="2" fillId="0" borderId="0" xfId="0" applyNumberFormat="1" applyFont="1"/>
    <xf numFmtId="173" fontId="2" fillId="0" borderId="22" xfId="0" applyNumberFormat="1" applyFont="1" applyBorder="1"/>
    <xf numFmtId="173" fontId="2" fillId="0" borderId="4" xfId="0" applyNumberFormat="1" applyFont="1" applyBorder="1"/>
    <xf numFmtId="0" fontId="30" fillId="0" borderId="22" xfId="0" applyFont="1" applyBorder="1"/>
    <xf numFmtId="173" fontId="34" fillId="0" borderId="22" xfId="0" applyNumberFormat="1" applyFont="1" applyBorder="1"/>
    <xf numFmtId="173" fontId="2" fillId="8" borderId="4" xfId="0" applyNumberFormat="1" applyFont="1" applyFill="1" applyBorder="1"/>
    <xf numFmtId="173" fontId="2" fillId="4" borderId="4" xfId="0" applyNumberFormat="1" applyFont="1" applyFill="1" applyBorder="1"/>
    <xf numFmtId="173" fontId="32" fillId="0" borderId="22" xfId="0" applyNumberFormat="1" applyFont="1" applyBorder="1"/>
    <xf numFmtId="173" fontId="2" fillId="7" borderId="22" xfId="0" applyNumberFormat="1" applyFont="1" applyFill="1" applyBorder="1"/>
    <xf numFmtId="0" fontId="2" fillId="7" borderId="4" xfId="0" applyFont="1" applyFill="1" applyBorder="1"/>
    <xf numFmtId="173" fontId="2" fillId="4" borderId="22" xfId="0" applyNumberFormat="1" applyFont="1" applyFill="1" applyBorder="1"/>
    <xf numFmtId="0" fontId="2" fillId="4" borderId="4" xfId="0" applyFont="1" applyFill="1" applyBorder="1"/>
    <xf numFmtId="173" fontId="2" fillId="0" borderId="19" xfId="0" applyNumberFormat="1" applyFont="1" applyBorder="1"/>
    <xf numFmtId="0" fontId="2" fillId="0" borderId="43" xfId="0" applyFont="1" applyBorder="1"/>
    <xf numFmtId="173" fontId="2" fillId="0" borderId="15" xfId="0" applyNumberFormat="1" applyFont="1" applyBorder="1"/>
    <xf numFmtId="0" fontId="36" fillId="0" borderId="0" xfId="0" applyFont="1"/>
    <xf numFmtId="0" fontId="32" fillId="0" borderId="0" xfId="0" applyFont="1" applyAlignment="1">
      <alignment wrapText="1"/>
    </xf>
    <xf numFmtId="0" fontId="32" fillId="0" borderId="0" xfId="0" applyFont="1"/>
    <xf numFmtId="171" fontId="2" fillId="0" borderId="0" xfId="1" applyNumberFormat="1" applyFont="1" applyAlignment="1">
      <alignment horizontal="center" vertical="center"/>
    </xf>
    <xf numFmtId="171" fontId="2" fillId="0" borderId="0" xfId="0" applyNumberFormat="1" applyFont="1" applyAlignment="1">
      <alignment horizontal="center" vertical="center"/>
    </xf>
    <xf numFmtId="0" fontId="2" fillId="0" borderId="0" xfId="1" applyNumberFormat="1" applyFont="1"/>
    <xf numFmtId="170" fontId="2" fillId="0" borderId="0" xfId="0" applyNumberFormat="1" applyFont="1"/>
    <xf numFmtId="0" fontId="37" fillId="0" borderId="0" xfId="0" applyFont="1"/>
    <xf numFmtId="0" fontId="38" fillId="0" borderId="0" xfId="0" applyFont="1" applyAlignment="1">
      <alignment horizontal="center"/>
    </xf>
    <xf numFmtId="0" fontId="38" fillId="0" borderId="0" xfId="0" applyFont="1"/>
    <xf numFmtId="0" fontId="37" fillId="0" borderId="9" xfId="0" applyFont="1" applyBorder="1"/>
    <xf numFmtId="0" fontId="38" fillId="0" borderId="12" xfId="0" applyFont="1" applyBorder="1"/>
    <xf numFmtId="0" fontId="37" fillId="0" borderId="12" xfId="0" applyFont="1" applyBorder="1"/>
    <xf numFmtId="0" fontId="38" fillId="0" borderId="14" xfId="0" applyFont="1" applyBorder="1"/>
    <xf numFmtId="0" fontId="38" fillId="0" borderId="0" xfId="0" applyFont="1" applyAlignment="1">
      <alignment horizontal="center" vertical="center"/>
    </xf>
    <xf numFmtId="0" fontId="38" fillId="4" borderId="0" xfId="0" applyFont="1" applyFill="1" applyAlignment="1">
      <alignment horizontal="center" vertical="center"/>
    </xf>
    <xf numFmtId="0" fontId="38" fillId="0" borderId="10" xfId="0" applyFont="1" applyBorder="1" applyAlignment="1">
      <alignment horizontal="center" vertical="center"/>
    </xf>
    <xf numFmtId="0" fontId="38" fillId="0" borderId="15" xfId="0" applyFont="1" applyBorder="1" applyAlignment="1">
      <alignment horizontal="center" vertical="center"/>
    </xf>
    <xf numFmtId="173" fontId="38" fillId="0" borderId="0" xfId="0" applyNumberFormat="1" applyFont="1" applyAlignment="1">
      <alignment horizontal="center" vertical="center"/>
    </xf>
    <xf numFmtId="173" fontId="38" fillId="8" borderId="0" xfId="0" applyNumberFormat="1" applyFont="1" applyFill="1" applyAlignment="1">
      <alignment horizontal="center" vertical="center"/>
    </xf>
    <xf numFmtId="173" fontId="38" fillId="4" borderId="0" xfId="0" applyNumberFormat="1" applyFont="1" applyFill="1" applyAlignment="1">
      <alignment horizontal="center" vertical="center"/>
    </xf>
    <xf numFmtId="0" fontId="37" fillId="0" borderId="24" xfId="0" applyFont="1" applyBorder="1"/>
    <xf numFmtId="0" fontId="37" fillId="0" borderId="0" xfId="0" applyFont="1" applyAlignment="1">
      <alignment horizontal="center" vertical="center"/>
    </xf>
    <xf numFmtId="173" fontId="37" fillId="0" borderId="0" xfId="0" applyNumberFormat="1" applyFont="1" applyAlignment="1">
      <alignment horizontal="center" vertical="center"/>
    </xf>
    <xf numFmtId="0" fontId="37" fillId="0" borderId="10" xfId="0" applyFont="1" applyBorder="1" applyAlignment="1">
      <alignment horizontal="center" vertical="center"/>
    </xf>
    <xf numFmtId="0" fontId="37" fillId="5" borderId="0" xfId="0" applyFont="1" applyFill="1"/>
    <xf numFmtId="0" fontId="38" fillId="5" borderId="0" xfId="0" applyFont="1" applyFill="1"/>
    <xf numFmtId="0" fontId="9" fillId="2" borderId="0" xfId="0" applyFont="1" applyFill="1"/>
    <xf numFmtId="0" fontId="0" fillId="0" borderId="1" xfId="0" applyBorder="1"/>
    <xf numFmtId="168" fontId="0" fillId="0" borderId="1" xfId="0" applyNumberFormat="1" applyBorder="1"/>
    <xf numFmtId="168" fontId="0" fillId="4" borderId="0" xfId="0" applyNumberFormat="1" applyFill="1"/>
    <xf numFmtId="168" fontId="0" fillId="4" borderId="1" xfId="0" applyNumberFormat="1" applyFill="1" applyBorder="1"/>
    <xf numFmtId="0" fontId="0" fillId="0" borderId="0" xfId="0" applyAlignment="1">
      <alignment horizontal="center" vertical="top"/>
    </xf>
    <xf numFmtId="17" fontId="0" fillId="0" borderId="0" xfId="0" applyNumberFormat="1" applyAlignment="1">
      <alignment horizontal="center" vertical="top"/>
    </xf>
    <xf numFmtId="168" fontId="0" fillId="0" borderId="0" xfId="0" applyNumberFormat="1" applyAlignment="1">
      <alignment horizontal="center" vertical="top"/>
    </xf>
    <xf numFmtId="172" fontId="0" fillId="0" borderId="0" xfId="0" applyNumberFormat="1" applyAlignment="1">
      <alignment horizontal="center" vertical="top"/>
    </xf>
    <xf numFmtId="172" fontId="0" fillId="0" borderId="0" xfId="0" applyNumberFormat="1"/>
    <xf numFmtId="173" fontId="34" fillId="0" borderId="0" xfId="0" applyNumberFormat="1" applyFont="1"/>
    <xf numFmtId="173" fontId="39" fillId="0" borderId="0" xfId="0" applyNumberFormat="1" applyFont="1"/>
    <xf numFmtId="0" fontId="31" fillId="0" borderId="44" xfId="0" applyFont="1" applyBorder="1"/>
    <xf numFmtId="0" fontId="30" fillId="0" borderId="18" xfId="0" applyFont="1" applyBorder="1"/>
    <xf numFmtId="17" fontId="2" fillId="0" borderId="0" xfId="0" applyNumberFormat="1" applyFont="1"/>
    <xf numFmtId="174" fontId="2" fillId="0" borderId="0" xfId="0" applyNumberFormat="1" applyFont="1"/>
    <xf numFmtId="174" fontId="2" fillId="4" borderId="0" xfId="0" applyNumberFormat="1" applyFont="1" applyFill="1"/>
    <xf numFmtId="0" fontId="2" fillId="0" borderId="16" xfId="0" applyFont="1" applyBorder="1"/>
    <xf numFmtId="17" fontId="2" fillId="7" borderId="45" xfId="0" applyNumberFormat="1" applyFont="1" applyFill="1" applyBorder="1"/>
    <xf numFmtId="174" fontId="2" fillId="4" borderId="0" xfId="0" applyNumberFormat="1" applyFont="1" applyFill="1" applyAlignment="1">
      <alignment horizontal="right"/>
    </xf>
    <xf numFmtId="174" fontId="2" fillId="0" borderId="0" xfId="0" applyNumberFormat="1" applyFont="1" applyAlignment="1">
      <alignment horizontal="right"/>
    </xf>
    <xf numFmtId="174" fontId="2" fillId="0" borderId="13" xfId="0" applyNumberFormat="1" applyFont="1" applyBorder="1"/>
    <xf numFmtId="174" fontId="33" fillId="0" borderId="0" xfId="0" applyNumberFormat="1" applyFont="1"/>
    <xf numFmtId="174" fontId="2" fillId="12" borderId="0" xfId="0" applyNumberFormat="1" applyFont="1" applyFill="1"/>
    <xf numFmtId="174" fontId="35" fillId="0" borderId="0" xfId="0" applyNumberFormat="1" applyFont="1"/>
    <xf numFmtId="174" fontId="35" fillId="4" borderId="0" xfId="0" applyNumberFormat="1" applyFont="1" applyFill="1"/>
    <xf numFmtId="174" fontId="2" fillId="7" borderId="8" xfId="0" applyNumberFormat="1" applyFont="1" applyFill="1" applyBorder="1"/>
    <xf numFmtId="174" fontId="2" fillId="7" borderId="17" xfId="0" applyNumberFormat="1" applyFont="1" applyFill="1" applyBorder="1"/>
    <xf numFmtId="174" fontId="2" fillId="4" borderId="13" xfId="0" applyNumberFormat="1" applyFont="1" applyFill="1" applyBorder="1"/>
    <xf numFmtId="0" fontId="2" fillId="0" borderId="0" xfId="0" applyFont="1" applyAlignment="1">
      <alignment wrapText="1"/>
    </xf>
    <xf numFmtId="0" fontId="31" fillId="0" borderId="9" xfId="0" applyFont="1" applyBorder="1" applyAlignment="1">
      <alignment wrapText="1"/>
    </xf>
    <xf numFmtId="0" fontId="30" fillId="0" borderId="12" xfId="0" applyFont="1" applyBorder="1" applyAlignment="1">
      <alignment wrapText="1"/>
    </xf>
    <xf numFmtId="0" fontId="2" fillId="0" borderId="12" xfId="0" applyFont="1" applyBorder="1" applyAlignment="1">
      <alignment wrapText="1"/>
    </xf>
    <xf numFmtId="173" fontId="32" fillId="0" borderId="12" xfId="0" applyNumberFormat="1" applyFont="1" applyBorder="1" applyAlignment="1">
      <alignment wrapText="1"/>
    </xf>
    <xf numFmtId="173" fontId="31" fillId="5" borderId="42" xfId="0" applyNumberFormat="1" applyFont="1" applyFill="1" applyBorder="1" applyAlignment="1">
      <alignment wrapText="1"/>
    </xf>
    <xf numFmtId="173" fontId="2" fillId="0" borderId="12" xfId="0" applyNumberFormat="1" applyFont="1" applyBorder="1" applyAlignment="1">
      <alignment wrapText="1"/>
    </xf>
    <xf numFmtId="0" fontId="31" fillId="5" borderId="42" xfId="0" applyFont="1" applyFill="1" applyBorder="1" applyAlignment="1">
      <alignment wrapText="1"/>
    </xf>
    <xf numFmtId="0" fontId="34" fillId="0" borderId="12" xfId="0" applyFont="1" applyBorder="1" applyAlignment="1">
      <alignment wrapText="1"/>
    </xf>
    <xf numFmtId="0" fontId="32" fillId="5" borderId="42" xfId="0" applyFont="1" applyFill="1" applyBorder="1" applyAlignment="1">
      <alignment wrapText="1"/>
    </xf>
    <xf numFmtId="0" fontId="30" fillId="5" borderId="42" xfId="0" applyFont="1" applyFill="1" applyBorder="1" applyAlignment="1">
      <alignment wrapText="1"/>
    </xf>
    <xf numFmtId="0" fontId="2" fillId="0" borderId="12" xfId="0" applyFont="1" applyBorder="1" applyAlignment="1">
      <alignment horizontal="center" wrapText="1"/>
    </xf>
    <xf numFmtId="173" fontId="30" fillId="5" borderId="42" xfId="0" applyNumberFormat="1" applyFont="1" applyFill="1" applyBorder="1" applyAlignment="1">
      <alignment wrapText="1"/>
    </xf>
    <xf numFmtId="0" fontId="30" fillId="5" borderId="24" xfId="0" applyFont="1" applyFill="1" applyBorder="1" applyAlignment="1">
      <alignment wrapText="1"/>
    </xf>
    <xf numFmtId="0" fontId="2" fillId="7" borderId="12" xfId="0" applyFont="1" applyFill="1" applyBorder="1" applyAlignment="1">
      <alignment wrapText="1"/>
    </xf>
    <xf numFmtId="0" fontId="2" fillId="4" borderId="12" xfId="0" applyFont="1" applyFill="1" applyBorder="1" applyAlignment="1">
      <alignment wrapText="1"/>
    </xf>
    <xf numFmtId="0" fontId="2" fillId="0" borderId="14" xfId="0" applyFont="1" applyBorder="1" applyAlignment="1">
      <alignment wrapText="1"/>
    </xf>
    <xf numFmtId="0" fontId="34" fillId="0" borderId="0" xfId="0" applyFont="1" applyAlignment="1">
      <alignment wrapText="1"/>
    </xf>
    <xf numFmtId="0" fontId="36" fillId="0" borderId="0" xfId="0" applyFont="1" applyAlignment="1">
      <alignment wrapText="1"/>
    </xf>
    <xf numFmtId="173" fontId="2" fillId="0" borderId="22" xfId="1" applyNumberFormat="1" applyFont="1" applyFill="1" applyBorder="1" applyAlignment="1">
      <alignment horizontal="right" vertical="center"/>
    </xf>
    <xf numFmtId="17" fontId="2" fillId="7" borderId="47" xfId="0" applyNumberFormat="1" applyFont="1" applyFill="1" applyBorder="1"/>
    <xf numFmtId="17" fontId="2" fillId="7" borderId="46" xfId="0" applyNumberFormat="1" applyFont="1" applyFill="1" applyBorder="1"/>
    <xf numFmtId="174" fontId="30" fillId="5" borderId="24" xfId="0" applyNumberFormat="1" applyFont="1" applyFill="1" applyBorder="1" applyAlignment="1">
      <alignment horizontal="center"/>
    </xf>
    <xf numFmtId="17" fontId="2" fillId="0" borderId="13" xfId="0" applyNumberFormat="1" applyFont="1" applyBorder="1"/>
    <xf numFmtId="173" fontId="2" fillId="0" borderId="16" xfId="0" applyNumberFormat="1" applyFont="1" applyBorder="1"/>
    <xf numFmtId="173" fontId="34" fillId="0" borderId="12" xfId="0" applyNumberFormat="1" applyFont="1" applyBorder="1" applyAlignment="1">
      <alignment wrapText="1"/>
    </xf>
    <xf numFmtId="174" fontId="30" fillId="0" borderId="0" xfId="0" applyNumberFormat="1" applyFont="1" applyAlignment="1">
      <alignment horizontal="center"/>
    </xf>
    <xf numFmtId="0" fontId="2" fillId="0" borderId="12" xfId="0" applyFont="1" applyBorder="1" applyAlignment="1">
      <alignment horizontal="left" wrapText="1"/>
    </xf>
    <xf numFmtId="174" fontId="33" fillId="4" borderId="0" xfId="0" applyNumberFormat="1" applyFont="1" applyFill="1"/>
    <xf numFmtId="174" fontId="33" fillId="0" borderId="13" xfId="0" applyNumberFormat="1" applyFont="1" applyBorder="1"/>
    <xf numFmtId="174" fontId="33" fillId="4" borderId="13" xfId="0" applyNumberFormat="1" applyFont="1" applyFill="1" applyBorder="1"/>
    <xf numFmtId="174" fontId="33" fillId="7" borderId="8" xfId="0" applyNumberFormat="1" applyFont="1" applyFill="1" applyBorder="1"/>
    <xf numFmtId="174" fontId="33" fillId="7" borderId="17" xfId="0" applyNumberFormat="1" applyFont="1" applyFill="1" applyBorder="1"/>
    <xf numFmtId="0" fontId="30" fillId="0" borderId="22" xfId="0" applyFont="1" applyBorder="1" applyAlignment="1">
      <alignment horizontal="center"/>
    </xf>
    <xf numFmtId="0" fontId="30" fillId="0" borderId="4" xfId="0" applyFont="1" applyBorder="1" applyAlignment="1">
      <alignment horizontal="center"/>
    </xf>
    <xf numFmtId="17" fontId="2" fillId="7" borderId="0" xfId="0" applyNumberFormat="1" applyFont="1" applyFill="1"/>
    <xf numFmtId="174" fontId="30" fillId="4" borderId="0" xfId="0" applyNumberFormat="1" applyFont="1" applyFill="1" applyAlignment="1">
      <alignment horizontal="right"/>
    </xf>
    <xf numFmtId="17" fontId="2" fillId="0" borderId="48" xfId="0" applyNumberFormat="1" applyFont="1" applyBorder="1"/>
    <xf numFmtId="174" fontId="2" fillId="0" borderId="12" xfId="0" applyNumberFormat="1" applyFont="1" applyBorder="1"/>
    <xf numFmtId="174" fontId="2" fillId="0" borderId="9" xfId="0" applyNumberFormat="1" applyFont="1" applyBorder="1"/>
    <xf numFmtId="174" fontId="33" fillId="0" borderId="11" xfId="0" applyNumberFormat="1" applyFont="1" applyBorder="1"/>
    <xf numFmtId="173" fontId="2" fillId="0" borderId="12" xfId="0" applyNumberFormat="1" applyFont="1" applyBorder="1"/>
    <xf numFmtId="174" fontId="2" fillId="0" borderId="14" xfId="0" applyNumberFormat="1" applyFont="1" applyBorder="1"/>
    <xf numFmtId="174" fontId="2" fillId="0" borderId="16" xfId="0" applyNumberFormat="1" applyFont="1" applyBorder="1"/>
    <xf numFmtId="174" fontId="2" fillId="0" borderId="0" xfId="0" applyNumberFormat="1" applyFont="1" applyAlignment="1">
      <alignment horizontal="center"/>
    </xf>
    <xf numFmtId="0" fontId="30" fillId="5" borderId="49" xfId="0" applyFont="1" applyFill="1" applyBorder="1" applyAlignment="1">
      <alignment wrapText="1"/>
    </xf>
    <xf numFmtId="17" fontId="2" fillId="0" borderId="15" xfId="0" applyNumberFormat="1" applyFont="1" applyBorder="1"/>
    <xf numFmtId="17" fontId="2" fillId="0" borderId="16" xfId="0" applyNumberFormat="1" applyFont="1" applyBorder="1"/>
    <xf numFmtId="173" fontId="2" fillId="7" borderId="47" xfId="0" applyNumberFormat="1" applyFont="1" applyFill="1" applyBorder="1"/>
    <xf numFmtId="0" fontId="2" fillId="7" borderId="47" xfId="0" applyFont="1" applyFill="1" applyBorder="1"/>
    <xf numFmtId="174" fontId="2" fillId="0" borderId="50" xfId="0" applyNumberFormat="1" applyFont="1" applyBorder="1"/>
    <xf numFmtId="173" fontId="2" fillId="0" borderId="51" xfId="0" applyNumberFormat="1" applyFont="1" applyBorder="1"/>
    <xf numFmtId="0" fontId="2" fillId="0" borderId="15" xfId="0" applyFont="1" applyBorder="1"/>
    <xf numFmtId="17" fontId="2" fillId="0" borderId="7" xfId="0" applyNumberFormat="1" applyFont="1" applyBorder="1"/>
    <xf numFmtId="174" fontId="2" fillId="0" borderId="52" xfId="0" applyNumberFormat="1" applyFont="1" applyBorder="1"/>
    <xf numFmtId="174" fontId="30" fillId="0" borderId="0" xfId="0" applyNumberFormat="1" applyFont="1" applyAlignment="1">
      <alignment horizontal="right"/>
    </xf>
    <xf numFmtId="17" fontId="2" fillId="7" borderId="6" xfId="0" applyNumberFormat="1" applyFont="1" applyFill="1" applyBorder="1"/>
    <xf numFmtId="0" fontId="2" fillId="0" borderId="53" xfId="0" applyFont="1" applyBorder="1"/>
    <xf numFmtId="17" fontId="2" fillId="7" borderId="54" xfId="0" applyNumberFormat="1" applyFont="1" applyFill="1" applyBorder="1"/>
    <xf numFmtId="17" fontId="2" fillId="0" borderId="55" xfId="0" applyNumberFormat="1" applyFont="1" applyBorder="1"/>
    <xf numFmtId="174" fontId="2" fillId="0" borderId="55" xfId="0" applyNumberFormat="1" applyFont="1" applyBorder="1" applyAlignment="1">
      <alignment horizontal="right"/>
    </xf>
    <xf numFmtId="173" fontId="2" fillId="0" borderId="55" xfId="0" applyNumberFormat="1" applyFont="1" applyBorder="1"/>
    <xf numFmtId="174" fontId="2" fillId="0" borderId="55" xfId="0" applyNumberFormat="1" applyFont="1" applyBorder="1"/>
    <xf numFmtId="0" fontId="2" fillId="0" borderId="55" xfId="0" applyFont="1" applyBorder="1"/>
    <xf numFmtId="174" fontId="33" fillId="0" borderId="55" xfId="0" applyNumberFormat="1" applyFont="1" applyBorder="1"/>
    <xf numFmtId="174" fontId="35" fillId="0" borderId="55" xfId="0" applyNumberFormat="1" applyFont="1" applyBorder="1"/>
    <xf numFmtId="174" fontId="2" fillId="7" borderId="56" xfId="0" applyNumberFormat="1" applyFont="1" applyFill="1" applyBorder="1"/>
    <xf numFmtId="174" fontId="2" fillId="4" borderId="57" xfId="0" applyNumberFormat="1" applyFont="1" applyFill="1" applyBorder="1"/>
    <xf numFmtId="173" fontId="2" fillId="0" borderId="58" xfId="0" applyNumberFormat="1" applyFont="1" applyBorder="1"/>
    <xf numFmtId="173" fontId="2" fillId="0" borderId="13" xfId="0" applyNumberFormat="1" applyFont="1" applyBorder="1"/>
    <xf numFmtId="173" fontId="2" fillId="7" borderId="60" xfId="0" applyNumberFormat="1" applyFont="1" applyFill="1" applyBorder="1"/>
    <xf numFmtId="0" fontId="2" fillId="7" borderId="59" xfId="0" applyFont="1" applyFill="1" applyBorder="1"/>
    <xf numFmtId="174" fontId="2" fillId="0" borderId="61" xfId="0" applyNumberFormat="1" applyFont="1" applyBorder="1"/>
    <xf numFmtId="174" fontId="2" fillId="4" borderId="55" xfId="0" applyNumberFormat="1" applyFont="1" applyFill="1" applyBorder="1"/>
    <xf numFmtId="174" fontId="30" fillId="0" borderId="0" xfId="0" applyNumberFormat="1" applyFont="1"/>
    <xf numFmtId="174" fontId="33" fillId="0" borderId="61" xfId="0" applyNumberFormat="1" applyFont="1" applyBorder="1"/>
    <xf numFmtId="173" fontId="2" fillId="7" borderId="45" xfId="0" applyNumberFormat="1" applyFont="1" applyFill="1" applyBorder="1"/>
    <xf numFmtId="0" fontId="2" fillId="7" borderId="45" xfId="0" applyFont="1" applyFill="1" applyBorder="1"/>
    <xf numFmtId="14" fontId="42" fillId="14" borderId="9" xfId="0" applyNumberFormat="1" applyFont="1" applyFill="1" applyBorder="1" applyAlignment="1">
      <alignment horizontal="left" vertical="center"/>
    </xf>
    <xf numFmtId="0" fontId="42" fillId="14" borderId="10" xfId="0" applyFont="1" applyFill="1" applyBorder="1" applyAlignment="1">
      <alignment horizontal="left" vertical="center"/>
    </xf>
    <xf numFmtId="0" fontId="42" fillId="14" borderId="11" xfId="0" applyFont="1" applyFill="1" applyBorder="1" applyAlignment="1">
      <alignment horizontal="left" vertical="center"/>
    </xf>
    <xf numFmtId="14" fontId="42" fillId="14" borderId="12" xfId="0" applyNumberFormat="1" applyFont="1" applyFill="1" applyBorder="1" applyAlignment="1">
      <alignment horizontal="left" vertical="center"/>
    </xf>
    <xf numFmtId="0" fontId="42" fillId="14" borderId="0" xfId="0" applyFont="1" applyFill="1" applyAlignment="1">
      <alignment horizontal="left" vertical="center"/>
    </xf>
    <xf numFmtId="0" fontId="42" fillId="14" borderId="13" xfId="0" applyFont="1" applyFill="1" applyBorder="1" applyAlignment="1">
      <alignment horizontal="left" vertical="center"/>
    </xf>
    <xf numFmtId="14" fontId="42" fillId="14" borderId="14" xfId="0" applyNumberFormat="1" applyFont="1" applyFill="1" applyBorder="1" applyAlignment="1">
      <alignment horizontal="left" vertical="center"/>
    </xf>
    <xf numFmtId="0" fontId="42" fillId="14" borderId="15" xfId="0" applyFont="1" applyFill="1" applyBorder="1" applyAlignment="1">
      <alignment horizontal="left" vertical="center"/>
    </xf>
    <xf numFmtId="0" fontId="42" fillId="14" borderId="16" xfId="0" applyFont="1" applyFill="1" applyBorder="1" applyAlignment="1">
      <alignment horizontal="left" vertical="center"/>
    </xf>
    <xf numFmtId="0" fontId="43" fillId="15" borderId="9" xfId="0" applyFont="1" applyFill="1" applyBorder="1" applyAlignment="1">
      <alignment horizontal="center" vertical="center"/>
    </xf>
    <xf numFmtId="0" fontId="44" fillId="15" borderId="10" xfId="0" applyFont="1" applyFill="1" applyBorder="1"/>
    <xf numFmtId="0" fontId="45" fillId="15" borderId="10" xfId="0" applyFont="1" applyFill="1" applyBorder="1" applyAlignment="1">
      <alignment horizontal="right" vertical="center"/>
    </xf>
    <xf numFmtId="0" fontId="43" fillId="15" borderId="10" xfId="0" applyFont="1" applyFill="1" applyBorder="1" applyAlignment="1">
      <alignment horizontal="right" vertical="center"/>
    </xf>
    <xf numFmtId="0" fontId="43" fillId="15" borderId="11" xfId="0" applyFont="1" applyFill="1" applyBorder="1" applyAlignment="1">
      <alignment horizontal="right" vertical="center"/>
    </xf>
    <xf numFmtId="0" fontId="44" fillId="15" borderId="12" xfId="0" applyFont="1" applyFill="1" applyBorder="1" applyAlignment="1">
      <alignment horizontal="center"/>
    </xf>
    <xf numFmtId="0" fontId="43" fillId="15" borderId="0" xfId="0" applyFont="1" applyFill="1" applyAlignment="1">
      <alignment horizontal="left" vertical="center"/>
    </xf>
    <xf numFmtId="0" fontId="44" fillId="15" borderId="0" xfId="0" applyFont="1" applyFill="1"/>
    <xf numFmtId="0" fontId="43" fillId="15" borderId="0" xfId="0" applyFont="1" applyFill="1" applyAlignment="1">
      <alignment horizontal="right" vertical="center"/>
    </xf>
    <xf numFmtId="0" fontId="43" fillId="15" borderId="13" xfId="0" applyFont="1" applyFill="1" applyBorder="1" applyAlignment="1">
      <alignment horizontal="right" vertical="center"/>
    </xf>
    <xf numFmtId="0" fontId="44" fillId="15" borderId="13" xfId="0" applyFont="1" applyFill="1" applyBorder="1"/>
    <xf numFmtId="175" fontId="46" fillId="15" borderId="12" xfId="0" applyNumberFormat="1" applyFont="1" applyFill="1" applyBorder="1" applyAlignment="1">
      <alignment horizontal="center" vertical="center"/>
    </xf>
    <xf numFmtId="0" fontId="46" fillId="15" borderId="0" xfId="0" applyFont="1" applyFill="1" applyAlignment="1">
      <alignment vertical="center"/>
    </xf>
    <xf numFmtId="176" fontId="46" fillId="15" borderId="0" xfId="0" applyNumberFormat="1" applyFont="1" applyFill="1" applyAlignment="1">
      <alignment horizontal="right" vertical="center"/>
    </xf>
    <xf numFmtId="176" fontId="43" fillId="15" borderId="0" xfId="0" applyNumberFormat="1" applyFont="1" applyFill="1" applyAlignment="1">
      <alignment horizontal="right" vertical="center"/>
    </xf>
    <xf numFmtId="176" fontId="46" fillId="15" borderId="13" xfId="0" applyNumberFormat="1" applyFont="1" applyFill="1" applyBorder="1" applyAlignment="1">
      <alignment horizontal="right" vertical="center"/>
    </xf>
    <xf numFmtId="0" fontId="43" fillId="15" borderId="62" xfId="0" applyFont="1" applyFill="1" applyBorder="1" applyAlignment="1">
      <alignment horizontal="center" vertical="center"/>
    </xf>
    <xf numFmtId="0" fontId="44" fillId="15" borderId="15" xfId="0" applyFont="1" applyFill="1" applyBorder="1"/>
    <xf numFmtId="176" fontId="43" fillId="15" borderId="63" xfId="0" applyNumberFormat="1" applyFont="1" applyFill="1" applyBorder="1" applyAlignment="1">
      <alignment horizontal="right" vertical="center"/>
    </xf>
    <xf numFmtId="176" fontId="43" fillId="15" borderId="64" xfId="0" applyNumberFormat="1" applyFont="1" applyFill="1" applyBorder="1" applyAlignment="1">
      <alignment horizontal="right" vertical="center"/>
    </xf>
    <xf numFmtId="177" fontId="2" fillId="0" borderId="0" xfId="0" applyNumberFormat="1" applyFont="1"/>
    <xf numFmtId="0" fontId="24" fillId="0" borderId="0" xfId="0" applyFont="1"/>
    <xf numFmtId="0" fontId="32" fillId="0" borderId="12" xfId="0" applyFont="1" applyBorder="1" applyAlignment="1">
      <alignment wrapText="1"/>
    </xf>
    <xf numFmtId="0" fontId="47" fillId="16" borderId="9" xfId="0" applyFont="1" applyFill="1" applyBorder="1" applyAlignment="1">
      <alignment horizontal="right"/>
    </xf>
    <xf numFmtId="0" fontId="47" fillId="16" borderId="65" xfId="0" applyFont="1" applyFill="1" applyBorder="1" applyAlignment="1">
      <alignment horizontal="right"/>
    </xf>
    <xf numFmtId="0" fontId="48" fillId="17" borderId="18" xfId="0" applyFont="1" applyFill="1" applyBorder="1" applyAlignment="1">
      <alignment horizontal="center"/>
    </xf>
    <xf numFmtId="1" fontId="49" fillId="16" borderId="10" xfId="0" applyNumberFormat="1" applyFont="1" applyFill="1" applyBorder="1" applyAlignment="1">
      <alignment horizontal="right"/>
    </xf>
    <xf numFmtId="178" fontId="49" fillId="16" borderId="10" xfId="0" applyNumberFormat="1" applyFont="1" applyFill="1" applyBorder="1" applyAlignment="1">
      <alignment horizontal="right"/>
    </xf>
    <xf numFmtId="0" fontId="49" fillId="16" borderId="10" xfId="0" applyFont="1" applyFill="1" applyBorder="1" applyAlignment="1">
      <alignment horizontal="right"/>
    </xf>
    <xf numFmtId="2" fontId="49" fillId="16" borderId="18" xfId="4" applyNumberFormat="1" applyFont="1" applyFill="1" applyBorder="1" applyAlignment="1">
      <alignment horizontal="right"/>
    </xf>
    <xf numFmtId="2" fontId="49" fillId="16" borderId="10" xfId="0" applyNumberFormat="1" applyFont="1" applyFill="1" applyBorder="1" applyAlignment="1">
      <alignment horizontal="right"/>
    </xf>
    <xf numFmtId="2" fontId="49" fillId="16" borderId="11" xfId="0" applyNumberFormat="1" applyFont="1" applyFill="1" applyBorder="1" applyAlignment="1">
      <alignment horizontal="right"/>
    </xf>
    <xf numFmtId="0" fontId="0" fillId="16" borderId="12" xfId="0" applyFill="1" applyBorder="1" applyAlignment="1">
      <alignment horizontal="right"/>
    </xf>
    <xf numFmtId="0" fontId="28" fillId="17" borderId="4" xfId="0" applyFont="1" applyFill="1" applyBorder="1" applyAlignment="1">
      <alignment horizontal="center"/>
    </xf>
    <xf numFmtId="173" fontId="0" fillId="16" borderId="0" xfId="1" applyNumberFormat="1" applyFont="1" applyFill="1" applyBorder="1" applyAlignment="1"/>
    <xf numFmtId="173" fontId="0" fillId="18" borderId="4" xfId="1" applyNumberFormat="1" applyFont="1" applyFill="1" applyBorder="1" applyAlignment="1"/>
    <xf numFmtId="173" fontId="0" fillId="16" borderId="13" xfId="1" applyNumberFormat="1" applyFont="1" applyFill="1" applyBorder="1" applyAlignment="1"/>
    <xf numFmtId="0" fontId="50" fillId="16" borderId="9" xfId="0" applyFont="1" applyFill="1" applyBorder="1" applyAlignment="1">
      <alignment horizontal="right" vertical="center"/>
    </xf>
    <xf numFmtId="0" fontId="50" fillId="16" borderId="10" xfId="0" applyFont="1" applyFill="1" applyBorder="1" applyAlignment="1">
      <alignment horizontal="right" vertical="center"/>
    </xf>
    <xf numFmtId="0" fontId="28" fillId="17" borderId="18" xfId="0" applyFont="1" applyFill="1" applyBorder="1" applyAlignment="1">
      <alignment horizontal="center" vertical="center"/>
    </xf>
    <xf numFmtId="1" fontId="28" fillId="16" borderId="10" xfId="0" applyNumberFormat="1" applyFont="1" applyFill="1" applyBorder="1" applyAlignment="1">
      <alignment vertical="center"/>
    </xf>
    <xf numFmtId="178" fontId="28" fillId="16" borderId="10" xfId="0" applyNumberFormat="1" applyFont="1" applyFill="1" applyBorder="1" applyAlignment="1">
      <alignment vertical="center"/>
    </xf>
    <xf numFmtId="173" fontId="28" fillId="16" borderId="10" xfId="1" applyNumberFormat="1" applyFont="1" applyFill="1" applyBorder="1" applyAlignment="1">
      <alignment vertical="center"/>
    </xf>
    <xf numFmtId="173" fontId="28" fillId="18" borderId="18" xfId="1" applyNumberFormat="1" applyFont="1" applyFill="1" applyBorder="1" applyAlignment="1">
      <alignment vertical="center"/>
    </xf>
    <xf numFmtId="173" fontId="28" fillId="16" borderId="11" xfId="1" applyNumberFormat="1" applyFont="1" applyFill="1" applyBorder="1" applyAlignment="1">
      <alignment vertical="center"/>
    </xf>
    <xf numFmtId="0" fontId="50" fillId="16" borderId="12" xfId="0" applyFont="1" applyFill="1" applyBorder="1" applyAlignment="1">
      <alignment horizontal="right" vertical="center"/>
    </xf>
    <xf numFmtId="0" fontId="28" fillId="17" borderId="4" xfId="0" applyFont="1" applyFill="1" applyBorder="1" applyAlignment="1">
      <alignment horizontal="center" vertical="center"/>
    </xf>
    <xf numFmtId="173" fontId="28" fillId="16" borderId="0" xfId="1" applyNumberFormat="1" applyFont="1" applyFill="1" applyBorder="1" applyAlignment="1">
      <alignment vertical="center"/>
    </xf>
    <xf numFmtId="173" fontId="28" fillId="18" borderId="4" xfId="1" applyNumberFormat="1" applyFont="1" applyFill="1" applyBorder="1" applyAlignment="1">
      <alignment vertical="center"/>
    </xf>
    <xf numFmtId="173" fontId="28" fillId="16" borderId="22" xfId="1" applyNumberFormat="1" applyFont="1" applyFill="1" applyBorder="1" applyAlignment="1">
      <alignment vertical="center"/>
    </xf>
    <xf numFmtId="0" fontId="50" fillId="16" borderId="14" xfId="0" applyFont="1" applyFill="1" applyBorder="1" applyAlignment="1">
      <alignment horizontal="right" vertical="center"/>
    </xf>
    <xf numFmtId="0" fontId="50" fillId="16" borderId="15" xfId="0" applyFont="1" applyFill="1" applyBorder="1" applyAlignment="1">
      <alignment horizontal="right" vertical="center"/>
    </xf>
    <xf numFmtId="0" fontId="28" fillId="17" borderId="43" xfId="0" applyFont="1" applyFill="1" applyBorder="1" applyAlignment="1">
      <alignment horizontal="center" vertical="center"/>
    </xf>
    <xf numFmtId="1" fontId="28" fillId="16" borderId="15" xfId="0" applyNumberFormat="1" applyFont="1" applyFill="1" applyBorder="1" applyAlignment="1">
      <alignment vertical="center"/>
    </xf>
    <xf numFmtId="178" fontId="28" fillId="16" borderId="15" xfId="0" applyNumberFormat="1" applyFont="1" applyFill="1" applyBorder="1" applyAlignment="1">
      <alignment vertical="center"/>
    </xf>
    <xf numFmtId="173" fontId="28" fillId="16" borderId="15" xfId="1" applyNumberFormat="1" applyFont="1" applyFill="1" applyBorder="1" applyAlignment="1">
      <alignment vertical="center"/>
    </xf>
    <xf numFmtId="173" fontId="28" fillId="18" borderId="43" xfId="1" applyNumberFormat="1" applyFont="1" applyFill="1" applyBorder="1" applyAlignment="1">
      <alignment vertical="center"/>
    </xf>
    <xf numFmtId="173" fontId="28" fillId="16" borderId="16" xfId="1" applyNumberFormat="1" applyFont="1" applyFill="1" applyBorder="1" applyAlignment="1">
      <alignment vertical="center"/>
    </xf>
    <xf numFmtId="0" fontId="0" fillId="16" borderId="9" xfId="0" applyFill="1" applyBorder="1" applyAlignment="1">
      <alignment horizontal="right"/>
    </xf>
    <xf numFmtId="0" fontId="0" fillId="16" borderId="10" xfId="0" applyFill="1" applyBorder="1" applyAlignment="1">
      <alignment horizontal="right"/>
    </xf>
    <xf numFmtId="2" fontId="0" fillId="16" borderId="10" xfId="0" applyNumberFormat="1" applyFill="1" applyBorder="1" applyAlignment="1">
      <alignment horizontal="center"/>
    </xf>
    <xf numFmtId="1" fontId="0" fillId="16" borderId="10" xfId="0" applyNumberFormat="1" applyFill="1" applyBorder="1" applyAlignment="1">
      <alignment horizontal="right"/>
    </xf>
    <xf numFmtId="0" fontId="0" fillId="16" borderId="10" xfId="0" applyFill="1" applyBorder="1" applyAlignment="1">
      <alignment horizontal="center"/>
    </xf>
    <xf numFmtId="2" fontId="0" fillId="16" borderId="66" xfId="0" applyNumberFormat="1" applyFill="1" applyBorder="1"/>
    <xf numFmtId="171" fontId="51" fillId="19" borderId="66" xfId="0" applyNumberFormat="1" applyFont="1" applyFill="1" applyBorder="1" applyAlignment="1">
      <alignment horizontal="center"/>
    </xf>
    <xf numFmtId="2" fontId="0" fillId="16" borderId="66" xfId="0" applyNumberFormat="1" applyFill="1" applyBorder="1" applyAlignment="1">
      <alignment horizontal="center"/>
    </xf>
    <xf numFmtId="2" fontId="0" fillId="16" borderId="67" xfId="0" applyNumberFormat="1" applyFill="1" applyBorder="1" applyAlignment="1">
      <alignment horizontal="center"/>
    </xf>
    <xf numFmtId="0" fontId="0" fillId="16" borderId="0" xfId="0" applyFill="1" applyAlignment="1">
      <alignment horizontal="right"/>
    </xf>
    <xf numFmtId="1" fontId="0" fillId="16" borderId="0" xfId="0" applyNumberFormat="1" applyFill="1"/>
    <xf numFmtId="178" fontId="0" fillId="16" borderId="0" xfId="0" applyNumberFormat="1" applyFill="1"/>
    <xf numFmtId="0" fontId="50" fillId="16" borderId="0" xfId="0" applyFont="1" applyFill="1" applyAlignment="1">
      <alignment horizontal="right" vertical="center"/>
    </xf>
    <xf numFmtId="1" fontId="28" fillId="16" borderId="0" xfId="0" applyNumberFormat="1" applyFont="1" applyFill="1" applyAlignment="1">
      <alignment vertical="center"/>
    </xf>
    <xf numFmtId="178" fontId="28" fillId="16" borderId="0" xfId="0" applyNumberFormat="1" applyFont="1" applyFill="1" applyAlignment="1">
      <alignment vertical="center"/>
    </xf>
    <xf numFmtId="0" fontId="0" fillId="16" borderId="14" xfId="0" applyFill="1" applyBorder="1" applyAlignment="1">
      <alignment horizontal="right"/>
    </xf>
    <xf numFmtId="0" fontId="0" fillId="16" borderId="15" xfId="0" applyFill="1" applyBorder="1" applyAlignment="1">
      <alignment horizontal="right"/>
    </xf>
    <xf numFmtId="2" fontId="0" fillId="16" borderId="15" xfId="0" applyNumberFormat="1" applyFill="1" applyBorder="1" applyAlignment="1">
      <alignment horizontal="center"/>
    </xf>
    <xf numFmtId="1" fontId="0" fillId="16" borderId="15" xfId="0" applyNumberFormat="1" applyFill="1" applyBorder="1" applyAlignment="1">
      <alignment horizontal="right"/>
    </xf>
    <xf numFmtId="0" fontId="0" fillId="16" borderId="15" xfId="0" applyFill="1" applyBorder="1" applyAlignment="1">
      <alignment horizontal="center"/>
    </xf>
    <xf numFmtId="2" fontId="0" fillId="16" borderId="15" xfId="0" applyNumberFormat="1" applyFill="1" applyBorder="1"/>
    <xf numFmtId="2" fontId="0" fillId="16" borderId="16" xfId="0" applyNumberFormat="1" applyFill="1" applyBorder="1" applyAlignment="1">
      <alignment horizontal="center"/>
    </xf>
    <xf numFmtId="0" fontId="52" fillId="15" borderId="9" xfId="0" applyFont="1" applyFill="1" applyBorder="1" applyAlignment="1">
      <alignment vertical="center"/>
    </xf>
    <xf numFmtId="0" fontId="0" fillId="15" borderId="10" xfId="0" applyFill="1" applyBorder="1"/>
    <xf numFmtId="0" fontId="53" fillId="15" borderId="10" xfId="0" applyFont="1" applyFill="1" applyBorder="1" applyAlignment="1">
      <alignment horizontal="right" vertical="center"/>
    </xf>
    <xf numFmtId="0" fontId="52" fillId="15" borderId="10" xfId="0" applyFont="1" applyFill="1" applyBorder="1" applyAlignment="1">
      <alignment horizontal="right" vertical="center"/>
    </xf>
    <xf numFmtId="0" fontId="52" fillId="15" borderId="11" xfId="0" applyFont="1" applyFill="1" applyBorder="1" applyAlignment="1">
      <alignment horizontal="right" vertical="center"/>
    </xf>
    <xf numFmtId="0" fontId="0" fillId="15" borderId="12" xfId="0" applyFill="1" applyBorder="1"/>
    <xf numFmtId="0" fontId="52" fillId="15" borderId="0" xfId="0" applyFont="1" applyFill="1" applyAlignment="1">
      <alignment horizontal="left" vertical="center"/>
    </xf>
    <xf numFmtId="0" fontId="0" fillId="15" borderId="0" xfId="0" applyFill="1"/>
    <xf numFmtId="0" fontId="52" fillId="15" borderId="0" xfId="0" applyFont="1" applyFill="1" applyAlignment="1">
      <alignment horizontal="right" vertical="center"/>
    </xf>
    <xf numFmtId="0" fontId="52" fillId="15" borderId="13" xfId="0" applyFont="1" applyFill="1" applyBorder="1" applyAlignment="1">
      <alignment horizontal="right" vertical="center"/>
    </xf>
    <xf numFmtId="0" fontId="0" fillId="15" borderId="13" xfId="0" applyFill="1" applyBorder="1"/>
    <xf numFmtId="175" fontId="54" fillId="15" borderId="12" xfId="0" applyNumberFormat="1" applyFont="1" applyFill="1" applyBorder="1" applyAlignment="1">
      <alignment vertical="center"/>
    </xf>
    <xf numFmtId="0" fontId="54" fillId="15" borderId="0" xfId="0" applyFont="1" applyFill="1" applyAlignment="1">
      <alignment vertical="center"/>
    </xf>
    <xf numFmtId="176" fontId="54" fillId="15" borderId="0" xfId="0" applyNumberFormat="1" applyFont="1" applyFill="1" applyAlignment="1">
      <alignment horizontal="right" vertical="center"/>
    </xf>
    <xf numFmtId="176" fontId="52" fillId="15" borderId="0" xfId="0" applyNumberFormat="1" applyFont="1" applyFill="1" applyAlignment="1">
      <alignment horizontal="right" vertical="center"/>
    </xf>
    <xf numFmtId="176" fontId="54" fillId="15" borderId="13" xfId="0" applyNumberFormat="1" applyFont="1" applyFill="1" applyBorder="1" applyAlignment="1">
      <alignment horizontal="right" vertical="center"/>
    </xf>
    <xf numFmtId="0" fontId="52" fillId="15" borderId="62" xfId="0" applyFont="1" applyFill="1" applyBorder="1" applyAlignment="1">
      <alignment horizontal="left" vertical="center"/>
    </xf>
    <xf numFmtId="0" fontId="0" fillId="15" borderId="15" xfId="0" applyFill="1" applyBorder="1"/>
    <xf numFmtId="176" fontId="52" fillId="15" borderId="63" xfId="0" applyNumberFormat="1" applyFont="1" applyFill="1" applyBorder="1" applyAlignment="1">
      <alignment horizontal="right" vertical="center"/>
    </xf>
    <xf numFmtId="176" fontId="52" fillId="15" borderId="64" xfId="0" applyNumberFormat="1" applyFont="1" applyFill="1" applyBorder="1" applyAlignment="1">
      <alignment horizontal="right" vertical="center"/>
    </xf>
    <xf numFmtId="173" fontId="28" fillId="4" borderId="13" xfId="1" applyNumberFormat="1" applyFont="1" applyFill="1" applyBorder="1" applyAlignment="1">
      <alignment vertical="center"/>
    </xf>
    <xf numFmtId="176" fontId="52" fillId="4" borderId="0" xfId="0" applyNumberFormat="1" applyFont="1" applyFill="1" applyAlignment="1">
      <alignment horizontal="right" vertical="center"/>
    </xf>
    <xf numFmtId="177" fontId="0" fillId="0" borderId="0" xfId="0" applyNumberFormat="1"/>
    <xf numFmtId="0" fontId="0" fillId="20" borderId="0" xfId="0" applyFill="1"/>
    <xf numFmtId="0" fontId="55" fillId="20" borderId="0" xfId="0" applyFont="1" applyFill="1" applyAlignment="1">
      <alignment horizontal="center"/>
    </xf>
    <xf numFmtId="1" fontId="55" fillId="20" borderId="0" xfId="0" applyNumberFormat="1" applyFont="1" applyFill="1" applyAlignment="1">
      <alignment horizontal="right"/>
    </xf>
    <xf numFmtId="1" fontId="55" fillId="20" borderId="0" xfId="0" applyNumberFormat="1" applyFont="1" applyFill="1" applyAlignment="1">
      <alignment horizontal="left"/>
    </xf>
    <xf numFmtId="1" fontId="56" fillId="20" borderId="0" xfId="0" applyNumberFormat="1" applyFont="1" applyFill="1" applyAlignment="1">
      <alignment horizontal="right"/>
    </xf>
    <xf numFmtId="1" fontId="56" fillId="20" borderId="0" xfId="0" applyNumberFormat="1" applyFont="1" applyFill="1" applyAlignment="1">
      <alignment horizontal="left"/>
    </xf>
    <xf numFmtId="0" fontId="57" fillId="20" borderId="0" xfId="0" applyFont="1" applyFill="1" applyAlignment="1">
      <alignment horizontal="left"/>
    </xf>
    <xf numFmtId="0" fontId="57" fillId="20" borderId="0" xfId="0" applyFont="1" applyFill="1" applyAlignment="1">
      <alignment horizontal="left" wrapText="1"/>
    </xf>
    <xf numFmtId="0" fontId="0" fillId="0" borderId="0" xfId="0" applyAlignment="1">
      <alignment horizontal="center"/>
    </xf>
    <xf numFmtId="0" fontId="50" fillId="16" borderId="12" xfId="0" applyFont="1" applyFill="1" applyBorder="1" applyAlignment="1">
      <alignment horizontal="right"/>
    </xf>
    <xf numFmtId="0" fontId="50" fillId="16" borderId="0" xfId="0" applyFont="1" applyFill="1" applyAlignment="1">
      <alignment horizontal="right"/>
    </xf>
    <xf numFmtId="173" fontId="0" fillId="16" borderId="0" xfId="1" applyNumberFormat="1" applyFont="1" applyFill="1" applyAlignment="1"/>
    <xf numFmtId="0" fontId="50" fillId="16" borderId="12" xfId="0" applyFont="1" applyFill="1" applyBorder="1" applyAlignment="1">
      <alignment horizontal="right" vertical="top"/>
    </xf>
    <xf numFmtId="0" fontId="50" fillId="16" borderId="0" xfId="0" applyFont="1" applyFill="1" applyAlignment="1">
      <alignment horizontal="right" vertical="top"/>
    </xf>
    <xf numFmtId="0" fontId="28" fillId="17" borderId="4" xfId="0" applyFont="1" applyFill="1" applyBorder="1" applyAlignment="1">
      <alignment horizontal="center" vertical="top"/>
    </xf>
    <xf numFmtId="1" fontId="58" fillId="16" borderId="0" xfId="0" applyNumberFormat="1" applyFont="1" applyFill="1" applyAlignment="1">
      <alignment vertical="top"/>
    </xf>
    <xf numFmtId="178" fontId="58" fillId="16" borderId="0" xfId="0" applyNumberFormat="1" applyFont="1" applyFill="1" applyAlignment="1">
      <alignment vertical="top"/>
    </xf>
    <xf numFmtId="173" fontId="58" fillId="16" borderId="0" xfId="1" applyNumberFormat="1" applyFont="1" applyFill="1" applyAlignment="1">
      <alignment vertical="top"/>
    </xf>
    <xf numFmtId="173" fontId="58" fillId="18" borderId="4" xfId="1" applyNumberFormat="1" applyFont="1" applyFill="1" applyBorder="1" applyAlignment="1">
      <alignment vertical="top"/>
    </xf>
    <xf numFmtId="173" fontId="27" fillId="16" borderId="19" xfId="1" applyNumberFormat="1" applyFont="1" applyFill="1" applyBorder="1" applyAlignment="1">
      <alignment vertical="center"/>
    </xf>
    <xf numFmtId="173" fontId="27" fillId="16" borderId="15" xfId="1" applyNumberFormat="1" applyFont="1" applyFill="1" applyBorder="1" applyAlignment="1">
      <alignment vertical="center"/>
    </xf>
    <xf numFmtId="173" fontId="58" fillId="16" borderId="13" xfId="1" applyNumberFormat="1" applyFont="1" applyFill="1" applyBorder="1" applyAlignment="1">
      <alignment vertical="top"/>
    </xf>
    <xf numFmtId="173" fontId="28" fillId="16" borderId="44" xfId="1" applyNumberFormat="1" applyFont="1" applyFill="1" applyBorder="1" applyAlignment="1">
      <alignment vertical="center"/>
    </xf>
    <xf numFmtId="173" fontId="28" fillId="16" borderId="0" xfId="1" applyNumberFormat="1" applyFont="1" applyFill="1" applyAlignment="1">
      <alignment vertical="center"/>
    </xf>
    <xf numFmtId="173" fontId="28" fillId="16" borderId="13" xfId="1" applyNumberFormat="1" applyFont="1" applyFill="1" applyBorder="1" applyAlignment="1">
      <alignment vertical="center"/>
    </xf>
    <xf numFmtId="2" fontId="0" fillId="16" borderId="0" xfId="0" applyNumberFormat="1" applyFill="1" applyAlignment="1">
      <alignment horizontal="center"/>
    </xf>
    <xf numFmtId="1" fontId="0" fillId="16" borderId="0" xfId="0" applyNumberFormat="1" applyFill="1" applyAlignment="1">
      <alignment horizontal="right"/>
    </xf>
    <xf numFmtId="0" fontId="0" fillId="16" borderId="0" xfId="0" applyFill="1" applyAlignment="1">
      <alignment horizontal="center"/>
    </xf>
    <xf numFmtId="2" fontId="0" fillId="16" borderId="2" xfId="0" applyNumberFormat="1" applyFill="1" applyBorder="1"/>
    <xf numFmtId="171" fontId="51" fillId="19" borderId="2" xfId="0" applyNumberFormat="1" applyFont="1" applyFill="1" applyBorder="1" applyAlignment="1">
      <alignment horizontal="center"/>
    </xf>
    <xf numFmtId="2" fontId="0" fillId="16" borderId="2" xfId="0" applyNumberFormat="1" applyFill="1" applyBorder="1" applyAlignment="1">
      <alignment horizontal="center"/>
    </xf>
    <xf numFmtId="2" fontId="0" fillId="16" borderId="68" xfId="0" applyNumberFormat="1" applyFill="1" applyBorder="1" applyAlignment="1">
      <alignment horizontal="center"/>
    </xf>
    <xf numFmtId="4" fontId="0" fillId="16" borderId="0" xfId="0" applyNumberFormat="1" applyFill="1"/>
    <xf numFmtId="4" fontId="0" fillId="16" borderId="0" xfId="0" applyNumberFormat="1" applyFill="1" applyAlignment="1">
      <alignment horizontal="center"/>
    </xf>
    <xf numFmtId="4" fontId="0" fillId="16" borderId="13" xfId="0" applyNumberFormat="1" applyFill="1" applyBorder="1" applyAlignment="1">
      <alignment horizontal="center"/>
    </xf>
    <xf numFmtId="176" fontId="54" fillId="4" borderId="0" xfId="0" applyNumberFormat="1" applyFont="1" applyFill="1" applyAlignment="1">
      <alignment horizontal="right" vertical="center"/>
    </xf>
    <xf numFmtId="2" fontId="0" fillId="16" borderId="0" xfId="0" applyNumberFormat="1" applyFill="1"/>
    <xf numFmtId="2" fontId="0" fillId="16" borderId="13" xfId="0" applyNumberFormat="1" applyFill="1" applyBorder="1" applyAlignment="1">
      <alignment horizontal="center"/>
    </xf>
    <xf numFmtId="0" fontId="28" fillId="17" borderId="0" xfId="0" applyFont="1" applyFill="1" applyAlignment="1">
      <alignment horizontal="center" vertical="center"/>
    </xf>
    <xf numFmtId="173" fontId="28" fillId="18" borderId="0" xfId="1" applyNumberFormat="1" applyFont="1" applyFill="1" applyBorder="1" applyAlignment="1">
      <alignment vertical="center"/>
    </xf>
    <xf numFmtId="173" fontId="59" fillId="0" borderId="0" xfId="0" applyNumberFormat="1" applyFont="1"/>
    <xf numFmtId="0" fontId="60" fillId="15" borderId="10" xfId="0" applyFont="1" applyFill="1" applyBorder="1"/>
    <xf numFmtId="0" fontId="60" fillId="15" borderId="12" xfId="0" applyFont="1" applyFill="1" applyBorder="1"/>
    <xf numFmtId="0" fontId="60" fillId="15" borderId="0" xfId="0" applyFont="1" applyFill="1"/>
    <xf numFmtId="0" fontId="60" fillId="15" borderId="13" xfId="0" applyFont="1" applyFill="1" applyBorder="1"/>
    <xf numFmtId="0" fontId="60" fillId="15" borderId="15" xfId="0" applyFont="1" applyFill="1" applyBorder="1"/>
    <xf numFmtId="0" fontId="31" fillId="0" borderId="0" xfId="0" applyFont="1"/>
    <xf numFmtId="173" fontId="2" fillId="0" borderId="0" xfId="0" applyNumberFormat="1" applyFont="1" applyAlignment="1">
      <alignment wrapText="1"/>
    </xf>
    <xf numFmtId="181" fontId="38" fillId="0" borderId="0" xfId="0" applyNumberFormat="1" applyFont="1" applyAlignment="1">
      <alignment horizontal="center" vertical="center"/>
    </xf>
    <xf numFmtId="0" fontId="52" fillId="20" borderId="0" xfId="0" applyFont="1" applyFill="1" applyAlignment="1">
      <alignment horizontal="left" vertical="center"/>
    </xf>
    <xf numFmtId="2" fontId="52" fillId="20" borderId="0" xfId="0" applyNumberFormat="1" applyFont="1" applyFill="1" applyAlignment="1">
      <alignment horizontal="center" vertical="center"/>
    </xf>
    <xf numFmtId="1" fontId="0" fillId="20" borderId="0" xfId="0" applyNumberFormat="1" applyFill="1"/>
    <xf numFmtId="2" fontId="0" fillId="20" borderId="0" xfId="0" applyNumberFormat="1" applyFill="1"/>
    <xf numFmtId="176" fontId="52" fillId="20" borderId="0" xfId="0" applyNumberFormat="1" applyFont="1" applyFill="1" applyAlignment="1">
      <alignment horizontal="right" vertical="center"/>
    </xf>
    <xf numFmtId="176" fontId="52" fillId="20" borderId="0" xfId="0" applyNumberFormat="1" applyFont="1" applyFill="1" applyAlignment="1">
      <alignment horizontal="right" vertical="center" wrapText="1"/>
    </xf>
    <xf numFmtId="0" fontId="0" fillId="0" borderId="0" xfId="0" applyAlignment="1">
      <alignment horizontal="right"/>
    </xf>
    <xf numFmtId="0" fontId="0" fillId="0" borderId="0" xfId="0" applyAlignment="1">
      <alignment horizontal="center" wrapText="1"/>
    </xf>
    <xf numFmtId="0" fontId="28" fillId="17" borderId="10" xfId="0" applyFont="1" applyFill="1" applyBorder="1" applyAlignment="1">
      <alignment horizontal="center" vertical="center"/>
    </xf>
    <xf numFmtId="173" fontId="28" fillId="18" borderId="10" xfId="1" applyNumberFormat="1" applyFont="1" applyFill="1" applyBorder="1" applyAlignment="1">
      <alignment vertical="center"/>
    </xf>
    <xf numFmtId="0" fontId="28" fillId="17" borderId="15" xfId="0" applyFont="1" applyFill="1" applyBorder="1" applyAlignment="1">
      <alignment horizontal="center" vertical="center"/>
    </xf>
    <xf numFmtId="173" fontId="28" fillId="18" borderId="15" xfId="1" applyNumberFormat="1" applyFont="1" applyFill="1" applyBorder="1" applyAlignment="1">
      <alignment vertical="center"/>
    </xf>
    <xf numFmtId="166" fontId="0" fillId="0" borderId="0" xfId="1" applyFont="1" applyAlignment="1">
      <alignment horizontal="center"/>
    </xf>
    <xf numFmtId="0" fontId="57" fillId="20" borderId="0" xfId="0" applyFont="1" applyFill="1"/>
    <xf numFmtId="166" fontId="52" fillId="5" borderId="24" xfId="1" applyFont="1" applyFill="1" applyBorder="1" applyAlignment="1">
      <alignment horizontal="left" vertical="center"/>
    </xf>
    <xf numFmtId="0" fontId="54" fillId="5" borderId="24" xfId="0" applyFont="1" applyFill="1" applyBorder="1" applyAlignment="1">
      <alignment vertical="center"/>
    </xf>
    <xf numFmtId="166" fontId="52" fillId="5" borderId="41" xfId="1" applyFont="1" applyFill="1" applyBorder="1" applyAlignment="1">
      <alignment horizontal="left" vertical="center"/>
    </xf>
    <xf numFmtId="0" fontId="0" fillId="5" borderId="24" xfId="0" applyFill="1" applyBorder="1"/>
    <xf numFmtId="164" fontId="13" fillId="5" borderId="24" xfId="0" applyNumberFormat="1" applyFont="1" applyFill="1" applyBorder="1"/>
    <xf numFmtId="0" fontId="62" fillId="5" borderId="42" xfId="0" applyFont="1" applyFill="1" applyBorder="1" applyAlignment="1">
      <alignment horizontal="right" vertical="center" wrapText="1"/>
    </xf>
    <xf numFmtId="164" fontId="0" fillId="5" borderId="38" xfId="0" applyNumberFormat="1" applyFill="1" applyBorder="1"/>
    <xf numFmtId="164" fontId="0" fillId="5" borderId="41" xfId="0" applyNumberFormat="1" applyFill="1" applyBorder="1"/>
    <xf numFmtId="0" fontId="0" fillId="5" borderId="42" xfId="0" applyFill="1" applyBorder="1"/>
    <xf numFmtId="0" fontId="0" fillId="5" borderId="38" xfId="0" applyFill="1" applyBorder="1"/>
    <xf numFmtId="0" fontId="0" fillId="5" borderId="41" xfId="0" applyFill="1" applyBorder="1"/>
    <xf numFmtId="173" fontId="2" fillId="0" borderId="0" xfId="1" applyNumberFormat="1" applyFont="1" applyFill="1" applyBorder="1" applyAlignment="1">
      <alignment horizontal="right" vertical="center"/>
    </xf>
    <xf numFmtId="0" fontId="31" fillId="0" borderId="13" xfId="0" applyFont="1" applyBorder="1"/>
    <xf numFmtId="0" fontId="0" fillId="5" borderId="42" xfId="0" applyFill="1" applyBorder="1" applyAlignment="1">
      <alignment horizontal="center"/>
    </xf>
    <xf numFmtId="0" fontId="63" fillId="5" borderId="41" xfId="0" applyFont="1" applyFill="1" applyBorder="1" applyAlignment="1">
      <alignment horizontal="right"/>
    </xf>
    <xf numFmtId="0" fontId="62" fillId="22" borderId="0" xfId="0" applyFont="1" applyFill="1" applyAlignment="1">
      <alignment vertical="center"/>
    </xf>
    <xf numFmtId="4" fontId="62" fillId="22" borderId="0" xfId="0" applyNumberFormat="1" applyFont="1" applyFill="1" applyAlignment="1">
      <alignment horizontal="right" vertical="center"/>
    </xf>
    <xf numFmtId="0" fontId="62" fillId="23" borderId="0" xfId="0" applyFont="1" applyFill="1" applyAlignment="1">
      <alignment vertical="center"/>
    </xf>
    <xf numFmtId="0" fontId="62" fillId="23" borderId="0" xfId="0" applyFont="1" applyFill="1" applyAlignment="1">
      <alignment horizontal="right" vertical="center"/>
    </xf>
    <xf numFmtId="10" fontId="38" fillId="0" borderId="0" xfId="0" applyNumberFormat="1" applyFont="1" applyAlignment="1">
      <alignment horizontal="center" vertical="center"/>
    </xf>
    <xf numFmtId="0" fontId="65" fillId="0" borderId="0" xfId="0" applyFont="1" applyAlignment="1">
      <alignment horizontal="left" vertical="center"/>
    </xf>
    <xf numFmtId="0" fontId="2" fillId="0" borderId="0" xfId="0" applyFont="1" applyAlignment="1">
      <alignment horizontal="center" wrapText="1"/>
    </xf>
    <xf numFmtId="174" fontId="31" fillId="0" borderId="0" xfId="0" applyNumberFormat="1" applyFont="1"/>
    <xf numFmtId="174" fontId="2" fillId="8" borderId="0" xfId="0" applyNumberFormat="1" applyFont="1" applyFill="1"/>
    <xf numFmtId="174" fontId="2" fillId="5" borderId="0" xfId="0" applyNumberFormat="1" applyFont="1" applyFill="1"/>
    <xf numFmtId="0" fontId="30" fillId="0" borderId="0" xfId="0" applyFont="1" applyAlignment="1">
      <alignment horizontal="center"/>
    </xf>
    <xf numFmtId="0" fontId="33" fillId="0" borderId="0" xfId="0" applyFont="1"/>
    <xf numFmtId="174" fontId="31" fillId="0" borderId="0" xfId="0" applyNumberFormat="1" applyFont="1" applyAlignment="1">
      <alignment horizontal="center"/>
    </xf>
    <xf numFmtId="174" fontId="61" fillId="0" borderId="0" xfId="0" applyNumberFormat="1" applyFont="1" applyAlignment="1">
      <alignment horizontal="center"/>
    </xf>
    <xf numFmtId="174" fontId="2" fillId="21" borderId="0" xfId="0" applyNumberFormat="1" applyFont="1" applyFill="1" applyAlignment="1">
      <alignment horizontal="center"/>
    </xf>
    <xf numFmtId="174" fontId="2" fillId="0" borderId="0" xfId="0" applyNumberFormat="1" applyFont="1" applyAlignment="1">
      <alignment wrapText="1"/>
    </xf>
    <xf numFmtId="174" fontId="33" fillId="8" borderId="0" xfId="0" applyNumberFormat="1" applyFont="1" applyFill="1"/>
    <xf numFmtId="0" fontId="34" fillId="8" borderId="12" xfId="0" applyFont="1" applyFill="1" applyBorder="1" applyAlignment="1">
      <alignment wrapText="1"/>
    </xf>
    <xf numFmtId="0" fontId="2" fillId="8" borderId="12" xfId="0" applyFont="1" applyFill="1" applyBorder="1" applyAlignment="1">
      <alignment wrapText="1"/>
    </xf>
    <xf numFmtId="173" fontId="33" fillId="0" borderId="0" xfId="0" applyNumberFormat="1" applyFont="1"/>
    <xf numFmtId="0" fontId="2" fillId="0" borderId="13" xfId="0" applyFont="1" applyBorder="1" applyAlignment="1">
      <alignment horizontal="center" wrapText="1"/>
    </xf>
    <xf numFmtId="173" fontId="2" fillId="4" borderId="15" xfId="0" applyNumberFormat="1" applyFont="1" applyFill="1" applyBorder="1"/>
    <xf numFmtId="0" fontId="2" fillId="4" borderId="15" xfId="0" applyFont="1" applyFill="1" applyBorder="1"/>
    <xf numFmtId="174" fontId="2" fillId="4" borderId="15" xfId="0" applyNumberFormat="1" applyFont="1" applyFill="1" applyBorder="1"/>
    <xf numFmtId="0" fontId="38" fillId="0" borderId="0" xfId="0" applyFont="1" applyAlignment="1">
      <alignment horizontal="left" vertical="center" wrapText="1"/>
    </xf>
    <xf numFmtId="173" fontId="38" fillId="0" borderId="0" xfId="0" applyNumberFormat="1" applyFont="1" applyAlignment="1">
      <alignment horizontal="left" vertical="center" wrapText="1"/>
    </xf>
    <xf numFmtId="173" fontId="38" fillId="4" borderId="0" xfId="0" applyNumberFormat="1" applyFont="1" applyFill="1" applyAlignment="1">
      <alignment horizontal="left" vertical="center" wrapText="1"/>
    </xf>
    <xf numFmtId="173" fontId="38" fillId="8" borderId="0" xfId="0" applyNumberFormat="1" applyFont="1" applyFill="1" applyAlignment="1">
      <alignment horizontal="left" vertical="center" wrapText="1"/>
    </xf>
    <xf numFmtId="0" fontId="38" fillId="0" borderId="13" xfId="0" applyFont="1" applyBorder="1" applyAlignment="1">
      <alignment horizontal="left" vertical="center" wrapText="1"/>
    </xf>
    <xf numFmtId="0" fontId="38" fillId="0" borderId="16" xfId="0" applyFont="1" applyBorder="1" applyAlignment="1">
      <alignment horizontal="left" vertical="center" wrapText="1"/>
    </xf>
    <xf numFmtId="0" fontId="38" fillId="0" borderId="11" xfId="0" applyFont="1" applyBorder="1" applyAlignment="1">
      <alignment horizontal="left" vertical="center" wrapText="1"/>
    </xf>
    <xf numFmtId="0" fontId="38" fillId="5" borderId="0" xfId="0" applyFont="1" applyFill="1" applyAlignment="1">
      <alignment horizontal="left" vertical="center" wrapText="1"/>
    </xf>
    <xf numFmtId="174" fontId="2" fillId="0" borderId="70" xfId="0" applyNumberFormat="1" applyFont="1" applyBorder="1"/>
    <xf numFmtId="173" fontId="2" fillId="0" borderId="70" xfId="0" applyNumberFormat="1" applyFont="1" applyBorder="1"/>
    <xf numFmtId="0" fontId="2" fillId="0" borderId="70" xfId="0" applyFont="1" applyBorder="1"/>
    <xf numFmtId="174" fontId="33" fillId="0" borderId="70" xfId="0" applyNumberFormat="1" applyFont="1" applyBorder="1"/>
    <xf numFmtId="0" fontId="31" fillId="0" borderId="70" xfId="0" applyFont="1" applyBorder="1"/>
    <xf numFmtId="0" fontId="2" fillId="8" borderId="0" xfId="0" applyFont="1" applyFill="1" applyAlignment="1">
      <alignment wrapText="1"/>
    </xf>
    <xf numFmtId="0" fontId="2" fillId="0" borderId="69" xfId="0" applyFont="1" applyBorder="1"/>
    <xf numFmtId="0" fontId="2" fillId="0" borderId="49" xfId="0" applyFont="1" applyBorder="1"/>
    <xf numFmtId="0" fontId="2" fillId="2" borderId="0" xfId="0" applyFont="1" applyFill="1"/>
    <xf numFmtId="0" fontId="30" fillId="8" borderId="24" xfId="0" applyFont="1" applyFill="1" applyBorder="1" applyAlignment="1">
      <alignment wrapText="1"/>
    </xf>
    <xf numFmtId="174" fontId="33" fillId="4" borderId="70" xfId="0" applyNumberFormat="1" applyFont="1" applyFill="1" applyBorder="1"/>
    <xf numFmtId="174" fontId="2" fillId="5" borderId="70" xfId="0" applyNumberFormat="1" applyFont="1" applyFill="1" applyBorder="1"/>
    <xf numFmtId="0" fontId="31" fillId="0" borderId="0" xfId="0" applyFont="1" applyAlignment="1">
      <alignment wrapText="1"/>
    </xf>
    <xf numFmtId="0" fontId="61" fillId="0" borderId="0" xfId="0" applyFont="1"/>
    <xf numFmtId="0" fontId="30" fillId="0" borderId="0" xfId="0" applyFont="1" applyAlignment="1">
      <alignment wrapText="1"/>
    </xf>
    <xf numFmtId="0" fontId="35" fillId="0" borderId="0" xfId="0" applyFont="1"/>
    <xf numFmtId="0" fontId="13" fillId="8" borderId="0" xfId="0" applyFont="1" applyFill="1" applyAlignment="1">
      <alignment horizontal="center"/>
    </xf>
    <xf numFmtId="0" fontId="66" fillId="0" borderId="0" xfId="0" applyFont="1" applyAlignment="1">
      <alignment horizontal="center"/>
    </xf>
    <xf numFmtId="0" fontId="13" fillId="0" borderId="0" xfId="0" applyFont="1" applyAlignment="1">
      <alignment horizontal="center"/>
    </xf>
    <xf numFmtId="173" fontId="30" fillId="0" borderId="0" xfId="0" applyNumberFormat="1" applyFont="1" applyAlignment="1">
      <alignment horizontal="center" wrapText="1"/>
    </xf>
    <xf numFmtId="17" fontId="2" fillId="0" borderId="0" xfId="0" applyNumberFormat="1" applyFont="1" applyAlignment="1">
      <alignment horizontal="center" wrapText="1"/>
    </xf>
    <xf numFmtId="173" fontId="30" fillId="0" borderId="0" xfId="0" applyNumberFormat="1" applyFont="1"/>
    <xf numFmtId="17" fontId="33" fillId="0" borderId="0" xfId="0" applyNumberFormat="1" applyFont="1"/>
    <xf numFmtId="17" fontId="2" fillId="0" borderId="0" xfId="0" applyNumberFormat="1" applyFont="1" applyAlignment="1">
      <alignment horizontal="center"/>
    </xf>
    <xf numFmtId="173" fontId="32" fillId="0" borderId="0" xfId="0" applyNumberFormat="1" applyFont="1" applyAlignment="1">
      <alignment wrapText="1"/>
    </xf>
    <xf numFmtId="173" fontId="2" fillId="4" borderId="0" xfId="0" applyNumberFormat="1" applyFont="1" applyFill="1"/>
    <xf numFmtId="182" fontId="2" fillId="0" borderId="0" xfId="0" applyNumberFormat="1" applyFont="1"/>
    <xf numFmtId="173" fontId="31" fillId="5" borderId="0" xfId="0" applyNumberFormat="1" applyFont="1" applyFill="1" applyAlignment="1">
      <alignment wrapText="1"/>
    </xf>
    <xf numFmtId="173" fontId="2" fillId="4" borderId="0" xfId="0" applyNumberFormat="1" applyFont="1" applyFill="1" applyAlignment="1">
      <alignment wrapText="1"/>
    </xf>
    <xf numFmtId="0" fontId="31" fillId="5" borderId="0" xfId="0" applyFont="1" applyFill="1" applyAlignment="1">
      <alignment wrapText="1"/>
    </xf>
    <xf numFmtId="183" fontId="2" fillId="4" borderId="0" xfId="0" applyNumberFormat="1" applyFont="1" applyFill="1"/>
    <xf numFmtId="173" fontId="36" fillId="0" borderId="0" xfId="0" applyNumberFormat="1" applyFont="1"/>
    <xf numFmtId="173" fontId="31" fillId="0" borderId="0" xfId="0" applyNumberFormat="1" applyFont="1"/>
    <xf numFmtId="0" fontId="32" fillId="5" borderId="0" xfId="0" applyFont="1" applyFill="1" applyAlignment="1">
      <alignment wrapText="1"/>
    </xf>
    <xf numFmtId="173" fontId="34" fillId="0" borderId="0" xfId="0" applyNumberFormat="1" applyFont="1" applyAlignment="1">
      <alignment wrapText="1"/>
    </xf>
    <xf numFmtId="0" fontId="30" fillId="5" borderId="0" xfId="0" applyFont="1" applyFill="1" applyAlignment="1">
      <alignment wrapText="1"/>
    </xf>
    <xf numFmtId="0" fontId="30" fillId="5" borderId="0" xfId="0" applyFont="1" applyFill="1" applyAlignment="1">
      <alignment horizontal="center"/>
    </xf>
    <xf numFmtId="0" fontId="2" fillId="0" borderId="0" xfId="0" applyFont="1" applyAlignment="1">
      <alignment horizontal="center"/>
    </xf>
    <xf numFmtId="174" fontId="61" fillId="0" borderId="0" xfId="0" applyNumberFormat="1" applyFont="1"/>
    <xf numFmtId="0" fontId="2" fillId="0" borderId="0" xfId="0" applyFont="1" applyAlignment="1">
      <alignment horizontal="left" wrapText="1"/>
    </xf>
    <xf numFmtId="0" fontId="64" fillId="0" borderId="0" xfId="0" applyFont="1" applyAlignment="1">
      <alignment horizontal="left" wrapText="1"/>
    </xf>
    <xf numFmtId="0" fontId="31" fillId="0" borderId="0" xfId="0" applyFont="1" applyAlignment="1">
      <alignment horizontal="left" wrapText="1"/>
    </xf>
    <xf numFmtId="173" fontId="31" fillId="4" borderId="0" xfId="0" applyNumberFormat="1" applyFont="1" applyFill="1"/>
    <xf numFmtId="174" fontId="31" fillId="4" borderId="0" xfId="0" applyNumberFormat="1" applyFont="1" applyFill="1"/>
    <xf numFmtId="184" fontId="33" fillId="4" borderId="0" xfId="0" applyNumberFormat="1" applyFont="1" applyFill="1"/>
    <xf numFmtId="173" fontId="33" fillId="4" borderId="0" xfId="0" applyNumberFormat="1" applyFont="1" applyFill="1"/>
    <xf numFmtId="0" fontId="34" fillId="0" borderId="0" xfId="0" applyFont="1" applyAlignment="1">
      <alignment horizontal="left" wrapText="1"/>
    </xf>
    <xf numFmtId="0" fontId="2" fillId="4" borderId="0" xfId="0" applyFont="1" applyFill="1"/>
    <xf numFmtId="173" fontId="30" fillId="4" borderId="0" xfId="0" applyNumberFormat="1" applyFont="1" applyFill="1" applyAlignment="1">
      <alignment wrapText="1"/>
    </xf>
    <xf numFmtId="173" fontId="30" fillId="0" borderId="0" xfId="0" applyNumberFormat="1" applyFont="1" applyAlignment="1">
      <alignment wrapText="1"/>
    </xf>
    <xf numFmtId="0" fontId="2" fillId="12" borderId="0" xfId="0" applyFont="1" applyFill="1" applyAlignment="1">
      <alignment wrapText="1"/>
    </xf>
    <xf numFmtId="174" fontId="33" fillId="12" borderId="0" xfId="0" applyNumberFormat="1" applyFont="1" applyFill="1"/>
    <xf numFmtId="173" fontId="2" fillId="12" borderId="0" xfId="0" applyNumberFormat="1" applyFont="1" applyFill="1"/>
    <xf numFmtId="174" fontId="33" fillId="24" borderId="0" xfId="0" applyNumberFormat="1" applyFont="1" applyFill="1"/>
    <xf numFmtId="179" fontId="2" fillId="4" borderId="0" xfId="0" applyNumberFormat="1" applyFont="1" applyFill="1"/>
    <xf numFmtId="180" fontId="2" fillId="0" borderId="0" xfId="0" applyNumberFormat="1" applyFont="1"/>
    <xf numFmtId="0" fontId="2" fillId="7" borderId="0" xfId="0" applyFont="1" applyFill="1" applyAlignment="1">
      <alignment wrapText="1"/>
    </xf>
    <xf numFmtId="173" fontId="2" fillId="7" borderId="0" xfId="0" applyNumberFormat="1" applyFont="1" applyFill="1"/>
    <xf numFmtId="0" fontId="2" fillId="7" borderId="0" xfId="0" applyFont="1" applyFill="1"/>
    <xf numFmtId="174" fontId="2" fillId="7" borderId="0" xfId="0" applyNumberFormat="1" applyFont="1" applyFill="1"/>
    <xf numFmtId="174" fontId="33" fillId="7" borderId="0" xfId="0" applyNumberFormat="1" applyFont="1" applyFill="1"/>
    <xf numFmtId="0" fontId="2" fillId="0" borderId="9" xfId="0" applyFont="1" applyBorder="1"/>
    <xf numFmtId="0" fontId="2" fillId="0" borderId="10" xfId="0" applyFont="1" applyBorder="1" applyAlignment="1">
      <alignment wrapText="1"/>
    </xf>
    <xf numFmtId="0" fontId="2" fillId="0" borderId="10" xfId="0" applyFont="1" applyBorder="1"/>
    <xf numFmtId="17" fontId="2" fillId="7" borderId="10" xfId="0" applyNumberFormat="1" applyFont="1" applyFill="1" applyBorder="1"/>
    <xf numFmtId="17" fontId="2" fillId="7" borderId="11" xfId="0" applyNumberFormat="1" applyFont="1" applyFill="1" applyBorder="1"/>
    <xf numFmtId="0" fontId="2" fillId="0" borderId="12" xfId="0" applyFont="1" applyBorder="1"/>
    <xf numFmtId="0" fontId="31" fillId="0" borderId="12" xfId="0" applyFont="1" applyBorder="1"/>
    <xf numFmtId="0" fontId="2" fillId="0" borderId="14" xfId="0" applyFont="1" applyBorder="1"/>
    <xf numFmtId="0" fontId="2" fillId="4" borderId="15" xfId="0" applyFont="1" applyFill="1" applyBorder="1" applyAlignment="1">
      <alignment wrapText="1"/>
    </xf>
    <xf numFmtId="174" fontId="2" fillId="4" borderId="16" xfId="0" applyNumberFormat="1" applyFont="1" applyFill="1" applyBorder="1"/>
    <xf numFmtId="174" fontId="2" fillId="8" borderId="70" xfId="0" applyNumberFormat="1" applyFont="1" applyFill="1" applyBorder="1"/>
    <xf numFmtId="173" fontId="2" fillId="4" borderId="70" xfId="0" applyNumberFormat="1" applyFont="1" applyFill="1" applyBorder="1"/>
    <xf numFmtId="174" fontId="31" fillId="4" borderId="70" xfId="0" applyNumberFormat="1" applyFont="1" applyFill="1" applyBorder="1"/>
    <xf numFmtId="173" fontId="2" fillId="4" borderId="13" xfId="0" applyNumberFormat="1" applyFont="1" applyFill="1" applyBorder="1"/>
    <xf numFmtId="164" fontId="0" fillId="5" borderId="0" xfId="0" applyNumberFormat="1" applyFill="1"/>
    <xf numFmtId="164" fontId="0" fillId="2" borderId="0" xfId="0" applyNumberFormat="1" applyFill="1"/>
    <xf numFmtId="164" fontId="0" fillId="14" borderId="0" xfId="0" applyNumberFormat="1" applyFill="1"/>
    <xf numFmtId="164" fontId="0" fillId="25" borderId="0" xfId="0" applyNumberFormat="1" applyFill="1"/>
    <xf numFmtId="164" fontId="0" fillId="26" borderId="0" xfId="0" applyNumberFormat="1" applyFill="1"/>
    <xf numFmtId="164" fontId="0" fillId="27" borderId="0" xfId="0" applyNumberFormat="1" applyFill="1"/>
    <xf numFmtId="164" fontId="0" fillId="28" borderId="0" xfId="0" applyNumberFormat="1" applyFill="1"/>
    <xf numFmtId="164" fontId="0" fillId="16" borderId="0" xfId="0" applyNumberFormat="1" applyFill="1"/>
    <xf numFmtId="164" fontId="0" fillId="12" borderId="0" xfId="0" applyNumberFormat="1" applyFill="1"/>
    <xf numFmtId="164" fontId="0" fillId="0" borderId="0" xfId="0" applyNumberFormat="1"/>
    <xf numFmtId="164" fontId="19" fillId="0" borderId="0" xfId="0" applyNumberFormat="1" applyFont="1"/>
    <xf numFmtId="164" fontId="28" fillId="0" borderId="0" xfId="0" applyNumberFormat="1" applyFont="1"/>
    <xf numFmtId="164" fontId="28" fillId="5" borderId="0" xfId="0" applyNumberFormat="1" applyFont="1" applyFill="1"/>
    <xf numFmtId="164" fontId="28" fillId="2" borderId="0" xfId="0" applyNumberFormat="1" applyFont="1" applyFill="1"/>
    <xf numFmtId="164" fontId="28" fillId="14" borderId="0" xfId="0" applyNumberFormat="1" applyFont="1" applyFill="1"/>
    <xf numFmtId="164" fontId="28" fillId="25" borderId="0" xfId="0" applyNumberFormat="1" applyFont="1" applyFill="1"/>
    <xf numFmtId="165" fontId="0" fillId="0" borderId="0" xfId="0" applyNumberFormat="1"/>
    <xf numFmtId="164" fontId="0" fillId="0" borderId="0" xfId="0" applyNumberFormat="1" applyAlignment="1">
      <alignment horizontal="center"/>
    </xf>
    <xf numFmtId="165" fontId="0" fillId="0" borderId="0" xfId="0" applyNumberFormat="1" applyAlignment="1">
      <alignment horizontal="center"/>
    </xf>
    <xf numFmtId="0" fontId="16" fillId="0" borderId="0" xfId="0" applyFont="1" applyAlignment="1">
      <alignment wrapText="1"/>
    </xf>
    <xf numFmtId="0" fontId="42" fillId="0" borderId="0" xfId="0" applyFont="1"/>
    <xf numFmtId="0" fontId="0" fillId="0" borderId="1" xfId="0" applyBorder="1" applyAlignment="1">
      <alignment horizontal="center"/>
    </xf>
    <xf numFmtId="0" fontId="13" fillId="0" borderId="1" xfId="0" applyFont="1" applyBorder="1" applyAlignment="1">
      <alignment horizontal="center"/>
    </xf>
    <xf numFmtId="49" fontId="0" fillId="0" borderId="1" xfId="0" applyNumberFormat="1" applyBorder="1"/>
    <xf numFmtId="4" fontId="0" fillId="0" borderId="1" xfId="0" applyNumberFormat="1" applyBorder="1"/>
    <xf numFmtId="4" fontId="0" fillId="4" borderId="1" xfId="0" applyNumberFormat="1" applyFill="1" applyBorder="1"/>
    <xf numFmtId="0" fontId="35" fillId="2" borderId="0" xfId="0" applyFont="1" applyFill="1"/>
    <xf numFmtId="173" fontId="29" fillId="5" borderId="12" xfId="0" applyNumberFormat="1" applyFont="1" applyFill="1" applyBorder="1" applyAlignment="1">
      <alignment wrapText="1"/>
    </xf>
    <xf numFmtId="0" fontId="7" fillId="0" borderId="12" xfId="0" applyFont="1" applyBorder="1" applyAlignment="1">
      <alignment horizontal="center"/>
    </xf>
    <xf numFmtId="173" fontId="31" fillId="5" borderId="12" xfId="0" applyNumberFormat="1" applyFont="1" applyFill="1" applyBorder="1" applyAlignment="1">
      <alignment wrapText="1"/>
    </xf>
    <xf numFmtId="0" fontId="67" fillId="0" borderId="12" xfId="0" applyFont="1" applyBorder="1" applyAlignment="1">
      <alignment horizontal="center" vertical="center" textRotation="255"/>
    </xf>
    <xf numFmtId="174" fontId="31" fillId="0" borderId="70" xfId="0" applyNumberFormat="1" applyFont="1" applyBorder="1"/>
    <xf numFmtId="174" fontId="33" fillId="0" borderId="49" xfId="0" applyNumberFormat="1" applyFont="1" applyBorder="1"/>
    <xf numFmtId="174" fontId="38" fillId="0" borderId="0" xfId="0" applyNumberFormat="1" applyFont="1"/>
    <xf numFmtId="174" fontId="38" fillId="0" borderId="0" xfId="0" applyNumberFormat="1" applyFont="1" applyAlignment="1">
      <alignment horizontal="right" vertical="center"/>
    </xf>
    <xf numFmtId="173" fontId="38" fillId="0" borderId="0" xfId="0" applyNumberFormat="1" applyFont="1" applyAlignment="1">
      <alignment horizontal="right" vertical="center"/>
    </xf>
    <xf numFmtId="0" fontId="38" fillId="0" borderId="0" xfId="0" applyFont="1" applyAlignment="1">
      <alignment horizontal="right" vertical="center"/>
    </xf>
    <xf numFmtId="10" fontId="38" fillId="0" borderId="0" xfId="0" applyNumberFormat="1" applyFont="1"/>
    <xf numFmtId="173" fontId="37" fillId="0" borderId="0" xfId="0" applyNumberFormat="1" applyFont="1" applyAlignment="1">
      <alignment horizontal="right" vertical="center"/>
    </xf>
    <xf numFmtId="0" fontId="65" fillId="0" borderId="0" xfId="0" applyFont="1" applyAlignment="1">
      <alignment horizontal="center" vertical="center"/>
    </xf>
    <xf numFmtId="173" fontId="37" fillId="0" borderId="8" xfId="0" applyNumberFormat="1" applyFont="1" applyBorder="1" applyAlignment="1">
      <alignment horizontal="center" vertical="center"/>
    </xf>
    <xf numFmtId="0" fontId="38" fillId="0" borderId="0" xfId="0" applyFont="1" applyAlignment="1">
      <alignment horizontal="right"/>
    </xf>
    <xf numFmtId="173" fontId="33" fillId="0" borderId="70" xfId="0" applyNumberFormat="1" applyFont="1" applyBorder="1"/>
    <xf numFmtId="17" fontId="2" fillId="7" borderId="0" xfId="0" applyNumberFormat="1" applyFont="1" applyFill="1" applyAlignment="1">
      <alignment horizontal="center"/>
    </xf>
    <xf numFmtId="173" fontId="29" fillId="5" borderId="0" xfId="0" applyNumberFormat="1" applyFont="1" applyFill="1" applyAlignment="1">
      <alignment wrapText="1"/>
    </xf>
    <xf numFmtId="0" fontId="30" fillId="0" borderId="0" xfId="0" applyFont="1" applyAlignment="1">
      <alignment horizontal="center" wrapText="1"/>
    </xf>
    <xf numFmtId="0" fontId="30" fillId="5" borderId="0" xfId="0" applyFont="1" applyFill="1" applyAlignment="1">
      <alignment horizontal="center" vertical="center"/>
    </xf>
    <xf numFmtId="0" fontId="30" fillId="0" borderId="0" xfId="0" applyFont="1" applyAlignment="1">
      <alignment horizontal="center" vertical="center"/>
    </xf>
    <xf numFmtId="174" fontId="34" fillId="0" borderId="0" xfId="0" applyNumberFormat="1" applyFont="1"/>
    <xf numFmtId="174" fontId="30" fillId="5" borderId="0" xfId="0" applyNumberFormat="1" applyFont="1" applyFill="1" applyAlignment="1">
      <alignment horizontal="center"/>
    </xf>
    <xf numFmtId="174" fontId="61" fillId="4" borderId="0" xfId="0" applyNumberFormat="1" applyFont="1" applyFill="1"/>
    <xf numFmtId="174" fontId="30" fillId="4" borderId="0" xfId="0" applyNumberFormat="1" applyFont="1" applyFill="1"/>
    <xf numFmtId="0" fontId="30" fillId="4" borderId="0" xfId="0" applyFont="1" applyFill="1"/>
    <xf numFmtId="173" fontId="30" fillId="2" borderId="0" xfId="0" applyNumberFormat="1" applyFont="1" applyFill="1"/>
    <xf numFmtId="174" fontId="33" fillId="29" borderId="0" xfId="0" applyNumberFormat="1" applyFont="1" applyFill="1"/>
    <xf numFmtId="173" fontId="29" fillId="0" borderId="0" xfId="0" applyNumberFormat="1" applyFont="1" applyAlignment="1">
      <alignment wrapText="1"/>
    </xf>
    <xf numFmtId="170" fontId="2" fillId="0" borderId="0" xfId="0" applyNumberFormat="1" applyFont="1" applyAlignment="1">
      <alignment wrapText="1"/>
    </xf>
    <xf numFmtId="0" fontId="2" fillId="0" borderId="9" xfId="0" applyFont="1" applyBorder="1" applyAlignment="1">
      <alignment horizontal="center" wrapText="1"/>
    </xf>
    <xf numFmtId="0" fontId="2" fillId="0" borderId="10" xfId="0" applyFont="1" applyBorder="1" applyAlignment="1">
      <alignment horizontal="center" wrapText="1"/>
    </xf>
    <xf numFmtId="173" fontId="30" fillId="0" borderId="10" xfId="0" applyNumberFormat="1" applyFont="1" applyBorder="1" applyAlignment="1">
      <alignment horizontal="center" wrapText="1"/>
    </xf>
    <xf numFmtId="17" fontId="2" fillId="0" borderId="10" xfId="0" applyNumberFormat="1" applyFont="1" applyBorder="1" applyAlignment="1">
      <alignment horizontal="center" wrapText="1"/>
    </xf>
    <xf numFmtId="17" fontId="2" fillId="8" borderId="10" xfId="0" applyNumberFormat="1" applyFont="1" applyFill="1" applyBorder="1" applyAlignment="1">
      <alignment horizontal="center" wrapText="1"/>
    </xf>
    <xf numFmtId="17" fontId="33" fillId="2" borderId="10" xfId="0" applyNumberFormat="1" applyFont="1" applyFill="1" applyBorder="1" applyAlignment="1">
      <alignment horizontal="center" wrapText="1"/>
    </xf>
    <xf numFmtId="0" fontId="2" fillId="0" borderId="11" xfId="0" applyFont="1" applyBorder="1" applyAlignment="1">
      <alignment horizontal="center" wrapText="1"/>
    </xf>
    <xf numFmtId="0" fontId="2" fillId="5" borderId="12" xfId="0" applyFont="1" applyFill="1" applyBorder="1" applyAlignment="1">
      <alignment horizontal="center"/>
    </xf>
    <xf numFmtId="174" fontId="33" fillId="7" borderId="13" xfId="0" applyNumberFormat="1" applyFont="1" applyFill="1" applyBorder="1"/>
    <xf numFmtId="0" fontId="2" fillId="0" borderId="15" xfId="0" applyFont="1" applyBorder="1" applyAlignment="1">
      <alignment wrapText="1"/>
    </xf>
    <xf numFmtId="173" fontId="33" fillId="0" borderId="15" xfId="0" applyNumberFormat="1" applyFont="1" applyBorder="1"/>
    <xf numFmtId="0" fontId="30" fillId="5" borderId="70" xfId="0" applyFont="1" applyFill="1" applyBorder="1" applyAlignment="1">
      <alignment horizontal="center"/>
    </xf>
    <xf numFmtId="173" fontId="13" fillId="0" borderId="8" xfId="0" applyNumberFormat="1" applyFont="1" applyBorder="1"/>
    <xf numFmtId="173" fontId="33" fillId="4" borderId="70" xfId="0" applyNumberFormat="1" applyFont="1" applyFill="1" applyBorder="1"/>
  </cellXfs>
  <cellStyles count="5">
    <cellStyle name="Comma" xfId="4" builtinId="3"/>
    <cellStyle name="Currency" xfId="1" builtinId="4"/>
    <cellStyle name="Normal" xfId="0" builtinId="0"/>
    <cellStyle name="Normal 11" xfId="3" xr:uid="{43FCAE08-7CD7-45F7-8439-0948776638EC}"/>
    <cellStyle name="Normal 6 2" xfId="2" xr:uid="{8C8C6AA3-0A44-40F7-9494-957BC7247C7F}"/>
  </cellStyles>
  <dxfs count="0"/>
  <tableStyles count="0" defaultTableStyle="TableStyleMedium2" defaultPivotStyle="PivotStyleLight16"/>
  <colors>
    <mruColors>
      <color rgb="FFFF0000"/>
      <color rgb="FF57FB95"/>
      <color rgb="FF40EE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ew/iFit%20Interiors%20Dropbox/Ronan%20Flynn/8%20Office/IFit%20Cashflow%20Planner/Weekly%20Live%20Ifit%20Cashflow%20Planner%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flow Forecast"/>
      <sheetName val="Sales and Purchases Forecast"/>
      <sheetName val="Weekly"/>
    </sheetNames>
    <sheetDataSet>
      <sheetData sheetId="0"/>
      <sheetData sheetId="1">
        <row r="54">
          <cell r="E54">
            <v>252000</v>
          </cell>
          <cell r="G54">
            <v>347000</v>
          </cell>
          <cell r="I54">
            <v>330000</v>
          </cell>
          <cell r="K54">
            <v>320000</v>
          </cell>
          <cell r="N54">
            <v>330000</v>
          </cell>
          <cell r="P54">
            <v>375000</v>
          </cell>
        </row>
      </sheetData>
      <sheetData sheetId="2"/>
    </sheetDataSet>
  </externalBook>
</externalLink>
</file>

<file path=xl/persons/person.xml><?xml version="1.0" encoding="utf-8"?>
<personList xmlns="http://schemas.microsoft.com/office/spreadsheetml/2018/threadedcomments" xmlns:x="http://schemas.openxmlformats.org/spreadsheetml/2006/main">
  <person displayName="Ivan Flynn" id="{A73808F2-AF7C-4A12-92E3-E390CEC4A88D}" userId="0823c759dec5a458" providerId="Windows Live"/>
  <person displayName="Ronan Flynn" id="{8649F295-7209-41E4-A7EC-7029668950EC}" userId="6b58e25f9a842dea" providerId="Windows Live"/>
  <person displayName="Jason Flynn" id="{C5268FB3-219F-424A-88FA-01E7B2B85297}" userId="afc01c88ff5180e2" providerId="Windows Live"/>
  <person displayName="Ronan Flynn" id="{7E270AAF-E42D-4758-8B02-E58CC6F56CDA}" userId="dbdb84d8bf74855e" providerId="Windows Live"/>
  <person displayName="Jason Flynn" id="{FE27BDFC-5682-5546-BE7C-AE8857E665EE}" userId="S::jflynn@twilio.com::4db7ad01-6552-4662-92d0-788658decd6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B7" dT="2024-11-15T13:22:10.97" personId="{C5268FB3-219F-424A-88FA-01E7B2B85297}" id="{8ABFD359-0E8B-4963-841B-5FCE1B385050}">
    <text>Owed to us as a bal figure between Nov VAT refund and RCT PAYE due</text>
  </threadedComment>
  <threadedComment ref="CJ7" dT="2024-11-29T15:36:19.60" personId="{C5268FB3-219F-424A-88FA-01E7B2B85297}" id="{D7BC1843-78D3-4BAC-A913-5A7876CEDD24}">
    <text>This includes an additional 12k for the lead
15.1.25 We didn’t but the lead, therefore no VAT to claim.</text>
  </threadedComment>
  <threadedComment ref="T10" dT="2023-11-01T12:13:58.01" personId="{8649F295-7209-41E4-A7EC-7029668950EC}" id="{D7B4305A-8FBF-4BB8-B4E2-8028D98D941F}">
    <text>1st Nov Jason spoke to Pamela in Townlink, she said that they are on site snagging and that we should forecast to receive retention mid Dec.</text>
  </threadedComment>
  <threadedComment ref="AL10" dT="2023-12-12T09:40:18.80" personId="{C5268FB3-219F-424A-88FA-01E7B2B85297}" id="{27E16FA5-413A-492F-B5EB-3D5D25A35F44}">
    <text>2 April - refer to email  from Pamela Malone
2.4 Spoke to Pamela and she said that they are getting 80% of their retention around 19th April. She is checking with the QS and will revert with what we will be getting and when. 
5..1 Jason spoke to David Caulfield at Townlink, he said that they have completed snagging and gave the report to the customer.  The design team were meant to go to site before Christmas to confirm everything is completed but that did not happen.  He thinks they will do this next week.  Therefore pushing out.
Spoke to Pamela, Snagging completed, awaiting cert to be issued, it will be mid Jan when it gets paid.</text>
  </threadedComment>
  <threadedComment ref="DB10" dT="2024-04-02T09:40:23.25" personId="{C5268FB3-219F-424A-88FA-01E7B2B85297}" id="{6E70894F-EDBB-4704-A3DB-F70B969FA0C9}">
    <text>7.8 We believe the figure received from Townlink (see St Finbars) includes this retention figure.
Refer to comments in May figure.</text>
  </threadedComment>
  <threadedComment ref="CJ11" dT="2024-07-23T13:35:03.90" personId="{C5268FB3-219F-424A-88FA-01E7B2B85297}" id="{8EBA9BAD-9868-4AC6-81BC-22843382E8DC}">
    <text xml:space="preserve"> Lime St</text>
  </threadedComment>
  <threadedComment ref="CL21" dT="2024-12-11T15:07:37.12" personId="{C5268FB3-219F-424A-88FA-01E7B2B85297}" id="{070332EC-9CF8-44A1-8FF3-C35D8F3EE55B}">
    <text>This is insulation on site.
15.1.25 Figure less retention.</text>
  </threadedComment>
  <threadedComment ref="D22" dT="2025-02-19T12:21:14.45" personId="{C5268FB3-219F-424A-88FA-01E7B2B85297}" id="{6C46F99F-8A7A-41B9-9707-E3F6280987AD}">
    <text>We are not doing this</text>
  </threadedComment>
  <threadedComment ref="D23" dT="2024-11-19T17:19:27.38" personId="{C5268FB3-219F-424A-88FA-01E7B2B85297}" id="{6CCC4167-11B5-45ED-BFB8-6E7FF30BF129}">
    <text>Incl VAT</text>
  </threadedComment>
  <threadedComment ref="CP23" dT="2025-02-17T13:27:53.98" personId="{C5268FB3-219F-424A-88FA-01E7B2B85297}" id="{5DD060D3-1B9E-4850-A6F4-17084265B300}">
    <text>Uvalue
19.2 Double entry below in suppliers</text>
  </threadedComment>
  <threadedComment ref="CT23" dT="2024-11-19T17:19:27.38" personId="{C5268FB3-219F-424A-88FA-01E7B2B85297}" id="{15313C25-A9C2-4A72-A274-08B368067C6F}">
    <text>Now captured in SIG actual below</text>
  </threadedComment>
  <threadedComment ref="D24" dT="2024-11-19T17:19:27.38" personId="{C5268FB3-219F-424A-88FA-01E7B2B85297}" id="{B6BCA140-6892-43AC-ABC4-0B0EE29875B5}">
    <text>Incl VAT</text>
  </threadedComment>
  <threadedComment ref="CQ25" dT="2025-01-24T13:43:13.56" personId="{C5268FB3-219F-424A-88FA-01E7B2B85297}" id="{40A8DD27-A041-48CF-BA52-251FA66973BE}">
    <text>Materials only, was 100k but dropped it to 80k
18.02 as per email received from Dave.</text>
  </threadedComment>
  <threadedComment ref="CT25" dT="2025-02-14T10:09:23.62" personId="{C5268FB3-219F-424A-88FA-01E7B2B85297}" id="{2E1EB12F-E328-426B-ABA8-60646F73CFD8}">
    <text xml:space="preserve">The valuation in week 10 was reduced by the PQS. </text>
  </threadedComment>
  <threadedComment ref="CU26" dT="2025-01-24T13:42:24.81" personId="{C5268FB3-219F-424A-88FA-01E7B2B85297}" id="{C9EE327A-34EF-4C7D-9D87-8814B1694936}">
    <text>February valuation, labour and material
Payment first Friday of April</text>
  </threadedComment>
  <threadedComment ref="CY26" dT="2025-02-19T12:52:47.44" personId="{C5268FB3-219F-424A-88FA-01E7B2B85297}" id="{9112BC45-C04F-4290-BE50-D9685033294B}">
    <text>Payment first Friday of May</text>
  </threadedComment>
  <threadedComment ref="DD26" dT="2025-02-19T12:52:47.44" personId="{C5268FB3-219F-424A-88FA-01E7B2B85297}" id="{DA5A0819-79EA-4561-B598-6E36A45B3F71}">
    <text>Payment first Friday of May</text>
  </threadedComment>
  <threadedComment ref="DI26" dT="2025-02-19T12:52:47.44" personId="{C5268FB3-219F-424A-88FA-01E7B2B85297}" id="{115C2B3D-1D26-49B1-A1FD-BA92A20EBAE8}">
    <text>Payment first Friday of May</text>
  </threadedComment>
  <threadedComment ref="DN26" dT="2025-02-19T12:52:47.44" personId="{C5268FB3-219F-424A-88FA-01E7B2B85297}" id="{5F86CA56-3A6D-43D6-9BFF-AFC8717E7DF2}">
    <text>Payment first Friday of May</text>
  </threadedComment>
  <threadedComment ref="DS26" dT="2025-02-19T12:52:47.44" personId="{C5268FB3-219F-424A-88FA-01E7B2B85297}" id="{5D77DB87-8738-423D-8973-660F9F098606}">
    <text>Payment first Friday of May</text>
  </threadedComment>
  <threadedComment ref="EB26" dT="2025-04-16T15:33:14.74" personId="{C5268FB3-219F-424A-88FA-01E7B2B85297}" id="{4F141401-7BE9-45C1-8708-461473383210}">
    <text>August val, final account, 32k 2.5% retention</text>
  </threadedComment>
  <threadedComment ref="AI27" dT="2024-01-15T14:41:43.02" personId="{C5268FB3-219F-424A-88FA-01E7B2B85297}" id="{09200824-DE1E-4477-8059-1BAB156767A9}">
    <text>Soffit work and loading out</text>
  </threadedComment>
  <threadedComment ref="AO27" dT="2024-02-23T13:54:26.59" personId="{C5268FB3-219F-424A-88FA-01E7B2B85297}" id="{3C2F9433-71F1-4DAE-B3F6-1C661B5DA69D}">
    <text>50k Soffit work and loading out
11.03 Ronan to come back on what work and material will be done in March</text>
  </threadedComment>
  <threadedComment ref="AX27" dT="2024-05-24T13:48:16.55" personId="{C5268FB3-219F-424A-88FA-01E7B2B85297}" id="{21240779-A892-437D-B608-7D594F5FC720}">
    <text>Payment on 5th July</text>
  </threadedComment>
  <threadedComment ref="BH27" dT="2024-06-21T15:00:05.98" personId="{C5268FB3-219F-424A-88FA-01E7B2B85297}" id="{08B89A3A-4E16-4E61-9B27-6C96BFF22281}">
    <text>12.08 Dave checked figure and this is the net of retention val submitted ie 1158950 less previously paid 783900
This now includes balcony soffit 50% of valuation .</text>
  </threadedComment>
  <threadedComment ref="BH27" dT="2024-06-28T11:06:53.35" personId="{C5268FB3-219F-424A-88FA-01E7B2B85297}" id="{91FF6AC0-AD08-4E45-A11A-B1F9CC0CDA35}" parentId="{08B89A3A-4E16-4E61-9B27-6C96BFF22281}">
    <text>Also now reduces by 80k to cater for earlier payment of 200k.</text>
  </threadedComment>
  <threadedComment ref="BR27" dT="2024-10-04T13:01:15.92" personId="{C5268FB3-219F-424A-88FA-01E7B2B85297}" id="{3C24E32A-74C6-4B8A-83B9-F478FCC354FF}">
    <text xml:space="preserve">Add 40k re reduction in last payment </text>
  </threadedComment>
  <threadedComment ref="CE27" dT="2024-12-19T14:04:47.89" personId="{C5268FB3-219F-424A-88FA-01E7B2B85297}" id="{6DB490D1-FDBB-44EA-8EA9-C8C8D723974C}">
    <text xml:space="preserve">Received in two amounts
</text>
  </threadedComment>
  <threadedComment ref="CI27" dT="2025-03-18T15:35:02.25" personId="{C5268FB3-219F-424A-88FA-01E7B2B85297}" id="{791D6C15-293E-4605-8427-55ECA7338728}">
    <text>This cert is correctly against Beach Road</text>
  </threadedComment>
  <threadedComment ref="CQ27" dT="2024-12-17T16:48:32.86" personId="{C5268FB3-219F-424A-88FA-01E7B2B85297}" id="{F9A11236-5EA1-4C67-94B9-CF6DAADC4610}">
    <text>24.02 Spoke to Alan, he is going to pay 60k next week and 60k the week after. Alan said that this would be “drawn” from Merville to give him some breathing space.
14.2.25 = final account yet to be agreed with Walls, we may be asked to reduce the figure.
This represents Dave’s FA of 2,334k gross figure</text>
  </threadedComment>
  <threadedComment ref="CQ27" dT="2025-01-31T14:11:20.86" personId="{C5268FB3-219F-424A-88FA-01E7B2B85297}" id="{FFEA3A07-31CB-489A-B515-55ACC34CD645}" parentId="{F9A11236-5EA1-4C67-94B9-CF6DAADC4610}">
    <text>The 30k is water damage, we have given a T+M quote of 43k, but we may get it done earlier.</text>
  </threadedComment>
  <threadedComment ref="C28" dT="2025-01-31T14:05:27.25" personId="{C5268FB3-219F-424A-88FA-01E7B2B85297}" id="{AE556D65-6147-4045-BAD5-3E42F5B70307}">
    <text>Estimate T&amp;M</text>
  </threadedComment>
  <threadedComment ref="CT28" dT="2025-01-24T13:23:10.04" personId="{C5268FB3-219F-424A-88FA-01E7B2B85297}" id="{DDB8795D-0735-4D45-9DAA-ABC2646A7189}">
    <text>8 lads for 3 weeks.
Water damage
Value now moved back into week 10 final account.</text>
  </threadedComment>
  <threadedComment ref="E29" dT="2024-07-29T12:50:32.82" personId="{C5268FB3-219F-424A-88FA-01E7B2B85297}" id="{4EFBCACF-64B0-48C7-AF7A-F2E99891AEA7}">
    <text>Current final account i.e. less 2.3% retention</text>
  </threadedComment>
  <threadedComment ref="CP31" dT="2024-11-29T14:38:38.99" personId="{C5268FB3-219F-424A-88FA-01E7B2B85297}" id="{775D087A-9DB6-4475-B6F4-870AFC14F536}">
    <text>Variations to L5 and tapers</text>
  </threadedComment>
  <threadedComment ref="D33" dT="2023-10-26T10:26:13.86" personId="{8649F295-7209-41E4-A7EC-7029668950EC}" id="{E5F84AF8-B1E8-41B7-BB5D-225E5489F389}">
    <text>2000m2 of sand and cement @ €20pmsq</text>
  </threadedComment>
  <threadedComment ref="D33" dT="2024-03-11T13:08:19.35" personId="{C5268FB3-219F-424A-88FA-01E7B2B85297}" id="{080508D1-3591-449F-A053-18891C0C98E9}" parentId="{E5F84AF8-B1E8-41B7-BB5D-225E5489F389}">
    <text>Sand and cement 11k , skim remainder</text>
  </threadedComment>
  <threadedComment ref="W33" dT="2023-10-26T10:29:58.25" personId="{8649F295-7209-41E4-A7EC-7029668950EC}" id="{627705C6-BE87-437E-8703-D335C2091230}">
    <text xml:space="preserve">2 and 1 gang at 4 weeks. 500m per week </text>
  </threadedComment>
  <threadedComment ref="AE33" dT="2024-01-15T13:44:33.87" personId="{C5268FB3-219F-424A-88FA-01E7B2B85297}" id="{361AFA08-624B-443B-BFB4-2C3E69A0D87F}">
    <text>This represents 2250 sq m @ 20 p sq m</text>
  </threadedComment>
  <threadedComment ref="AN33" dT="2024-03-11T13:07:37.45" personId="{C5268FB3-219F-424A-88FA-01E7B2B85297}" id="{2E673731-3512-4C6D-8460-F4C1D672214A}">
    <text>Sand and Cement only</text>
  </threadedComment>
  <threadedComment ref="AR33" dT="2024-03-11T13:07:51.75" personId="{C5268FB3-219F-424A-88FA-01E7B2B85297}" id="{B320FFB7-A704-4AAB-B04F-EF0BB76AA570}">
    <text xml:space="preserve">Sand and cement only balance figure plus 13k of skim only
</text>
  </threadedComment>
  <threadedComment ref="BB33" dT="2024-03-11T13:10:06.31" personId="{C5268FB3-219F-424A-88FA-01E7B2B85297}" id="{0A4B7487-C068-407F-8666-37A2E2652A18}">
    <text>Skim only balance</text>
  </threadedComment>
  <threadedComment ref="D34" dT="2023-10-26T14:12:19.15" personId="{8649F295-7209-41E4-A7EC-7029668950EC}" id="{68B39FF7-C07C-430B-8C9B-0854DCAFE7ED}">
    <text>Labour + Margin only</text>
  </threadedComment>
  <threadedComment ref="AN34" dT="2024-03-11T13:22:22.95" personId="{C5268FB3-219F-424A-88FA-01E7B2B85297}" id="{6E5EFE38-D5FA-4A2B-B338-4ED39EA2AA53}">
    <text>Metal framed only partitions</text>
  </threadedComment>
  <threadedComment ref="C36" dT="2024-06-12T09:44:45.52" personId="{C5268FB3-219F-424A-88FA-01E7B2B85297}" id="{F85A750E-11D8-429F-B559-E8E7EB99B313}">
    <text>This is the latest new figure which includes the additions of fireseal, mesh, and additional partition walls.</text>
  </threadedComment>
  <threadedComment ref="E36" dT="2024-07-30T08:41:18.07" personId="{C5268FB3-219F-424A-88FA-01E7B2B85297}" id="{0EE897C5-681A-4B31-99E0-BA98C3545226}">
    <text>Final account ie 2.5% retention.</text>
  </threadedComment>
  <threadedComment ref="BM36" dT="2024-08-03T19:15:46.07" personId="{C5268FB3-219F-424A-88FA-01E7B2B85297}" id="{C5687163-4484-4FD7-BF9D-FB1790455FE8}">
    <text>Dave originally had this spread out to Feb income, Ronan feel we are getting things going now so bringing it back in a month.</text>
  </threadedComment>
  <threadedComment ref="CY36" dT="2025-01-31T13:56:56.32" personId="{C5268FB3-219F-424A-88FA-01E7B2B85297}" id="{341ABD5C-9602-41F9-842B-659EFAA9F3C4}">
    <text>PC retention of 21k plus 10k val</text>
  </threadedComment>
  <threadedComment ref="DS36" dT="2025-04-29T08:43:47.75" personId="{C5268FB3-219F-424A-88FA-01E7B2B85297}" id="{303FD1C8-2B00-40B8-8947-A5946BA842E0}">
    <text>PC Retention included, i.e. 880k at 2.5%</text>
  </threadedComment>
  <threadedComment ref="CH38" dT="2024-11-15T12:33:26.25" personId="{C5268FB3-219F-424A-88FA-01E7B2B85297}" id="{29124277-5414-4AA1-9C86-69BEF2EE1A7E}">
    <text>5 weeks by 2 men Central, 19k plus extra 6k for extra 2 men for 2 weeks.</text>
  </threadedComment>
  <threadedComment ref="CP38" dT="2025-02-19T12:15:24.81" personId="{C5268FB3-219F-424A-88FA-01E7B2B85297}" id="{C85B86A5-4E09-4965-AA81-60637C901350}">
    <text>This is 4 ;ads week 8, only 1 week 9, and a shortfall from week 7 (Dave made an error).</text>
  </threadedComment>
  <threadedComment ref="CN44" dT="2024-12-02T15:13:54.46" personId="{C5268FB3-219F-424A-88FA-01E7B2B85297}" id="{F423CD44-8AF3-4CC5-8CB9-AC65ECB933AD}">
    <text>Vasile plus 2 PAYE</text>
  </threadedComment>
  <threadedComment ref="CX45" dT="2025-02-25T15:47:25.25" personId="{C5268FB3-219F-424A-88FA-01E7B2B85297}" id="{6F769FDB-0B4A-47BB-95F8-FE2250ED8FFA}">
    <text>Await confirmation if proceeding</text>
  </threadedComment>
  <threadedComment ref="CL49" dT="2025-02-05T10:30:44.93" personId="{C5268FB3-219F-424A-88FA-01E7B2B85297}" id="{FADB02A9-3A66-4C5C-88C9-C156EB39F9F9}">
    <text>Additional ceiling, no PO issued.</text>
  </threadedComment>
  <threadedComment ref="D50" dT="2024-11-19T17:44:00.75" personId="{C5268FB3-219F-424A-88FA-01E7B2B85297}" id="{906568A0-A92C-4F5D-8039-2DD1CB05282A}">
    <text>Net of material</text>
  </threadedComment>
  <threadedComment ref="AG51" dT="2024-02-19T15:08:08.90" personId="{C5268FB3-219F-424A-88FA-01E7B2B85297}" id="{3C559BCD-60D7-4E46-B71B-A55F61DD9743}">
    <text>Invoice 798</text>
  </threadedComment>
  <threadedComment ref="AW51" dT="2024-05-24T13:47:00.28" personId="{C5268FB3-219F-424A-88FA-01E7B2B85297}" id="{AF4AA49C-F630-4CA8-B792-BB8F68C056A3}">
    <text>Val going in Monday 27th May, fig will be confirmed then.</text>
  </threadedComment>
  <threadedComment ref="CM51" dT="2024-10-24T13:19:39.52" personId="{C5268FB3-219F-424A-88FA-01E7B2B85297}" id="{9341F716-DDFE-4AF4-A56C-030C4DE706B1}">
    <text>Residual bal</text>
  </threadedComment>
  <threadedComment ref="DH51" dT="2025-02-05T10:38:23.05" personId="{C5268FB3-219F-424A-88FA-01E7B2B85297}" id="{362BC22D-BF95-476C-9811-EABC613FC864}">
    <text>PC Retention</text>
  </threadedComment>
  <threadedComment ref="C52" dT="2024-01-08T11:17:53.87" personId="{C5268FB3-219F-424A-88FA-01E7B2B85297}" id="{F46CECE4-FE48-43F0-ACE6-BE576CECF64D}">
    <text>Gross Value</text>
  </threadedComment>
  <threadedComment ref="AR52" dT="2024-05-08T09:33:41.05" personId="{C5268FB3-219F-424A-88FA-01E7B2B85297}" id="{8EC57206-C8DE-4999-B690-8F5DE78193BA}">
    <text>Valuation submitted</text>
  </threadedComment>
  <threadedComment ref="AW52" dT="2024-06-07T16:45:34.56" personId="{C5268FB3-219F-424A-88FA-01E7B2B85297}" id="{8AB0B7A0-8FF4-4870-9B17-02D27C4AB6AA}">
    <text xml:space="preserve">This val has been submitted
</text>
  </threadedComment>
  <threadedComment ref="BB52" dT="2024-05-27T14:07:04.36" personId="{C5268FB3-219F-424A-88FA-01E7B2B85297}" id="{91921A1D-6F4A-47D9-AC54-676414DE5A41}">
    <text>Add variations in this figure</text>
  </threadedComment>
  <threadedComment ref="BO52" dT="2024-08-02T10:48:06.29" personId="{C5268FB3-219F-424A-88FA-01E7B2B85297}" id="{B441FB6F-6E23-4717-8B22-4F308530D878}">
    <text>Final account at 2.5% retention</text>
  </threadedComment>
  <threadedComment ref="CV56" dT="2024-11-29T15:17:10.08" personId="{C5268FB3-219F-424A-88FA-01E7B2B85297}" id="{EDE6EDE6-770A-4828-B8B6-B0F0BE22A343}">
    <text>Extra partition</text>
  </threadedComment>
  <threadedComment ref="B67" dT="2023-11-03T12:33:13.07" personId="{8649F295-7209-41E4-A7EC-7029668950EC}" id="{270054BB-675C-4C61-B26C-24075B38EF9B}">
    <text>Vasile, Catalin, Gheorge, Gheorge, Cosmin, Ion, Ilie, Mircea, Adrian, Marian.</text>
  </threadedComment>
  <threadedComment ref="CG67" dT="2024-11-15T13:44:30.93" personId="{C5268FB3-219F-424A-88FA-01E7B2B85297}" id="{031D2181-DD19-41F8-B042-3BA7A3C996B2}">
    <text>No everyone has full holidays</text>
  </threadedComment>
  <threadedComment ref="CL67" dT="2025-01-20T14:04:42.70" personId="{C5268FB3-219F-424A-88FA-01E7B2B85297}" id="{0FD929A9-63FB-477E-8EA5-3CB7392005D7}">
    <text>Travel and Marius started</text>
  </threadedComment>
  <threadedComment ref="CX67" dT="2025-01-24T13:55:00.25" personId="{C5268FB3-219F-424A-88FA-01E7B2B85297}" id="{C13A78D9-F077-4C13-A5C7-5FE070BBAC02}">
    <text>When we secure new jobs this PAYE cost will go back in.</text>
  </threadedComment>
  <threadedComment ref="EF67" dT="2025-02-19T12:18:37.94" personId="{C5268FB3-219F-424A-88FA-01E7B2B85297}" id="{CF5303AD-CE24-456A-AB9E-7A9376525FD5}">
    <text>This labour cost will go back in when work is confirmed</text>
  </threadedComment>
  <threadedComment ref="B69" dT="2023-11-03T12:34:26.58" personId="{8649F295-7209-41E4-A7EC-7029668950EC}" id="{0D1FA876-A9CA-4D48-A183-FDD01C41514F}">
    <text>Edgar, Vasil Bulz, Vasil Ursaciuc, Flavian, Daniel</text>
  </threadedComment>
  <threadedComment ref="W69" dT="2023-10-18T15:08:29.05" personId="{8649F295-7209-41E4-A7EC-7029668950EC}" id="{65DBAC88-434C-45B0-B7BA-B1F2283D1552}">
    <text>Taken 3k off for xmas holiday</text>
  </threadedComment>
  <threadedComment ref="C70" dT="2025-04-16T15:20:50.93" personId="{C5268FB3-219F-424A-88FA-01E7B2B85297}" id="{C984A23A-ABB0-4AFD-935D-DBC0C104F061}">
    <text>Gross measure likely figure for Merville plus 80k for GO and Mgnt</text>
  </threadedComment>
  <threadedComment ref="S70" dT="2023-11-16T16:07:11.12" personId="{8649F295-7209-41E4-A7EC-7029668950EC}" id="{D435F781-E231-4936-ABA0-0C5A353FEC07}">
    <text>Now incl 4 lads from Victor starting 22.11
The figure of 7500 for the 4 lads is gross</text>
  </threadedComment>
  <threadedComment ref="U70" dT="2023-11-16T16:09:08.94" personId="{8649F295-7209-41E4-A7EC-7029668950EC}" id="{CA6AD2DB-6DFF-4CD2-92DB-242545CBF9A3}">
    <text xml:space="preserve">Allowing for Victor extra 4 lads and reduction as some going home early </text>
  </threadedComment>
  <threadedComment ref="W70" dT="2023-10-18T15:05:04.47" personId="{8649F295-7209-41E4-A7EC-7029668950EC}" id="{84070007-5B7F-4A4A-BD5B-18DB2CEC4697}">
    <text>Reduced figure to cater for Xmas holiday time off.</text>
  </threadedComment>
  <threadedComment ref="X70" dT="2024-01-03T12:56:01.55" personId="{C5268FB3-219F-424A-88FA-01E7B2B85297}" id="{9C6F06CB-DEE3-4EAC-9679-CC97CC70A8FB}">
    <text xml:space="preserve">3 Days sub contractors
</text>
  </threadedComment>
  <threadedComment ref="AC70" dT="2023-11-16T16:10:24.32" personId="{8649F295-7209-41E4-A7EC-7029668950EC}" id="{90070C7F-B0D9-4696-BE31-90DADE817DF5}">
    <text>Estimated labour cost</text>
  </threadedComment>
  <threadedComment ref="AC70" dT="2023-12-07T12:31:52.11" personId="{C5268FB3-219F-424A-88FA-01E7B2B85297}" id="{7A6C05C3-B52A-4ED5-8C80-641747DBBCF8}" parentId="{90070C7F-B0D9-4696-BE31-90DADE817DF5}">
    <text>Reducing Labour as Beech road will not start in Feb</text>
  </threadedComment>
  <threadedComment ref="AF70" dT="2023-10-18T14:58:44.88" personId="{8649F295-7209-41E4-A7EC-7029668950EC}" id="{1ADCA535-85D1-4AD9-B861-D4AB0115D1FB}">
    <text>Reduction in staff needed from March onwards based on Beach road coming in and no other jobs included yet.</text>
  </threadedComment>
  <threadedComment ref="AF70" dT="2023-12-07T12:46:19.29" personId="{C5268FB3-219F-424A-88FA-01E7B2B85297}" id="{849E7EB7-4167-414F-BF41-E7C55AD803B7}" parentId="{1ADCA535-85D1-4AD9-B861-D4AB0115D1FB}">
    <text>Reduction in Emannuael's team as we will start slow in Beach Rd.</text>
  </threadedComment>
  <threadedComment ref="BR70" dT="2024-08-15T13:41:33.50" personId="{C5268FB3-219F-424A-88FA-01E7B2B85297}" id="{C216B6B9-7E4B-4E78-A760-34B619A75F36}">
    <text>Emanuel and Mihai remain on site with less men</text>
  </threadedComment>
  <threadedComment ref="CE70" dT="2024-11-29T14:41:44.70" personId="{C5268FB3-219F-424A-88FA-01E7B2B85297}" id="{CBAD2F53-5593-47D3-B6B1-A5493FAC1DAE}">
    <text>Covers variations to L5 and tapers</text>
  </threadedComment>
  <threadedComment ref="CO70" dT="2025-02-23T18:30:52.70" personId="{C5268FB3-219F-424A-88FA-01E7B2B85297}" id="{0D9037D4-4E6E-49A6-B29D-D863CBFF4B57}">
    <text>All Merville</text>
  </threadedComment>
  <threadedComment ref="CQ70" dT="2025-02-23T18:31:03.69" personId="{C5268FB3-219F-424A-88FA-01E7B2B85297}" id="{2AF7F077-E371-4C9A-AD23-4F31C8E3F422}">
    <text>All Merville</text>
  </threadedComment>
  <threadedComment ref="CY70" dT="2025-05-06T09:41:46.91" personId="{C5268FB3-219F-424A-88FA-01E7B2B85297}" id="{78F273F7-FF3D-41F0-BC13-3803DFDF3F27}">
    <text>Measure balance ie 62k less tax, see Daves email</text>
  </threadedComment>
  <threadedComment ref="CJ71" dT="2025-01-15T19:10:39.55" personId="{C5268FB3-219F-424A-88FA-01E7B2B85297}" id="{A3448C0B-DE13-4DEE-AE8C-EE037C4D325C}">
    <text>Originally showing as owing Demitriu 35k but now reducing to 25k.</text>
  </threadedComment>
  <threadedComment ref="CY71" dT="2025-02-23T18:23:10.96" personId="{C5268FB3-219F-424A-88FA-01E7B2B85297}" id="{0660969E-4D47-4D49-89B3-65D0CA16BF39}">
    <text>Paying Emanuel every two weeks, but on the Monday when we get Walls payment</text>
  </threadedComment>
  <threadedComment ref="DA71" dT="2025-02-23T18:23:10.96" personId="{C5268FB3-219F-424A-88FA-01E7B2B85297}" id="{7EC091F7-76B4-4D87-9D4F-F6BF05A87FC6}">
    <text>Paying Demitru every two weeks, but on the Monday when we get Walls payment</text>
  </threadedComment>
  <threadedComment ref="DD71" dT="2025-02-23T18:23:10.96" personId="{C5268FB3-219F-424A-88FA-01E7B2B85297}" id="{5CB17B15-6CAF-42CC-ACC9-5B623050A92B}">
    <text>Paying Demitru every two weeks, but on the Monday when we get Walls payment</text>
  </threadedComment>
  <threadedComment ref="DF71" dT="2025-02-23T18:23:10.96" personId="{C5268FB3-219F-424A-88FA-01E7B2B85297}" id="{4FB4C332-CE06-472F-9762-56BCA1062FBE}">
    <text>Paying Demitru every two weeks, but on the Monday when we get Walls payment</text>
  </threadedComment>
  <threadedComment ref="DI71" dT="2025-02-23T18:23:10.96" personId="{C5268FB3-219F-424A-88FA-01E7B2B85297}" id="{B9476FA8-062A-408D-8855-096BFAA2A5DE}">
    <text>Paying Demitru every two weeks, but on the Monday when we get Walls payment</text>
  </threadedComment>
  <threadedComment ref="DK71" dT="2025-02-23T18:23:10.96" personId="{C5268FB3-219F-424A-88FA-01E7B2B85297}" id="{9B085629-FFA4-4793-A087-70DED27015F5}">
    <text>Paying Demitru every two weeks, but on the Monday when we get Walls payment</text>
  </threadedComment>
  <threadedComment ref="DM71" dT="2025-02-23T18:23:10.96" personId="{C5268FB3-219F-424A-88FA-01E7B2B85297}" id="{445732E5-D7EA-46DD-9466-EB341AFC3EFF}">
    <text>Paying Demitru every two weeks, but on the Monday when we get Walls payment</text>
  </threadedComment>
  <threadedComment ref="DP71" dT="2025-02-23T18:23:10.96" personId="{C5268FB3-219F-424A-88FA-01E7B2B85297}" id="{1AFD215D-1376-4473-9C01-64BCD29A802C}">
    <text>Paying Demitru every two weeks, but on the Monday when we get Walls payment</text>
  </threadedComment>
  <threadedComment ref="DR71" dT="2025-02-23T18:23:10.96" personId="{C5268FB3-219F-424A-88FA-01E7B2B85297}" id="{B1E7D382-6831-4B27-B731-94F8C5E87B21}">
    <text>Paying Demitru every two weeks, but on the Monday when we get Walls payment</text>
  </threadedComment>
  <threadedComment ref="DT71" dT="2025-02-23T18:23:10.96" personId="{C5268FB3-219F-424A-88FA-01E7B2B85297}" id="{96057850-645D-4497-98F5-FED23DCC2599}">
    <text>Paying Demitru every two weeks, but on the Monday when we get Walls payment</text>
  </threadedComment>
  <threadedComment ref="DV71" dT="2025-02-23T18:23:10.96" personId="{C5268FB3-219F-424A-88FA-01E7B2B85297}" id="{F04CE64A-98E9-42C5-9503-8DD6375BDB02}">
    <text>Paying Demitru every two weeks, but on the Monday when we get Walls payment</text>
  </threadedComment>
  <threadedComment ref="CS72" dT="2025-02-23T18:39:16.40" personId="{C5268FB3-219F-424A-88FA-01E7B2B85297}" id="{8CD00AA0-486B-464D-A460-BF0B9926A257}">
    <text>Price work for boarding partitions
5k gross per week, 8k nett for the two weeks</text>
  </threadedComment>
  <threadedComment ref="CU72" dT="2025-02-23T18:39:16.40" personId="{C5268FB3-219F-424A-88FA-01E7B2B85297}" id="{A476BE8D-FE21-4A24-B17A-8AA6B2F25866}">
    <text>31.3 Includes last week payment due
Price work for boarding partitions
5k gross per week, 8k nett for the two weeks</text>
  </threadedComment>
  <threadedComment ref="CV72" dT="2025-02-23T18:39:16.40" personId="{C5268FB3-219F-424A-88FA-01E7B2B85297}" id="{EB15C6A2-C847-4B73-AFD5-95BCC5CE03B1}">
    <text>Price work for boarding partitions
5k gross per week, 8k nett for the two weeks</text>
  </threadedComment>
  <threadedComment ref="CX72" dT="2025-02-23T18:39:16.40" personId="{C5268FB3-219F-424A-88FA-01E7B2B85297}" id="{BF832690-FEE9-49ED-93E5-C54E5AE27930}">
    <text>Price work for boarding partitions
5k gross per week, 8k nett for the two weeks</text>
  </threadedComment>
  <threadedComment ref="DB72" dT="2025-02-23T18:39:16.40" personId="{C5268FB3-219F-424A-88FA-01E7B2B85297}" id="{1CE8EA52-504F-4496-8A6D-D541C930838C}">
    <text>Price work for boarding partitions
5k gross per week, 8k nett for the two weeks</text>
  </threadedComment>
  <threadedComment ref="DE72" dT="2025-02-23T18:39:16.40" personId="{C5268FB3-219F-424A-88FA-01E7B2B85297}" id="{9E7ABC8F-8703-4DC2-92DC-354733743B08}">
    <text>Price work for boarding partitions
5k gross per week, 8k nett for the two weeks</text>
  </threadedComment>
  <threadedComment ref="DG72" dT="2025-02-23T18:39:16.40" personId="{C5268FB3-219F-424A-88FA-01E7B2B85297}" id="{17324BAF-48A9-4130-A82F-813D3F924C79}">
    <text>Price work for boarding partitions
5k gross per week, 8k nett for the two weeks</text>
  </threadedComment>
  <threadedComment ref="DJ72" dT="2025-02-23T18:39:16.40" personId="{C5268FB3-219F-424A-88FA-01E7B2B85297}" id="{7DE7E7DB-2977-4B4C-B9C5-42F70969C9E2}">
    <text>Price work for boarding partitions
5k gross per week, 8k nett for the two weeks</text>
  </threadedComment>
  <threadedComment ref="DL72" dT="2025-02-23T18:39:16.40" personId="{C5268FB3-219F-424A-88FA-01E7B2B85297}" id="{A49F0D5A-283C-49B2-86C8-B3CE1C926482}">
    <text>Price work for boarding partitions
5k gross per week, 8k nett for the two weeks</text>
  </threadedComment>
  <threadedComment ref="DO72" dT="2025-02-23T18:39:16.40" personId="{C5268FB3-219F-424A-88FA-01E7B2B85297}" id="{87E36F46-CDC2-4C29-987E-F83D42F28C56}">
    <text>Price work for boarding partitions
5k gross per week, 8k nett for the two weeks</text>
  </threadedComment>
  <threadedComment ref="DQ72" dT="2025-02-23T18:39:16.40" personId="{C5268FB3-219F-424A-88FA-01E7B2B85297}" id="{9249FBE7-7234-48B1-8CE3-7E0C2D149414}">
    <text>Price work for boarding partitions
5k gross per week, 8k nett for the two weeks</text>
  </threadedComment>
  <threadedComment ref="DS72" dT="2025-02-23T18:39:16.40" personId="{C5268FB3-219F-424A-88FA-01E7B2B85297}" id="{78855D38-C4C8-45A0-B139-52DEBF647BEE}">
    <text>Price work for boarding partitions
5k gross per week, 8k nett for the two weeks</text>
  </threadedComment>
  <threadedComment ref="CR73" dT="2025-02-28T17:01:18.42" personId="{C5268FB3-219F-424A-88FA-01E7B2B85297}" id="{23FE004A-0F15-46A4-A5CA-F3D513B1CF51}">
    <text xml:space="preserve">Affidea only
</text>
  </threadedComment>
  <threadedComment ref="CT73" dT="2025-02-28T17:01:29.87" personId="{C5268FB3-219F-424A-88FA-01E7B2B85297}" id="{CFFAFB5C-338C-4BE2-AEE1-86F5116BD2F5}">
    <text>Affidea only</text>
  </threadedComment>
  <threadedComment ref="CV73" dT="2025-02-28T17:01:29.87" personId="{C5268FB3-219F-424A-88FA-01E7B2B85297}" id="{00C6DD53-CC03-4BAE-8622-310404490F8B}">
    <text>Affidea only</text>
  </threadedComment>
  <threadedComment ref="CX73" dT="2025-02-28T17:01:29.87" personId="{C5268FB3-219F-424A-88FA-01E7B2B85297}" id="{B9ADCFD4-0EBF-4984-97A8-BFC2D4064C23}">
    <text>Affidea only</text>
  </threadedComment>
  <threadedComment ref="CZ73" dT="2025-02-28T17:01:29.87" personId="{C5268FB3-219F-424A-88FA-01E7B2B85297}" id="{D81D11D9-7445-4BA8-BE3D-CEADCB57120C}">
    <text>Affidea only</text>
  </threadedComment>
  <threadedComment ref="DB73" dT="2025-02-28T17:01:29.87" personId="{C5268FB3-219F-424A-88FA-01E7B2B85297}" id="{B7F34373-159D-45AA-B3CB-26C0AE2D6152}">
    <text>Affidea only</text>
  </threadedComment>
  <threadedComment ref="DE73" dT="2025-02-28T17:01:29.87" personId="{C5268FB3-219F-424A-88FA-01E7B2B85297}" id="{C350D918-91D3-4FE2-8443-0E8DEFE65956}">
    <text>Affidea only</text>
  </threadedComment>
  <threadedComment ref="DG73" dT="2025-02-28T17:01:29.87" personId="{C5268FB3-219F-424A-88FA-01E7B2B85297}" id="{968458CE-40CF-4A6F-9CA1-024B4EB1C6B4}">
    <text>Affidea only</text>
  </threadedComment>
  <threadedComment ref="DJ73" dT="2025-02-28T17:01:29.87" personId="{C5268FB3-219F-424A-88FA-01E7B2B85297}" id="{50CD4646-62DE-4157-835E-9CA00E7F5404}">
    <text>Affidea only</text>
  </threadedComment>
  <threadedComment ref="DL73" dT="2025-02-28T17:01:29.87" personId="{C5268FB3-219F-424A-88FA-01E7B2B85297}" id="{0C650FDA-7510-41B6-BC75-C29934991335}">
    <text>Affidea only</text>
  </threadedComment>
  <threadedComment ref="DR74" dT="2025-05-19T14:15:11.13" personId="{C5268FB3-219F-424A-88FA-01E7B2B85297}" id="{25D66DB0-A4C2-40A0-AA10-0C3E8256ADB6}">
    <text>Half subcontractors half PAYE</text>
  </threadedComment>
  <threadedComment ref="DT74" dT="2025-05-19T14:15:11.13" personId="{C5268FB3-219F-424A-88FA-01E7B2B85297}" id="{D23A57F2-ED0D-4C5F-9C19-64787EF0F85A}">
    <text>Half subcontractors half PAYE</text>
  </threadedComment>
  <threadedComment ref="DV74" dT="2025-05-19T14:15:11.13" personId="{C5268FB3-219F-424A-88FA-01E7B2B85297}" id="{F96FCC4C-D8C2-46B5-97A2-EFECCB8CAA4E}">
    <text>Half subcontractors half PAYE</text>
  </threadedComment>
  <threadedComment ref="B76" dT="2024-11-29T15:07:28.94" personId="{C5268FB3-219F-424A-88FA-01E7B2B85297}" id="{756192D2-07B3-4A75-B370-6F41D598250F}">
    <text>We are assuming 3 PAYE, Ursacic, plus three from Emanuel for this job</text>
  </threadedComment>
  <threadedComment ref="AX77" dT="2024-07-10T13:25:17.13" personId="{C5268FB3-219F-424A-88FA-01E7B2B85297}" id="{585AC70D-9355-44CE-ADA7-C38E223857C1}">
    <text>This is gross figure, net will be advised tomorrow.</text>
  </threadedComment>
  <threadedComment ref="BP77" dT="2024-10-04T13:11:58.74" personId="{C5268FB3-219F-424A-88FA-01E7B2B85297}" id="{BE08681E-490E-492D-9D2E-7BC0567AD754}">
    <text>Victor in Moxy</text>
  </threadedComment>
  <threadedComment ref="BS78" dT="2024-10-08T14:38:41.00" personId="{C5268FB3-219F-424A-88FA-01E7B2B85297}" id="{1E540134-69BE-42A3-BF00-CA62579287D4}">
    <text xml:space="preserve">5 men as per Job calc, paid every two weeks.
</text>
  </threadedComment>
  <threadedComment ref="CN80" dT="2025-01-24T13:25:33.59" personId="{C5268FB3-219F-424A-88FA-01E7B2B85297}" id="{5778A2B5-085D-44CB-8FF9-476EFD2E907C}">
    <text>4 lads each week in addition to our 4 lads
19.2 have to check if he is on 20%</text>
  </threadedComment>
  <threadedComment ref="J81" dT="2023-12-26T16:28:18.95" personId="{C5268FB3-219F-424A-88FA-01E7B2B85297}" id="{49295B44-C5DC-4778-BA86-1A9F6A535F15}">
    <text>Incl VAT</text>
  </threadedComment>
  <threadedComment ref="V81" dT="2023-12-26T16:27:34.36" personId="{C5268FB3-219F-424A-88FA-01E7B2B85297}" id="{C4E822F0-0090-49B2-BDC7-6DA3F6EDA947}">
    <text>Bringing forward a payment to December</text>
  </threadedComment>
  <threadedComment ref="U82" dT="2023-12-15T13:05:57.85" personId="{C5268FB3-219F-424A-88FA-01E7B2B85297}" id="{C0ADD48F-1841-4798-AE2F-D366E3EA084C}">
    <text>Tax due to be paid, RCT Euro24707, P30 Euro19343 = total 44050.  Credit with Revenue Euro10795</text>
  </threadedComment>
  <threadedComment ref="V82" dT="2023-12-31T18:11:27.32" personId="{C5268FB3-219F-424A-88FA-01E7B2B85297}" id="{FDA75392-6080-4997-9038-E2A871911A27}">
    <text>Is there more to come? I was forecasting 34k to come out for Revenue.</text>
  </threadedComment>
  <threadedComment ref="AE82" dT="2023-12-07T12:32:10.44" personId="{C5268FB3-219F-424A-88FA-01E7B2B85297}" id="{33217BAF-C8FB-4209-A274-2B382A1A9A0E}">
    <text>Reducing tax bill in line with labour reduction.</text>
  </threadedComment>
  <threadedComment ref="BA82" dT="2024-07-10T10:42:39.80" personId="{C5268FB3-219F-424A-88FA-01E7B2B85297}" id="{DFB0FCAD-8AF1-419B-8A8E-FF93811A40C7}">
    <text>Exact amount from ROS</text>
  </threadedComment>
  <threadedComment ref="CQ82" dT="2025-02-18T12:53:01.77" personId="{C5268FB3-219F-424A-88FA-01E7B2B85297}" id="{BAC9607B-CABD-4182-B453-79304252DA49}">
    <text>Ivan got figure off ROS sent snip to group</text>
  </threadedComment>
  <threadedComment ref="CU82" dT="2025-02-19T12:35:05.95" personId="{C5268FB3-219F-424A-88FA-01E7B2B85297}" id="{F0657548-A1F8-4DE0-8429-312D070D5E86}">
    <text>Includes Sergiu RCT figure and now Mihai for longer</text>
  </threadedComment>
  <threadedComment ref="CY82" dT="2025-02-19T12:35:05.95" personId="{C5268FB3-219F-424A-88FA-01E7B2B85297}" id="{D062CECB-DB3D-4FA8-A945-E967AF14F20B}">
    <text>Includes Sergiu RCT figure and now Mihai for longer</text>
  </threadedComment>
  <threadedComment ref="DC82" dT="2025-02-19T12:35:05.95" personId="{C5268FB3-219F-424A-88FA-01E7B2B85297}" id="{2F6FCAD1-89A7-48FF-B094-2FCFDFEE0A82}">
    <text>Includes Sergiu RCT figure and now Mihai for longer</text>
  </threadedComment>
  <threadedComment ref="DG82" dT="2025-02-19T12:35:05.95" personId="{C5268FB3-219F-424A-88FA-01E7B2B85297}" id="{6F3FF4D9-FB43-45BE-9D79-BE1EF86D40F8}">
    <text>Includes Sergiu RCT figure and now Mihai for longer</text>
  </threadedComment>
  <threadedComment ref="DL82" dT="2025-02-19T12:35:05.95" personId="{C5268FB3-219F-424A-88FA-01E7B2B85297}" id="{D0278581-E389-4B1C-9FD4-546725A90A48}">
    <text>Includes Sergiu RCT figure and now Mihai for longer</text>
  </threadedComment>
  <threadedComment ref="DO82" dT="2025-02-19T12:35:05.95" personId="{C5268FB3-219F-424A-88FA-01E7B2B85297}" id="{85D042EE-A094-4A53-9C9E-24CED83CB0E9}">
    <text>Includes Sergiu RCT figure and now Mihai for longer</text>
  </threadedComment>
  <threadedComment ref="DR82" dT="2025-02-19T12:35:05.95" personId="{C5268FB3-219F-424A-88FA-01E7B2B85297}" id="{14BDC874-4B0C-405E-92F6-00A08FF6B1D5}">
    <text>Includes Sergiu RCT figure and now Mihai for longer</text>
  </threadedComment>
  <threadedComment ref="DV82" dT="2025-02-19T12:35:05.95" personId="{C5268FB3-219F-424A-88FA-01E7B2B85297}" id="{8508C336-05BA-4C17-B5BF-57AFC4739B5A}">
    <text>Includes Sergiu RCT figure and now Mihai for longer</text>
  </threadedComment>
  <threadedComment ref="Y83" dT="2024-01-08T11:39:12.29" personId="{C5268FB3-219F-424A-88FA-01E7B2B85297}" id="{694CF6C0-AA17-48E6-A242-5F3ACA197A5C}">
    <text>2419EURO has been demanded from Revenue, HAS BEEN OFFSET AGAINST THE vat REFUND FIGURE ABOVE</text>
  </threadedComment>
  <threadedComment ref="BA83" dT="2024-07-10T10:42:53.25" personId="{C5268FB3-219F-424A-88FA-01E7B2B85297}" id="{A0585D35-4E4C-4C42-B7B9-46B57232C5BD}">
    <text>Exact amount from ROS</text>
  </threadedComment>
  <threadedComment ref="DC83" dT="2025-01-24T13:56:40.00" personId="{C5268FB3-219F-424A-88FA-01E7B2B85297}" id="{BE9A7A69-FC69-4FB2-8768-B1B2DA6F7248}">
    <text>When we secure more work for the PAYE lads, this tax figure will go back up.</text>
  </threadedComment>
  <threadedComment ref="DG83" dT="2025-01-24T13:56:40.00" personId="{C5268FB3-219F-424A-88FA-01E7B2B85297}" id="{89081941-E41B-4A2F-9ADC-AE2E6C7ADAFC}">
    <text>When we secure more work for the PAYE lads, this tax figure will go back up.</text>
  </threadedComment>
  <threadedComment ref="DL83" dT="2025-01-24T13:56:40.00" personId="{C5268FB3-219F-424A-88FA-01E7B2B85297}" id="{36B1F1C1-B051-4853-BE67-21FFC9ED3996}">
    <text>When we secure more work for the PAYE lads, this tax figure will go back up.</text>
  </threadedComment>
  <threadedComment ref="DO83" dT="2025-01-24T13:56:40.00" personId="{C5268FB3-219F-424A-88FA-01E7B2B85297}" id="{C9D755F4-E8E1-467B-89B1-9DD8FE9147CE}">
    <text>When we secure more work for the PAYE lads, this tax figure will go back up.</text>
  </threadedComment>
  <threadedComment ref="DR83" dT="2025-01-24T13:56:40.00" personId="{C5268FB3-219F-424A-88FA-01E7B2B85297}" id="{7D2D331F-D1D9-4647-A899-747C7EE7AE2D}">
    <text>When we secure more work for the PAYE lads, this tax figure will go back up.</text>
  </threadedComment>
  <threadedComment ref="DV83" dT="2025-01-24T13:56:40.00" personId="{C5268FB3-219F-424A-88FA-01E7B2B85297}" id="{464A9F07-A9DC-4BD7-A3CB-5D92E53C7BF2}">
    <text>When we secure more work for the PAYE lads, this tax figure will go back up.</text>
  </threadedComment>
  <threadedComment ref="DZ83" dT="2025-01-24T13:56:40.00" personId="{C5268FB3-219F-424A-88FA-01E7B2B85297}" id="{A86A6FA5-5FB5-4E89-BEB9-4C9C7344FFB4}">
    <text>When we secure more work for the PAYE lads, this tax figure will go back up.</text>
  </threadedComment>
  <threadedComment ref="EE83" dT="2025-01-24T13:56:40.00" personId="{C5268FB3-219F-424A-88FA-01E7B2B85297}" id="{AD729595-D1C7-4C1C-9851-5BEBFEE384D5}">
    <text>When we secure more work for the PAYE lads, this tax figure will go back up.</text>
  </threadedComment>
  <threadedComment ref="EI83" dT="2025-01-24T13:56:40.00" personId="{C5268FB3-219F-424A-88FA-01E7B2B85297}" id="{6632C30E-033F-4686-965B-C27D57631DDD}">
    <text>When we secure more work for the PAYE lads, this tax figure will go back up.</text>
  </threadedComment>
  <threadedComment ref="CA84" dT="2024-12-05T10:55:36.77" personId="{C5268FB3-219F-424A-88FA-01E7B2B85297}" id="{E2137352-D037-4FBB-8D8D-0E4DD8A129E3}">
    <text>The 216.91 is a balancing figure that is the difference between the amount taken by revenue and what I was forecasting</text>
  </threadedComment>
  <threadedComment ref="CK85" dT="2025-02-03T11:59:07.91" personId="{C5268FB3-219F-424A-88FA-01E7B2B85297}" id="{596CB7A4-7D43-4856-B99E-C6CA1E16AFB0}">
    <text>Seems to be a payment to us, don’t know why.</text>
  </threadedComment>
  <threadedComment ref="AB90" dT="2023-11-06T17:33:45.41" personId="{8649F295-7209-41E4-A7EC-7029668950EC}" id="{DF510860-5100-454C-B6E6-621527FF912C}">
    <text xml:space="preserve">Increase for new fleet, incl Jason maybe.
</text>
  </threadedComment>
  <threadedComment ref="I91" dT="2023-09-25T13:23:48.57" personId="{8649F295-7209-41E4-A7EC-7029668950EC}" id="{52B7937A-AB7F-4E3D-85C3-9694628A0543}">
    <text>470.23 fuel plus 200 easy trip</text>
  </threadedComment>
  <threadedComment ref="AO92" dT="2024-05-08T07:05:33.14" personId="{C5268FB3-219F-424A-88FA-01E7B2B85297}" id="{0116C562-1C0F-4F29-97B1-D86D8C9BFBBA}">
    <text>8th May</text>
  </threadedComment>
  <threadedComment ref="AE94" dT="2024-02-27T12:54:52.34" personId="{C5268FB3-219F-424A-88FA-01E7B2B85297}" id="{C20A7EC2-4412-4164-A598-ACE2BCFBCC33}">
    <text xml:space="preserve">Jan and Feb amount owed to Liam going from 513pm to 600pm for his fees.
</text>
  </threadedComment>
  <threadedComment ref="AL96" dT="2024-04-07T14:55:47.97" personId="{C5268FB3-219F-424A-88FA-01E7B2B85297}" id="{4ECDDA1F-CFBE-4EDB-8517-00F5FC5E4861}">
    <text>No payment in March?</text>
  </threadedComment>
  <threadedComment ref="Y97" dT="2024-01-08T11:34:02.35" personId="{C5268FB3-219F-424A-88FA-01E7B2B85297}" id="{99024DDD-E150-4FA3-B79D-9AECFA554C57}">
    <text>Moved from second week Jan</text>
  </threadedComment>
  <threadedComment ref="AJ97" dT="2024-04-06T12:29:50.38" personId="{C5268FB3-219F-424A-88FA-01E7B2B85297}" id="{2EE2814D-7E2E-41E9-ACE1-240A1C441080}">
    <text>Brought forward by two weeks and paid.</text>
  </threadedComment>
  <threadedComment ref="AT97" dT="2024-06-14T09:40:47.13" personId="{C5268FB3-219F-424A-88FA-01E7B2B85297}" id="{766F45D6-40B5-4BD8-B643-C890ABDF68B8}">
    <text>This is March and April figures due.</text>
  </threadedComment>
  <threadedComment ref="AY97" dT="2024-06-14T09:41:14.41" personId="{C5268FB3-219F-424A-88FA-01E7B2B85297}" id="{827C2EA0-00FB-450B-A6D3-784B67D94D85}">
    <text>Holding number for May figure due 23rd June.</text>
  </threadedComment>
  <threadedComment ref="BL97" dT="2024-09-09T13:07:22.37" personId="{C5268FB3-219F-424A-88FA-01E7B2B85297}" id="{B2B5CAC7-6C74-4FFF-B55B-C815750F69E7}">
    <text>Weeks 27 to 30 inclusive.</text>
  </threadedComment>
  <threadedComment ref="BT97" dT="2024-11-05T12:26:45.42" personId="{C5268FB3-219F-424A-88FA-01E7B2B85297}" id="{2DEE29CF-F060-4DE4-BDE7-2059EF603F3A}">
    <text>Weeks 31 to 35 inclusive</text>
  </threadedComment>
  <threadedComment ref="BZ97" dT="2024-11-05T12:27:37.50" personId="{C5268FB3-219F-424A-88FA-01E7B2B85297}" id="{137B79FB-8BBF-41B7-BCF9-B3B5286F4DC1}">
    <text>Week 36 to 39 inclusive</text>
  </threadedComment>
  <threadedComment ref="CI97" dT="2025-02-18T12:45:57.44" personId="{C5268FB3-219F-424A-88FA-01E7B2B85297}" id="{B68A78F6-0CA2-4446-8D1E-813CF6A4CA02}">
    <text>October and Nov, to week 45 inclusive</text>
  </threadedComment>
  <threadedComment ref="CQ97" dT="2025-05-02T16:02:49.90" personId="{C5268FB3-219F-424A-88FA-01E7B2B85297}" id="{D901E868-D9DD-4F09-AA66-22F237E3D048}">
    <text>Dec and Jan 25</text>
  </threadedComment>
  <threadedComment ref="C98" dT="2023-10-02T12:01:10.05" personId="{8649F295-7209-41E4-A7EC-7029668950EC}" id="{38BB67AC-597E-4882-9F06-1AC5F4EB740E}">
    <text>May statement of €8659 plus June, July, August added</text>
  </threadedComment>
  <threadedComment ref="J98" dT="2023-10-02T12:03:06.58" personId="{8649F295-7209-41E4-A7EC-7029668950EC}" id="{D8F08B22-0FC4-4815-A004-5EE2CF02D064}">
    <text>September payment</text>
  </threadedComment>
  <threadedComment ref="Y98" dT="2024-01-08T11:33:45.14" personId="{C5268FB3-219F-424A-88FA-01E7B2B85297}" id="{2E708C4E-0735-4BC9-A314-3FC89F09EDBF}">
    <text xml:space="preserve">Moved from first week January </text>
  </threadedComment>
  <threadedComment ref="N99" dT="2023-11-03T12:23:27.30" personId="{8649F295-7209-41E4-A7EC-7029668950EC}" id="{6CE8BEBF-F972-49EB-9872-792DCF3DD5D3}">
    <text xml:space="preserve">Move to next week.
</text>
  </threadedComment>
  <threadedComment ref="K101" dT="2023-10-13T21:52:26.42" personId="{8649F295-7209-41E4-A7EC-7029668950EC}" id="{C646C400-DADC-44F8-AC7D-FA6E699E57F8}">
    <text>Check to make sure this is a credit card payment</text>
  </threadedComment>
  <threadedComment ref="BB101" dT="2024-08-08T08:01:32.68" personId="{C5268FB3-219F-424A-88FA-01E7B2B85297}" id="{3C87B503-5B97-4228-89AA-42586CFCE6D0}">
    <text>Interim payment of 1,000 was made but then the full DD also came out.</text>
  </threadedComment>
  <threadedComment ref="T102" dT="2023-11-06T17:31:49.24" personId="{8649F295-7209-41E4-A7EC-7029668950EC}" id="{3F71712C-5B5F-4313-B73C-C27DC67409D7}">
    <text>Quarterly overdraft interest (estimated)</text>
  </threadedComment>
  <threadedComment ref="X108" dT="2024-01-10T13:56:27.00" personId="{C5268FB3-219F-424A-88FA-01E7B2B85297}" id="{4F3C3657-14DB-41AA-94FF-95D04C0AA6D3}">
    <text xml:space="preserve">Darcy McGees
</text>
  </threadedComment>
  <threadedComment ref="Z108" dT="2024-01-23T13:37:56.20" personId="{C5268FB3-219F-424A-88FA-01E7B2B85297}" id="{FF69C140-D439-402D-9282-3EF43E0D25C1}">
    <text>Keoghs Café, Halfords</text>
  </threadedComment>
  <threadedComment ref="AA108" dT="2024-02-02T12:25:45.31" personId="{C5268FB3-219F-424A-88FA-01E7B2B85297}" id="{9AF738B7-0A3F-4764-9219-AAD0D69BA9E4}">
    <text>Halfords,</text>
  </threadedComment>
  <threadedComment ref="AD108" dT="2024-02-23T13:24:49.22" personId="{C5268FB3-219F-424A-88FA-01E7B2B85297}" id="{AED34855-73F3-40C7-95A8-BAA2211CF59B}">
    <text>Keoghs</text>
  </threadedComment>
  <threadedComment ref="AE108" dT="2024-02-29T13:19:21.84" personId="{C5268FB3-219F-424A-88FA-01E7B2B85297}" id="{8D1B59BE-9443-4AED-AFD4-C3007DE1D250}">
    <text xml:space="preserve">Keogh's
</text>
  </threadedComment>
  <threadedComment ref="AH108" dT="2024-03-20T16:47:56.38" personId="{C5268FB3-219F-424A-88FA-01E7B2B85297}" id="{E8E41BE4-270A-4A6E-BB2C-F29177158B21}">
    <text xml:space="preserve">CEX phone for Dave, Supervalu, </text>
  </threadedComment>
  <threadedComment ref="AI108" dT="2024-04-02T09:30:48.67" personId="{C5268FB3-219F-424A-88FA-01E7B2B85297}" id="{AEC55309-E95B-4F4D-8AB1-D721E591B416}">
    <text>Darcy McGees</text>
  </threadedComment>
  <threadedComment ref="AJ108" dT="2024-04-02T09:58:56.09" personId="{C5268FB3-219F-424A-88FA-01E7B2B85297}" id="{B1607C18-E28A-4CFB-B66C-DFFD5A145703}">
    <text>Eurolink, Westward, Home Store, B&amp;"</text>
  </threadedComment>
  <threadedComment ref="AL108" dT="2024-04-20T11:22:49.76" personId="{C5268FB3-219F-424A-88FA-01E7B2B85297}" id="{BCFA122A-C9F2-47EC-B702-71AF648C8924}">
    <text>Woodies</text>
  </threadedComment>
  <threadedComment ref="AM108" dT="2024-04-30T14:31:45.15" personId="{C5268FB3-219F-424A-88FA-01E7B2B85297}" id="{4794E84A-0D41-4E90-895F-9E91FC532037}">
    <text>Ivan Rome</text>
  </threadedComment>
  <threadedComment ref="AN108" dT="2024-05-01T13:15:14.58" personId="{C5268FB3-219F-424A-88FA-01E7B2B85297}" id="{5738EC49-7B4E-4450-8F9F-4CF779F0E242}">
    <text xml:space="preserve">250 Ivan repaid withdrawal
101.34 paid to Dave for Punchestown
</text>
  </threadedComment>
  <threadedComment ref="AR108" dT="2024-06-04T08:00:21.11" personId="{C5268FB3-219F-424A-88FA-01E7B2B85297}" id="{1FC0CA89-ADEB-45A8-BFC0-29C55922B329}">
    <text>Revolut charge</text>
  </threadedComment>
  <threadedComment ref="AV108" dT="2024-06-28T10:19:15.61" personId="{C5268FB3-219F-424A-88FA-01E7B2B85297}" id="{3F642F44-18C4-47CD-8664-5CEC04F640A1}">
    <text>Ballinteer House</text>
  </threadedComment>
  <threadedComment ref="AZ108" dT="2024-07-19T14:14:54.23" personId="{C5268FB3-219F-424A-88FA-01E7B2B85297}" id="{1632412B-5C35-486E-9B77-B8F07B8662BC}">
    <text>An Post</text>
  </threadedComment>
  <threadedComment ref="BL108" dT="2024-10-07T11:40:48.80" personId="{C5268FB3-219F-424A-88FA-01E7B2B85297}" id="{BAB91B94-4AEB-4D11-A241-BB7E2F488CCC}">
    <text>O’Connor roofing</text>
  </threadedComment>
  <threadedComment ref="CC108" dT="2024-12-19T14:05:22.91" personId="{C5268FB3-219F-424A-88FA-01E7B2B85297}" id="{18209FBA-CB46-46EE-AC85-C93EAA56710C}">
    <text xml:space="preserve">Screwfix
</text>
  </threadedComment>
  <threadedComment ref="CL108" dT="2025-02-12T07:30:25.52" personId="{C5268FB3-219F-424A-88FA-01E7B2B85297}" id="{19E9AC68-0558-4085-9A20-46427DE583C1}">
    <text>Balancing fig</text>
  </threadedComment>
  <threadedComment ref="CR108" dT="2025-03-21T16:57:28.78" personId="{C5268FB3-219F-424A-88FA-01E7B2B85297}" id="{5A39B761-4F7A-49B6-9244-F79EDD693655}">
    <text xml:space="preserve">Rounding
</text>
  </threadedComment>
  <threadedComment ref="CZ108" dT="2025-05-19T09:26:38.22" personId="{C5268FB3-219F-424A-88FA-01E7B2B85297}" id="{37A8495D-9C7F-4550-9626-83C162624060}">
    <text>Dyna Rocker Cover</text>
  </threadedComment>
  <threadedComment ref="Q109" dT="2023-11-20T11:25:00.85" personId="{8649F295-7209-41E4-A7EC-7029668950EC}" id="{AAE0C7B7-5F71-4257-BB74-7CEB942A806F}">
    <text>Invoice dated 26.10 IFIT01</text>
  </threadedComment>
  <threadedComment ref="BL109" dT="2024-09-02T11:29:36.71" personId="{C5268FB3-219F-424A-88FA-01E7B2B85297}" id="{90762BDB-DA9D-461A-B250-B4B15C29A949}">
    <text>Invoice ref CAC02470 and CAC02435</text>
  </threadedComment>
  <threadedComment ref="BN109" dT="2024-09-02T11:30:24.62" personId="{C5268FB3-219F-424A-88FA-01E7B2B85297}" id="{59B51B02-B048-42C2-B095-AD87B9515610}">
    <text>Ref CAC02477</text>
  </threadedComment>
  <threadedComment ref="BR109" dT="2024-10-07T11:43:22.30" personId="{C5268FB3-219F-424A-88FA-01E7B2B85297}" id="{5F5CCFB9-28D0-4A12-B1EC-A9128A747C96}">
    <text>Invoice ref CAC02470 and CAC02435, CAC02477</text>
  </threadedComment>
  <threadedComment ref="CN109" dT="2024-10-07T11:43:22.30" personId="{C5268FB3-219F-424A-88FA-01E7B2B85297}" id="{B879F7F8-C28F-4287-B485-AD1DD28C73F5}">
    <text>Invoice ref CAC02470 and CAC02435, CAC02477</text>
  </threadedComment>
  <threadedComment ref="P111" dT="2023-11-20T11:43:11.42" personId="{8649F295-7209-41E4-A7EC-7029668950EC}" id="{C2DFA453-11E3-4C53-BBCC-FE7622F262F8}">
    <text>Cost of tape and bank fee</text>
  </threadedComment>
  <threadedComment ref="BT112" dT="2024-11-08T09:12:04.01" personId="{C5268FB3-219F-424A-88FA-01E7B2B85297}" id="{315EFFC2-E9D6-4699-AB16-52E5B25B0C3B}">
    <text>Week 36 to 44</text>
  </threadedComment>
  <threadedComment ref="CR112" dT="2025-03-21T16:47:55.95" personId="{C5268FB3-219F-424A-88FA-01E7B2B85297}" id="{E1B655A4-911B-4D53-A5BE-80330522D209}">
    <text>Weeks 5-8</text>
  </threadedComment>
  <threadedComment ref="BA119" dT="2024-07-10T11:34:00.16" personId="{C5268FB3-219F-424A-88FA-01E7B2B85297}" id="{912F45AE-BABA-4AB3-A770-A52E034BB425}">
    <text>Invoice no 2024 1096</text>
  </threadedComment>
  <threadedComment ref="BA128" dT="2024-07-29T11:13:07.25" personId="{C5268FB3-219F-424A-88FA-01E7B2B85297}" id="{B0D8B083-7659-48C8-8CAF-7F4B939E0F2F}">
    <text>To Pay Chadwicks on account Atradius and wages</text>
  </threadedComment>
  <threadedComment ref="AR134" dT="2024-05-31T16:10:04.01" personId="{C5268FB3-219F-424A-88FA-01E7B2B85297}" id="{4822C99D-53FD-4014-844C-C60E8CFF5A0F}">
    <text>25k payment moved to December</text>
  </threadedComment>
  <threadedComment ref="AV134" dT="2024-05-31T16:10:17.23" personId="{C5268FB3-219F-424A-88FA-01E7B2B85297}" id="{0C5B87D2-4486-434F-B1B5-F07F7CE9EF52}">
    <text>120k payment moved to December</text>
  </threadedComment>
  <threadedComment ref="BB134" dT="2024-08-08T08:00:29.40" personId="{C5268FB3-219F-424A-88FA-01E7B2B85297}" id="{BB5AEBD6-9E6D-4802-B393-EE7826623FC2}">
    <text xml:space="preserve">Paid 8.8.24 </text>
  </threadedComment>
  <threadedComment ref="AS135" dT="2024-06-05T18:35:29.11" personId="{C5268FB3-219F-424A-88FA-01E7B2B85297}" id="{3455BD09-570C-4493-9F87-C315FB654788}">
    <text xml:space="preserve">Last of Mayweather investment </text>
  </threadedComment>
  <threadedComment ref="CS136" dT="2025-03-25T12:12:27.75" personId="{C5268FB3-219F-424A-88FA-01E7B2B85297}" id="{8D34F666-E926-4C2A-A554-806DDB0A7C44}">
    <text>Finance fee re PTSB</text>
  </threadedComment>
  <threadedComment ref="G139" dT="2023-09-11T15:27:45.89" personId="{8649F295-7209-41E4-A7EC-7029668950EC}" id="{4B110E38-5620-4D4F-BCD1-D6B8295C8F76}">
    <text>Make early payment to release</text>
  </threadedComment>
  <threadedComment ref="R139" dT="2023-11-27T11:32:34.70" personId="{8649F295-7209-41E4-A7EC-7029668950EC}" id="{6933419E-C1C5-4242-9508-14798C33BD77}">
    <text>Payment made 27.11</text>
  </threadedComment>
  <threadedComment ref="AX139" dT="2024-04-15T10:02:53.33" personId="{C5268FB3-219F-424A-88FA-01E7B2B85297}" id="{7BAA2C10-0DD3-48B7-B0B4-C0FD95CCD80D}">
    <text xml:space="preserve">Estimate in addition to Beach Rd
</text>
  </threadedComment>
  <threadedComment ref="BA139" dT="2024-04-15T10:02:53.33" personId="{C5268FB3-219F-424A-88FA-01E7B2B85297}" id="{3DFEC950-657E-4A16-A10B-D15518066A96}">
    <text xml:space="preserve">
20k paid on account 24.7</text>
  </threadedComment>
  <threadedComment ref="BE139" dT="2024-08-19T12:39:56.63" personId="{C5268FB3-219F-424A-88FA-01E7B2B85297}" id="{38024711-CC6D-4BD2-8A4D-2002B6EE7526}">
    <text>Interim pmnt made to allow Ronan order exterior render</text>
  </threadedComment>
  <threadedComment ref="BH139" dT="2024-04-15T10:02:53.33" personId="{C5268FB3-219F-424A-88FA-01E7B2B85297}" id="{DA91CCDC-6E70-4744-97FB-56D5513036CF}">
    <text>Actual balance owing</text>
  </threadedComment>
  <threadedComment ref="BO139" dT="2024-04-15T10:02:53.33" personId="{C5268FB3-219F-424A-88FA-01E7B2B85297}" id="{9920D1CB-9903-445A-9D4E-2C91A4518F8C}">
    <text xml:space="preserve">Estimate in addition to Beach Rd
</text>
  </threadedComment>
  <threadedComment ref="CY139" dT="2025-02-17T13:37:17.68" personId="{C5268FB3-219F-424A-88FA-01E7B2B85297}" id="{8A5053A8-C10D-4153-AAEC-D6CFAB082D06}">
    <text>Figure to 17 Feb</text>
  </threadedComment>
  <threadedComment ref="M140" dT="2023-09-22T11:19:45.33" personId="{8649F295-7209-41E4-A7EC-7029668950EC}" id="{202AC023-AB2C-4975-99DE-601DB6BF7E3D}">
    <text xml:space="preserve">SIG bal as at 22.09 plus materials for Rhenus. Total was 44k, paid 30k early 17.10  </text>
  </threadedComment>
  <threadedComment ref="Q140" dT="2023-11-24T08:52:47.32" personId="{8649F295-7209-41E4-A7EC-7029668950EC}" id="{5C4C3656-D37A-4D50-A138-E7D45CFB2682}">
    <text>Amounts paid</text>
  </threadedComment>
  <threadedComment ref="S140" dT="2023-09-29T13:31:54.50" personId="{8649F295-7209-41E4-A7EC-7029668950EC}" id="{4BD603ED-79E0-4D69-952D-0A781B378CE0}">
    <text>This assumes we will use all our credit line with SIG.
5k paid early 9th Nov and 5k paid early on 15th Nov and 20th Nov, to allow us more credit.</text>
  </threadedComment>
  <threadedComment ref="W140" dT="2023-10-27T12:38:53.31" personId="{8649F295-7209-41E4-A7EC-7029668950EC}" id="{BD5518B3-5B85-4101-BDC4-82D8921BF646}">
    <text xml:space="preserve">Estimated balance
</text>
  </threadedComment>
  <threadedComment ref="AO140" dT="2024-03-21T19:42:43.04" personId="{C5268FB3-219F-424A-88FA-01E7B2B85297}" id="{0DFD5066-BF39-4091-BAE2-58E9202E6921}">
    <text>Figure up to 15th March, therefore more orders will be placed by end of March.</text>
  </threadedComment>
  <threadedComment ref="AW140" dT="2024-07-07T09:01:22.08" personId="{C5268FB3-219F-424A-88FA-01E7B2B85297}" id="{D7F36531-A406-4D37-8CA1-6144DEE8604F}">
    <text>Overpaid by 10k as we made an early payment also.</text>
  </threadedComment>
  <threadedComment ref="BB140" dT="2024-06-06T16:00:17.26" personId="{C5268FB3-219F-424A-88FA-01E7B2B85297}" id="{7671705E-2886-4D37-869E-35A5ED81EBEF}">
    <text>€70,013 is amount owing for end of July (first week Auguse) however I overpaid in July by 10k, I made an early payment of 10k but didn’t take this into account when paying €36935 on 7 July.</text>
  </threadedComment>
  <threadedComment ref="BH140" dT="2024-07-07T08:50:58.53" personId="{C5268FB3-219F-424A-88FA-01E7B2B85297}" id="{98216DA2-CDB5-4540-BBDC-C7BD4A374CD5}">
    <text>All June orders as per statement from Deirdre.</text>
  </threadedComment>
  <threadedComment ref="CQ140" dT="2025-01-17T15:02:07.16" personId="{C5268FB3-219F-424A-88FA-01E7B2B85297}" id="{BBA18B98-7932-434D-9F53-E95CC3690B31}">
    <text>This is the October orders due 1st Jan</text>
  </threadedComment>
  <threadedComment ref="CT140" dT="2025-01-17T15:03:01.99" personId="{C5268FB3-219F-424A-88FA-01E7B2B85297}" id="{0026C3C7-D9D9-42C5-9105-0BEEB856582E}">
    <text xml:space="preserve">This is November orders due 1st Feb
</text>
  </threadedComment>
  <threadedComment ref="CU140" dT="2025-02-23T17:57:52.87" personId="{C5268FB3-219F-424A-88FA-01E7B2B85297}" id="{C51FB3F5-4D06-4BF0-A0E6-73C6C9A9971E}">
    <text>Bal at end of Dec, would be due first week March</text>
  </threadedComment>
  <threadedComment ref="CY140" dT="2025-02-23T17:58:35.81" personId="{C5268FB3-219F-424A-88FA-01E7B2B85297}" id="{286D62A2-A52A-40CD-A1AB-0A652BFA582D}">
    <text xml:space="preserve">Feb balance, would be due first week of April </text>
  </threadedComment>
  <threadedComment ref="CZ140" dT="2025-04-07T17:45:18.77" personId="{C5268FB3-219F-424A-88FA-01E7B2B85297}" id="{A421220B-19F6-47DC-8DEA-FA856939F4F1}">
    <text>Feb orders due first week May</text>
  </threadedComment>
  <threadedComment ref="DD140" dT="2025-02-23T18:58:49.63" personId="{C5268FB3-219F-424A-88FA-01E7B2B85297}" id="{ADDAC770-8C23-460B-A4D2-9D4197B7BC78}">
    <text>March orders with SIG
All these figures have been condensed into a shorter program</text>
  </threadedComment>
  <threadedComment ref="DI140" dT="2025-03-31T10:12:01.95" personId="{C5268FB3-219F-424A-88FA-01E7B2B85297}" id="{ECE296BD-D8A1-4ABB-B1A8-2F404E7F83E2}">
    <text>As per loadout schedule from Ronan 31.3</text>
  </threadedComment>
  <threadedComment ref="DN140" dT="2025-05-19T12:00:45.97" personId="{C5268FB3-219F-424A-88FA-01E7B2B85297}" id="{794169C7-028F-4B8C-99EF-9186ED619710}">
    <text>This is the balance received from Deirdre up t0 19.5 with additional €52,585 for outstanding orders also added</text>
  </threadedComment>
  <threadedComment ref="N142" dT="2023-11-03T12:25:31.31" personId="{8649F295-7209-41E4-A7EC-7029668950EC}" id="{C387EFF4-1A32-4759-958B-625C07D9EA3E}">
    <text>Payment made for cash delivery</text>
  </threadedComment>
  <threadedComment ref="Q142" dT="2023-11-22T14:52:41.20" personId="{8649F295-7209-41E4-A7EC-7029668950EC}" id="{0709181C-87B2-4DF4-88AC-B8CAE187B631}">
    <text>Pyment on account</text>
  </threadedComment>
  <threadedComment ref="V142" dT="2023-10-25T11:33:06.83" personId="{8649F295-7209-41E4-A7EC-7029668950EC}" id="{282A118A-9702-4ADB-8911-6CA7E2BE69F6}">
    <text>Two orders placed for Belmayne and Rhenus</text>
  </threadedComment>
  <threadedComment ref="AH142" dT="2024-03-08T17:04:11.90" personId="{C5268FB3-219F-424A-88FA-01E7B2B85297}" id="{F8884FBE-A1A5-4979-9308-BA0AC205F564}">
    <text>Refund</text>
  </threadedComment>
  <threadedComment ref="AJ142" dT="2024-02-12T16:09:03.18" personId="{C5268FB3-219F-424A-88FA-01E7B2B85297}" id="{6AB229A8-F4CE-46C3-B6C0-4C906BD9FEE0}">
    <text xml:space="preserve">Holding figure
</text>
  </threadedComment>
  <threadedComment ref="BC142" dT="2024-08-07T17:01:05.14" personId="{C5268FB3-219F-424A-88FA-01E7B2B85297}" id="{DBBBEDEC-89D1-4503-AE61-B988CFAF9D82}">
    <text>Interim payment as hitting limit</text>
  </threadedComment>
  <threadedComment ref="BF142" dT="2024-08-07T17:01:05.14" personId="{C5268FB3-219F-424A-88FA-01E7B2B85297}" id="{ED8FCD58-EA58-4FDE-9B3A-7539FA9786A0}">
    <text>Interim payment as hitting limit</text>
  </threadedComment>
  <threadedComment ref="BH142" dT="2024-07-29T11:33:12.00" personId="{C5268FB3-219F-424A-88FA-01E7B2B85297}" id="{A1041E07-19DB-4049-938F-9022B59E6D6F}">
    <text xml:space="preserve">Actual July orders minus interim payment of 10000
.
</text>
  </threadedComment>
  <threadedComment ref="CU142" dT="2025-02-19T18:47:07.72" personId="{C5268FB3-219F-424A-88FA-01E7B2B85297}" id="{F1C7359E-2A2F-4025-8961-D35D51FE3F15}">
    <text>Merville as per HPC Stetement</text>
  </threadedComment>
  <threadedComment ref="CY142" dT="2025-03-18T15:15:57.94" personId="{C5268FB3-219F-424A-88FA-01E7B2B85297}" id="{EC495831-D944-492F-A9DF-499E92DAAD64}">
    <text>As at 18.3 only</text>
  </threadedComment>
  <threadedComment ref="CJ143" dT="2024-11-22T07:54:02.45" personId="{C5268FB3-219F-424A-88FA-01E7B2B85297}" id="{E380B176-ACFA-4FDF-8A40-95BAFED962F8}">
    <text>Ivan paid on his credit card</text>
  </threadedComment>
  <threadedComment ref="AJ144" dT="2024-03-21T19:46:23.70" personId="{C5268FB3-219F-424A-88FA-01E7B2B85297}" id="{DA05A555-0719-4148-8458-092F2A4F259E}">
    <text>As per statement received 20.3</text>
  </threadedComment>
  <threadedComment ref="AQ144" dT="2024-03-21T19:49:19.47" personId="{C5268FB3-219F-424A-88FA-01E7B2B85297}" id="{EE66D3E0-873A-4326-915D-55323D8F2D71}">
    <text>As per statement received 20.03, most likely more orders will go on by end March for April payment.</text>
  </threadedComment>
  <threadedComment ref="AV144" dT="2024-05-03T04:46:23.04" personId="{C5268FB3-219F-424A-88FA-01E7B2B85297}" id="{8C5E69A3-2115-4964-8BC5-6A10EADB550C}">
    <text xml:space="preserve">Refer to email received from Jeanette on 1 May </text>
  </threadedComment>
  <threadedComment ref="AY144" dT="2024-05-26T10:46:24.18" personId="{C5268FB3-219F-424A-88FA-01E7B2B85297}" id="{C70CB024-ABA9-461C-AEB1-F054CB0F912E}">
    <text xml:space="preserve">Statement figure for May purchases
</text>
  </threadedComment>
  <threadedComment ref="BB144" dT="2024-07-12T10:46:48.60" personId="{C5268FB3-219F-424A-88FA-01E7B2B85297}" id="{D5AD4315-216A-4808-9735-276377295B2C}">
    <text>June purchases, figure from statement</text>
  </threadedComment>
  <threadedComment ref="CE144" dT="2024-11-17T10:38:32.15" personId="{C5268FB3-219F-424A-88FA-01E7B2B85297}" id="{0BB8266F-D071-4558-BE7E-FA47A3552005}">
    <text xml:space="preserve">The 3608.54 was due end Oct
</text>
  </threadedComment>
  <threadedComment ref="J145" dT="2023-09-26T11:53:43.95" personId="{8649F295-7209-41E4-A7EC-7029668950EC}" id="{9A250290-C87E-49B2-B1E5-E43720970ABB}">
    <text>This figure along with Week 5 and Nov and Dec payments clear the account balance as at 25/9 of €22967</text>
  </threadedComment>
  <threadedComment ref="R145" dT="2023-11-27T11:26:41.27" personId="{8649F295-7209-41E4-A7EC-7029668950EC}" id="{62BA0F01-D75A-4D54-8A49-A63C44C54DD0}">
    <text>Paid 27.11</text>
  </threadedComment>
  <threadedComment ref="BH145" dT="2024-07-29T10:52:27.07" personId="{C5268FB3-219F-424A-88FA-01E7B2B85297}" id="{64544891-A829-4C75-838D-BE40B38D7F76}">
    <text>Up to 26.7</text>
  </threadedComment>
  <threadedComment ref="BA146" dT="2024-06-21T14:40:46.72" personId="{C5268FB3-219F-424A-88FA-01E7B2B85297}" id="{884BF3A3-FDBA-4024-9304-13349EE8140C}">
    <text>New trading agreement, orders placed in June</text>
  </threadedComment>
  <threadedComment ref="BH146" dT="2024-07-12T10:57:42.13" personId="{C5268FB3-219F-424A-88FA-01E7B2B85297}" id="{AE3C9689-54F0-4238-8A1B-4E1C66F384D5}">
    <text>Holding number</text>
  </threadedComment>
  <threadedComment ref="CA146" dT="2024-12-05T11:01:58.01" personId="{C5268FB3-219F-424A-88FA-01E7B2B85297}" id="{46A2EB6A-4C6B-4697-B986-4A6E4C6D9FC3}">
    <text>Paid pn Iv company cr card</text>
  </threadedComment>
  <threadedComment ref="BC147" dT="2024-08-03T19:07:31.54" personId="{C5268FB3-219F-424A-88FA-01E7B2B85297}" id="{1EE56D9D-ACB0-4504-89BD-C9878AA8907A}">
    <text>Check with Ivan and see if we can get credit.</text>
  </threadedComment>
  <threadedComment ref="BG147" dT="2024-08-15T13:12:58.85" personId="{C5268FB3-219F-424A-88FA-01E7B2B85297}" id="{01DCBB0A-447D-4D0C-9B80-2315C8062C15}">
    <text xml:space="preserve">Eurospec 1 of the 8 balcony elevations materials
</text>
  </threadedComment>
  <threadedComment ref="BO147" dT="2024-08-15T13:17:08.27" personId="{C5268FB3-219F-424A-88FA-01E7B2B85297}" id="{CAD47DF5-8A86-433E-BF18-F5F553C9EE89}">
    <text>Remaining 3 elevations = Eurospec materials</text>
  </threadedComment>
  <threadedComment ref="CE147" dT="2024-10-07T13:05:00.84" personId="{C5268FB3-219F-424A-88FA-01E7B2B85297}" id="{D9F26D08-2DC6-4AE4-B2FC-86C0F07EC54A}">
    <text>All orders in October 30 days credit</text>
  </threadedComment>
  <threadedComment ref="CE148" dT="2024-11-17T10:39:17.60" personId="{C5268FB3-219F-424A-88FA-01E7B2B85297}" id="{28ECE9A5-9E20-4BC5-A4AF-6419F3AEE9A9}">
    <text>The Oct figure has moved to this payment</text>
  </threadedComment>
  <threadedComment ref="CJ148" dT="2024-12-19T14:40:15.95" personId="{C5268FB3-219F-424A-88FA-01E7B2B85297}" id="{EBFB5318-137C-483C-8653-F302B8AE6EB9}">
    <text>Due to Dave beginning Jan</text>
  </threadedComment>
  <threadedComment ref="BO149" dT="2024-07-10T14:07:58.30" personId="{C5268FB3-219F-424A-88FA-01E7B2B85297}" id="{D966ED46-C490-4A63-BD16-DEDC53A5CCC2}">
    <text>Beach road materials. Invoice 0064712</text>
  </threadedComment>
  <threadedComment ref="R150" dT="2023-11-27T11:26:27.29" personId="{8649F295-7209-41E4-A7EC-7029668950EC}" id="{1A63C109-31A2-4CC6-92D1-A90163D77EBD}">
    <text>Paid 27.11</text>
  </threadedComment>
  <threadedComment ref="N151" dT="2023-09-04T10:25:00.60" personId="{8649F295-7209-41E4-A7EC-7029668950EC}" id="{1C7E2075-0A2A-47BA-A66A-94BEC4FCA069}">
    <text xml:space="preserve">Proposal to be sent
</text>
  </threadedComment>
  <threadedComment ref="R151" dT="2023-11-27T14:45:44.72" personId="{8649F295-7209-41E4-A7EC-7029668950EC}" id="{EA4D1037-AE30-497F-95FD-7DCB58035CE9}">
    <text>Paid 27.11</text>
  </threadedComment>
  <threadedComment ref="D154" dT="2023-09-18T13:20:36.62" personId="{8649F295-7209-41E4-A7EC-7029668950EC}" id="{DC2DD441-7311-4CC3-B68F-0E650F1E4FD3}">
    <text>Gross figure incl labour, materials, margin
The project value increased by 16k net and has been added to the December receivable, it may come in sooner.</text>
  </threadedComment>
  <threadedComment ref="J154" dT="2023-09-12T09:36:42.72" personId="{8649F295-7209-41E4-A7EC-7029668950EC}" id="{097FE6D9-5E35-4B7A-AD9F-E63E9B1B89B0}">
    <text>Valuation submitted end August less up front material payment of 60k</text>
  </threadedComment>
  <threadedComment ref="U154" dT="2023-10-26T09:42:35.34" personId="{8649F295-7209-41E4-A7EC-7029668950EC}" id="{A042B3B5-92E0-4F46-9A08-E6895FFD7AB9}">
    <text>This represents final payment plus PC Retention of 2.5%</text>
  </threadedComment>
  <threadedComment ref="U154" dT="2023-12-12T12:21:30.26" personId="{C5268FB3-219F-424A-88FA-01E7B2B85297}" id="{4EDFFF3C-6A0A-455E-B59D-D447E10D3DC0}" parentId="{A042B3B5-92E0-4F46-9A08-E6895FFD7AB9}">
    <text xml:space="preserve">Dave to speak to Brian Farrel and agree figure due and then for Ivan to agree with Richie </text>
  </threadedComment>
  <threadedComment ref="AA154" dT="2023-12-12T13:15:29.00" personId="{C5268FB3-219F-424A-88FA-01E7B2B85297}" id="{B54ECA59-8AE1-4502-B940-8782420F45E3}">
    <text>Final account - bal owed.
QUESTION - is this a realistic date?</text>
  </threadedComment>
  <threadedComment ref="AD154" dT="2024-02-19T15:04:19.78" personId="{C5268FB3-219F-424A-88FA-01E7B2B85297}" id="{9E7206D8-2353-48F9-A163-CA0BFF628CAF}">
    <text xml:space="preserve">Invoice 799
</text>
  </threadedComment>
  <threadedComment ref="R156" dT="2023-10-25T11:11:27.17" personId="{8649F295-7209-41E4-A7EC-7029668950EC}" id="{2894BF56-59CE-4BDF-A26A-A7C43F5E96F9}">
    <text>Invoice sent</text>
  </threadedComment>
  <threadedComment ref="AB156" dT="2023-12-23T17:53:49.30" personId="{C5268FB3-219F-424A-88FA-01E7B2B85297}" id="{1B0BD094-339D-4B51-9818-111B0F87A7BB}">
    <text xml:space="preserve">Originally forecast before christmas but didn’t come in.
</text>
  </threadedComment>
  <threadedComment ref="L157" dT="2023-09-11T10:54:15.60" personId="{8649F295-7209-41E4-A7EC-7029668950EC}" id="{7277B493-9EE7-42A8-9A48-AD1A7DDE3519}">
    <text>Job starting 13.9, two weeks to complete, invoice paid two weeks later.</text>
  </threadedComment>
  <threadedComment ref="D158" dT="2023-09-22T13:17:52.78" personId="{8649F295-7209-41E4-A7EC-7029668950EC}" id="{01AE0261-CD6E-40CE-AB50-4C593FC8CE81}">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D158" dT="2024-06-12T09:06:20.50" personId="{C5268FB3-219F-424A-88FA-01E7B2B85297}" id="{6C10354D-6EB4-488E-8EFA-9C895179EC49}" parentId="{01AE0261-CD6E-40CE-AB50-4C593FC8CE81}">
    <text>12.6 Project value rose to this new number incl acoustic panels etc.</text>
  </threadedComment>
  <threadedComment ref="M158" dT="2023-10-09T14:05:04.94" personId="{8649F295-7209-41E4-A7EC-7029668950EC}" id="{F03EB29A-FBF6-4C7B-AF0F-C8C04090F5DE}">
    <text>Project start for 24 weeks.  This figure landed in bank Monday 23rd morning.</text>
  </threadedComment>
  <threadedComment ref="N158" dT="2023-10-26T09:14:20.38" personId="{8649F295-7209-41E4-A7EC-7029668950EC}" id="{1A80F818-FFDD-4568-9FFD-F64B871C1B96}">
    <text xml:space="preserve">Dave submitted this figure to TSK 1/11
We were expecting to receive €37143.56 less 20% tax = €29,715
</text>
  </threadedComment>
  <threadedComment ref="O158" dT="2023-11-10T14:28:47.29" personId="{8649F295-7209-41E4-A7EC-7029668950EC}" id="{D36F25DF-8329-46B6-9556-6786A5D7658F}">
    <text>This is invoice 752 plus additional amount on invoice 751. Refer to email from Wendy on 10th Nov.</text>
  </threadedComment>
  <threadedComment ref="P158" dT="2023-11-16T15:31:25.76" personId="{8649F295-7209-41E4-A7EC-7029668950EC}" id="{4CB738BF-C3BC-4D1B-BEA9-DBAF941A60D5}">
    <text xml:space="preserve">Includes order for acoustic strip
</text>
  </threadedComment>
  <threadedComment ref="U158" dT="2023-10-17T13:52:25.41" personId="{8649F295-7209-41E4-A7EC-7029668950EC}" id="{E603BBD4-D6CB-4BEA-AA71-7DBF198DB2F0}">
    <text>Includes value of floor 6 closing</text>
  </threadedComment>
  <threadedComment ref="W158" dT="2023-10-17T14:06:19.65" personId="{8649F295-7209-41E4-A7EC-7029668950EC}" id="{BB1FA7F8-A033-4861-AFCB-5328FF49C4CD}">
    <text xml:space="preserve">This sum is 40% of the balance of the €602 total value of the job.
</text>
  </threadedComment>
  <threadedComment ref="AB158" dT="2023-10-17T14:06:19.65" personId="{8649F295-7209-41E4-A7EC-7029668950EC}" id="{B4C8AC83-FCD7-4CB0-A112-BC8C41049D55}">
    <text xml:space="preserve">This sum is 40% of the balance of the €602 total value of the job.
</text>
  </threadedComment>
  <threadedComment ref="AF158" dT="2023-10-17T14:06:19.65" personId="{8649F295-7209-41E4-A7EC-7029668950EC}" id="{E46F5300-779E-4958-9A18-EC30C3527DFD}">
    <text xml:space="preserve">This sum is the remaining 20% of the balance of the €602 total value of the job.
</text>
  </threadedComment>
  <threadedComment ref="AF158" dT="2024-03-06T12:39:42.98" personId="{C5268FB3-219F-424A-88FA-01E7B2B85297}" id="{02F8BA4E-A0BF-4218-96D1-658538724E8E}" parentId="{E46F5300-779E-4958-9A18-EC30C3527DFD}">
    <text xml:space="preserve">This amount is the regular work and the acoustics
</text>
  </threadedComment>
  <threadedComment ref="AK158" dT="2023-10-26T09:40:24.64" personId="{8649F295-7209-41E4-A7EC-7029668950EC}" id="{E0D5CC3D-1F79-4710-9A01-3BF56F68944C}">
    <text>2.5% PC Retention</text>
  </threadedComment>
  <threadedComment ref="AK158" dT="2024-03-04T11:28:56.40" personId="{C5268FB3-219F-424A-88FA-01E7B2B85297}" id="{B20CF9D3-41EF-4CAD-86E5-82B14D526B3F}" parentId="{E0D5CC3D-1F79-4710-9A01-3BF56F68944C}">
    <text xml:space="preserve">Plus final account 10k
</text>
  </threadedComment>
  <threadedComment ref="AL158" dT="2024-03-11T12:26:20.53" personId="{C5268FB3-219F-424A-88FA-01E7B2B85297}" id="{EDDE22D3-B9BE-4698-93B1-3E663720056D}">
    <text>Retention 2.5%</text>
  </threadedComment>
  <threadedComment ref="AM158" dT="2024-03-25T12:04:25.07" personId="{C5268FB3-219F-424A-88FA-01E7B2B85297}" id="{B8A70CDB-5CB3-423E-A036-BCC3F459F9E6}">
    <text>Extra income from additional Autex installation</text>
  </threadedComment>
  <threadedComment ref="BS158" dT="2024-08-03T19:07:04.81" personId="{C5268FB3-219F-424A-88FA-01E7B2B85297}" id="{7FA7EF4B-A52C-4F39-810C-E009B5A4590D}">
    <text>Extra work AC Vents , check figure with Dave.</text>
  </threadedComment>
  <threadedComment ref="Z160" dT="2024-01-09T10:37:43.12" personId="{C5268FB3-219F-424A-88FA-01E7B2B85297}" id="{3725A29D-0D82-40C2-B4E1-190D8CA69769}">
    <text>This figure represents TSK paying for the acoustics up front.</text>
  </threadedComment>
  <threadedComment ref="S162" dT="2023-11-07T12:17:22.71" personId="{8649F295-7209-41E4-A7EC-7029668950EC}" id="{CA2714FD-8CF4-47E0-BC22-6EE99F7419D9}">
    <text>Gross figure has been submitted by Dave.</text>
  </threadedComment>
  <threadedComment ref="T162" dT="2023-12-11T11:21:29.81" personId="{C5268FB3-219F-424A-88FA-01E7B2B85297}" id="{04AF32C0-4C9F-4875-A952-CE5D800919F9}">
    <text>Dave and Paul agreed figure, gone for payment.</text>
  </threadedComment>
  <threadedComment ref="O163" dT="2023-10-02T09:49:39.38" personId="{8649F295-7209-41E4-A7EC-7029668950EC}" id="{08E57F43-BE05-4EA3-BBFC-38426057AB07}">
    <text>After tax and retention. Received response from Stephen, confirmed that daywork sheets have been sent.
Stephen paid less than what was due.</text>
  </threadedComment>
  <threadedComment ref="S163" dT="2023-10-26T10:03:42.08" personId="{8649F295-7209-41E4-A7EC-7029668950EC}" id="{2BC8897A-00CB-426B-9575-41970FF2CBA7}">
    <text>October valuation including 20% reduction and materials
NOTE - now  changed to full value as at zero tax rate</text>
  </threadedComment>
  <threadedComment ref="AF163" dT="2023-10-26T09:04:02.33" personId="{8649F295-7209-41E4-A7EC-7029668950EC}" id="{E3524000-4217-47DC-AB5B-4CEE61267115}">
    <text>Final account PC retention, Dave gave figure.</text>
  </threadedComment>
  <threadedComment ref="AF163" dT="2023-11-14T13:19:57.76" personId="{7E270AAF-E42D-4758-8B02-E58CC6F56CDA}" id="{ACE5E071-96B3-41A8-AED9-41AB40A60F8A}" parentId="{E3524000-4217-47DC-AB5B-4CEE61267115}">
    <text>This isestimate additional labour of 3000 plus Pcretention of 2600</text>
  </threadedComment>
  <threadedComment ref="AF163" dT="2024-02-02T13:15:10.89" personId="{C5268FB3-219F-424A-88FA-01E7B2B85297}" id="{83D433B9-8FE5-4EAE-88A9-6FA5832F4B12}" parentId="{E3524000-4217-47DC-AB5B-4CEE61267115}">
    <text>Ronan agreed with Graham that he would get a discount.</text>
  </threadedComment>
  <threadedComment ref="O164" dT="2023-10-02T09:46:03.10" personId="{8649F295-7209-41E4-A7EC-7029668950EC}" id="{5D7F56A2-8CD7-46F2-A071-5EFF19FBE78D}">
    <text>After tax and after retention. Received response from Stephen, confirmed that daywork sheets have been sent.</text>
  </threadedComment>
  <threadedComment ref="S164" dT="2023-11-01T12:52:37.94" personId="{8649F295-7209-41E4-A7EC-7029668950EC}" id="{EB9680CA-21CE-44E2-A2C2-C78CF331EE37}">
    <text>1st Nov, this is the valuation Dave is submitting.</text>
  </threadedComment>
  <threadedComment ref="U164" dT="2023-11-07T12:14:38.70" personId="{8649F295-7209-41E4-A7EC-7029668950EC}" id="{C5196DDB-4D8D-4EFD-8773-9B47E4B53B5D}">
    <text>Dave to sit with OHLA and agree what will be achieved by this date. Dave to revert 14.11</text>
  </threadedComment>
  <threadedComment ref="AC164" dT="2023-12-12T12:30:49.36" personId="{C5268FB3-219F-424A-88FA-01E7B2B85297}" id="{26612069-51AB-4462-B122-96CE634389F4}">
    <text>Labour only as agreed with Stephen Eustace</text>
  </threadedComment>
  <threadedComment ref="AJ164" dT="2024-03-11T12:35:06.57" personId="{C5268FB3-219F-424A-88FA-01E7B2B85297}" id="{4BEF1398-2CE6-40A4-9950-B75D1DAE3F09}">
    <text>62k has been submitted</text>
  </threadedComment>
  <threadedComment ref="S165" dT="2023-10-26T09:15:26.31" personId="{8649F295-7209-41E4-A7EC-7029668950EC}" id="{32BB9B63-B8BB-4CCB-BAFA-56140CC42C83}">
    <text>Need to talk with Ray in CDM to see if we can get some earl(ier) payment</text>
  </threadedComment>
  <threadedComment ref="S165" dT="2023-11-14T13:21:51.27" personId="{7E270AAF-E42D-4758-8B02-E58CC6F56CDA}" id="{306079CF-BC32-4989-A591-A74B84CD80F0}" parentId="{32BB9B63-B8BB-4CCB-BAFA-56140CC42C83}">
    <text>14 Nov , Dave going to site to see whatwork is completed</text>
  </threadedComment>
  <threadedComment ref="U165" dT="2023-12-12T12:35:45.45" personId="{C5268FB3-219F-424A-88FA-01E7B2B85297}" id="{E03B181D-64E3-4EEA-B1C6-0A5D7AE13264}">
    <text>Dave visitied site 11.12 to estimate work completed. Need to submit to Ray.</text>
  </threadedComment>
  <threadedComment ref="AA165" dT="2024-01-15T14:12:50.35" personId="{C5268FB3-219F-424A-88FA-01E7B2B85297}" id="{47B1C7A8-DF8B-4992-BE9B-B198FC676EA1}">
    <text>Actual figure from Ronan</text>
  </threadedComment>
  <threadedComment ref="T166" dT="2023-12-04T11:49:47.36" personId="{8649F295-7209-41E4-A7EC-7029668950EC}" id="{AB41421B-4C1D-4803-8BE4-B4A822C743B5}">
    <text>Valuation sent to Ray 4.12</text>
  </threadedComment>
  <threadedComment ref="C170" dT="2023-11-08T13:16:49.17" personId="{8649F295-7209-41E4-A7EC-7029668950EC}" id="{5AD2D879-FA4B-44E5-9A2A-5F4097FE4048}">
    <text>This is gross income, we have not allowed any additional resources at this time, they may be needed.</text>
  </threadedComment>
  <threadedComment ref="D170" dT="2023-11-08T13:16:49.17" personId="{8649F295-7209-41E4-A7EC-7029668950EC}" id="{6352F6D8-3C5C-4D94-B737-A4C986FDBD2D}">
    <text>This is gross income, we have not allowed any additional resources at this time, they may be needed.</text>
  </threadedComment>
  <threadedComment ref="AF170" dT="2024-02-08T11:09:48.33" personId="{C5268FB3-219F-424A-88FA-01E7B2B85297}" id="{75513C39-1E61-461C-9770-0B47D5B6E506}">
    <text>Ronan to confirm valuation going in 9.2</text>
  </threadedComment>
  <threadedComment ref="AP170" dT="2024-05-08T09:05:42.10" personId="{C5268FB3-219F-424A-88FA-01E7B2B85297}" id="{EA88B347-77AA-4A51-AA80-A4BDF8078382}">
    <text>Inv No 827</text>
  </threadedComment>
  <threadedComment ref="AS170" dT="2024-03-11T12:41:49.60" personId="{C5268FB3-219F-424A-88FA-01E7B2B85297}" id="{21EFF32E-09BE-4683-BEF8-2976EDEC5E62}">
    <text xml:space="preserve">4 weeks, 3 lads, @ 42.5 per hour
</text>
  </threadedComment>
  <threadedComment ref="Y172" dT="2024-01-19T07:57:54.30" personId="{C5268FB3-219F-424A-88FA-01E7B2B85297}" id="{FF3BBEB2-237A-4CDD-80CF-A6854D37C118}">
    <text>Total amount received from CDM for the three amounts was 24990</text>
  </threadedComment>
  <threadedComment ref="AN173" dT="2024-04-30T14:40:30.59" personId="{C5268FB3-219F-424A-88FA-01E7B2B85297}" id="{1DCA0665-A064-4709-8CCB-9B2A7153E443}">
    <text xml:space="preserve">Amount owed to Ifit plus work done by Flamestop which is due to be paid out to them.
</text>
  </threadedComment>
  <threadedComment ref="AP173" dT="2024-05-08T09:07:40.17" personId="{C5268FB3-219F-424A-88FA-01E7B2B85297}" id="{3C136B34-5B1D-46E0-B53F-502E0DB354CC}">
    <text>Invoice 826</text>
  </threadedComment>
  <threadedComment ref="AF174" dT="2024-03-08T11:00:53.82" personId="{C5268FB3-219F-424A-88FA-01E7B2B85297}" id="{B40B0FDB-37D2-4F42-8E61-2D930C6E6F24}">
    <text>Forecasting 35168 in total from CDM, they paid 34021, this is a negative fig to balance things, Dave to let me know he is happy with the reduced payment.</text>
  </threadedComment>
  <threadedComment ref="AF174" dT="2024-03-11T12:51:09.41" personId="{C5268FB3-219F-424A-88FA-01E7B2B85297}" id="{E707D67F-F78C-4C1E-83EE-3E74A010FD85}" parentId="{B40B0FDB-37D2-4F42-8E61-2D930C6E6F24}">
    <text>11.03 - Dave agrees with this figure.</text>
  </threadedComment>
  <threadedComment ref="AW177" dT="2024-06-05T09:15:22.53" personId="{C5268FB3-219F-424A-88FA-01E7B2B85297}" id="{A9CEBCE0-AE64-4BE5-8AE1-138E8A0BF0D0}">
    <text>DCU, Killiney, Black Forge</text>
  </threadedComment>
  <threadedComment ref="P178" dT="2023-10-26T09:27:56.04" personId="{8649F295-7209-41E4-A7EC-7029668950EC}" id="{1A607AAF-9D10-4B00-B0E9-AB8DDE8A28B4}">
    <text>Ronan to send this to Graham Dinh this week.
Agreed, may come in a week early. Full value.</text>
  </threadedComment>
  <threadedComment ref="S178" dT="2023-11-16T15:34:58.06" personId="{8649F295-7209-41E4-A7EC-7029668950EC}" id="{07D54258-E529-4138-97AC-3377161FB6C0}">
    <text>Ronan submitting 17.11 Balance plus extra works in lift shaft</text>
  </threadedComment>
  <threadedComment ref="D179" dT="2023-11-16T15:40:34.02" personId="{8649F295-7209-41E4-A7EC-7029668950EC}" id="{A31D8DC6-506A-4E2D-AC7F-9C356AE7F578}">
    <text>3 lads labour only for 2 weeks</text>
  </threadedComment>
  <threadedComment ref="U179" dT="2023-12-12T12:48:48.31" personId="{C5268FB3-219F-424A-88FA-01E7B2B85297}" id="{82D8CDF6-8222-498C-B0BC-B3EB4458C379}">
    <text>Labour cost us 7k, Graham looking for us to reduce our costs a bit.</text>
  </threadedComment>
  <threadedComment ref="D180" dT="2023-11-16T15:49:42.02" personId="{8649F295-7209-41E4-A7EC-7029668950EC}" id="{3914BD54-FC22-457C-99D6-222BCAB798AA}">
    <text>Estimate figure - Demolition and rebuild partitions</text>
  </threadedComment>
  <threadedComment ref="D181" dT="2023-11-16T15:40:34.02" personId="{8649F295-7209-41E4-A7EC-7029668950EC}" id="{B8E63C80-7F37-46C9-A807-428BEAB5C554}">
    <text>Estimate value = incl travel and subsistence</text>
  </threadedComment>
  <threadedComment ref="BE182" dT="2024-08-26T12:37:20.22" personId="{C5268FB3-219F-424A-88FA-01E7B2B85297}" id="{EAE66976-8C4B-42A5-B01E-3B3EF490D54A}">
    <text>Flamestop overpaid by 20k, they offset what was owed from Navan €18091 and Killenard but actually allowed us the full 20k. Therefore we made an extra €108.</text>
  </threadedComment>
  <threadedComment ref="AY183" dT="2024-06-20T14:17:28.83" personId="{C5268FB3-219F-424A-88FA-01E7B2B85297}" id="{7AAA8E1A-BBDC-4B15-AE10-6694C04EB345}">
    <text xml:space="preserve">Measure reqd on site </text>
  </threadedComment>
  <threadedComment ref="BI185" dT="2024-07-10T13:02:55.87" personId="{C5268FB3-219F-424A-88FA-01E7B2B85297}" id="{87DDF42D-D572-45C0-ADBF-FE1BA0C8B7FA}">
    <text>Ronan actually invoiced 22941
which includes material but Flamestop actually supplied the material</text>
  </threadedComment>
  <threadedComment ref="BG190" dT="2024-08-03T19:10:50.93" personId="{C5268FB3-219F-424A-88FA-01E7B2B85297}" id="{9A712C9C-3E1A-4E19-A31D-EE95680F1EF1}">
    <text>Additional works we did. To be invoiced when completed on Wed 7th.</text>
  </threadedComment>
  <threadedComment ref="BZ191" dT="2024-08-26T13:05:58.85" personId="{C5268FB3-219F-424A-88FA-01E7B2B85297}" id="{6E134C67-CACE-42BB-8E71-EA022D384990}">
    <text>Labour (estimate) plus travel</text>
  </threadedComment>
  <threadedComment ref="BG192" dT="2024-08-26T13:07:03.50" personId="{C5268FB3-219F-424A-88FA-01E7B2B85297}" id="{2400719B-EAFA-46C5-AB14-C58908AD01D0}">
    <text>Discounted from 7200</text>
  </threadedComment>
  <threadedComment ref="BG192" dT="2024-09-06T07:58:43.47" personId="{C5268FB3-219F-424A-88FA-01E7B2B85297}" id="{B292A5D3-7804-4BE6-BC66-507B74A935CA}" parentId="{2400719B-EAFA-46C5-AB14-C58908AD01D0}">
    <text xml:space="preserve">I HAVE INCREASED THIS amount as Flamestop made a payment for the 4 jobs to the value of €20537.50
</text>
  </threadedComment>
  <threadedComment ref="AY196" dT="2024-06-21T13:46:37.70" personId="{C5268FB3-219F-424A-88FA-01E7B2B85297}" id="{637EABEE-6628-40E5-8F43-8BE779CDC885}">
    <text>Jonathan taper</text>
  </threadedComment>
  <threadedComment ref="BB196" dT="2024-06-20T14:37:04.17" personId="{C5268FB3-219F-424A-88FA-01E7B2B85297}" id="{999A866A-39AE-49B6-A872-A5ACF94F4377}">
    <text xml:space="preserve">Starting Monday 24th June for one week.
</text>
  </threadedComment>
  <threadedComment ref="BO196" dT="2024-09-02T12:27:28.94" personId="{C5268FB3-219F-424A-88FA-01E7B2B85297}" id="{7514097A-B1F2-45A0-8EA5-FBD30839EDB7}">
    <text>Tapeing and Jointing balance owed.</text>
  </threadedComment>
  <threadedComment ref="C197" dT="2023-09-11T15:21:24.71" personId="{8649F295-7209-41E4-A7EC-7029668950EC}" id="{FCFA289D-255A-4873-B537-B73FB1B47C1C}">
    <text xml:space="preserve">VAT to be charged on top
</text>
  </threadedComment>
  <threadedComment ref="D197" dT="2023-11-08T13:44:11.84" personId="{8649F295-7209-41E4-A7EC-7029668950EC}" id="{FB4F311E-ABFA-47F1-AF30-CE3176EA7F86}">
    <text>Full val incl materials</text>
  </threadedComment>
  <threadedComment ref="Z197" dT="2023-09-12T11:21:31.73" personId="{8649F295-7209-41E4-A7EC-7029668950EC}" id="{9987F952-AB80-4CCC-964A-6E74743A5609}">
    <text>Need to confirm start date. No need for additional men, accounted for in the figures below</text>
  </threadedComment>
  <threadedComment ref="AF197" dT="2024-03-02T10:47:03.59" personId="{C5268FB3-219F-424A-88FA-01E7B2B85297}" id="{AE32B31A-F73B-4C27-82C1-DAA911F02F23}">
    <text xml:space="preserve">Extra owed from first payment last week. </text>
  </threadedComment>
  <threadedComment ref="AJ197" dT="2024-03-02T10:47:03.59" personId="{C5268FB3-219F-424A-88FA-01E7B2B85297}" id="{F4F0AFD0-C71C-4E4B-8A87-5A80025E9883}">
    <text xml:space="preserve">Extra owed from first payment last week. </text>
  </threadedComment>
  <threadedComment ref="AB198" dT="2023-12-23T18:36:07.82" personId="{C5268FB3-219F-424A-88FA-01E7B2B85297}" id="{FF274F3E-B196-4CD3-A986-1280C4EB04E6}">
    <text>2.2 Jason spoke to Seamus (not Seamus O'Hara) as Becky is on holiday. He said it would be paid end of next week.</text>
  </threadedComment>
  <threadedComment ref="AY199" dT="2024-07-01T13:00:16.17" personId="{C5268FB3-219F-424A-88FA-01E7B2B85297}" id="{AA592C01-022A-43B3-AB0B-500FD4A15D9B}">
    <text>Confirmation payment will come on 17th, we needed to send them our insurance certificate.</text>
  </threadedComment>
  <threadedComment ref="G204" dT="2023-09-15T11:46:20.91" personId="{8649F295-7209-41E4-A7EC-7029668950EC}" id="{C8FF533F-BF87-425E-ADFC-82176580A9DD}">
    <text>Paid on 15.09 along with Flamestop aged above</text>
  </threadedComment>
  <threadedComment ref="K205" dT="2023-10-05T12:50:56.64" personId="{8649F295-7209-41E4-A7EC-7029668950EC}" id="{751C9FCF-F98B-478F-AF17-8292FFEBB5FB}">
    <text>Maria is paying this along with 9163 (gross) from Kilashee.
Received 10 Oct</text>
  </threadedComment>
  <threadedComment ref="F206" dT="2023-09-06T09:36:18.61" personId="{8649F295-7209-41E4-A7EC-7029668950EC}" id="{9711E018-9A78-4119-B767-1DF4C70EC9AD}">
    <text>Move to more likely earlier week</text>
  </threadedComment>
  <threadedComment ref="G206" dT="2023-09-08T09:25:49.67" personId="{8649F295-7209-41E4-A7EC-7029668950EC}" id="{DE237828-7753-4643-AA48-116C32638EB0}">
    <text>Residual due from payment made 8th Sept</text>
  </threadedComment>
  <threadedComment ref="D208" dT="2023-10-05T13:18:52.34" personId="{8649F295-7209-41E4-A7EC-7029668950EC}" id="{80B03D9C-E7D0-4A84-81F8-6F1E32301136}">
    <text>Retention and tax to come out.</text>
  </threadedComment>
  <threadedComment ref="K208" dT="2023-09-14T15:49:01.93" personId="{8649F295-7209-41E4-A7EC-7029668950EC}" id="{84AFD6AE-E398-42AA-BE80-7EF7F60769C7}">
    <text>Agreement to pay 30k gross, ronan met him on site 5/10
Received 10 October</text>
  </threadedComment>
  <threadedComment ref="L209" dT="2023-10-02T09:52:23.91" personId="{8649F295-7209-41E4-A7EC-7029668950EC}" id="{42602EF4-061D-4675-9467-250973EAE210}">
    <text xml:space="preserve">Day work </text>
  </threadedComment>
  <threadedComment ref="C210" dT="2023-09-11T15:21:40.50" personId="{8649F295-7209-41E4-A7EC-7029668950EC}" id="{4E7B7CE4-08FC-4F32-9126-8289D881ADFA}">
    <text>VAT to be charged?</text>
  </threadedComment>
  <threadedComment ref="N210" dT="2023-10-26T09:21:49.72" personId="{8649F295-7209-41E4-A7EC-7029668950EC}" id="{83D7F0C7-01B3-487A-8C7D-C13B114A5AAF}">
    <text>Ivan spoke to Amanda, payment will be made next week into bank.</text>
  </threadedComment>
  <threadedComment ref="J214" dT="2023-10-04T14:40:20.68" personId="{8649F295-7209-41E4-A7EC-7029668950EC}" id="{05E8BCEA-D318-4BFF-A882-26FB40C78186}">
    <text>Confirmation received from Ray this will land.</text>
  </threadedComment>
  <threadedComment ref="K215" dT="2023-10-05T12:51:58.52" personId="{8649F295-7209-41E4-A7EC-7029668950EC}" id="{3115A2AD-1FA6-4746-8795-A2F5692C9224}">
    <text>Received into Bank 10 October</text>
  </threadedComment>
  <threadedComment ref="H217" dT="2023-09-06T09:38:45.09" personId="{8649F295-7209-41E4-A7EC-7029668950EC}" id="{2A1A5E90-74BE-4B75-9A90-C50AC441CC72}">
    <text>New calculations done, Ivan sent email to Flamestop. This is the current figure.</text>
  </threadedComment>
  <threadedComment ref="L217" dT="2023-09-19T12:07:38.70" personId="{8649F295-7209-41E4-A7EC-7029668950EC}" id="{2F242690-E645-4D5D-864B-6C9AC9A37583}">
    <text>Valuation to be submitted 6/10</text>
  </threadedComment>
  <threadedComment ref="S217" dT="2023-09-19T12:07:56.22" personId="{8649F295-7209-41E4-A7EC-7029668950EC}" id="{1F9A711A-0625-45F2-9FEB-2747BE51D9EB}">
    <text>Estimated figure based on 40% of remaining value</text>
  </threadedComment>
  <threadedComment ref="N218" dT="2023-10-02T09:42:29.40" personId="{8649F295-7209-41E4-A7EC-7029668950EC}" id="{8AD46D3A-7365-4EE1-B6A8-19BF5D8CAE4D}">
    <text>Net of retention</text>
  </threadedComment>
  <threadedComment ref="R218" dT="2023-10-26T09:02:58.72" personId="{8649F295-7209-41E4-A7EC-7029668950EC}" id="{AA410930-D493-454C-A71A-23DEF7000194}">
    <text xml:space="preserve">Additional gym work, final payment.
</text>
  </threadedComment>
  <threadedComment ref="R218" dT="2023-11-14T13:16:01.95" personId="{7E270AAF-E42D-4758-8B02-E58CC6F56CDA}" id="{D204BD18-2420-47A9-B630-768A863F273B}" parentId="{AA410930-D493-454C-A71A-23DEF7000194}">
    <text>This figure includes final account PC retention</text>
  </threadedComment>
  <threadedComment ref="S218" dT="2023-10-26T09:02:58.72" personId="{8649F295-7209-41E4-A7EC-7029668950EC}" id="{BF01AE85-1D79-4BEB-B40D-D654F1A2E538}">
    <text xml:space="preserve">Additional gym work, final payment.
</text>
  </threadedComment>
  <threadedComment ref="S218" dT="2023-11-14T13:16:01.95" personId="{7E270AAF-E42D-4758-8B02-E58CC6F56CDA}" id="{D7EBA2AC-8AB1-4EA8-8E69-45070204D0E0}" parentId="{BF01AE85-1D79-4BEB-B40D-D654F1A2E538}">
    <text>This figure includes final account PC retention</text>
  </threadedComment>
  <threadedComment ref="T232" dT="2023-11-08T12:53:07.37" personId="{8649F295-7209-41E4-A7EC-7029668950EC}" id="{7FDF8B89-3DE3-4BF1-A32C-9631EAFED03B}">
    <text>This is the gross pay so it accounts for the tax owed (as we have moved to zero)</text>
  </threadedComment>
  <threadedComment ref="W232" dT="2023-12-23T18:35:32.22" personId="{C5268FB3-219F-424A-88FA-01E7B2B85297}" id="{10287C5B-E2CD-419E-9907-A5FF81C9F93E}">
    <text>Originally we were anticipating paying out Early jan, but delayed start.</text>
  </threadedComment>
  <threadedComment ref="AE232" dT="2024-01-23T14:34:10.54" personId="{C5268FB3-219F-424A-88FA-01E7B2B85297}" id="{0CFBD065-2451-4DB9-AB7F-E12FA391DCCF}">
    <text>Based on 900sqm done at 11 per  m.</text>
  </threadedComment>
  <threadedComment ref="D233" dT="2024-01-15T12:59:17.60" personId="{C5268FB3-219F-424A-88FA-01E7B2B85297}" id="{54E228AD-173C-44E3-9B04-681B70552B5C}">
    <text>7000 m @ 6.5</text>
  </threadedComment>
  <threadedComment ref="BI245" dT="2024-03-25T10:53:47.96" personId="{C5268FB3-219F-424A-88FA-01E7B2B85297}" id="{56E4F324-85B4-43DE-8162-2BCDC023BBB3}">
    <text>Brain Farrell</text>
  </threadedComment>
  <threadedComment ref="AJ247" dT="2023-12-04T12:11:44.92" personId="{8649F295-7209-41E4-A7EC-7029668950EC}" id="{C9E6DA5C-F544-45C3-8539-60AB38CC54A1}">
    <text>This is being held as security until feet on the ground in Beach Road.</text>
  </threadedComment>
  <threadedComment ref="I254" dT="2023-09-19T13:50:58.67" personId="{8649F295-7209-41E4-A7EC-7029668950EC}" id="{21A76557-5CC8-41E5-B753-551C74D2F72F}">
    <text>May and July owing. Agreed with Anne to pay half in Sept, and half in October.</text>
  </threadedComment>
  <threadedComment ref="M254" dT="2023-09-19T13:50:58.67" personId="{8649F295-7209-41E4-A7EC-7029668950EC}" id="{1D7C3FB9-C39B-4B14-8198-5DD6C03DA635}">
    <text>May and July owing. Agreed with Anne to pay half in Sept, and half in October.</text>
  </threadedComment>
  <threadedComment ref="BH255" dT="2024-08-02T14:58:52.83" personId="{C5268FB3-219F-424A-88FA-01E7B2B85297}" id="{24795196-9158-4BFB-B6BF-08A2AD7FD363}">
    <text>Statement recd from Fiona on 1.8.24</text>
  </threadedComment>
  <threadedComment ref="AB258" dT="2024-02-02T19:22:45.85" personId="{C5268FB3-219F-424A-88FA-01E7B2B85297}" id="{35BD202C-2A57-425A-A26D-3502709E01AE}">
    <text>Order now</text>
  </threadedComment>
  <threadedComment ref="AZ258" dT="2024-02-03T15:40:20.42" personId="{C5268FB3-219F-424A-88FA-01E7B2B85297}" id="{0D44E0B5-6852-43AF-970F-1A92BB28AB51}">
    <text>Balance due 30 days terms - £25422</text>
  </threadedComment>
  <threadedComment ref="AJ260" dT="2024-01-09T14:33:28.96" personId="{C5268FB3-219F-424A-88FA-01E7B2B85297}" id="{F858F1CA-D7EB-417C-8078-A25A5F79DC62}">
    <text>Payment due now</text>
  </threadedComment>
  <threadedComment ref="G272" dT="2023-09-18T10:52:31.53" personId="{8649F295-7209-41E4-A7EC-7029668950EC}" id="{77F310CB-664C-48DE-8BFE-224AD8CF6F52}">
    <text xml:space="preserve">Actual bal start of week 3
</text>
  </threadedComment>
  <threadedComment ref="I272" dT="2023-10-02T09:40:25.25" personId="{8649F295-7209-41E4-A7EC-7029668950EC}" id="{9C078B2B-FE22-4E5E-9615-812B22E90591}">
    <text>Actual bank balance coming into week 5</text>
  </threadedComment>
  <threadedComment ref="J272" dT="2023-10-09T11:45:56.60" personId="{8649F295-7209-41E4-A7EC-7029668950EC}" id="{FC755AFC-8E22-4B58-9914-EA8331C824BD}">
    <text>Actual balance @ 6th October COB</text>
  </threadedComment>
  <threadedComment ref="K272" dT="2023-10-16T15:49:21.62" personId="{8649F295-7209-41E4-A7EC-7029668950EC}" id="{10D96245-28EA-42CD-A968-1F1B09DCE961}">
    <text xml:space="preserve">Spreadsheet balance matches actual bal from Bank coming into 16.10
</text>
  </threadedComment>
  <threadedComment ref="L272" dT="2023-10-23T16:59:43.04" personId="{8649F295-7209-41E4-A7EC-7029668950EC}" id="{F2F9EC8D-D359-48B6-9498-61D58850911D}">
    <text>Spreadsheet balance and bank balance match coming into week 23.10</text>
  </threadedComment>
  <threadedComment ref="M272" dT="2023-10-27T17:56:21.63" personId="{8649F295-7209-41E4-A7EC-7029668950EC}" id="{D7C2F449-0095-4B1E-98CF-4A665D1FE8B0}">
    <text xml:space="preserve">Bank balance is €24,715 which is much the same.
</text>
  </threadedComment>
  <threadedComment ref="N272" dT="2023-11-03T13:58:26.28" personId="{8649F295-7209-41E4-A7EC-7029668950EC}" id="{1180BA83-0B3C-45C5-B2B6-F7D043546C8E}">
    <text xml:space="preserve">This exactly matches the bank balance on Sunday evening 5/11 </text>
  </threadedComment>
  <threadedComment ref="P272" dT="2023-11-20T12:17:32.10" personId="{8649F295-7209-41E4-A7EC-7029668950EC}" id="{BD425D98-C617-4541-88A1-8B62C5A84CE8}">
    <text>This balance matches bank balance exactly.</text>
  </threadedComment>
  <threadedComment ref="Q272" dT="2023-11-24T18:09:28.37" personId="{8649F295-7209-41E4-A7EC-7029668950EC}" id="{D4DDA630-BD44-434A-BEDB-173479695253}">
    <text>This figure balances with bank statement exactly.  Refer to transactions CSV on 24.11</text>
  </threadedComment>
  <threadedComment ref="R272" dT="2023-12-01T14:33:20.86" personId="{8649F295-7209-41E4-A7EC-7029668950EC}" id="{C35A9FB2-3709-43D1-826C-25F1EBE06D48}">
    <text>Balance matches exactly with bank statement as at 1.12 14:23pm</text>
  </threadedComment>
  <threadedComment ref="S272" dT="2023-12-08T18:30:07.87" personId="{C5268FB3-219F-424A-88FA-01E7B2B85297}" id="{A1BDFD50-845F-43C4-8315-5B27C4479615}">
    <text>Matches exactly with closing balance in Bank Friday 8th  Dec</text>
  </threadedComment>
  <threadedComment ref="T272" dT="2023-12-18T12:52:54.40" personId="{C5268FB3-219F-424A-88FA-01E7B2B85297}" id="{5E1EF47D-F340-4C04-AB86-875892E5292F}">
    <text>Agrees within a couple of euro.</text>
  </threadedComment>
  <threadedComment ref="U272" dT="2023-12-23T18:49:15.03" personId="{C5268FB3-219F-424A-88FA-01E7B2B85297}" id="{B852EEAF-E37C-425C-9339-85477F34219E}">
    <text>Reconciles to within 54c as per transactions posted on 24.12</text>
  </threadedComment>
  <threadedComment ref="V272" dT="2023-12-31T18:34:15.46" personId="{C5268FB3-219F-424A-88FA-01E7B2B85297}" id="{11BC614B-8F5B-40CE-9EA6-AADC2FD100F4}">
    <text>Agrees with bank transactions posted 31.12</text>
  </threadedComment>
  <threadedComment ref="W272" dT="2024-01-19T07:28:47.93" personId="{C5268FB3-219F-424A-88FA-01E7B2B85297}" id="{78D681E2-9EE0-4B8F-A38C-B91756CF465C}">
    <text>Balances with bank statement @ 5/1</text>
  </threadedComment>
  <threadedComment ref="X272" dT="2024-01-19T07:37:15.58" personId="{C5268FB3-219F-424A-88FA-01E7B2B85297}" id="{E60E55EB-C561-43AD-B7BA-76ACDE08E5BA}">
    <text>Balances with bank as at 12.1</text>
  </threadedComment>
  <threadedComment ref="Y272" dT="2024-01-27T20:18:43.64" personId="{C5268FB3-219F-424A-88FA-01E7B2B85297}" id="{C3100DD5-D85B-45AB-920D-E6016B607437}">
    <text>Balances with Bank Balance as at close of business 19.1</text>
  </threadedComment>
  <threadedComment ref="Z272" dT="2024-01-28T13:08:29.24" personId="{C5268FB3-219F-424A-88FA-01E7B2B85297}" id="{1FB6C9BE-6C65-4398-9DF1-A4BF07935F84}">
    <text>Agrees with Bank Balance 26.01.24</text>
  </threadedComment>
  <threadedComment ref="AA272" dT="2024-02-02T19:24:18.07" personId="{C5268FB3-219F-424A-88FA-01E7B2B85297}" id="{5491433F-B08E-48E2-BB99-ED8490144D5A}">
    <text>Balances with bank account as at Saturday 3.2.24</text>
  </threadedComment>
  <threadedComment ref="AB272" dT="2024-02-12T17:59:40.25" personId="{C5268FB3-219F-424A-88FA-01E7B2B85297}" id="{2A1D6A80-3052-4D25-B3C5-4B071D432C4E}">
    <text xml:space="preserve">Balances with bank as at cob 9.2
</text>
  </threadedComment>
  <threadedComment ref="AC272" dT="2024-02-16T17:56:23.13" personId="{C5268FB3-219F-424A-88FA-01E7B2B85297}" id="{8591D837-2606-4441-BB93-1BD41746D9F2}">
    <text>Agrees with bank balance as at COB 16.02</text>
  </threadedComment>
  <threadedComment ref="AD272" dT="2024-02-23T13:34:36.16" personId="{C5268FB3-219F-424A-88FA-01E7B2B85297}" id="{8433E0A6-7D23-4212-BF03-6B07483E83B1}">
    <text>Balances with bank as at 13:30 23.02, TSK may come in on top</text>
  </threadedComment>
  <threadedComment ref="AE272" dT="2024-03-02T10:45:22.63" personId="{C5268FB3-219F-424A-88FA-01E7B2B85297}" id="{B4FA6BC6-F5A9-4645-818E-E0FA295B0F62}">
    <text>Balance matches with Bank account as at Saturday morning 2 March</text>
  </threadedComment>
  <threadedComment ref="AF272" dT="2024-03-09T09:26:41.16" personId="{C5268FB3-219F-424A-88FA-01E7B2B85297}" id="{4DDC8594-5EAC-4A19-A031-39B6DE85AF35}">
    <text>Balances with bank account as at Saturday morning 9.3</text>
  </threadedComment>
  <threadedComment ref="AG272" dT="2024-03-19T11:56:45.35" personId="{C5268FB3-219F-424A-88FA-01E7B2B85297}" id="{E30677B5-B9D1-4F1C-8AA2-C22A7B7DB672}">
    <text>Balances with bank account @ 15.03</text>
  </threadedComment>
  <threadedComment ref="AH272" dT="2024-03-22T16:22:15.03" personId="{C5268FB3-219F-424A-88FA-01E7B2B85297}" id="{6AE155E4-890D-4E64-B4B4-9C7F001CC524}">
    <text>Agrees with bank balance as at 16.22 22.3.24</text>
  </threadedComment>
  <threadedComment ref="AI272" dT="2024-04-02T09:55:31.07" personId="{C5268FB3-219F-424A-88FA-01E7B2B85297}" id="{C1ED18FA-0BCF-4D9D-86C1-4AD53B6D9BB6}">
    <text xml:space="preserve">Agrees with bank balance BUT PART WAY DOWN TRANSACTIONS ON 2 April </text>
  </threadedComment>
  <threadedComment ref="AJ272" dT="2024-04-06T13:13:40.24" personId="{C5268FB3-219F-424A-88FA-01E7B2B85297}" id="{5AFB032E-F182-4DA1-9148-E7FD727349E5}">
    <text>Agrees with bank balance as at 8th April  It INCLUDES Walls and Extraspace which are pending items in the bank.</text>
  </threadedComment>
  <threadedComment ref="AK272" dT="2024-04-15T17:38:23.19" personId="{C5268FB3-219F-424A-88FA-01E7B2B85297}" id="{8314B940-AF65-4128-877F-7896263D833C}">
    <text xml:space="preserve">Agrees with bank balance as at 12 April.
</text>
  </threadedComment>
  <threadedComment ref="AL272" dT="2024-04-20T11:23:19.29" personId="{C5268FB3-219F-424A-88FA-01E7B2B85297}" id="{320C79D2-8E7B-4D53-A03D-15665FD2357A}">
    <text>Agrees with bank account Saturday morning 20.04</text>
  </threadedComment>
  <threadedComment ref="AM272" dT="2024-04-30T14:33:50.01" personId="{C5268FB3-219F-424A-88FA-01E7B2B85297}" id="{D880215C-2026-43C6-9D59-0B52892E616F}">
    <text xml:space="preserve">Agrees with bank  as at COB 26th April
</text>
  </threadedComment>
  <threadedComment ref="AN272" dT="2024-05-04T12:49:52.94" personId="{C5268FB3-219F-424A-88FA-01E7B2B85297}" id="{A1B66CCE-0C58-4CC4-ADA0-C241689A5F71}">
    <text>Balances with bank account as at Saturday 4th May, after Chadwicks payment.</text>
  </threadedComment>
  <threadedComment ref="AO272" dT="2024-05-13T08:51:15.28" personId="{C5268FB3-219F-424A-88FA-01E7B2B85297}" id="{A446ADBA-FC0D-4B9C-B666-6B47EAB44C72}">
    <text>Agrees with bank balance 10.5.24</text>
  </threadedComment>
  <threadedComment ref="AP272" dT="2024-05-18T15:22:25.95" personId="{C5268FB3-219F-424A-88FA-01E7B2B85297}" id="{5AA514E9-8D46-4478-8654-DB3E5F1C8705}">
    <text xml:space="preserve">Balances with bank as at 17th May.
</text>
  </threadedComment>
  <threadedComment ref="AQ272" dT="2024-05-26T08:56:05.82" personId="{C5268FB3-219F-424A-88FA-01E7B2B85297}" id="{25C66750-EC55-4E0F-964F-AB074D7E768D}">
    <text>Agrees with bank balance as at Sunday 26 May</text>
  </threadedComment>
  <threadedComment ref="AR272" dT="2024-06-04T08:05:08.13" personId="{C5268FB3-219F-424A-88FA-01E7B2B85297}" id="{B5440ED0-B5D3-4E60-84F5-5268A63A8BFB}">
    <text xml:space="preserve">Agrees with bank statement 31.05
</text>
  </threadedComment>
  <threadedComment ref="AS272" dT="2024-06-07T16:43:45.89" personId="{C5268FB3-219F-424A-88FA-01E7B2B85297}" id="{51E7FB11-5CE9-48B8-A517-B30DF75A3D65}">
    <text>Balances with Bank Statement as at 17.43 Friday 7th June.  Does not incl Walls payment.</text>
  </threadedComment>
  <threadedComment ref="AT272" dT="2024-06-18T12:21:26.93" personId="{C5268FB3-219F-424A-88FA-01E7B2B85297}" id="{A5AFA0B4-9811-499C-82D2-3EAD9D160631}">
    <text>Agrees with bank balance as at 14 June 2024</text>
  </threadedComment>
  <threadedComment ref="AU272" dT="2024-06-25T20:55:26.34" personId="{C5268FB3-219F-424A-88FA-01E7B2B85297}" id="{8C7FCEBE-E7CB-4792-BFC2-7996FCAA7AB7}">
    <text>Agrees with bank balance as at 21st June</text>
  </threadedComment>
  <threadedComment ref="AV272" dT="2024-06-28T17:19:39.10" personId="{C5268FB3-219F-424A-88FA-01E7B2B85297}" id="{ABB7405D-0C71-4B20-94C4-AC324F884825}">
    <text>Agrees with bank balance as at 28 June.</text>
  </threadedComment>
  <threadedComment ref="AW272" dT="2024-07-07T11:59:22.99" personId="{C5268FB3-219F-424A-88FA-01E7B2B85297}" id="{0F50D0A5-A032-483C-AA9B-5E889159A87B}">
    <text xml:space="preserve">Balances with bank account as at 5.7.24 </text>
  </threadedComment>
  <threadedComment ref="AX272" dT="2024-07-17T10:20:49.25" personId="{C5268FB3-219F-424A-88FA-01E7B2B85297}" id="{7FAE832E-A59E-459F-9985-68C14ED0B58E}">
    <text>Agrees with bank bal on 12.7</text>
  </threadedComment>
  <threadedComment ref="AY272" dT="2024-07-19T14:15:48.04" personId="{C5268FB3-219F-424A-88FA-01E7B2B85297}" id="{BE2FC7F9-8FF9-49FA-89EE-8F30A3B22FD6}">
    <text>Agrees with bank account.</text>
  </threadedComment>
  <threadedComment ref="AZ272" dT="2024-08-02T15:52:26.66" personId="{C5268FB3-219F-424A-88FA-01E7B2B85297}" id="{55DE9F13-1A5E-485C-9792-27B6636144C8}">
    <text xml:space="preserve">Agrees with bank balance on 26.7
</text>
  </threadedComment>
  <threadedComment ref="BA272" dT="2024-08-02T15:52:52.85" personId="{C5268FB3-219F-424A-88FA-01E7B2B85297}" id="{16AC09D2-8685-4ADC-B6B7-D2356127A964}">
    <text>Agrees with bank balance on 2 August</text>
  </threadedComment>
  <threadedComment ref="BB272" dT="2024-08-12T16:06:13.24" personId="{C5268FB3-219F-424A-88FA-01E7B2B85297}" id="{2A66695E-1A07-48B7-B498-1280337F7A38}">
    <text xml:space="preserve">Agrees with bank balance at 9.8.24
</text>
  </threadedComment>
  <threadedComment ref="BC272" dT="2024-08-19T11:24:01.53" personId="{C5268FB3-219F-424A-88FA-01E7B2B85297}" id="{82D63F32-C7D5-4706-B613-8495FADA4CB2}">
    <text>Agrees with bank balance as at 16.08.24</text>
  </threadedComment>
  <threadedComment ref="BE272" dT="2024-08-23T16:50:47.81" personId="{C5268FB3-219F-424A-88FA-01E7B2B85297}" id="{C4583C8E-28C4-4825-9934-E69F6C8C019F}">
    <text>Agrees with bank balance at 23.08.24</text>
  </threadedComment>
  <threadedComment ref="BF272" dT="2024-08-30T18:20:22.12" personId="{C5268FB3-219F-424A-88FA-01E7B2B85297}" id="{644B6586-AF6D-47AD-B5AA-F1950C15DBB6}">
    <text xml:space="preserve">Agrees with bank ball 30.8
</text>
  </threadedComment>
  <threadedComment ref="BH272" dT="2024-09-08T16:24:15.17" personId="{C5268FB3-219F-424A-88FA-01E7B2B85297}" id="{AB48603A-27FD-4BFF-AC2B-AF9761F1998C}">
    <text xml:space="preserve">Agrees with bank balance as at 8.9.24
</text>
  </threadedComment>
  <threadedComment ref="BI272" dT="2024-09-16T17:44:27.94" personId="{C5268FB3-219F-424A-88FA-01E7B2B85297}" id="{B531B970-6B04-4C78-A1BA-4567BEF4E0FD}">
    <text>Agrees with bank balance as at 13.09</text>
  </threadedComment>
  <threadedComment ref="BJ272" dT="2024-09-22T16:57:28.52" personId="{C5268FB3-219F-424A-88FA-01E7B2B85297}" id="{E05A040E-F97E-47DF-826B-79F733920BA6}">
    <text>Agrees with bank balance as at 22.9</text>
  </threadedComment>
  <threadedComment ref="BL272" dT="2024-10-07T11:44:36.43" personId="{C5268FB3-219F-424A-88FA-01E7B2B85297}" id="{3275BAB2-87F3-4CA1-9F36-09D0F1B3ADD0}">
    <text xml:space="preserve">Agrees with bank as at 27.9.24
</text>
  </threadedComment>
  <threadedComment ref="BM272" dT="2024-10-07T13:06:12.14" personId="{C5268FB3-219F-424A-88FA-01E7B2B85297}" id="{7940FE6C-B78D-4D3D-9E2A-2E57AFBC7AAF}">
    <text>Agrees with bank bal as at 4.10</text>
  </threadedComment>
  <threadedComment ref="BO272" dT="2024-10-14T12:31:10.43" personId="{C5268FB3-219F-424A-88FA-01E7B2B85297}" id="{DAAA8C60-4A16-457C-B106-62AA215B6E5F}">
    <text xml:space="preserve">Agrees with bank balance as at 11.10.24
</text>
  </threadedComment>
  <threadedComment ref="BP272" dT="2024-10-24T14:19:17.74" personId="{C5268FB3-219F-424A-88FA-01E7B2B85297}" id="{8EAD225E-A142-4AFD-BFB7-DDC82D4F2B53}">
    <text xml:space="preserve">Agrees with bank balance </text>
  </threadedComment>
  <threadedComment ref="BQ272" dT="2024-10-24T14:19:17.74" personId="{C5268FB3-219F-424A-88FA-01E7B2B85297}" id="{34E71207-C946-4326-936B-BE1B803EB71F}">
    <text xml:space="preserve">Agrees with bank balance </text>
  </threadedComment>
  <threadedComment ref="BR272" dT="2024-10-26T08:25:01.06" personId="{C5268FB3-219F-424A-88FA-01E7B2B85297}" id="{AB2B84D3-B9D1-4E46-A558-7674E225A637}">
    <text>Agrees with bank balance as at 25.10</text>
  </threadedComment>
  <threadedComment ref="BS272" dT="2024-11-04T12:45:02.13" personId="{C5268FB3-219F-424A-88FA-01E7B2B85297}" id="{9886A87A-120E-430F-9063-5AA1BA8A3002}">
    <text>Agrees with bank balance 1st Nov</text>
  </threadedComment>
  <threadedComment ref="BT272" dT="2024-11-13T13:57:38.32" personId="{C5268FB3-219F-424A-88FA-01E7B2B85297}" id="{C8E655BB-2446-4583-ADF4-E2E423C16217}">
    <text xml:space="preserve">Agrees with bank balance 8.11.24
</text>
  </threadedComment>
  <threadedComment ref="BV272" dT="2024-11-19T16:46:13.40" personId="{C5268FB3-219F-424A-88FA-01E7B2B85297}" id="{5FB5B17B-C29A-40A1-8B0B-D898B1BE2664}">
    <text>Balances with bank as at 15.11</text>
  </threadedComment>
  <threadedComment ref="BX272" dT="2024-11-24T10:55:25.91" personId="{C5268FB3-219F-424A-88FA-01E7B2B85297}" id="{D9113BFC-0C5F-4C6D-A620-1ABCD60C007F}">
    <text>Agrees with bank as at 22.11</text>
  </threadedComment>
  <threadedComment ref="BY272" dT="2024-11-29T14:38:16.68" personId="{C5268FB3-219F-424A-88FA-01E7B2B85297}" id="{1EBD59D9-3A58-44B2-B30C-80EF497E8E57}">
    <text>Agrees with bank balance 25.11</text>
  </threadedComment>
  <threadedComment ref="BZ272" dT="2024-11-29T17:35:58.05" personId="{C5268FB3-219F-424A-88FA-01E7B2B85297}" id="{89848112-8FBC-4097-AE78-15EA2C80D00C}">
    <text>Agrees with bank balance 29.11</text>
  </threadedComment>
  <threadedComment ref="CA272" dT="2024-12-08T09:51:19.03" personId="{C5268FB3-219F-424A-88FA-01E7B2B85297}" id="{45D4C527-6A21-4F30-B57E-FB99D9019986}">
    <text>Agrees with bank as at 8.12</text>
  </threadedComment>
  <threadedComment ref="CB272" dT="2024-12-08T10:29:56.90" personId="{C5268FB3-219F-424A-88FA-01E7B2B85297}" id="{8C9442AB-C159-40E2-AB47-305BE449186A}">
    <text xml:space="preserve">Agrees with bank balance as at 8.12
</text>
  </threadedComment>
  <threadedComment ref="CC272" dT="2024-12-20T12:57:12.59" personId="{C5268FB3-219F-424A-88FA-01E7B2B85297}" id="{F6A8017E-92B7-4D3D-A510-3DCFCEA48DD9}">
    <text>Balances with bank as at 13 Dec24</text>
  </threadedComment>
  <threadedComment ref="CE272" dT="2025-01-08T15:41:33.20" personId="{C5268FB3-219F-424A-88FA-01E7B2B85297}" id="{80965EFA-3E6C-4999-B17C-C01A8D6BB6E2}">
    <text>Agrees with bank balance as at 20/12</text>
  </threadedComment>
  <threadedComment ref="CF272" dT="2025-01-08T15:49:24.72" personId="{C5268FB3-219F-424A-88FA-01E7B2B85297}" id="{24521590-0CD6-40BB-9AF1-020743AAAD4C}">
    <text>Agrees with bank bal 31/12/24</text>
  </threadedComment>
  <threadedComment ref="CG272" dT="2025-01-08T15:58:16.82" personId="{C5268FB3-219F-424A-88FA-01E7B2B85297}" id="{715EB064-B8D6-4F0D-AFE2-7733474AE812}">
    <text xml:space="preserve">Agrees with bank balance as at 3.1.25
</text>
  </threadedComment>
  <threadedComment ref="CH272" dT="2025-01-12T11:48:53.91" personId="{C5268FB3-219F-424A-88FA-01E7B2B85297}" id="{F08D894D-CFA2-4A21-8E7C-705363C69FB0}">
    <text>Agrees with bank balance 10th Jan</text>
  </threadedComment>
  <threadedComment ref="CI272" dT="2025-01-17T15:10:00.49" personId="{C5268FB3-219F-424A-88FA-01E7B2B85297}" id="{EFE0DD21-E6F5-4464-8167-072AC8C4D2AD}">
    <text>Agrees with bank balance as at 17.1.25</text>
  </threadedComment>
  <threadedComment ref="CJ272" dT="2025-01-24T18:53:12.47" personId="{C5268FB3-219F-424A-88FA-01E7B2B85297}" id="{4D35F23A-3C03-4670-86BD-514DC318FD41}">
    <text>Agrees with bank balance as at 24.01</text>
  </threadedComment>
  <threadedComment ref="CK272" dT="2025-02-03T12:16:32.20" personId="{C5268FB3-219F-424A-88FA-01E7B2B85297}" id="{BBED0F22-7D10-4E14-8C92-9A3DCBA538B2}">
    <text>Agrees with bank balance as at 31.1.25</text>
  </threadedComment>
  <threadedComment ref="CL272" dT="2025-02-12T07:30:53.54" personId="{C5268FB3-219F-424A-88FA-01E7B2B85297}" id="{75F1B710-4EAC-41F0-B310-08ACBDED0E82}">
    <text>Balances with bank acc 7.2.25</text>
  </threadedComment>
  <threadedComment ref="CM272" dT="2025-02-17T12:59:13.46" personId="{C5268FB3-219F-424A-88FA-01E7B2B85297}" id="{2F7776E9-231A-4816-8885-5710E9AE259F}">
    <text xml:space="preserve">Agrees with bank balance as at 14.02.25
</text>
  </threadedComment>
  <threadedComment ref="CN272" dT="2025-02-21T13:01:55.06" personId="{C5268FB3-219F-424A-88FA-01E7B2B85297}" id="{C429433D-74DC-4DE5-951C-993597A832CE}">
    <text>Agrees with bank balance 21.02</text>
  </threadedComment>
  <threadedComment ref="CO272" dT="2025-03-04T15:18:43.87" personId="{C5268FB3-219F-424A-88FA-01E7B2B85297}" id="{E65C6E46-A7C0-4D33-BB86-19517269DDD5}">
    <text>Agrees with bank bal 28.02</text>
  </threadedComment>
  <threadedComment ref="CP272" dT="2025-03-10T10:29:57.32" personId="{C5268FB3-219F-424A-88FA-01E7B2B85297}" id="{BE5651B4-FD8E-46E8-A11C-D44368A7005A}">
    <text>Agrees with bank balance 7 March 25</text>
  </threadedComment>
  <threadedComment ref="CQ272" dT="2025-03-18T15:04:02.53" personId="{C5268FB3-219F-424A-88FA-01E7B2B85297}" id="{079C6E80-2B21-40B8-8BC3-D37C5BD84D92}">
    <text xml:space="preserve">Agrees with bank balance as at 14.03
</text>
  </threadedComment>
  <threadedComment ref="CR272" dT="2025-03-21T16:57:53.32" personId="{C5268FB3-219F-424A-88FA-01E7B2B85297}" id="{5FD16276-9E0C-48D2-89F8-FD7189CF4CA4}">
    <text>Agrees with bank bal 21.03</text>
  </threadedComment>
  <threadedComment ref="CS272" dT="2025-04-04T16:03:51.68" personId="{C5268FB3-219F-424A-88FA-01E7B2B85297}" id="{E4DE8CB5-A197-4CB8-9AC0-0BB684AEF168}">
    <text>Agrees with bank as at 28.3</text>
  </threadedComment>
  <threadedComment ref="CT272" dT="2025-04-04T16:31:49.90" personId="{C5268FB3-219F-424A-88FA-01E7B2B85297}" id="{A52A973C-2AFB-4A74-A0A7-FB4719211940}">
    <text>Agrees with Bank Balance 4.4.25</text>
  </threadedComment>
  <threadedComment ref="CU272" dT="2025-04-13T10:19:09.68" personId="{C5268FB3-219F-424A-88FA-01E7B2B85297}" id="{441ECA66-0D0C-4B95-B8BE-0F6BF3A14642}">
    <text>Agrees with bank at 13.4.25</text>
  </threadedComment>
  <threadedComment ref="CV272" dT="2025-04-18T12:34:04.60" personId="{C5268FB3-219F-424A-88FA-01E7B2B85297}" id="{EC4EE2D1-925E-4C73-8ABB-4A5B0458CE29}">
    <text>Agrees with bank balance at 18.04.25</text>
  </threadedComment>
  <threadedComment ref="CW272" dT="2025-04-28T19:44:46.56" personId="{C5268FB3-219F-424A-88FA-01E7B2B85297}" id="{1BF3283A-F31E-4F8F-BE18-6BAC30E605D8}">
    <text>Agrees with Bank Balance 25.4.25</text>
  </threadedComment>
  <threadedComment ref="CX272" dT="2025-05-02T16:43:04.35" personId="{C5268FB3-219F-424A-88FA-01E7B2B85297}" id="{139DB3FE-A545-4A48-BB0E-C223BBD5ED4C}">
    <text>Agrees with bank bal 2.5.25</text>
  </threadedComment>
  <threadedComment ref="CY272" dT="2025-05-09T15:38:32.89" personId="{C5268FB3-219F-424A-88FA-01E7B2B85297}" id="{0EB33964-D718-446B-A418-38F98CA098EB}">
    <text xml:space="preserve">Agrees with bank balance 9.5.25
</text>
  </threadedComment>
  <threadedComment ref="CZ272" dT="2025-05-19T09:35:07.87" personId="{C5268FB3-219F-424A-88FA-01E7B2B85297}" id="{7253D9FD-AF44-4ACD-9506-9460DBF8787A}">
    <text>Agrees with bank bal as at 16.5</text>
  </threadedComment>
</ThreadedComments>
</file>

<file path=xl/threadedComments/threadedComment2.xml><?xml version="1.0" encoding="utf-8"?>
<ThreadedComments xmlns="http://schemas.microsoft.com/office/spreadsheetml/2018/threadedcomments" xmlns:x="http://schemas.openxmlformats.org/spreadsheetml/2006/main">
  <threadedComment ref="C5" dT="2023-09-12T09:05:14.39" personId="{8649F295-7209-41E4-A7EC-7029668950EC}" id="{F602CCBF-5848-4FD6-B4B6-656FAD194F6A}">
    <text>Chadwicks and TJ Omahony due</text>
  </threadedComment>
  <threadedComment ref="C6" dT="2023-09-12T09:07:28.31" personId="{8649F295-7209-41E4-A7EC-7029668950EC}" id="{669FCAF5-1BD1-4BFB-BE99-7CE501E4C635}">
    <text>Order 1500 week 2</text>
  </threadedComment>
  <threadedComment ref="D6" dT="2023-09-12T09:07:45.41" personId="{8649F295-7209-41E4-A7EC-7029668950EC}" id="{5DAA880B-BCD7-467E-B30C-2F8A70F96B0B}">
    <text>Order 2000 week 3</text>
  </threadedComment>
  <threadedComment ref="G8" dT="2023-09-12T09:45:05.14" personId="{8649F295-7209-41E4-A7EC-7029668950EC}" id="{91DB6375-4FDF-4F3F-9F5F-E7278AFF5292}">
    <text xml:space="preserve">Order 2000 week 6
</text>
  </threadedComment>
  <threadedComment ref="G9" dT="2023-09-12T09:48:40.23" personId="{8649F295-7209-41E4-A7EC-7029668950EC}" id="{031AE77B-EA0E-4A3F-917E-13FEB29B89CD}">
    <text xml:space="preserve">Last order for ceilings
</text>
  </threadedComment>
  <threadedComment ref="C19" dT="2023-09-12T09:05:14.39" personId="{8649F295-7209-41E4-A7EC-7029668950EC}" id="{D958DC08-37B4-442D-B77D-B8975662E8C2}">
    <text>Chadwicks and TJ Omahony due</text>
  </threadedComment>
  <threadedComment ref="C20" dT="2023-09-12T09:07:28.31" personId="{8649F295-7209-41E4-A7EC-7029668950EC}" id="{690464C7-6112-40CA-90C7-10258FB015C1}">
    <text>Order 1500 week 2</text>
  </threadedComment>
  <threadedComment ref="D20" dT="2023-09-12T09:07:45.41" personId="{8649F295-7209-41E4-A7EC-7029668950EC}" id="{D6F9386D-A40D-43FF-99A1-4743B45D8384}">
    <text>Order 2000 week 3</text>
  </threadedComment>
  <threadedComment ref="G22" dT="2023-09-12T09:45:05.14" personId="{8649F295-7209-41E4-A7EC-7029668950EC}" id="{361025B9-F806-4215-9921-8A46F89B1D79}">
    <text xml:space="preserve">Order 2000 week 6
</text>
  </threadedComment>
  <threadedComment ref="G23" dT="2023-09-12T09:48:40.23" personId="{8649F295-7209-41E4-A7EC-7029668950EC}" id="{9594577A-FE76-4677-A6D7-4EAADCA9B797}">
    <text xml:space="preserve">Last order for ceilings
</text>
  </threadedComment>
  <threadedComment ref="C93" dT="2023-10-09T14:19:40.30" personId="{8649F295-7209-41E4-A7EC-7029668950EC}" id="{80BC752A-D320-4B4E-9135-C6A4001A4DE4}">
    <text>20 men at 22 weeks</text>
  </threadedComment>
  <threadedComment ref="E105" dT="2023-10-26T08:52:41.93" personId="{8649F295-7209-41E4-A7EC-7029668950EC}" id="{258EFE35-670F-470D-BF5B-FD629E1E034F}">
    <text>This materials figure is based on 33% of the project value minus after 20% margin taken out.</text>
  </threadedComment>
  <threadedComment ref="B106" dT="2024-04-08T12:24:53.32" personId="{C5268FB3-219F-424A-88FA-01E7B2B85297}" id="{FE07DED6-0333-4E75-9A45-A295BE7DA390}">
    <text>Dave's estimate based on budgeted hours for Emanuel to work off.</text>
  </threadedComment>
  <threadedComment ref="C115" dT="2024-01-15T13:12:33.34" personId="{C5268FB3-219F-424A-88FA-01E7B2B85297}" id="{023F4258-D2A9-425D-A9A9-23B4EB2DEBEC}">
    <text xml:space="preserve">Labour in existing team
</text>
  </threadedComment>
  <threadedComment ref="C121" dT="2024-01-15T13:29:43.56" personId="{C5268FB3-219F-424A-88FA-01E7B2B85297}" id="{413B7E27-44E7-40AB-9BE9-5DEEA5C64BC2}">
    <text xml:space="preserve">Fixed cost to us from Demitriu </text>
  </threadedComment>
  <threadedComment ref="C126" dT="2023-10-09T14:19:40.30" personId="{8649F295-7209-41E4-A7EC-7029668950EC}" id="{5E76BA1B-27CA-4D2D-B21D-FB798DF4122E}">
    <text>20 men at 22 weeks</text>
  </threadedComment>
  <threadedComment ref="B133" dT="2023-12-18T14:00:26.23" personId="{7E270AAF-E42D-4758-8B02-E58CC6F56CDA}" id="{9BFFE414-19EC-4AB3-9A0D-4F4457DF7ED8}">
    <text>Budget estimate( 4 fixers 8 weeks) Skim to be done on a price. ( measure required here.)</text>
  </threadedComment>
  <threadedComment ref="C141" dT="2024-01-17T12:11:48.88" personId="{C5268FB3-219F-424A-88FA-01E7B2B85297}" id="{F7769F0F-82BE-4C86-90B6-9D33D72557A2}">
    <text>Ronan estimate based on actual costs and amounts.
Standard costs, we need to agree better costs from suppliers.</text>
  </threadedComment>
  <threadedComment ref="C142" dT="2024-01-17T12:26:48.09" personId="{C5268FB3-219F-424A-88FA-01E7B2B85297}" id="{842E3A61-0156-4660-A107-D73923F52F51}">
    <text>This is a more exact figure based on labour rates from template</text>
  </threadedComment>
  <threadedComment ref="B159" dT="2024-04-19T15:38:34.06" personId="{C5268FB3-219F-424A-88FA-01E7B2B85297}" id="{26C6B432-A20F-4032-A1F8-0714CE64F997}">
    <text xml:space="preserve">This is performed by existing Subcontractors on PAYE
</text>
  </threadedComment>
  <threadedComment ref="B161" dT="2024-04-02T14:47:29.79" personId="{C5268FB3-219F-424A-88FA-01E7B2B85297}" id="{0707952F-1EC3-4D3D-8E3E-4D14968601D0}">
    <text>Floors only = 12 weeks x 6 men = 72 weeks.
Flat week at 42.5 hours @ €42.50 ph 
This assumes all new labour, however we may utilise some of the existing workforce in which case margin improves and costs will reduce.</text>
  </threadedComment>
  <threadedComment ref="B162" dT="2024-04-19T15:34:20.09" personId="{C5268FB3-219F-424A-88FA-01E7B2B85297}" id="{A7025D1D-CC1B-49B1-B918-1E375B2C678D}">
    <text>15 men for 8 weeks, 58 hours per man per week @26 per hour. = 1508 per week by 15 men = 22,620 per week gross.
12 weeks = 271k</text>
  </threadedComment>
  <threadedComment ref="B163" dT="2024-07-23T13:51:59.60" personId="{C5268FB3-219F-424A-88FA-01E7B2B85297}" id="{2A847AF7-6358-4014-A8FC-51A105C645E6}">
    <text>Revised labour figure to cater fur us using some of the existing labour.</text>
  </threadedComment>
</ThreadedComments>
</file>

<file path=xl/threadedComments/threadedComment3.xml><?xml version="1.0" encoding="utf-8"?>
<ThreadedComments xmlns="http://schemas.microsoft.com/office/spreadsheetml/2018/threadedcomments" xmlns:x="http://schemas.openxmlformats.org/spreadsheetml/2006/main">
  <threadedComment ref="T14" dT="2023-11-01T12:13:58.01" personId="{8649F295-7209-41E4-A7EC-7029668950EC}" id="{275E61E3-C3CF-4CF6-A5FC-B9C6DAFFEA0B}">
    <text>1st Nov Jason spoke to Pamela in Townlink, she said that they are on site snagging and that we should forecast to receive retention mid Dec.</text>
  </threadedComment>
  <threadedComment ref="AL14" dT="2023-12-12T09:40:18.80" personId="{C5268FB3-219F-424A-88FA-01E7B2B85297}" id="{249725FE-9BC6-4066-B746-94F85F527AE8}">
    <text>2 April - refer to email  from Pamela Malone
2.4 Spoke to Pamela and she said that they are getting 80% of their retention around 19th April. She is checking with the QS and will revert with what we will be getting and when. 
5..1 Jason spoke to David Caulfield at Townlink, he said that they have completed snagging and gave the report to the customer.  The design team were meant to go to site before Christmas to confirm everything is completed but that did not happen.  He thinks they will do this next week.  Therefore pushing out.
Spoke to Pamela, Snagging completed, awaiting cert to be issued, it will be mid Jan when it gets paid.</text>
  </threadedComment>
  <threadedComment ref="BX14" dT="2024-04-02T09:40:23.25" personId="{C5268FB3-219F-424A-88FA-01E7B2B85297}" id="{4CC652D7-C123-4A85-85A1-140E67E6B87C}">
    <text>7.8 We believe the figure received from Townlink (see St Finbars) includes this retention figure.
Refer to comments in May figure.</text>
  </threadedComment>
  <threadedComment ref="BI20" dT="2024-03-25T10:53:47.96" personId="{C5268FB3-219F-424A-88FA-01E7B2B85297}" id="{843BE503-5000-4914-ABF3-B1B20AA1BED3}">
    <text>Brain Farrell</text>
  </threadedComment>
  <threadedComment ref="CA22" dT="2024-07-23T13:35:03.90" personId="{C5268FB3-219F-424A-88FA-01E7B2B85297}" id="{225E64AE-EF9B-4878-9CCA-39FF37C90149}">
    <text xml:space="preserve"> Lime St</text>
  </threadedComment>
  <threadedComment ref="AJ24" dT="2023-12-04T12:11:44.92" personId="{8649F295-7209-41E4-A7EC-7029668950EC}" id="{41B92C68-E697-47D0-B129-7596B1E9F8E8}">
    <text>This is being held as security until feet on the ground in Beach Road.</text>
  </threadedComment>
  <threadedComment ref="CC30" dT="2024-11-08T09:40:21.16" personId="{C5268FB3-219F-424A-88FA-01E7B2B85297}" id="{23309612-8551-42E8-9CBC-E5766C30143F}">
    <text>November load out materials</text>
  </threadedComment>
  <threadedComment ref="D32" dT="2023-09-18T13:20:36.62" personId="{8649F295-7209-41E4-A7EC-7029668950EC}" id="{FF257AED-BCAF-4D79-B844-6C96082F96D0}">
    <text>Gross figure incl labour, materials, margin
The project value increased by 16k net and has been added to the December receivable, it may come in sooner.</text>
  </threadedComment>
  <threadedComment ref="J32" dT="2023-09-12T09:36:42.72" personId="{8649F295-7209-41E4-A7EC-7029668950EC}" id="{3511F940-B083-4E77-B9DC-A9C5848492EA}">
    <text>Valuation submitted end August less up front material payment of 60k</text>
  </threadedComment>
  <threadedComment ref="U32" dT="2023-10-26T09:42:35.34" personId="{8649F295-7209-41E4-A7EC-7029668950EC}" id="{8955CB21-9574-4757-964F-2310443C1965}">
    <text>This represents final payment plus PC Retention of 2.5%</text>
  </threadedComment>
  <threadedComment ref="U32" dT="2023-12-12T12:21:30.26" personId="{C5268FB3-219F-424A-88FA-01E7B2B85297}" id="{5B95B0CF-8E7C-4A23-BD0D-C4E43994C416}" parentId="{8955CB21-9574-4757-964F-2310443C1965}">
    <text xml:space="preserve">Dave to speak to Brian Farrel and agree figure due and then for Ivan to agree with Richie </text>
  </threadedComment>
  <threadedComment ref="AA32" dT="2023-12-12T13:15:29.00" personId="{C5268FB3-219F-424A-88FA-01E7B2B85297}" id="{EFF5FB42-1435-4DBB-B069-2BB80C6682BB}">
    <text>Final account - bal owed.
QUESTION - is this a realistic date?</text>
  </threadedComment>
  <threadedComment ref="AD32" dT="2024-02-19T15:04:19.78" personId="{C5268FB3-219F-424A-88FA-01E7B2B85297}" id="{E8F43211-F875-4749-849D-4CED6C4A122D}">
    <text xml:space="preserve">Invoice 799
</text>
  </threadedComment>
  <threadedComment ref="AG33" dT="2024-02-19T15:08:08.90" personId="{C5268FB3-219F-424A-88FA-01E7B2B85297}" id="{A529B44C-0C8F-4BAC-A1C5-A08CE4C1ACC7}">
    <text>Invoice 798</text>
  </threadedComment>
  <threadedComment ref="AW33" dT="2024-05-24T13:47:00.28" personId="{C5268FB3-219F-424A-88FA-01E7B2B85297}" id="{A101A95F-79A3-4C1F-89EC-0B3C937A2321}">
    <text>Val going in Monday 27th May, fig will be confirmed then.</text>
  </threadedComment>
  <threadedComment ref="BX33" dT="2024-10-24T13:19:39.52" personId="{C5268FB3-219F-424A-88FA-01E7B2B85297}" id="{AFA1CAA3-1BA4-49BC-83FA-C87E27B619B9}">
    <text xml:space="preserve">Residual bal plus small retention </text>
  </threadedComment>
  <threadedComment ref="R35" dT="2023-10-25T11:11:27.17" personId="{8649F295-7209-41E4-A7EC-7029668950EC}" id="{8484754F-8DD1-48E2-AEBB-DACC320DAB8E}">
    <text>Invoice sent</text>
  </threadedComment>
  <threadedComment ref="AB35" dT="2023-12-23T17:53:49.30" personId="{C5268FB3-219F-424A-88FA-01E7B2B85297}" id="{BD15D9CA-166B-4916-89F0-284BFB51C51D}">
    <text xml:space="preserve">Originally forecast before christmas but didn’t come in.
</text>
  </threadedComment>
  <threadedComment ref="L36" dT="2023-09-11T10:54:15.60" personId="{8649F295-7209-41E4-A7EC-7029668950EC}" id="{316D37CF-40C3-47F9-983C-CA7AF673489E}">
    <text>Job starting 13.9, two weeks to complete, invoice paid two weeks later.</text>
  </threadedComment>
  <threadedComment ref="D37" dT="2023-09-22T13:17:52.78" personId="{8649F295-7209-41E4-A7EC-7029668950EC}" id="{7B932A38-BF79-42A6-B3A8-D4025F71DA42}">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D37" dT="2024-06-12T09:06:20.50" personId="{C5268FB3-219F-424A-88FA-01E7B2B85297}" id="{0CF908CE-BCC1-4008-8012-8D1CB5831A88}" parentId="{7B932A38-BF79-42A6-B3A8-D4025F71DA42}">
    <text>12.6 Project value rose to this new number incl acoustic panels etc.</text>
  </threadedComment>
  <threadedComment ref="M37" dT="2023-10-09T14:05:04.94" personId="{8649F295-7209-41E4-A7EC-7029668950EC}" id="{83712256-EEFC-4A0B-92DF-297F6EF8B87E}">
    <text>Project start for 24 weeks.  This figure landed in bank Monday 23rd morning.</text>
  </threadedComment>
  <threadedComment ref="N37" dT="2023-10-26T09:14:20.38" personId="{8649F295-7209-41E4-A7EC-7029668950EC}" id="{17809D4E-CB99-4FE0-994C-5A6128582E1D}">
    <text xml:space="preserve">Dave submitted this figure to TSK 1/11
We were expecting to receive €37143.56 less 20% tax = €29,715
</text>
  </threadedComment>
  <threadedComment ref="O37" dT="2023-11-10T14:28:47.29" personId="{8649F295-7209-41E4-A7EC-7029668950EC}" id="{1856638A-70B9-41D9-B408-5DFCBEC8A15B}">
    <text>This is invoice 752 plus additional amount on invoice 751. Refer to email from Wendy on 10th Nov.</text>
  </threadedComment>
  <threadedComment ref="P37" dT="2023-11-16T15:31:25.76" personId="{8649F295-7209-41E4-A7EC-7029668950EC}" id="{8CA8A783-EB52-4C49-A226-E675D0781E94}">
    <text xml:space="preserve">Includes order for acoustic strip
</text>
  </threadedComment>
  <threadedComment ref="U37" dT="2023-10-17T13:52:25.41" personId="{8649F295-7209-41E4-A7EC-7029668950EC}" id="{58C09DFA-282E-4907-B138-0D02B15223AB}">
    <text>Includes value of floor 6 closing</text>
  </threadedComment>
  <threadedComment ref="W37" dT="2023-10-17T14:06:19.65" personId="{8649F295-7209-41E4-A7EC-7029668950EC}" id="{FA07398F-1164-4743-8057-7B36CEBE1FCE}">
    <text xml:space="preserve">This sum is 40% of the balance of the €602 total value of the job.
</text>
  </threadedComment>
  <threadedComment ref="AB37" dT="2023-10-17T14:06:19.65" personId="{8649F295-7209-41E4-A7EC-7029668950EC}" id="{7BC75AA3-38B4-4108-9FE1-0D98394B8833}">
    <text xml:space="preserve">This sum is 40% of the balance of the €602 total value of the job.
</text>
  </threadedComment>
  <threadedComment ref="AF37" dT="2023-10-17T14:06:19.65" personId="{8649F295-7209-41E4-A7EC-7029668950EC}" id="{0054062B-E339-403C-8624-13538AF17482}">
    <text xml:space="preserve">This sum is the remaining 20% of the balance of the €602 total value of the job.
</text>
  </threadedComment>
  <threadedComment ref="AF37" dT="2024-03-06T12:39:42.98" personId="{C5268FB3-219F-424A-88FA-01E7B2B85297}" id="{8788C076-C8FB-4A2B-B5B2-5DF4439D764B}" parentId="{0054062B-E339-403C-8624-13538AF17482}">
    <text xml:space="preserve">This amount is the regular work and the acoustics
</text>
  </threadedComment>
  <threadedComment ref="AK37" dT="2023-10-26T09:40:24.64" personId="{8649F295-7209-41E4-A7EC-7029668950EC}" id="{6BC56A4C-CEE9-4B69-AB0F-ECDCC0084B90}">
    <text>2.5% PC Retention</text>
  </threadedComment>
  <threadedComment ref="AK37" dT="2024-03-04T11:28:56.40" personId="{C5268FB3-219F-424A-88FA-01E7B2B85297}" id="{05631FDE-C007-44CD-9180-1D64E4A3FFA0}" parentId="{6BC56A4C-CEE9-4B69-AB0F-ECDCC0084B90}">
    <text xml:space="preserve">Plus final account 10k
</text>
  </threadedComment>
  <threadedComment ref="AL37" dT="2024-03-11T12:26:20.53" personId="{C5268FB3-219F-424A-88FA-01E7B2B85297}" id="{6787B60E-FB3E-4114-8E07-ABFED72C5B09}">
    <text>Retention 2.5%</text>
  </threadedComment>
  <threadedComment ref="AM37" dT="2024-03-25T12:04:25.07" personId="{C5268FB3-219F-424A-88FA-01E7B2B85297}" id="{6A0AF492-EE13-4BB6-A272-1F62C962A4DC}">
    <text>Extra income from additional Autex installation</text>
  </threadedComment>
  <threadedComment ref="BS37" dT="2024-08-03T19:07:04.81" personId="{C5268FB3-219F-424A-88FA-01E7B2B85297}" id="{71EE0878-4DB6-4E29-A706-9B27F73C67FF}">
    <text>Extra work AC Vents , check figure with Dave.</text>
  </threadedComment>
  <threadedComment ref="Z39" dT="2024-01-09T10:37:43.12" personId="{C5268FB3-219F-424A-88FA-01E7B2B85297}" id="{3CCEEDD8-8A26-47CF-931A-D941AA8AC73E}">
    <text>This figure represents TSK paying for the acoustics up front.</text>
  </threadedComment>
  <threadedComment ref="D41" dT="2024-04-07T14:16:00.21" personId="{C5268FB3-219F-424A-88FA-01E7B2B85297}" id="{5003CBD5-3F39-431E-91AA-FD6E9438739E}">
    <text xml:space="preserve">New value from Dave 21 June
Also now includes 80k Balcony soffits
</text>
  </threadedComment>
  <threadedComment ref="AI41" dT="2024-01-15T14:41:43.02" personId="{C5268FB3-219F-424A-88FA-01E7B2B85297}" id="{BC1DEA83-978B-4988-9BCA-25E1B4DECA8D}">
    <text>Soffit work and loading out</text>
  </threadedComment>
  <threadedComment ref="AO41" dT="2024-02-23T13:54:26.59" personId="{C5268FB3-219F-424A-88FA-01E7B2B85297}" id="{1B25557B-FB6B-4642-B6AD-53B9DA0FA66C}">
    <text>50k Soffit work and loading out
11.03 Ronan to come back on what work and material will be done in March</text>
  </threadedComment>
  <threadedComment ref="AX41" dT="2024-05-24T13:48:16.55" personId="{C5268FB3-219F-424A-88FA-01E7B2B85297}" id="{600D5BE4-DACB-4269-9A93-C913F7C0148A}">
    <text>Payment on 5th July</text>
  </threadedComment>
  <threadedComment ref="BH41" dT="2024-06-21T15:00:05.98" personId="{C5268FB3-219F-424A-88FA-01E7B2B85297}" id="{5AB8C2C7-A301-45CB-8ED8-DBA7F855AD36}">
    <text>12.08 Dave checked figure and this is the net of retention val submitted ie 1158950 less previously paid 783900
This now includes balcony soffit 50% of valuation .</text>
  </threadedComment>
  <threadedComment ref="BH41" dT="2024-06-28T11:06:53.35" personId="{C5268FB3-219F-424A-88FA-01E7B2B85297}" id="{51837530-3710-4770-8977-A599B8DF2AE5}" parentId="{5AB8C2C7-A301-45CB-8ED8-DBA7F855AD36}">
    <text>Also now reduces by 80k to cater for earlier payment of 200k.</text>
  </threadedComment>
  <threadedComment ref="BR41" dT="2024-10-04T13:01:15.92" personId="{C5268FB3-219F-424A-88FA-01E7B2B85297}" id="{7FDA3F37-8FF6-497E-9C87-44F23E5FA5CF}">
    <text xml:space="preserve">Add 40k re reduction in last payment </text>
  </threadedComment>
  <threadedComment ref="BZ41" dT="2024-06-18T09:24:12.44" personId="{C5268FB3-219F-424A-88FA-01E7B2B85297}" id="{94B04329-067E-41B4-91E6-FD11D833A483}">
    <text xml:space="preserve">This is final account with 2.5% retention paid.  Leaves 2.5% of 49,375 retention for future payment in 12 months. </text>
  </threadedComment>
  <threadedComment ref="E42" dT="2024-07-29T12:50:32.82" personId="{C5268FB3-219F-424A-88FA-01E7B2B85297}" id="{71D0A4CA-B03B-407A-91DD-9643894862CA}">
    <text>Current final account i.e. less 2.3% retention</text>
  </threadedComment>
  <threadedComment ref="S44" dT="2023-11-07T12:17:22.71" personId="{8649F295-7209-41E4-A7EC-7029668950EC}" id="{325AE060-E7F8-4B10-86FA-786E9FE2592E}">
    <text>Gross figure has been submitted by Dave.</text>
  </threadedComment>
  <threadedComment ref="T44" dT="2023-12-11T11:21:29.81" personId="{C5268FB3-219F-424A-88FA-01E7B2B85297}" id="{52510BEC-C313-45DD-A98E-A156B69F042E}">
    <text>Dave and Paul agreed figure, gone for payment.</text>
  </threadedComment>
  <threadedComment ref="O45" dT="2023-10-02T09:49:39.38" personId="{8649F295-7209-41E4-A7EC-7029668950EC}" id="{1F220AD6-A178-41AD-8354-F9C5FBCEC5B7}">
    <text>After tax and retention. Received response from Stephen, confirmed that daywork sheets have been sent.
Stephen paid less than what was due.</text>
  </threadedComment>
  <threadedComment ref="S45" dT="2023-10-26T10:03:42.08" personId="{8649F295-7209-41E4-A7EC-7029668950EC}" id="{5A5F702F-7443-4BF3-A4D4-A373F940C3B4}">
    <text>October valuation including 20% reduction and materials
NOTE - now  changed to full value as at zero tax rate</text>
  </threadedComment>
  <threadedComment ref="AF45" dT="2023-10-26T09:04:02.33" personId="{8649F295-7209-41E4-A7EC-7029668950EC}" id="{20528B29-59E4-4A63-BF06-00D209B8DC05}">
    <text>Final account PC retention, Dave gave figure.</text>
  </threadedComment>
  <threadedComment ref="AF45" dT="2023-11-14T13:19:57.76" personId="{7E270AAF-E42D-4758-8B02-E58CC6F56CDA}" id="{0E439472-EC29-464F-959B-8D9B54F937F2}" parentId="{20528B29-59E4-4A63-BF06-00D209B8DC05}">
    <text>This isestimate additional labour of 3000 plus Pcretention of 2600</text>
  </threadedComment>
  <threadedComment ref="AF45" dT="2024-02-02T13:15:10.89" personId="{C5268FB3-219F-424A-88FA-01E7B2B85297}" id="{4450CE81-142D-48FD-A857-8545B90D061C}" parentId="{20528B29-59E4-4A63-BF06-00D209B8DC05}">
    <text>Ronan agreed with Graham that he would get a discount.</text>
  </threadedComment>
  <threadedComment ref="O46" dT="2023-10-02T09:46:03.10" personId="{8649F295-7209-41E4-A7EC-7029668950EC}" id="{88E60B2A-BEB2-4020-A62B-16036055C60A}">
    <text>After tax and after retention. Received response from Stephen, confirmed that daywork sheets have been sent.</text>
  </threadedComment>
  <threadedComment ref="S46" dT="2023-11-01T12:52:37.94" personId="{8649F295-7209-41E4-A7EC-7029668950EC}" id="{EB0C8F25-B15C-42C7-A68D-E268237CE0F9}">
    <text>1st Nov, this is the valuation Dave is submitting.</text>
  </threadedComment>
  <threadedComment ref="U46" dT="2023-11-07T12:14:38.70" personId="{8649F295-7209-41E4-A7EC-7029668950EC}" id="{27269064-D929-4889-9377-AAC78CE57321}">
    <text>Dave to sit with OHLA and agree what will be achieved by this date. Dave to revert 14.11</text>
  </threadedComment>
  <threadedComment ref="AC46" dT="2023-12-12T12:30:49.36" personId="{C5268FB3-219F-424A-88FA-01E7B2B85297}" id="{C4A870E9-14F7-4621-8A03-00064B338C89}">
    <text>Labour only as agreed with Stephen Eustace</text>
  </threadedComment>
  <threadedComment ref="AJ46" dT="2024-03-11T12:35:06.57" personId="{C5268FB3-219F-424A-88FA-01E7B2B85297}" id="{AC246577-55A0-47CB-85E9-16CC0720E2C8}">
    <text>62k has been submitted</text>
  </threadedComment>
  <threadedComment ref="S47" dT="2023-10-26T09:15:26.31" personId="{8649F295-7209-41E4-A7EC-7029668950EC}" id="{371A2CF1-E6DC-430E-801C-6CD83916B739}">
    <text>Need to talk with Ray in CDM to see if we can get some earl(ier) payment</text>
  </threadedComment>
  <threadedComment ref="S47" dT="2023-11-14T13:21:51.27" personId="{7E270AAF-E42D-4758-8B02-E58CC6F56CDA}" id="{76488CF3-0EEE-465F-8856-15D9189DECA1}" parentId="{371A2CF1-E6DC-430E-801C-6CD83916B739}">
    <text>14 Nov , Dave going to site to see whatwork is completed</text>
  </threadedComment>
  <threadedComment ref="U47" dT="2023-12-12T12:35:45.45" personId="{C5268FB3-219F-424A-88FA-01E7B2B85297}" id="{3B775A56-68CE-4AB0-ABB6-92BB553463F3}">
    <text>Dave visitied site 11.12 to estimate work completed. Need to submit to Ray.</text>
  </threadedComment>
  <threadedComment ref="AA47" dT="2024-01-15T14:12:50.35" personId="{C5268FB3-219F-424A-88FA-01E7B2B85297}" id="{E5C2CF2B-8218-4543-94AD-FFC63FB4CADF}">
    <text>Actual figure from Ronan</text>
  </threadedComment>
  <threadedComment ref="T48" dT="2023-12-04T11:49:47.36" personId="{8649F295-7209-41E4-A7EC-7029668950EC}" id="{1D087D75-51A5-445A-AA4F-2389DB07F706}">
    <text>Valuation sent to Ray 4.12</text>
  </threadedComment>
  <threadedComment ref="C52" dT="2023-11-08T13:16:49.17" personId="{8649F295-7209-41E4-A7EC-7029668950EC}" id="{598CA79F-3EB2-4397-B5B0-B26A750E5C47}">
    <text>This is gross income, we have not allowed any additional resources at this time, they may be needed.</text>
  </threadedComment>
  <threadedComment ref="D52" dT="2023-11-08T13:16:49.17" personId="{8649F295-7209-41E4-A7EC-7029668950EC}" id="{20D31B96-B659-4EEC-AC4B-CD627EB020FB}">
    <text>This is gross income, we have not allowed any additional resources at this time, they may be needed.</text>
  </threadedComment>
  <threadedComment ref="AF52" dT="2024-02-08T11:09:48.33" personId="{C5268FB3-219F-424A-88FA-01E7B2B85297}" id="{418CDB96-4087-4AA7-BD08-C29E78C9CBD6}">
    <text>Ronan to confirm valuation going in 9.2</text>
  </threadedComment>
  <threadedComment ref="AP52" dT="2024-05-08T09:05:42.10" personId="{C5268FB3-219F-424A-88FA-01E7B2B85297}" id="{915C0624-D55F-4578-AF61-F51DC059FFD1}">
    <text>Inv No 827</text>
  </threadedComment>
  <threadedComment ref="AS52" dT="2024-03-11T12:41:49.60" personId="{C5268FB3-219F-424A-88FA-01E7B2B85297}" id="{05BD4507-C19B-4F17-936E-EE4DDDF2937C}">
    <text xml:space="preserve">4 weeks, 3 lads, @ 42.5 per hour
</text>
  </threadedComment>
  <threadedComment ref="Y54" dT="2024-01-19T07:57:54.30" personId="{C5268FB3-219F-424A-88FA-01E7B2B85297}" id="{3865B009-1D5F-4D4B-A910-13F71B2319CB}">
    <text>Total amount received from CDM for the three amounts was 24990</text>
  </threadedComment>
  <threadedComment ref="AN55" dT="2024-04-30T14:40:30.59" personId="{C5268FB3-219F-424A-88FA-01E7B2B85297}" id="{6609C5F3-30F5-4424-A449-7D8DCECEDC2C}">
    <text xml:space="preserve">Amount owed to Ifit plus work done by Flamestop which is due to be paid out to them.
</text>
  </threadedComment>
  <threadedComment ref="AP55" dT="2024-05-08T09:07:40.17" personId="{C5268FB3-219F-424A-88FA-01E7B2B85297}" id="{30B8FD3D-3207-4545-923F-7D27CEE73506}">
    <text>Invoice 826</text>
  </threadedComment>
  <threadedComment ref="AF56" dT="2024-03-08T11:00:53.82" personId="{C5268FB3-219F-424A-88FA-01E7B2B85297}" id="{354DBF65-B254-40BB-9EB1-7373D3F76627}">
    <text>Forecasting 35168 in total from CDM, they paid 34021, this is a negative fig to balance things, Dave to let me know he is happy with the reduced payment.</text>
  </threadedComment>
  <threadedComment ref="AF56" dT="2024-03-11T12:51:09.41" personId="{C5268FB3-219F-424A-88FA-01E7B2B85297}" id="{83E0212F-92F6-4BD5-BE73-37269B827ED2}" parentId="{354DBF65-B254-40BB-9EB1-7373D3F76627}">
    <text>11.03 - Dave agrees with this figure.</text>
  </threadedComment>
  <threadedComment ref="AW59" dT="2024-06-05T09:15:22.53" personId="{C5268FB3-219F-424A-88FA-01E7B2B85297}" id="{37585B92-F09C-4C69-ABB4-682E573155F2}">
    <text>DCU, Killiney, Black Forge</text>
  </threadedComment>
  <threadedComment ref="P61" dT="2023-10-26T09:27:56.04" personId="{8649F295-7209-41E4-A7EC-7029668950EC}" id="{08AED18D-9E78-4789-81E9-B3D605771060}">
    <text>Ronan to send this to Graham Dinh this week.
Agreed, may come in a week early. Full value.</text>
  </threadedComment>
  <threadedComment ref="S61" dT="2023-11-16T15:34:58.06" personId="{8649F295-7209-41E4-A7EC-7029668950EC}" id="{8E2BFC21-CAD4-4803-BE3F-906D89DC9915}">
    <text>Ronan submitting 17.11 Balance plus extra works in lift shaft</text>
  </threadedComment>
  <threadedComment ref="D62" dT="2023-11-16T15:40:34.02" personId="{8649F295-7209-41E4-A7EC-7029668950EC}" id="{E73573F2-ADC2-41D5-ACEF-C474C66711D5}">
    <text>3 lads labour only for 2 weeks</text>
  </threadedComment>
  <threadedComment ref="U62" dT="2023-12-12T12:48:48.31" personId="{C5268FB3-219F-424A-88FA-01E7B2B85297}" id="{DB1F66F8-EB5A-4D6D-B1B8-59C4F19710F3}">
    <text>Labour cost us 7k, Graham looking for us to reduce our costs a bit.</text>
  </threadedComment>
  <threadedComment ref="D63" dT="2023-11-16T15:49:42.02" personId="{8649F295-7209-41E4-A7EC-7029668950EC}" id="{2ADE7238-65E7-4244-B3F1-C129DF190BE5}">
    <text>Estimate figure - Demolition and rebuild partitions</text>
  </threadedComment>
  <threadedComment ref="D64" dT="2023-11-16T15:40:34.02" personId="{8649F295-7209-41E4-A7EC-7029668950EC}" id="{D775B6BC-93D1-4887-8BF0-C136868A85AD}">
    <text>Estimate value = incl travel and subsistence</text>
  </threadedComment>
  <threadedComment ref="BE65" dT="2024-08-26T12:37:20.22" personId="{C5268FB3-219F-424A-88FA-01E7B2B85297}" id="{C3AD5BAD-6B25-4CD9-9A07-B664C6395D87}">
    <text>Flamestop overpaid by 20k, they offset what was owed from Navan €18091 and Killenard but actually allowed us the full 20k. Therefore we made an extra €108.</text>
  </threadedComment>
  <threadedComment ref="AY66" dT="2024-06-20T14:17:28.83" personId="{C5268FB3-219F-424A-88FA-01E7B2B85297}" id="{152C6635-88F6-4717-9D93-5B52A22EACA1}">
    <text xml:space="preserve">Measure reqd on site </text>
  </threadedComment>
  <threadedComment ref="BI68" dT="2024-07-10T13:02:55.87" personId="{C5268FB3-219F-424A-88FA-01E7B2B85297}" id="{3B9BEF69-6F1F-4C95-9898-A6C9D0E8A98F}">
    <text>Ronan actually invoiced 22941
which includes material but Flamestop actually supplied the material</text>
  </threadedComment>
  <threadedComment ref="BG74" dT="2024-08-03T19:10:50.93" personId="{C5268FB3-219F-424A-88FA-01E7B2B85297}" id="{0DAA8FA3-3789-41F5-BC5D-0B4A49E53F8C}">
    <text>Additional works we did. To be invoiced when completed on Wed 7th.</text>
  </threadedComment>
  <threadedComment ref="BW75" dT="2024-08-26T13:05:58.85" personId="{C5268FB3-219F-424A-88FA-01E7B2B85297}" id="{DCBB78F9-D7BA-47C7-87B0-B646ADA0E45D}">
    <text>Labour (estimate) plus travel</text>
  </threadedComment>
  <threadedComment ref="BG76" dT="2024-08-26T13:07:03.50" personId="{C5268FB3-219F-424A-88FA-01E7B2B85297}" id="{6993816F-B7DB-40B3-9910-AD69BA6819D4}">
    <text>Discounted from 7200</text>
  </threadedComment>
  <threadedComment ref="BG76" dT="2024-09-06T07:58:43.47" personId="{C5268FB3-219F-424A-88FA-01E7B2B85297}" id="{51E45541-CF8B-44CD-8DBF-34B07AE3F8FD}" parentId="{6993816F-B7DB-40B3-9910-AD69BA6819D4}">
    <text xml:space="preserve">I HAVE INCREASED THIS amount as Flamestop made a payment for the 4 jobs to the value of €20537.50
</text>
  </threadedComment>
  <threadedComment ref="AY81" dT="2024-06-21T13:46:37.70" personId="{C5268FB3-219F-424A-88FA-01E7B2B85297}" id="{7D86AAF2-8A39-4653-B495-B57D36B7CD03}">
    <text>Jonathan taper</text>
  </threadedComment>
  <threadedComment ref="BB81" dT="2024-06-20T14:37:04.17" personId="{C5268FB3-219F-424A-88FA-01E7B2B85297}" id="{12293C4D-F078-4929-88AC-C1C06C424D6B}">
    <text xml:space="preserve">Starting Monday 24th June for one week.
</text>
  </threadedComment>
  <threadedComment ref="BO81" dT="2024-09-02T12:27:28.94" personId="{C5268FB3-219F-424A-88FA-01E7B2B85297}" id="{B8F3354E-0539-4AE0-89C0-B5295CB904ED}">
    <text>Tapeing and Jointing balance owed.</text>
  </threadedComment>
  <threadedComment ref="C82" dT="2023-09-11T15:21:24.71" personId="{8649F295-7209-41E4-A7EC-7029668950EC}" id="{E374879C-B05C-4636-82E2-3FDBD14A0B49}">
    <text xml:space="preserve">VAT to be charged on top
</text>
  </threadedComment>
  <threadedComment ref="D82" dT="2023-11-08T13:44:11.84" personId="{8649F295-7209-41E4-A7EC-7029668950EC}" id="{786AFBFD-BB9A-4029-84D7-8AB6E74FA253}">
    <text>Full val incl materials</text>
  </threadedComment>
  <threadedComment ref="Z82" dT="2023-09-12T11:21:31.73" personId="{8649F295-7209-41E4-A7EC-7029668950EC}" id="{AE6BDF79-7848-476C-B6FA-D692E08AA683}">
    <text>Need to confirm start date. No need for additional men, accounted for in the figures below</text>
  </threadedComment>
  <threadedComment ref="AF82" dT="2024-03-02T10:47:03.59" personId="{C5268FB3-219F-424A-88FA-01E7B2B85297}" id="{36AE73C1-7BF1-4AF5-B435-AC3E1C5A324B}">
    <text xml:space="preserve">Extra owed from first payment last week. </text>
  </threadedComment>
  <threadedComment ref="AJ82" dT="2024-03-02T10:47:03.59" personId="{C5268FB3-219F-424A-88FA-01E7B2B85297}" id="{543CD8A6-22BA-4FC8-B48D-AAE1A1A6A1AC}">
    <text xml:space="preserve">Extra owed from first payment last week. </text>
  </threadedComment>
  <threadedComment ref="D84" dT="2023-10-26T10:26:13.86" personId="{8649F295-7209-41E4-A7EC-7029668950EC}" id="{221C00B3-1D3D-4C42-9340-9F6D007C798D}">
    <text>2000m2 of sand and cement @ €20pmsq</text>
  </threadedComment>
  <threadedComment ref="D84" dT="2024-03-11T13:08:19.35" personId="{C5268FB3-219F-424A-88FA-01E7B2B85297}" id="{A763348D-2287-45D4-8614-3679F6DD3F54}" parentId="{221C00B3-1D3D-4C42-9340-9F6D007C798D}">
    <text>Sand and cement 11k , skim remainder</text>
  </threadedComment>
  <threadedComment ref="W84" dT="2023-10-26T10:29:58.25" personId="{8649F295-7209-41E4-A7EC-7029668950EC}" id="{85F1F93C-C0A6-4320-86B0-52F753E6CEF6}">
    <text xml:space="preserve">2 and 1 gang at 4 weeks. 500m per week </text>
  </threadedComment>
  <threadedComment ref="AE84" dT="2024-01-15T13:44:33.87" personId="{C5268FB3-219F-424A-88FA-01E7B2B85297}" id="{8853D74E-24E4-4CC1-BA30-E91ABC64CDE8}">
    <text>This represents 2250 sq m @ 20 p sq m</text>
  </threadedComment>
  <threadedComment ref="AN84" dT="2024-03-11T13:07:37.45" personId="{C5268FB3-219F-424A-88FA-01E7B2B85297}" id="{3F4CA93D-D6B8-42D6-BEFD-B1B721548B0C}">
    <text>Sand and Cement only</text>
  </threadedComment>
  <threadedComment ref="AR84" dT="2024-03-11T13:07:51.75" personId="{C5268FB3-219F-424A-88FA-01E7B2B85297}" id="{2D297F10-648C-4C87-97D4-ACD631A15349}">
    <text xml:space="preserve">Sand and cement only balance figure plus 13k of skim only
</text>
  </threadedComment>
  <threadedComment ref="BB84" dT="2024-03-11T13:10:06.31" personId="{C5268FB3-219F-424A-88FA-01E7B2B85297}" id="{76BBEAD1-2227-4680-99FD-4FBB639BE80E}">
    <text>Skim only balance</text>
  </threadedComment>
  <threadedComment ref="D85" dT="2023-10-26T14:12:19.15" personId="{8649F295-7209-41E4-A7EC-7029668950EC}" id="{714FA23E-DCDE-41BE-A4FD-CBF682EB79A9}">
    <text>Labour + Margin only</text>
  </threadedComment>
  <threadedComment ref="AN85" dT="2024-03-11T13:22:22.95" personId="{C5268FB3-219F-424A-88FA-01E7B2B85297}" id="{8E4EA42A-8FC2-4598-ABF8-7044D942F423}">
    <text>Metal framed only partitions</text>
  </threadedComment>
  <threadedComment ref="C87" dT="2024-06-12T09:44:45.52" personId="{C5268FB3-219F-424A-88FA-01E7B2B85297}" id="{27655D43-B0EF-4517-9765-013AC621CDA2}">
    <text>This is the latest new figure which includes the additions of fireseal, mesh, and additional partition walls.</text>
  </threadedComment>
  <threadedComment ref="E87" dT="2024-07-30T08:41:18.07" personId="{C5268FB3-219F-424A-88FA-01E7B2B85297}" id="{AFE5B89C-2B21-4F6A-BC91-363322B2BBA9}">
    <text>Final account ie 2.5% retention.</text>
  </threadedComment>
  <threadedComment ref="BM87" dT="2024-08-03T19:15:46.07" personId="{C5268FB3-219F-424A-88FA-01E7B2B85297}" id="{40489EA7-6D89-4ECC-8A8B-218989C6DB85}">
    <text>Dave originally had this spread out to Feb income, Ronan feel we are getting things going now so bringing it back in a month.</text>
  </threadedComment>
  <threadedComment ref="AB89" dT="2023-12-23T18:36:07.82" personId="{C5268FB3-219F-424A-88FA-01E7B2B85297}" id="{7CE962A4-B37F-4279-A528-A3482A7EC790}">
    <text>2.2 Jason spoke to Seamus (not Seamus O'Hara) as Becky is on holiday. He said it would be paid end of next week.</text>
  </threadedComment>
  <threadedComment ref="AY90" dT="2024-07-01T13:00:16.17" personId="{C5268FB3-219F-424A-88FA-01E7B2B85297}" id="{AB59A040-03AD-496D-9841-7B2F57080607}">
    <text>Confirmation payment will come on 17th, we needed to send them our insurance certificate.</text>
  </threadedComment>
  <threadedComment ref="C92" dT="2024-01-08T11:17:53.87" personId="{C5268FB3-219F-424A-88FA-01E7B2B85297}" id="{BA28AF3C-1C33-425E-8EAF-51C905EA580C}">
    <text>Gross Value</text>
  </threadedComment>
  <threadedComment ref="AR92" dT="2024-05-08T09:33:41.05" personId="{C5268FB3-219F-424A-88FA-01E7B2B85297}" id="{AC7DB4F4-83FC-4C16-A9D5-296075B1FC73}">
    <text>Valuation submitted</text>
  </threadedComment>
  <threadedComment ref="AW92" dT="2024-06-07T16:45:34.56" personId="{C5268FB3-219F-424A-88FA-01E7B2B85297}" id="{65382E5B-0DB1-4D48-AEB2-B1B847C19A5A}">
    <text xml:space="preserve">This val has been submitted
</text>
  </threadedComment>
  <threadedComment ref="BB92" dT="2024-05-27T14:07:04.36" personId="{C5268FB3-219F-424A-88FA-01E7B2B85297}" id="{D7724E4E-A0DE-4816-B747-BCCE0AAE5B1A}">
    <text>Add variations in this figure</text>
  </threadedComment>
  <threadedComment ref="BO92" dT="2024-08-02T10:48:06.29" personId="{C5268FB3-219F-424A-88FA-01E7B2B85297}" id="{8AD8B020-41A5-4D4F-9C3D-C7AA62E15AED}">
    <text>Final account at 2.5% retention</text>
  </threadedComment>
  <threadedComment ref="G97" dT="2023-09-15T11:46:20.91" personId="{8649F295-7209-41E4-A7EC-7029668950EC}" id="{65905048-8C89-4999-B295-0EE8BE54D034}">
    <text>Paid on 15.09 along with Flamestop aged above</text>
  </threadedComment>
  <threadedComment ref="K98" dT="2023-10-05T12:50:56.64" personId="{8649F295-7209-41E4-A7EC-7029668950EC}" id="{D4DB8655-A32C-4E9E-B326-CBCF36088665}">
    <text>Maria is paying this along with 9163 (gross) from Kilashee.
Received 10 Oct</text>
  </threadedComment>
  <threadedComment ref="F99" dT="2023-09-06T09:36:18.61" personId="{8649F295-7209-41E4-A7EC-7029668950EC}" id="{D29FD4F1-3C7A-4088-A6A2-E1BE1D473FB8}">
    <text>Move to more likely earlier week</text>
  </threadedComment>
  <threadedComment ref="G99" dT="2023-09-08T09:25:49.67" personId="{8649F295-7209-41E4-A7EC-7029668950EC}" id="{6685BF39-E466-4ABD-ACF4-08CD0DCC8690}">
    <text>Residual due from payment made 8th Sept</text>
  </threadedComment>
  <threadedComment ref="D101" dT="2023-10-05T13:18:52.34" personId="{8649F295-7209-41E4-A7EC-7029668950EC}" id="{65188B15-C3A7-440A-B7F5-5A42840E6434}">
    <text>Retention and tax to come out.</text>
  </threadedComment>
  <threadedComment ref="K101" dT="2023-09-14T15:49:01.93" personId="{8649F295-7209-41E4-A7EC-7029668950EC}" id="{A3074D89-5202-44AC-8BBB-8EBFE49A80E3}">
    <text>Agreement to pay 30k gross, ronan met him on site 5/10
Received 10 October</text>
  </threadedComment>
  <threadedComment ref="L102" dT="2023-10-02T09:52:23.91" personId="{8649F295-7209-41E4-A7EC-7029668950EC}" id="{CD005F8C-48B6-4ED0-98E2-E423377BF274}">
    <text xml:space="preserve">Day work </text>
  </threadedComment>
  <threadedComment ref="C103" dT="2023-09-11T15:21:40.50" personId="{8649F295-7209-41E4-A7EC-7029668950EC}" id="{3CA5C15B-22F5-4CA3-A771-392D99C972CA}">
    <text>VAT to be charged?</text>
  </threadedComment>
  <threadedComment ref="N103" dT="2023-10-26T09:21:49.72" personId="{8649F295-7209-41E4-A7EC-7029668950EC}" id="{C11EFA76-7194-4508-B04E-FC6AFCAE38D9}">
    <text>Ivan spoke to Amanda, payment will be made next week into bank.</text>
  </threadedComment>
  <threadedComment ref="J107" dT="2023-10-04T14:40:20.68" personId="{8649F295-7209-41E4-A7EC-7029668950EC}" id="{865CD737-A21E-4B5F-86D4-F1F491AC7E5B}">
    <text>Confirmation received from Ray this will land.</text>
  </threadedComment>
  <threadedComment ref="K108" dT="2023-10-05T12:51:58.52" personId="{8649F295-7209-41E4-A7EC-7029668950EC}" id="{845C518E-F142-4213-A101-B5B855673808}">
    <text>Received into Bank 10 October</text>
  </threadedComment>
  <threadedComment ref="H110" dT="2023-09-06T09:38:45.09" personId="{8649F295-7209-41E4-A7EC-7029668950EC}" id="{D1DA0976-13FD-42EB-AF0A-6B2BC93B7E42}">
    <text>New calculations done, Ivan sent email to Flamestop. This is the current figure.</text>
  </threadedComment>
  <threadedComment ref="L110" dT="2023-09-19T12:07:38.70" personId="{8649F295-7209-41E4-A7EC-7029668950EC}" id="{46BB93E6-7D54-43A4-B77A-A27AB6A4618A}">
    <text>Valuation to be submitted 6/10</text>
  </threadedComment>
  <threadedComment ref="S110" dT="2023-09-19T12:07:56.22" personId="{8649F295-7209-41E4-A7EC-7029668950EC}" id="{8E2F3356-2BE7-4CCC-9DC3-83C7218A251D}">
    <text>Estimated figure based on 40% of remaining value</text>
  </threadedComment>
  <threadedComment ref="N111" dT="2023-10-02T09:42:29.40" personId="{8649F295-7209-41E4-A7EC-7029668950EC}" id="{C9B1336B-1C64-46AB-A36E-284B8CFC0B20}">
    <text>Net of retention</text>
  </threadedComment>
  <threadedComment ref="R111" dT="2023-10-26T09:02:58.72" personId="{8649F295-7209-41E4-A7EC-7029668950EC}" id="{8768FDA9-DEA1-43EC-A6C1-27D9768B59C7}">
    <text xml:space="preserve">Additional gym work, final payment.
</text>
  </threadedComment>
  <threadedComment ref="R111" dT="2023-11-14T13:16:01.95" personId="{7E270AAF-E42D-4758-8B02-E58CC6F56CDA}" id="{91FD0D74-3D4E-4419-93E7-5EF462A371D5}" parentId="{8768FDA9-DEA1-43EC-A6C1-27D9768B59C7}">
    <text>This figure includes final account PC retention</text>
  </threadedComment>
  <threadedComment ref="S111" dT="2023-10-26T09:02:58.72" personId="{8649F295-7209-41E4-A7EC-7029668950EC}" id="{627DDB87-B339-405B-8A51-C1AB20D8A8E9}">
    <text xml:space="preserve">Additional gym work, final payment.
</text>
  </threadedComment>
  <threadedComment ref="S111" dT="2023-11-14T13:16:01.95" personId="{7E270AAF-E42D-4758-8B02-E58CC6F56CDA}" id="{354BADC6-BA42-4DB3-B034-ABDA504E3CA5}" parentId="{627DDB87-B339-405B-8A51-C1AB20D8A8E9}">
    <text>This figure includes final account PC retention</text>
  </threadedComment>
  <threadedComment ref="B119" dT="2023-11-03T12:33:13.07" personId="{8649F295-7209-41E4-A7EC-7029668950EC}" id="{8A353DA9-48E9-43E5-86CB-BB5768B577A1}">
    <text>Vasile, Catalin, Gheorge, Gheorge, Cosmin, Ion, Ilie, Mircea, Adrian, Marian.</text>
  </threadedComment>
  <threadedComment ref="B121" dT="2023-11-03T12:34:26.58" personId="{8649F295-7209-41E4-A7EC-7029668950EC}" id="{D0A0660D-0E9F-47B4-9371-C117449609A8}">
    <text>Edgar, Vasil Bulz, Vasil Ursaciuc, Flavian, Daniel</text>
  </threadedComment>
  <threadedComment ref="W121" dT="2023-10-18T15:08:29.05" personId="{8649F295-7209-41E4-A7EC-7029668950EC}" id="{05F61C0D-EF7B-4BB1-AF02-B3E86DCEFF23}">
    <text>Taken 3k off for xmas holiday</text>
  </threadedComment>
  <threadedComment ref="S122" dT="2023-11-16T16:07:11.12" personId="{8649F295-7209-41E4-A7EC-7029668950EC}" id="{191FFEEA-4911-4932-A762-033D96019C96}">
    <text>Now incl 4 lads from Victor starting 22.11
The figure of 7500 for the 4 lads is gross</text>
  </threadedComment>
  <threadedComment ref="U122" dT="2023-11-16T16:09:08.94" personId="{8649F295-7209-41E4-A7EC-7029668950EC}" id="{689C6CEF-FB6F-40F0-87BB-96B2320D9DB2}">
    <text xml:space="preserve">Allowing for Victor extra 4 lads and reduction as some going home early </text>
  </threadedComment>
  <threadedComment ref="W122" dT="2023-10-18T15:05:04.47" personId="{8649F295-7209-41E4-A7EC-7029668950EC}" id="{0BC58C19-9997-46E0-BF53-A2073FFA846C}">
    <text>Reduced figure to cater for Xmas holiday time off.</text>
  </threadedComment>
  <threadedComment ref="X122" dT="2024-01-03T12:56:01.55" personId="{C5268FB3-219F-424A-88FA-01E7B2B85297}" id="{2513801A-BD67-45BD-938B-E4270F0D35A7}">
    <text xml:space="preserve">3 Days sub contractors
</text>
  </threadedComment>
  <threadedComment ref="AC122" dT="2023-11-16T16:10:24.32" personId="{8649F295-7209-41E4-A7EC-7029668950EC}" id="{2A6079B5-2353-4D60-B338-EC56004310FB}">
    <text>Estimated labour cost</text>
  </threadedComment>
  <threadedComment ref="AC122" dT="2023-12-07T12:31:52.11" personId="{C5268FB3-219F-424A-88FA-01E7B2B85297}" id="{CADDBDA1-32C9-4C31-8F3C-F0E3CF6C2FDC}" parentId="{2A6079B5-2353-4D60-B338-EC56004310FB}">
    <text>Reducing Labour as Beech road will not start in Feb</text>
  </threadedComment>
  <threadedComment ref="AF122" dT="2023-10-18T14:58:44.88" personId="{8649F295-7209-41E4-A7EC-7029668950EC}" id="{8334FC1B-21B1-4B28-814C-48EF5DA32B12}">
    <text>Reduction in staff needed from March onwards based on Beach road coming in and no other jobs included yet.</text>
  </threadedComment>
  <threadedComment ref="AF122" dT="2023-12-07T12:46:19.29" personId="{C5268FB3-219F-424A-88FA-01E7B2B85297}" id="{093C7537-5FB0-435B-9017-030ADA16AD06}" parentId="{8334FC1B-21B1-4B28-814C-48EF5DA32B12}">
    <text>Reduction in Emannuael's team as we will start slow in Beach Rd.</text>
  </threadedComment>
  <threadedComment ref="BR122" dT="2024-08-15T13:41:33.50" personId="{C5268FB3-219F-424A-88FA-01E7B2B85297}" id="{AB631083-4B3D-41D7-AF38-29B37E20E180}">
    <text>Emanuel and Mihai remain on site with less men</text>
  </threadedComment>
  <threadedComment ref="AX123" dT="2024-07-10T13:25:17.13" personId="{C5268FB3-219F-424A-88FA-01E7B2B85297}" id="{26A0254B-8C3F-4C03-AE12-0628C265D4E4}">
    <text>This is gross figure, net will be advised tomorrow.</text>
  </threadedComment>
  <threadedComment ref="BP123" dT="2024-10-04T13:11:58.74" personId="{C5268FB3-219F-424A-88FA-01E7B2B85297}" id="{58D98032-5166-43AF-835C-DE865E0DAD97}">
    <text>Victor in Moxy</text>
  </threadedComment>
  <threadedComment ref="BS124" dT="2024-10-08T14:38:41.00" personId="{C5268FB3-219F-424A-88FA-01E7B2B85297}" id="{FD2BC2E4-DFB7-4A42-840F-2B69065334FD}">
    <text xml:space="preserve">5 men as per Job calc, paid every two weeks.
</text>
  </threadedComment>
  <threadedComment ref="BV125" dT="2024-08-15T13:44:00.92" personId="{C5268FB3-219F-424A-88FA-01E7B2B85297}" id="{68572440-CDE8-4340-93BC-34FEE9D88124}">
    <text>Ronan checking full value of Demitru plastering. Total is €204500</text>
  </threadedComment>
  <threadedComment ref="T132" dT="2023-11-08T12:53:07.37" personId="{8649F295-7209-41E4-A7EC-7029668950EC}" id="{1A117732-13A5-455F-AAB5-94088F1C5AB3}">
    <text>This is the gross pay so it accounts for the tax owed (as we have moved to zero)</text>
  </threadedComment>
  <threadedComment ref="W132" dT="2023-12-23T18:35:32.22" personId="{C5268FB3-219F-424A-88FA-01E7B2B85297}" id="{E2F9D062-4B26-4374-B1B7-742DAE1491D1}">
    <text>Originally we were anticipating paying out Early jan, but delayed start.</text>
  </threadedComment>
  <threadedComment ref="AE132" dT="2024-01-23T14:34:10.54" personId="{C5268FB3-219F-424A-88FA-01E7B2B85297}" id="{A463F9E5-095E-414E-BE25-FA182EC9EE82}">
    <text>Based on 900sqm done at 11 per  m.</text>
  </threadedComment>
  <threadedComment ref="D133" dT="2024-01-15T12:59:17.60" personId="{C5268FB3-219F-424A-88FA-01E7B2B85297}" id="{96FAF2CB-F0DB-4F77-80C7-0AE21FD2A9F8}">
    <text>7000 m @ 6.5</text>
  </threadedComment>
  <threadedComment ref="U138" dT="2023-12-15T13:05:57.85" personId="{C5268FB3-219F-424A-88FA-01E7B2B85297}" id="{D0CC56DC-F4A3-48EE-BD90-9B6AC27E0479}">
    <text>Tax due to be paid, RCT Euro24707, P30 Euro19343 = total 44050.  Credit with Revenue Euro10795</text>
  </threadedComment>
  <threadedComment ref="V138" dT="2023-12-31T18:11:27.32" personId="{C5268FB3-219F-424A-88FA-01E7B2B85297}" id="{67DC8D49-525C-445E-9170-7ADEA45B5D30}">
    <text>Is there more to come? I was forecasting 34k to come out for Revenue.</text>
  </threadedComment>
  <threadedComment ref="AE138" dT="2023-12-07T12:32:10.44" personId="{C5268FB3-219F-424A-88FA-01E7B2B85297}" id="{EC91E6A9-021A-4D52-8F43-90213FDE049C}">
    <text>Reducing tax bill in line with labour reduction.</text>
  </threadedComment>
  <threadedComment ref="BA138" dT="2024-07-10T10:42:39.80" personId="{C5268FB3-219F-424A-88FA-01E7B2B85297}" id="{7A28E15C-7811-4B81-AF41-A6FC42227344}">
    <text>Exact amount from ROS</text>
  </threadedComment>
  <threadedComment ref="Y139" dT="2024-01-08T11:39:12.29" personId="{C5268FB3-219F-424A-88FA-01E7B2B85297}" id="{8D7B25F2-716F-4DA1-83EF-D8E2E4422328}">
    <text>2419EURO has been demanded from Revenue, HAS BEEN OFFSET AGAINST THE vat REFUND FIGURE ABOVE</text>
  </threadedComment>
  <threadedComment ref="BA139" dT="2024-07-10T10:42:53.25" personId="{C5268FB3-219F-424A-88FA-01E7B2B85297}" id="{6EA3A42C-1820-4CDD-B6DE-C2D101D5CE9D}">
    <text>Exact amount from ROS</text>
  </threadedComment>
  <threadedComment ref="J141" dT="2023-12-26T16:28:18.95" personId="{C5268FB3-219F-424A-88FA-01E7B2B85297}" id="{7D4CD877-897A-4845-A21D-691179E2B789}">
    <text>Incl VAT</text>
  </threadedComment>
  <threadedComment ref="V141" dT="2023-12-26T16:27:34.36" personId="{C5268FB3-219F-424A-88FA-01E7B2B85297}" id="{4EC312A4-55C0-4676-93B9-B6653B9A460F}">
    <text>Bringing forward a payment to December</text>
  </threadedComment>
  <threadedComment ref="AB144" dT="2023-11-06T17:33:45.41" personId="{8649F295-7209-41E4-A7EC-7029668950EC}" id="{AFDC189F-072B-402A-9A95-93F476AD53E2}">
    <text xml:space="preserve">Increase for new fleet, incl Jason maybe.
</text>
  </threadedComment>
  <threadedComment ref="I145" dT="2023-09-25T13:23:48.57" personId="{8649F295-7209-41E4-A7EC-7029668950EC}" id="{8286BBEA-1AD4-43B6-A5A2-34DA9714A51A}">
    <text>470.23 fuel plus 200 easy trip</text>
  </threadedComment>
  <threadedComment ref="AO146" dT="2024-05-08T07:05:33.14" personId="{C5268FB3-219F-424A-88FA-01E7B2B85297}" id="{E1027F7B-89B7-4837-BF54-E4D6CA763984}">
    <text>8th May</text>
  </threadedComment>
  <threadedComment ref="AE148" dT="2024-02-27T12:54:52.34" personId="{C5268FB3-219F-424A-88FA-01E7B2B85297}" id="{1EFD9D0B-4BB4-46C9-9761-52AB60D9EA2E}">
    <text xml:space="preserve">Jan and Feb amount owed to Liam going from 513pm to 600pm for his fees.
</text>
  </threadedComment>
  <threadedComment ref="AL150" dT="2024-04-07T14:55:47.97" personId="{C5268FB3-219F-424A-88FA-01E7B2B85297}" id="{A98B79B6-F348-4E70-9DB9-5CDDCC9AE3C5}">
    <text>No payment in March?</text>
  </threadedComment>
  <threadedComment ref="Y151" dT="2024-01-08T11:34:02.35" personId="{C5268FB3-219F-424A-88FA-01E7B2B85297}" id="{1C7BD21C-877F-4071-A7AB-94D19D6AF50F}">
    <text>Moved from second week Jan</text>
  </threadedComment>
  <threadedComment ref="AJ151" dT="2024-04-06T12:29:50.38" personId="{C5268FB3-219F-424A-88FA-01E7B2B85297}" id="{33B32267-5BDF-4C4E-BB74-9C6834B51E34}">
    <text>Brought forward by two weeks and paid.</text>
  </threadedComment>
  <threadedComment ref="AT151" dT="2024-06-14T09:40:47.13" personId="{C5268FB3-219F-424A-88FA-01E7B2B85297}" id="{70706380-2B56-471D-A31E-E8BC1A89E9FA}">
    <text>This is March and April figures due.</text>
  </threadedComment>
  <threadedComment ref="AY151" dT="2024-06-14T09:41:14.41" personId="{C5268FB3-219F-424A-88FA-01E7B2B85297}" id="{C2DA4EB9-519A-42DA-9EBC-C5DCACB76A4C}">
    <text>Holding number for May figure due 23rd June.</text>
  </threadedComment>
  <threadedComment ref="BL151" dT="2024-09-09T13:07:22.37" personId="{C5268FB3-219F-424A-88FA-01E7B2B85297}" id="{4EF947C5-8E0B-4F6A-A351-104DA699A29F}">
    <text>Weeks 27 to 30 inclusive.</text>
  </threadedComment>
  <threadedComment ref="BT151" dT="2024-11-05T12:26:45.42" personId="{C5268FB3-219F-424A-88FA-01E7B2B85297}" id="{4F4A1F42-97D6-42AD-B7B7-073CEE043BBB}">
    <text>Weeks 31 to 35 inclusive</text>
  </threadedComment>
  <threadedComment ref="BV151" dT="2024-11-05T12:27:37.50" personId="{C5268FB3-219F-424A-88FA-01E7B2B85297}" id="{B96EB76C-09CD-454C-A69E-46454B7BFA67}">
    <text>Week 36 to 39 inclusive</text>
  </threadedComment>
  <threadedComment ref="C152" dT="2023-10-02T12:01:10.05" personId="{8649F295-7209-41E4-A7EC-7029668950EC}" id="{A326A2A1-C6DB-4230-BF90-1DE88BC677CF}">
    <text>May statement of €8659 plus June, July, August added</text>
  </threadedComment>
  <threadedComment ref="J152" dT="2023-10-02T12:03:06.58" personId="{8649F295-7209-41E4-A7EC-7029668950EC}" id="{400FB500-8F31-40A4-B877-91EF1CDB8AD7}">
    <text>September payment</text>
  </threadedComment>
  <threadedComment ref="Y152" dT="2024-01-08T11:33:45.14" personId="{C5268FB3-219F-424A-88FA-01E7B2B85297}" id="{E1105D3E-003A-45BA-855A-A74481CBAA5B}">
    <text xml:space="preserve">Moved from first week January </text>
  </threadedComment>
  <threadedComment ref="N153" dT="2023-11-03T12:23:27.30" personId="{8649F295-7209-41E4-A7EC-7029668950EC}" id="{988686B9-8475-44A9-8247-B500A17D0BD3}">
    <text xml:space="preserve">Move to next week.
</text>
  </threadedComment>
  <threadedComment ref="K155" dT="2023-10-13T21:52:26.42" personId="{8649F295-7209-41E4-A7EC-7029668950EC}" id="{51350B0D-B130-486F-8687-1D0DE458F867}">
    <text>Check to make sure this is a credit card payment</text>
  </threadedComment>
  <threadedComment ref="BB155" dT="2024-08-08T08:01:32.68" personId="{C5268FB3-219F-424A-88FA-01E7B2B85297}" id="{1F22B76C-8091-49EF-ADF8-BFCC22E56FFF}">
    <text>Interim payment of 1,000 was made but then the full DD also came out.</text>
  </threadedComment>
  <threadedComment ref="T156" dT="2023-11-06T17:31:49.24" personId="{8649F295-7209-41E4-A7EC-7029668950EC}" id="{3EB7B189-0048-4BC9-BCA7-C1B8F845DF72}">
    <text>Quarterly overdraft interest (estimated)</text>
  </threadedComment>
  <threadedComment ref="X162" dT="2024-01-10T13:56:27.00" personId="{C5268FB3-219F-424A-88FA-01E7B2B85297}" id="{D1E0FB6D-E0BC-4B48-84B8-3A7AE2CC95A0}">
    <text xml:space="preserve">Darcy McGees
</text>
  </threadedComment>
  <threadedComment ref="Z162" dT="2024-01-23T13:37:56.20" personId="{C5268FB3-219F-424A-88FA-01E7B2B85297}" id="{4E69939D-D470-4C4D-91DB-BE4E57684AB8}">
    <text>Keoghs Café, Halfords</text>
  </threadedComment>
  <threadedComment ref="AA162" dT="2024-02-02T12:25:45.31" personId="{C5268FB3-219F-424A-88FA-01E7B2B85297}" id="{82294C2D-3324-4194-AB63-8B1085272399}">
    <text>Halfords,</text>
  </threadedComment>
  <threadedComment ref="AD162" dT="2024-02-23T13:24:49.22" personId="{C5268FB3-219F-424A-88FA-01E7B2B85297}" id="{24457720-FDED-40BC-A97D-D5CAD8E3BF44}">
    <text>Keoghs</text>
  </threadedComment>
  <threadedComment ref="AE162" dT="2024-02-29T13:19:21.84" personId="{C5268FB3-219F-424A-88FA-01E7B2B85297}" id="{38FEDF01-08FC-4946-981C-B59637049FDF}">
    <text xml:space="preserve">Keogh's
</text>
  </threadedComment>
  <threadedComment ref="AH162" dT="2024-03-20T16:47:56.38" personId="{C5268FB3-219F-424A-88FA-01E7B2B85297}" id="{461FF06E-2121-4F1F-BAEF-643F1E05D054}">
    <text xml:space="preserve">CEX phone for Dave, Supervalu, </text>
  </threadedComment>
  <threadedComment ref="AI162" dT="2024-04-02T09:30:48.67" personId="{C5268FB3-219F-424A-88FA-01E7B2B85297}" id="{FFAE81C2-F2BC-4F27-BB46-65C5669077B6}">
    <text>Darcy McGees</text>
  </threadedComment>
  <threadedComment ref="AJ162" dT="2024-04-02T09:58:56.09" personId="{C5268FB3-219F-424A-88FA-01E7B2B85297}" id="{177FB2F5-9FB9-4A8D-A746-3A91ADD14CA9}">
    <text>Eurolink, Westward, Home Store, B&amp;"</text>
  </threadedComment>
  <threadedComment ref="AL162" dT="2024-04-20T11:22:49.76" personId="{C5268FB3-219F-424A-88FA-01E7B2B85297}" id="{BDB88A77-78C4-4880-94C1-BCEF76B5E24B}">
    <text>Woodies</text>
  </threadedComment>
  <threadedComment ref="AM162" dT="2024-04-30T14:31:45.15" personId="{C5268FB3-219F-424A-88FA-01E7B2B85297}" id="{7E60F655-F28F-498C-9B42-524E00A2BBFB}">
    <text>Ivan Rome</text>
  </threadedComment>
  <threadedComment ref="AN162" dT="2024-05-01T13:15:14.58" personId="{C5268FB3-219F-424A-88FA-01E7B2B85297}" id="{3381229C-02D1-4E92-9539-38FC1ED62953}">
    <text xml:space="preserve">250 Ivan repaid withdrawal
101.34 paid to Dave for Punchestown
</text>
  </threadedComment>
  <threadedComment ref="AR162" dT="2024-06-04T08:00:21.11" personId="{C5268FB3-219F-424A-88FA-01E7B2B85297}" id="{7598FE95-47AA-4C6A-8695-74704A79E65D}">
    <text>Revolut charge</text>
  </threadedComment>
  <threadedComment ref="AV162" dT="2024-06-28T10:19:15.61" personId="{C5268FB3-219F-424A-88FA-01E7B2B85297}" id="{B7FD4887-90ED-42CA-8554-9C15884DDFFF}">
    <text>Ballinteer House</text>
  </threadedComment>
  <threadedComment ref="AZ162" dT="2024-07-19T14:14:54.23" personId="{C5268FB3-219F-424A-88FA-01E7B2B85297}" id="{F1750365-9FE0-4F14-911D-6B32C51E04AF}">
    <text>An Post</text>
  </threadedComment>
  <threadedComment ref="BL162" dT="2024-10-07T11:40:48.80" personId="{C5268FB3-219F-424A-88FA-01E7B2B85297}" id="{9B857B88-75BF-4AE4-A1D6-EAAA03E9182D}">
    <text>O’Connor roofing</text>
  </threadedComment>
  <threadedComment ref="Q163" dT="2023-11-20T11:25:00.85" personId="{8649F295-7209-41E4-A7EC-7029668950EC}" id="{2E32C8B0-2E86-47BB-9328-B3931E6FD296}">
    <text>Invoice dated 26.10 IFIT01</text>
  </threadedComment>
  <threadedComment ref="BL163" dT="2024-09-02T11:29:36.71" personId="{C5268FB3-219F-424A-88FA-01E7B2B85297}" id="{72067B71-49BC-4028-A5B6-C7C8F6123B4A}">
    <text>Invoice ref CAC02470 and CAC02435</text>
  </threadedComment>
  <threadedComment ref="BN163" dT="2024-09-02T11:30:24.62" personId="{C5268FB3-219F-424A-88FA-01E7B2B85297}" id="{FEAE08F2-4289-49EB-917E-88C2227C21AB}">
    <text>Ref CAC02477</text>
  </threadedComment>
  <threadedComment ref="BR163" dT="2024-10-07T11:43:22.30" personId="{C5268FB3-219F-424A-88FA-01E7B2B85297}" id="{E07AFEF5-9A98-49B7-80EB-36A8FC42A134}">
    <text>Invoice ref CAC02470 and CAC02435, CAC02477</text>
  </threadedComment>
  <threadedComment ref="BW163" dT="2024-10-07T11:43:22.30" personId="{C5268FB3-219F-424A-88FA-01E7B2B85297}" id="{1BE5952A-2F53-41C3-B178-26E43D57D1E6}">
    <text>Invoice ref CAC02470 and CAC02435, CAC02477</text>
  </threadedComment>
  <threadedComment ref="P165" dT="2023-11-20T11:43:11.42" personId="{8649F295-7209-41E4-A7EC-7029668950EC}" id="{FF823E79-0BC5-4AAF-838B-2C490E429B35}">
    <text>Cost of tape and bank fee</text>
  </threadedComment>
  <threadedComment ref="BT166" dT="2024-11-08T09:12:04.01" personId="{C5268FB3-219F-424A-88FA-01E7B2B85297}" id="{BE7E5199-B7BC-4187-B457-ECF14BCC7B5C}">
    <text>Week 36 to 44</text>
  </threadedComment>
  <threadedComment ref="BA172" dT="2024-07-10T11:34:00.16" personId="{C5268FB3-219F-424A-88FA-01E7B2B85297}" id="{47E97047-C953-40DD-8434-85896F0039AF}">
    <text>Invoice no 2024 1096</text>
  </threadedComment>
  <threadedComment ref="BA183" dT="2024-07-29T11:13:07.25" personId="{C5268FB3-219F-424A-88FA-01E7B2B85297}" id="{9B7E8F75-A4F2-41F1-BAA0-B88731A5A1E7}">
    <text>To Pay Chadwicks on account Atradius and wages</text>
  </threadedComment>
  <threadedComment ref="AR189" dT="2024-05-31T16:10:04.01" personId="{C5268FB3-219F-424A-88FA-01E7B2B85297}" id="{24BEE62C-DA7E-43D1-BFF7-210D04686A8C}">
    <text>25k payment moved to December</text>
  </threadedComment>
  <threadedComment ref="AV189" dT="2024-05-31T16:10:17.23" personId="{C5268FB3-219F-424A-88FA-01E7B2B85297}" id="{7642F35D-186E-4E02-BA79-E95A97C6677C}">
    <text>120k payment moved to December</text>
  </threadedComment>
  <threadedComment ref="BB189" dT="2024-08-08T08:00:29.40" personId="{C5268FB3-219F-424A-88FA-01E7B2B85297}" id="{0ACD79C5-741D-430B-BC02-A162540E48B6}">
    <text xml:space="preserve">Paid 8.8.24 </text>
  </threadedComment>
  <threadedComment ref="AS190" dT="2024-06-05T18:35:29.11" personId="{C5268FB3-219F-424A-88FA-01E7B2B85297}" id="{F4531B25-E7A4-4A09-A35A-ED14C127CB3F}">
    <text xml:space="preserve">Last of Mayweather investment </text>
  </threadedComment>
  <threadedComment ref="G192" dT="2023-09-11T15:27:45.89" personId="{8649F295-7209-41E4-A7EC-7029668950EC}" id="{B3F11552-D680-4DE3-A32A-86D7DBB2ABFA}">
    <text>Make early payment to release</text>
  </threadedComment>
  <threadedComment ref="R192" dT="2023-11-27T11:32:34.70" personId="{8649F295-7209-41E4-A7EC-7029668950EC}" id="{7F39BCC3-8198-4D21-879A-85719CD868C5}">
    <text>Payment made 27.11</text>
  </threadedComment>
  <threadedComment ref="AX192" dT="2024-04-15T10:02:53.33" personId="{C5268FB3-219F-424A-88FA-01E7B2B85297}" id="{0FA8EB69-AF5B-4211-A3B0-464B548BBA82}">
    <text xml:space="preserve">Estimate in addition to Beach Rd
</text>
  </threadedComment>
  <threadedComment ref="BA192" dT="2024-04-15T10:02:53.33" personId="{C5268FB3-219F-424A-88FA-01E7B2B85297}" id="{E28F3498-EEC5-4BD8-9C19-EB290EA62192}">
    <text xml:space="preserve">
20k paid on account 24.7</text>
  </threadedComment>
  <threadedComment ref="BE192" dT="2024-08-19T12:39:56.63" personId="{C5268FB3-219F-424A-88FA-01E7B2B85297}" id="{12A8B8A8-DA4E-4394-9864-1547E1E0C382}">
    <text>Interim pmnt made to allow Ronan order exterior render</text>
  </threadedComment>
  <threadedComment ref="BH192" dT="2024-04-15T10:02:53.33" personId="{C5268FB3-219F-424A-88FA-01E7B2B85297}" id="{FDBFF0A2-E6AA-4216-AAC1-EE632444F2F3}">
    <text>Actual balance owing</text>
  </threadedComment>
  <threadedComment ref="BO192" dT="2024-04-15T10:02:53.33" personId="{C5268FB3-219F-424A-88FA-01E7B2B85297}" id="{04D3A465-B31C-41F5-B5D1-C86327DB4628}">
    <text xml:space="preserve">Estimate in addition to Beach Rd
</text>
  </threadedComment>
  <threadedComment ref="M193" dT="2023-09-22T11:19:45.33" personId="{8649F295-7209-41E4-A7EC-7029668950EC}" id="{4215E7F0-2876-428E-9435-4B8CF7602E36}">
    <text xml:space="preserve">SIG bal as at 22.09 plus materials for Rhenus. Total was 44k, paid 30k early 17.10  </text>
  </threadedComment>
  <threadedComment ref="Q193" dT="2023-11-24T08:52:47.32" personId="{8649F295-7209-41E4-A7EC-7029668950EC}" id="{92DDC508-5631-4F6D-B591-523616723AB6}">
    <text>Amounts paid</text>
  </threadedComment>
  <threadedComment ref="S193" dT="2023-09-29T13:31:54.50" personId="{8649F295-7209-41E4-A7EC-7029668950EC}" id="{F0DE6AD8-26CE-49D3-AA1E-7D0548D5246F}">
    <text>This assumes we will use all our credit line with SIG.
5k paid early 9th Nov and 5k paid early on 15th Nov and 20th Nov, to allow us more credit.</text>
  </threadedComment>
  <threadedComment ref="W193" dT="2023-10-27T12:38:53.31" personId="{8649F295-7209-41E4-A7EC-7029668950EC}" id="{A96F5320-F40A-49AF-9A88-38284D0556E8}">
    <text xml:space="preserve">Estimated balance
</text>
  </threadedComment>
  <threadedComment ref="AO193" dT="2024-03-21T19:42:43.04" personId="{C5268FB3-219F-424A-88FA-01E7B2B85297}" id="{323F884A-66F5-4F65-9CE1-FBA563B75E4D}">
    <text>Figure up to 15th March, therefore more orders will be placed by end of March.</text>
  </threadedComment>
  <threadedComment ref="AW193" dT="2024-07-07T09:01:22.08" personId="{C5268FB3-219F-424A-88FA-01E7B2B85297}" id="{193A28CC-C022-4CEF-92B4-253C8B153D48}">
    <text>Overpaid by 10k as we made an early payment also.</text>
  </threadedComment>
  <threadedComment ref="BB193" dT="2024-06-06T16:00:17.26" personId="{C5268FB3-219F-424A-88FA-01E7B2B85297}" id="{69EE2492-4147-4FFD-9FB1-DE1B87A43305}">
    <text>€70,013 is amount owing for end of July (first week Auguse) however I overpaid in July by 10k, I made an early payment of 10k but didn’t take this into account when paying €36935 on 7 July.</text>
  </threadedComment>
  <threadedComment ref="BH193" dT="2024-07-07T08:50:58.53" personId="{C5268FB3-219F-424A-88FA-01E7B2B85297}" id="{3CECA425-51AC-4773-8EBB-E27E0043A8AF}">
    <text>All June orders as per statement from Deirdre.</text>
  </threadedComment>
  <threadedComment ref="N194" dT="2023-11-03T12:25:31.31" personId="{8649F295-7209-41E4-A7EC-7029668950EC}" id="{DC0DB3A0-23FD-475E-AC07-08BE3ED3AE53}">
    <text>Payment made for cash delivery</text>
  </threadedComment>
  <threadedComment ref="Q194" dT="2023-11-22T14:52:41.20" personId="{8649F295-7209-41E4-A7EC-7029668950EC}" id="{640ADE95-5CDE-4E9C-A972-C0D1A97A582C}">
    <text>Pyment on account</text>
  </threadedComment>
  <threadedComment ref="V194" dT="2023-10-25T11:33:06.83" personId="{8649F295-7209-41E4-A7EC-7029668950EC}" id="{2C2817E1-03A1-4F4F-BBBF-99B3F82BEE3F}">
    <text>Two orders placed for Belmayne and Rhenus</text>
  </threadedComment>
  <threadedComment ref="AH194" dT="2024-03-08T17:04:11.90" personId="{C5268FB3-219F-424A-88FA-01E7B2B85297}" id="{7F18E170-242E-4CA1-9D5A-2F6B6144C2D6}">
    <text>Refund</text>
  </threadedComment>
  <threadedComment ref="AJ194" dT="2024-02-12T16:09:03.18" personId="{C5268FB3-219F-424A-88FA-01E7B2B85297}" id="{74898A98-FBEE-4D4E-AEF5-D0C9A546A112}">
    <text xml:space="preserve">Holding figure
</text>
  </threadedComment>
  <threadedComment ref="BC194" dT="2024-08-07T17:01:05.14" personId="{C5268FB3-219F-424A-88FA-01E7B2B85297}" id="{4CFAA8FA-B94B-4802-9BF2-B86507842283}">
    <text>Interim payment as hitting limit</text>
  </threadedComment>
  <threadedComment ref="BF194" dT="2024-08-07T17:01:05.14" personId="{C5268FB3-219F-424A-88FA-01E7B2B85297}" id="{BEDCFC34-B098-46C8-9B38-EAC2793187B1}">
    <text>Interim payment as hitting limit</text>
  </threadedComment>
  <threadedComment ref="BH194" dT="2024-07-29T11:33:12.00" personId="{C5268FB3-219F-424A-88FA-01E7B2B85297}" id="{6C2ACD81-A196-4ADC-886B-5FCA04FE90A7}">
    <text xml:space="preserve">Actual July orders minus interim payment of 10000
.
</text>
  </threadedComment>
  <threadedComment ref="AJ195" dT="2024-03-21T19:46:23.70" personId="{C5268FB3-219F-424A-88FA-01E7B2B85297}" id="{6A50B4D4-3343-4DBA-9DFD-18B5D23A50F4}">
    <text>As per statement received 20.3</text>
  </threadedComment>
  <threadedComment ref="AQ195" dT="2024-03-21T19:49:19.47" personId="{C5268FB3-219F-424A-88FA-01E7B2B85297}" id="{ACDC9541-7DA7-4AB0-BF24-7B875D6696BA}">
    <text>As per statement received 20.03, most likely more orders will go on by end March for April payment.</text>
  </threadedComment>
  <threadedComment ref="AV195" dT="2024-05-03T04:46:23.04" personId="{C5268FB3-219F-424A-88FA-01E7B2B85297}" id="{6FA86A87-A6DA-46FD-B33C-C07099551375}">
    <text xml:space="preserve">Refer to email received from Jeanette on 1 May </text>
  </threadedComment>
  <threadedComment ref="AY195" dT="2024-05-26T10:46:24.18" personId="{C5268FB3-219F-424A-88FA-01E7B2B85297}" id="{50204DB5-4E58-46F3-8DC1-7F1BB332D8AF}">
    <text xml:space="preserve">Statement figure for May purchases
</text>
  </threadedComment>
  <threadedComment ref="BB195" dT="2024-07-12T10:46:48.60" personId="{C5268FB3-219F-424A-88FA-01E7B2B85297}" id="{214CBCC8-0A40-428C-848E-B49A28DF41FD}">
    <text>June purchases, figure from statement</text>
  </threadedComment>
  <threadedComment ref="J196" dT="2023-09-26T11:53:43.95" personId="{8649F295-7209-41E4-A7EC-7029668950EC}" id="{FB240670-80FD-48A1-A70E-745CE3793850}">
    <text>This figure along with Week 5 and Nov and Dec payments clear the account balance as at 25/9 of €22967</text>
  </threadedComment>
  <threadedComment ref="R196" dT="2023-11-27T11:26:41.27" personId="{8649F295-7209-41E4-A7EC-7029668950EC}" id="{62C16E6E-7891-4DD6-8DBC-B393BD15B8AA}">
    <text>Paid 27.11</text>
  </threadedComment>
  <threadedComment ref="BH196" dT="2024-07-29T10:52:27.07" personId="{C5268FB3-219F-424A-88FA-01E7B2B85297}" id="{50931BEB-58E6-416D-9CC1-8457C3D0F8E2}">
    <text>Up to 26.7</text>
  </threadedComment>
  <threadedComment ref="BA197" dT="2024-06-21T14:40:46.72" personId="{C5268FB3-219F-424A-88FA-01E7B2B85297}" id="{A4581195-6660-4F32-979D-69B579F2E0BF}">
    <text>New trading agreement, orders placed in June</text>
  </threadedComment>
  <threadedComment ref="BH197" dT="2024-07-12T10:57:42.13" personId="{C5268FB3-219F-424A-88FA-01E7B2B85297}" id="{337DF17B-8A22-4051-AA57-882D8290D0AE}">
    <text>Holding number</text>
  </threadedComment>
  <threadedComment ref="BC198" dT="2024-08-03T19:07:31.54" personId="{C5268FB3-219F-424A-88FA-01E7B2B85297}" id="{6E45F2A6-6D9F-4836-A101-978C413B8CDC}">
    <text>Check with Ivan and see if we can get credit.</text>
  </threadedComment>
  <threadedComment ref="BG198" dT="2024-08-15T13:12:58.85" personId="{C5268FB3-219F-424A-88FA-01E7B2B85297}" id="{D50FBBA6-AE7D-4737-83B8-A008985D9EA3}">
    <text xml:space="preserve">Eurospec 1 of the 8 balcony elevations materials
</text>
  </threadedComment>
  <threadedComment ref="BO198" dT="2024-08-15T13:17:08.27" personId="{C5268FB3-219F-424A-88FA-01E7B2B85297}" id="{E693C33D-A3EE-4CBE-972E-345B77C864EF}">
    <text>Remaining 3 elevations = Eurospec materials</text>
  </threadedComment>
  <threadedComment ref="BZ198" dT="2024-10-07T13:05:00.84" personId="{C5268FB3-219F-424A-88FA-01E7B2B85297}" id="{6BA59DAF-4FB9-455F-BE9F-EA3C2E2F7A5B}">
    <text>All orders in October 30 days credit</text>
  </threadedComment>
  <threadedComment ref="BO200" dT="2024-07-10T14:07:58.30" personId="{C5268FB3-219F-424A-88FA-01E7B2B85297}" id="{2D5292D9-91E8-41A2-BDD8-B1378B371426}">
    <text>Beach road materials. Invoice 0064712</text>
  </threadedComment>
  <threadedComment ref="R201" dT="2023-11-27T11:26:27.29" personId="{8649F295-7209-41E4-A7EC-7029668950EC}" id="{32D830D8-1984-4341-9600-BE87382376BE}">
    <text>Paid 27.11</text>
  </threadedComment>
  <threadedComment ref="N202" dT="2023-09-04T10:25:00.60" personId="{8649F295-7209-41E4-A7EC-7029668950EC}" id="{1CE759E3-0DF1-4879-9F7C-3C3D67A6576B}">
    <text xml:space="preserve">Proposal to be sent
</text>
  </threadedComment>
  <threadedComment ref="R202" dT="2023-11-27T14:45:44.72" personId="{8649F295-7209-41E4-A7EC-7029668950EC}" id="{1E692C19-44FD-4EBA-BB73-BB1CAF4FF195}">
    <text>Paid 27.11</text>
  </threadedComment>
  <threadedComment ref="I205" dT="2023-09-19T13:50:58.67" personId="{8649F295-7209-41E4-A7EC-7029668950EC}" id="{E3825CF5-9ABA-4BED-BC23-547E1476961A}">
    <text>May and July owing. Agreed with Anne to pay half in Sept, and half in October.</text>
  </threadedComment>
  <threadedComment ref="M205" dT="2023-09-19T13:50:58.67" personId="{8649F295-7209-41E4-A7EC-7029668950EC}" id="{C6267EEB-FFFE-4A8C-851B-75095225DE98}">
    <text>May and July owing. Agreed with Anne to pay half in Sept, and half in October.</text>
  </threadedComment>
  <threadedComment ref="BH206" dT="2024-08-02T14:58:52.83" personId="{C5268FB3-219F-424A-88FA-01E7B2B85297}" id="{567D54C9-7409-4D3F-A81F-2A0CBFAA78C1}">
    <text>Statement recd from Fiona on 1.8.24</text>
  </threadedComment>
  <threadedComment ref="AB209" dT="2024-02-02T19:22:45.85" personId="{C5268FB3-219F-424A-88FA-01E7B2B85297}" id="{5E61E2DB-E54B-489B-BB4E-6821863C4EF4}">
    <text>Order now</text>
  </threadedComment>
  <threadedComment ref="AZ209" dT="2024-02-03T15:40:20.42" personId="{C5268FB3-219F-424A-88FA-01E7B2B85297}" id="{839E282C-F07F-4990-A856-435FACBCB304}">
    <text>Balance due 30 days terms - £25422</text>
  </threadedComment>
  <threadedComment ref="AJ211" dT="2024-01-09T14:33:28.96" personId="{C5268FB3-219F-424A-88FA-01E7B2B85297}" id="{062AEB1F-4A43-45AB-8D7F-A9585B972476}">
    <text>Payment due now</text>
  </threadedComment>
  <threadedComment ref="G220" dT="2023-09-18T10:52:31.53" personId="{8649F295-7209-41E4-A7EC-7029668950EC}" id="{EA7D0B83-7127-4E42-98B1-10A93E73C993}">
    <text xml:space="preserve">Actual bal start of week 3
</text>
  </threadedComment>
  <threadedComment ref="I220" dT="2023-10-02T09:40:25.25" personId="{8649F295-7209-41E4-A7EC-7029668950EC}" id="{1383809D-9333-47E1-B380-873EDD8D8AF2}">
    <text>Actual bank balance coming into week 5</text>
  </threadedComment>
  <threadedComment ref="J220" dT="2023-10-09T11:45:56.60" personId="{8649F295-7209-41E4-A7EC-7029668950EC}" id="{8A9359BC-746F-4449-92F9-74A31A4696F3}">
    <text>Actual balance @ 6th October COB</text>
  </threadedComment>
  <threadedComment ref="K220" dT="2023-10-16T15:49:21.62" personId="{8649F295-7209-41E4-A7EC-7029668950EC}" id="{AF38CFE2-41DD-4490-8731-21E19FEFE303}">
    <text xml:space="preserve">Spreadsheet balance matches actual bal from Bank coming into 16.10
</text>
  </threadedComment>
  <threadedComment ref="L220" dT="2023-10-23T16:59:43.04" personId="{8649F295-7209-41E4-A7EC-7029668950EC}" id="{86209F64-B448-4EA3-B3D9-9CABE65BAC33}">
    <text>Spreadsheet balance and bank balance match coming into week 23.10</text>
  </threadedComment>
  <threadedComment ref="M220" dT="2023-10-27T17:56:21.63" personId="{8649F295-7209-41E4-A7EC-7029668950EC}" id="{7662ADB1-440D-4838-B537-4183E00349A3}">
    <text xml:space="preserve">Bank balance is €24,715 which is much the same.
</text>
  </threadedComment>
  <threadedComment ref="N220" dT="2023-11-03T13:58:26.28" personId="{8649F295-7209-41E4-A7EC-7029668950EC}" id="{9532E5EE-B6B2-43B5-A6C9-1E39F160CB38}">
    <text xml:space="preserve">This exactly matches the bank balance on Sunday evening 5/11 </text>
  </threadedComment>
  <threadedComment ref="P220" dT="2023-11-20T12:17:32.10" personId="{8649F295-7209-41E4-A7EC-7029668950EC}" id="{B60161BD-88B6-42EE-81F1-18D5DEDC8412}">
    <text>This balance matches bank balance exactly.</text>
  </threadedComment>
  <threadedComment ref="Q220" dT="2023-11-24T18:09:28.37" personId="{8649F295-7209-41E4-A7EC-7029668950EC}" id="{7730E7DB-BD70-42A3-BD56-0A8ADD1017C2}">
    <text>This figure balances with bank statement exactly.  Refer to transactions CSV on 24.11</text>
  </threadedComment>
  <threadedComment ref="R220" dT="2023-12-01T14:33:20.86" personId="{8649F295-7209-41E4-A7EC-7029668950EC}" id="{B9F0DDF8-3C7F-4AAE-B757-CF95ABB02EB5}">
    <text>Balance matches exactly with bank statement as at 1.12 14:23pm</text>
  </threadedComment>
  <threadedComment ref="S220" dT="2023-12-08T18:30:07.87" personId="{C5268FB3-219F-424A-88FA-01E7B2B85297}" id="{2CC88045-8D3D-4CAC-A145-1E7E8457CF8E}">
    <text>Matches exactly with closing balance in Bank Friday 8th  Dec</text>
  </threadedComment>
  <threadedComment ref="T220" dT="2023-12-18T12:52:54.40" personId="{C5268FB3-219F-424A-88FA-01E7B2B85297}" id="{D51EEF3A-BD3A-4FF3-9BB7-314930D79C2B}">
    <text>Agrees within a couple of euro.</text>
  </threadedComment>
  <threadedComment ref="U220" dT="2023-12-23T18:49:15.03" personId="{C5268FB3-219F-424A-88FA-01E7B2B85297}" id="{2A2B7523-9521-4A64-BD40-F897C1410D5B}">
    <text>Reconciles to within 54c as per transactions posted on 24.12</text>
  </threadedComment>
  <threadedComment ref="V220" dT="2023-12-31T18:34:15.46" personId="{C5268FB3-219F-424A-88FA-01E7B2B85297}" id="{AB200056-CD54-41E3-8D92-7CD7D7E2D188}">
    <text>Agrees with bank transactions posted 31.12</text>
  </threadedComment>
  <threadedComment ref="W220" dT="2024-01-19T07:28:47.93" personId="{C5268FB3-219F-424A-88FA-01E7B2B85297}" id="{5E3F6DFB-50EF-4D85-BDBB-6CC13C8B6E5D}">
    <text>Balances with bank statement @ 5/1</text>
  </threadedComment>
  <threadedComment ref="X220" dT="2024-01-19T07:37:15.58" personId="{C5268FB3-219F-424A-88FA-01E7B2B85297}" id="{5E87842D-AA3F-45B0-B594-C2AEFA7C0353}">
    <text>Balances with bank as at 12.1</text>
  </threadedComment>
  <threadedComment ref="Y220" dT="2024-01-27T20:18:43.64" personId="{C5268FB3-219F-424A-88FA-01E7B2B85297}" id="{098676DB-B9BA-4567-A90B-FE078A830954}">
    <text>Balances with Bank Balance as at close of business 19.1</text>
  </threadedComment>
  <threadedComment ref="Z220" dT="2024-01-28T13:08:29.24" personId="{C5268FB3-219F-424A-88FA-01E7B2B85297}" id="{CF11D410-42F6-493A-8DDB-6D8584401F67}">
    <text>Agrees with Bank Balance 26.01.24</text>
  </threadedComment>
  <threadedComment ref="AA220" dT="2024-02-02T19:24:18.07" personId="{C5268FB3-219F-424A-88FA-01E7B2B85297}" id="{A9640BED-1283-4BC7-9A25-FA43A29880F8}">
    <text>Balances with bank account as at Saturday 3.2.24</text>
  </threadedComment>
  <threadedComment ref="AB220" dT="2024-02-12T17:59:40.25" personId="{C5268FB3-219F-424A-88FA-01E7B2B85297}" id="{BE7C4092-9836-446E-B39E-2BDF13873878}">
    <text xml:space="preserve">Balances with bank as at cob 9.2
</text>
  </threadedComment>
  <threadedComment ref="AC220" dT="2024-02-16T17:56:23.13" personId="{C5268FB3-219F-424A-88FA-01E7B2B85297}" id="{FB2E309A-0C6B-4308-A40E-66AD788E8638}">
    <text>Agrees with bank balance as at COB 16.02</text>
  </threadedComment>
  <threadedComment ref="AD220" dT="2024-02-23T13:34:36.16" personId="{C5268FB3-219F-424A-88FA-01E7B2B85297}" id="{D954E12D-A837-4B77-AEC2-22324A32F815}">
    <text>Balances with bank as at 13:30 23.02, TSK may come in on top</text>
  </threadedComment>
  <threadedComment ref="AE220" dT="2024-03-02T10:45:22.63" personId="{C5268FB3-219F-424A-88FA-01E7B2B85297}" id="{86F499E2-4883-4EB3-A337-2AA64EA08B68}">
    <text>Balance matches with Bank account as at Saturday morning 2 March</text>
  </threadedComment>
  <threadedComment ref="AF220" dT="2024-03-09T09:26:41.16" personId="{C5268FB3-219F-424A-88FA-01E7B2B85297}" id="{7CB301CA-EE9A-4166-8C3E-807101131940}">
    <text>Balances with bank account as at Saturday morning 9.3</text>
  </threadedComment>
  <threadedComment ref="AG220" dT="2024-03-19T11:56:45.35" personId="{C5268FB3-219F-424A-88FA-01E7B2B85297}" id="{837CEAB6-D4ED-4540-83ED-7662BD0F4DC5}">
    <text>Balances with bank account @ 15.03</text>
  </threadedComment>
  <threadedComment ref="AH220" dT="2024-03-22T16:22:15.03" personId="{C5268FB3-219F-424A-88FA-01E7B2B85297}" id="{EEF92991-3751-41EB-A250-8BF74D55F310}">
    <text>Agrees with bank balance as at 16.22 22.3.24</text>
  </threadedComment>
  <threadedComment ref="AI220" dT="2024-04-02T09:55:31.07" personId="{C5268FB3-219F-424A-88FA-01E7B2B85297}" id="{A80D8D80-E8DA-47AA-934D-F40F9BA21D24}">
    <text xml:space="preserve">Agrees with bank balance BUT PART WAY DOWN TRANSACTIONS ON 2 April </text>
  </threadedComment>
  <threadedComment ref="AJ220" dT="2024-04-06T13:13:40.24" personId="{C5268FB3-219F-424A-88FA-01E7B2B85297}" id="{A66FE8E8-0BE3-401A-8563-0EAC3E31A171}">
    <text>Agrees with bank balance as at 8th April  It INCLUDES Walls and Extraspace which are pending items in the bank.</text>
  </threadedComment>
  <threadedComment ref="AK220" dT="2024-04-15T17:38:23.19" personId="{C5268FB3-219F-424A-88FA-01E7B2B85297}" id="{AB7ACA91-765A-493A-A233-B24834DD9819}">
    <text xml:space="preserve">Agrees with bank balance as at 12 April.
</text>
  </threadedComment>
  <threadedComment ref="AL220" dT="2024-04-20T11:23:19.29" personId="{C5268FB3-219F-424A-88FA-01E7B2B85297}" id="{AEA9C60B-F84C-453D-B102-7A4F0E1DCD62}">
    <text>Agrees with bank account Saturday morning 20.04</text>
  </threadedComment>
  <threadedComment ref="AM220" dT="2024-04-30T14:33:50.01" personId="{C5268FB3-219F-424A-88FA-01E7B2B85297}" id="{C93D085C-E942-42AB-9E9C-087B56F38DD5}">
    <text xml:space="preserve">Agrees with bank  as at COB 26th April
</text>
  </threadedComment>
  <threadedComment ref="AN220" dT="2024-05-04T12:49:52.94" personId="{C5268FB3-219F-424A-88FA-01E7B2B85297}" id="{3F5342F0-B153-4ADC-B69E-91B96F10847A}">
    <text>Balances with bank account as at Saturday 4th May, after Chadwicks payment.</text>
  </threadedComment>
  <threadedComment ref="AO220" dT="2024-05-13T08:51:15.28" personId="{C5268FB3-219F-424A-88FA-01E7B2B85297}" id="{051C6FCF-CB63-48C1-BF50-AD0964A696CF}">
    <text>Agrees with bank balance 10.5.24</text>
  </threadedComment>
  <threadedComment ref="AP220" dT="2024-05-18T15:22:25.95" personId="{C5268FB3-219F-424A-88FA-01E7B2B85297}" id="{ECC707BE-9091-4A9C-913D-6E9EB9E2DF4E}">
    <text xml:space="preserve">Balances with bank as at 17th May.
</text>
  </threadedComment>
  <threadedComment ref="AQ220" dT="2024-05-26T08:56:05.82" personId="{C5268FB3-219F-424A-88FA-01E7B2B85297}" id="{E8AFE6B3-9BE9-42D1-B45F-23AA6FC2A01E}">
    <text>Agrees with bank balance as at Sunday 26 May</text>
  </threadedComment>
  <threadedComment ref="AR220" dT="2024-06-04T08:05:08.13" personId="{C5268FB3-219F-424A-88FA-01E7B2B85297}" id="{7B9D6040-E40D-458B-9CD9-8FBA5680D526}">
    <text xml:space="preserve">Agrees with bank statement 31.05
</text>
  </threadedComment>
  <threadedComment ref="AS220" dT="2024-06-07T16:43:45.89" personId="{C5268FB3-219F-424A-88FA-01E7B2B85297}" id="{676EB513-8466-44FC-87F5-9EDD635649F5}">
    <text>Balances with Bank Statement as at 17.43 Friday 7th June.  Does not incl Walls payment.</text>
  </threadedComment>
  <threadedComment ref="AT220" dT="2024-06-18T12:21:26.93" personId="{C5268FB3-219F-424A-88FA-01E7B2B85297}" id="{7A1F1013-E2D4-4DE6-8CF2-B1CC6D0FA83F}">
    <text>Agrees with bank balance as at 14 June 2024</text>
  </threadedComment>
  <threadedComment ref="AU220" dT="2024-06-25T20:55:26.34" personId="{C5268FB3-219F-424A-88FA-01E7B2B85297}" id="{00EF07E6-2171-4CD0-AE67-DE978E3E4257}">
    <text>Agrees with bank balance as at 21st June</text>
  </threadedComment>
  <threadedComment ref="AV220" dT="2024-06-28T17:19:39.10" personId="{C5268FB3-219F-424A-88FA-01E7B2B85297}" id="{ADDB0D92-C4AB-43F0-A345-2C25B43A8086}">
    <text>Agrees with bank balance as at 28 June.</text>
  </threadedComment>
  <threadedComment ref="AW220" dT="2024-07-07T11:59:22.99" personId="{C5268FB3-219F-424A-88FA-01E7B2B85297}" id="{6067150F-B41C-40DD-B1D7-AF48E826B746}">
    <text xml:space="preserve">Balances with bank account as at 5.7.24 </text>
  </threadedComment>
  <threadedComment ref="AX220" dT="2024-07-17T10:20:49.25" personId="{C5268FB3-219F-424A-88FA-01E7B2B85297}" id="{1DAAEB54-A9D4-4A2D-8193-330CA42032A3}">
    <text>Agrees with bank bal on 12.7</text>
  </threadedComment>
  <threadedComment ref="AY220" dT="2024-07-19T14:15:48.04" personId="{C5268FB3-219F-424A-88FA-01E7B2B85297}" id="{F8E0F2CC-3EB0-47E4-A569-4DECF4043283}">
    <text>Agrees with bank account.</text>
  </threadedComment>
  <threadedComment ref="AZ220" dT="2024-08-02T15:52:26.66" personId="{C5268FB3-219F-424A-88FA-01E7B2B85297}" id="{0C968412-BD23-46FA-9F2C-6177E6B82901}">
    <text xml:space="preserve">Agrees with bank balance on 26.7
</text>
  </threadedComment>
  <threadedComment ref="BA220" dT="2024-08-02T15:52:52.85" personId="{C5268FB3-219F-424A-88FA-01E7B2B85297}" id="{381E92AE-7F64-469E-A6BC-4271E588AC4E}">
    <text>Agrees with bank balance on 2 August</text>
  </threadedComment>
  <threadedComment ref="BB220" dT="2024-08-12T16:06:13.24" personId="{C5268FB3-219F-424A-88FA-01E7B2B85297}" id="{B9BA40EC-EFD8-4AB3-82F1-3DCF72828073}">
    <text xml:space="preserve">Agrees with bank balance at 9.8.24
</text>
  </threadedComment>
  <threadedComment ref="BC220" dT="2024-08-19T11:24:01.53" personId="{C5268FB3-219F-424A-88FA-01E7B2B85297}" id="{78FFFAC1-3EDD-4395-88B6-500F7320B308}">
    <text>Agrees with bank balance as at 16.08.24</text>
  </threadedComment>
  <threadedComment ref="BE220" dT="2024-08-23T16:50:47.81" personId="{C5268FB3-219F-424A-88FA-01E7B2B85297}" id="{D1BBB29F-7DE8-401D-86EB-4873C689B445}">
    <text>Agrees with bank balance at 23.08.24</text>
  </threadedComment>
  <threadedComment ref="BF220" dT="2024-08-30T18:20:22.12" personId="{C5268FB3-219F-424A-88FA-01E7B2B85297}" id="{A5436BBF-E938-4BF8-9455-116F2E158009}">
    <text xml:space="preserve">Agrees with bank ball 30.8
</text>
  </threadedComment>
  <threadedComment ref="BH220" dT="2024-09-08T16:24:15.17" personId="{C5268FB3-219F-424A-88FA-01E7B2B85297}" id="{038562E8-5A49-4316-9522-2556D8BD8281}">
    <text xml:space="preserve">Agrees with bank balance as at 8.9.24
</text>
  </threadedComment>
  <threadedComment ref="BI220" dT="2024-09-16T17:44:27.94" personId="{C5268FB3-219F-424A-88FA-01E7B2B85297}" id="{B2F228C0-9CA1-41F4-B448-2F73AFDE6B43}">
    <text>Agrees with bank balance as at 13.09</text>
  </threadedComment>
  <threadedComment ref="BJ220" dT="2024-09-22T16:57:28.52" personId="{C5268FB3-219F-424A-88FA-01E7B2B85297}" id="{7B4C75A5-0B22-445A-8B97-18362FB55D37}">
    <text>Agrees with bank balance as at 22.9</text>
  </threadedComment>
  <threadedComment ref="BL220" dT="2024-10-07T11:44:36.43" personId="{C5268FB3-219F-424A-88FA-01E7B2B85297}" id="{D2C7916A-BAD2-4DFA-AF2B-3A87FB77BEC5}">
    <text xml:space="preserve">Agrees with bank as at 27.9.24
</text>
  </threadedComment>
  <threadedComment ref="BM220" dT="2024-10-07T13:06:12.14" personId="{C5268FB3-219F-424A-88FA-01E7B2B85297}" id="{25AE599C-CCFD-4D86-BC64-DC4BE0685E56}">
    <text>Agrees with bank bal as at 4.10</text>
  </threadedComment>
  <threadedComment ref="BO220" dT="2024-10-14T12:31:10.43" personId="{C5268FB3-219F-424A-88FA-01E7B2B85297}" id="{CC63004E-152C-4096-A3CC-44499F83F84E}">
    <text xml:space="preserve">Agrees with bank balance as at 11.10.24
</text>
  </threadedComment>
  <threadedComment ref="BP220" dT="2024-10-24T14:19:17.74" personId="{C5268FB3-219F-424A-88FA-01E7B2B85297}" id="{90E3F5F4-3AC1-4EA9-90BA-671137D1AC61}">
    <text xml:space="preserve">Agrees with bank balance </text>
  </threadedComment>
  <threadedComment ref="BQ220" dT="2024-10-24T14:19:17.74" personId="{C5268FB3-219F-424A-88FA-01E7B2B85297}" id="{E23B8EED-46DB-4DD3-8F56-A0100C297AEC}">
    <text xml:space="preserve">Agrees with bank balance </text>
  </threadedComment>
  <threadedComment ref="BR220" dT="2024-10-26T08:25:01.06" personId="{C5268FB3-219F-424A-88FA-01E7B2B85297}" id="{3E6EE54A-9565-47D5-B3EE-B66B03679AF5}">
    <text>Agrees with bank balance as at 25.10</text>
  </threadedComment>
  <threadedComment ref="BS220" dT="2024-11-04T12:45:02.13" personId="{C5268FB3-219F-424A-88FA-01E7B2B85297}" id="{C5B2BFBD-7478-4FB1-A665-243A806DD0FB}">
    <text>Agrees with bank balance 1st Nov</text>
  </threadedComment>
  <threadedComment ref="BT220" dT="2024-11-13T13:57:38.32" personId="{C5268FB3-219F-424A-88FA-01E7B2B85297}" id="{7C8E9F80-F939-4719-9EBE-2F4F31D39D90}">
    <text xml:space="preserve">Agrees with bank balance 8.11.24
</text>
  </threadedComment>
  <threadedComment ref="AN228" dT="2024-04-08T15:20:44.74" personId="{C5268FB3-219F-424A-88FA-01E7B2B85297}" id="{2E333DE9-D6C4-48FA-AA8F-F7586E25EC5C}">
    <text xml:space="preserve">7 LADS
</text>
  </threadedComment>
  <threadedComment ref="BM229" dT="2024-04-19T13:55:19.05" personId="{C5268FB3-219F-424A-88FA-01E7B2B85297}" id="{94A74F4F-F0E6-48EF-B900-A2E09A4C79AA}">
    <text xml:space="preserve">Existing PAYE Labour
</text>
  </threadedComment>
  <threadedComment ref="BS229" dT="2024-04-19T13:55:19.05" personId="{C5268FB3-219F-424A-88FA-01E7B2B85297}" id="{93F97827-CC54-460A-AC9C-DA7ACF0CF5D6}">
    <text xml:space="preserve">Existing PAYE Labour
</text>
  </threadedComment>
  <threadedComment ref="BX229" dT="2024-04-19T13:55:19.05" personId="{C5268FB3-219F-424A-88FA-01E7B2B85297}" id="{A6A4AE70-3E24-4562-A062-637A49DC3B26}">
    <text xml:space="preserve">Existing PAYE Labour
</text>
  </threadedComment>
  <threadedComment ref="BT237" dT="2024-06-20T14:45:17.57" personId="{C5268FB3-219F-424A-88FA-01E7B2B85297}" id="{CF9AA789-4EA3-40E9-AE43-E5D628E5B95A}">
    <text xml:space="preserve">Margin only
</text>
  </threadedComment>
  <threadedComment ref="D238" dT="2024-06-20T14:41:03.84" personId="{C5268FB3-219F-424A-88FA-01E7B2B85297}" id="{235FE089-7C5F-4B23-8D67-AC5E34B7432E}">
    <text xml:space="preserve">Materials at 30% and labour at 25% some new men needed some existing.
</text>
  </threadedComment>
  <threadedComment ref="BL238" dT="2024-06-21T13:36:01.12" personId="{C5268FB3-219F-424A-88FA-01E7B2B85297}" id="{3C997E8C-D6D7-41B4-B878-51F078270FE9}">
    <text>Labour for Little Britain = assumes new men needed</text>
  </threadedComment>
  <threadedComment ref="AW239" dT="2024-06-21T13:32:47.68" personId="{C5268FB3-219F-424A-88FA-01E7B2B85297}" id="{FD344B60-E006-4779-9F71-C590235C129E}">
    <text>Two lads for 3 weeks approx, coming from existing labout (Vasile and one other PAYE).</text>
  </threadedComment>
  <threadedComment ref="BL239" dT="2024-06-20T14:45:27.97" personId="{C5268FB3-219F-424A-88FA-01E7B2B85297}" id="{BB90E385-9369-421D-BD11-630096953C4C}">
    <text>Full value less materials. Should get work done by end August, paid two weeks later.</text>
  </threadedComment>
  <threadedComment ref="BR239" dT="2024-06-20T14:45:27.97" personId="{C5268FB3-219F-424A-88FA-01E7B2B85297}" id="{11FF3D75-2CA8-4C52-915E-05F1FB7193F2}">
    <text>Full value less materials. Should get work done by end August, paid two weeks later.</text>
  </threadedComment>
</ThreadedComments>
</file>

<file path=xl/threadedComments/threadedComment4.xml><?xml version="1.0" encoding="utf-8"?>
<ThreadedComments xmlns="http://schemas.microsoft.com/office/spreadsheetml/2018/threadedcomments" xmlns:x="http://schemas.openxmlformats.org/spreadsheetml/2006/main">
  <threadedComment ref="E3" dT="2024-10-29T15:31:34.23" personId="{C5268FB3-219F-424A-88FA-01E7B2B85297}" id="{22053A56-DD6E-43AD-81B7-E853AB289009}">
    <text>Amended fig from Dave 29.10.24 email</text>
  </threadedComment>
  <threadedComment ref="E48" dT="2023-08-25T15:06:28.95" personId="{7E270AAF-E42D-4758-8B02-E58CC6F56CDA}" id="{9882B656-CE89-45EC-B024-0ADCD98223FC}">
    <text>Genesis Shelbourne gone and therefore no included.</text>
  </threadedComment>
  <threadedComment ref="E49" dT="2023-09-13T12:12:57.53" personId="{8649F295-7209-41E4-A7EC-7029668950EC}" id="{B8CCEE86-6D2B-45C3-89D2-CE5858EA8B66}">
    <text xml:space="preserve">What we received in the account on 6/9 was 216 less.
</text>
  </threadedComment>
</ThreadedComments>
</file>

<file path=xl/threadedComments/threadedComment5.xml><?xml version="1.0" encoding="utf-8"?>
<ThreadedComments xmlns="http://schemas.microsoft.com/office/spreadsheetml/2018/threadedcomments" xmlns:x="http://schemas.openxmlformats.org/spreadsheetml/2006/main">
  <threadedComment ref="D8" dT="2023-09-18T13:20:36.62" personId="{8649F295-7209-41E4-A7EC-7029668950EC}" id="{A220A5CB-AD60-406A-93D6-DFD6BFE4339A}">
    <text>Gross figure incl labour, materials, margin
The project value increased by 16k net and has been added to the December receivable, it may come in sooner.</text>
  </threadedComment>
  <threadedComment ref="I8" dT="2023-09-12T09:36:42.72" personId="{8649F295-7209-41E4-A7EC-7029668950EC}" id="{87D4B692-F174-4593-9CAF-E6556D312A72}">
    <text>Valuation submitted end August less up front material payment of 60k</text>
  </threadedComment>
  <threadedComment ref="D9" dT="2023-09-22T13:17:52.78" personId="{8649F295-7209-41E4-A7EC-7029668950EC}" id="{D203C996-88B5-43D2-A6FD-EDF4E4F1A22D}">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L9" dT="2023-10-09T14:05:04.94" personId="{8649F295-7209-41E4-A7EC-7029668950EC}" id="{267A4B38-0CF6-4929-BA26-0012EBAC0E63}">
    <text>Project start for 24 weeks.  This figure landed in bank Monday 23rd morning.</text>
  </threadedComment>
  <threadedComment ref="R9" dT="2023-10-17T13:52:09.26" personId="{8649F295-7209-41E4-A7EC-7029668950EC}" id="{51477C3D-4476-4165-87D0-69CEA2361316}">
    <text>Includes value of Floor 7 closing</text>
  </threadedComment>
  <threadedComment ref="T9" dT="2023-10-17T13:52:25.41" personId="{8649F295-7209-41E4-A7EC-7029668950EC}" id="{0C11FD0A-8149-4562-AAE9-67743ED0C275}">
    <text>Includes value of floor 6 closing</text>
  </threadedComment>
  <threadedComment ref="W9" dT="2023-10-17T14:06:19.65" personId="{8649F295-7209-41E4-A7EC-7029668950EC}" id="{E9129DA7-A1F0-43EA-A826-3FD1AAE230E0}">
    <text xml:space="preserve">This sum is 40% of the balance of the €602 total value of the job.
</text>
  </threadedComment>
  <threadedComment ref="X9" dT="2023-10-17T14:06:19.65" personId="{8649F295-7209-41E4-A7EC-7029668950EC}" id="{BC4E1E01-9B32-46BE-A58B-2D9A1679D72A}">
    <text xml:space="preserve">This sum is 40% of the balance of the €602 total value of the job.
</text>
  </threadedComment>
  <threadedComment ref="Y9" dT="2023-10-17T14:06:19.65" personId="{8649F295-7209-41E4-A7EC-7029668950EC}" id="{5A8E925F-C69F-4F55-9A8C-0E7769EA019B}">
    <text xml:space="preserve">This sum is the remaining 20% of the balance of the €602 total value of the job.
</text>
  </threadedComment>
  <threadedComment ref="D10" dT="2023-09-22T10:56:22.86" personId="{8649F295-7209-41E4-A7EC-7029668950EC}" id="{7F2EC6EE-5672-430B-A1C0-3DB9A2F3D16A}">
    <text>Margin and labour and materials (already ordered).</text>
  </threadedComment>
  <threadedComment ref="M10" dT="2023-10-02T09:46:03.10" personId="{8649F295-7209-41E4-A7EC-7029668950EC}" id="{C5977CC1-DE92-4EEF-8ECA-8945E5596AB3}">
    <text>After tax and after retention</text>
  </threadedComment>
  <threadedComment ref="M11" dT="2023-10-02T09:42:29.40" personId="{8649F295-7209-41E4-A7EC-7029668950EC}" id="{173690A6-6755-42F2-B442-A58EE292F610}">
    <text>Net of retention</text>
  </threadedComment>
  <threadedComment ref="M12" dT="2023-10-02T09:49:39.38" personId="{8649F295-7209-41E4-A7EC-7029668950EC}" id="{CE4B5723-E77E-42CA-81D2-2182023BD6F7}">
    <text>After tax and retention</text>
  </threadedComment>
  <threadedComment ref="G13" dT="2023-09-06T09:38:45.09" personId="{8649F295-7209-41E4-A7EC-7029668950EC}" id="{0B83463D-267A-4294-B92E-FDF98E5C4BD5}">
    <text>New calculations done, Ivan sent email to Flamestop. This is the current figure.</text>
  </threadedComment>
  <threadedComment ref="K13" dT="2023-09-19T12:07:38.70" personId="{8649F295-7209-41E4-A7EC-7029668950EC}" id="{AA0A3AF8-22BD-4490-9171-C88AC3E1A6F6}">
    <text>Valuation to be submitted 6/10</text>
  </threadedComment>
  <threadedComment ref="M13" dT="2023-09-19T12:07:56.22" personId="{8649F295-7209-41E4-A7EC-7029668950EC}" id="{BC8C14C2-65B6-45C7-9C61-D1F4B6667324}">
    <text>Estimated figure based on 40% of remaining value</text>
  </threadedComment>
  <threadedComment ref="C14" dT="2023-09-11T15:21:40.50" personId="{8649F295-7209-41E4-A7EC-7029668950EC}" id="{C2266C57-FD65-425C-AE1A-73E18F471765}">
    <text>VAT to be charged?</text>
  </threadedComment>
</ThreadedComments>
</file>

<file path=xl/threadedComments/threadedComment6.xml><?xml version="1.0" encoding="utf-8"?>
<ThreadedComments xmlns="http://schemas.microsoft.com/office/spreadsheetml/2018/threadedcomments" xmlns:x="http://schemas.openxmlformats.org/spreadsheetml/2006/main">
  <threadedComment ref="C7" dT="2023-09-12T10:27:43.79" personId="{8649F295-7209-41E4-A7EC-7029668950EC}" id="{D3AA0FE7-7C8E-4058-844E-BEF32EF344A7}">
    <text xml:space="preserve">Excludes doors
</text>
  </threadedComment>
  <threadedComment ref="D7" dT="2023-09-12T10:27:52.14" personId="{8649F295-7209-41E4-A7EC-7029668950EC}" id="{00158BFF-ABCF-486F-9B4A-B0D0E127F507}">
    <text>Excl doors</text>
  </threadedComment>
</ThreadedComments>
</file>

<file path=xl/threadedComments/threadedComment7.xml><?xml version="1.0" encoding="utf-8"?>
<ThreadedComments xmlns="http://schemas.microsoft.com/office/spreadsheetml/2018/threadedcomments" xmlns:x="http://schemas.openxmlformats.org/spreadsheetml/2006/main">
  <threadedComment ref="E10" dT="2023-08-27T18:57:30.70" personId="{FE27BDFC-5682-5546-BE7C-AE8857E665EE}" id="{FEE6D458-C55D-472F-B932-3F5ED25DFA91}">
    <text>Might start in Sept but calling October</text>
  </threadedComment>
  <threadedComment ref="B49" dT="2023-08-27T18:42:28.92" personId="{FE27BDFC-5682-5546-BE7C-AE8857E665EE}" id="{B0615BF2-2647-41EB-9739-B7EABB1DBDFF}">
    <text xml:space="preserve">Paul Sheerin, Jason
</text>
  </threadedComment>
</ThreadedComments>
</file>

<file path=xl/threadedComments/threadedComment8.xml><?xml version="1.0" encoding="utf-8"?>
<ThreadedComments xmlns="http://schemas.microsoft.com/office/spreadsheetml/2018/threadedcomments" xmlns:x="http://schemas.openxmlformats.org/spreadsheetml/2006/main">
  <threadedComment ref="M26" dT="2023-08-27T18:57:30.70" personId="{FE27BDFC-5682-5546-BE7C-AE8857E665EE}" id="{4215AAD4-1DF5-40AF-A10D-21B53E27F9AE}">
    <text>Might start in Sept but calling October</text>
  </threadedComment>
  <threadedComment ref="N26" dT="2023-08-27T18:57:30.70" personId="{FE27BDFC-5682-5546-BE7C-AE8857E665EE}" id="{06799101-7197-2240-B0FE-CD2FE09A12EA}">
    <text>Might start in Sept but calling October</text>
  </threadedComment>
  <threadedComment ref="D45" dT="2023-08-31T12:47:29.12" personId="{A73808F2-AF7C-4A12-92E3-E390CEC4A88D}" id="{51AD295A-8CE9-4B33-8A4D-0FBD8B3BA7D3}">
    <text xml:space="preserve">Figures coming from email sent to Graham on 31.08 </text>
  </threadedComment>
  <threadedComment ref="B64" dT="2023-09-04T11:54:13.55" personId="{8649F295-7209-41E4-A7EC-7029668950EC}" id="{3F4E75CB-9163-498E-B40E-62D9B553B572}">
    <text xml:space="preserve">Not due for 11 months
</text>
  </threadedComment>
  <threadedComment ref="L79" dT="2023-09-04T10:25:00.60" personId="{8649F295-7209-41E4-A7EC-7029668950EC}" id="{805DC7A5-28CA-40D0-B1B8-820E82C35147}">
    <text xml:space="preserve">Proposal to be sent
</text>
  </threadedComment>
  <threadedComment ref="B93" dT="2023-08-27T18:42:28.92" personId="{FE27BDFC-5682-5546-BE7C-AE8857E665EE}" id="{29AA1425-46EF-1C46-A548-FA6DBC746BBB}">
    <text xml:space="preserve">Paul Sheerin, Jason
</text>
  </threadedComment>
</ThreadedComments>
</file>

<file path=xl/threadedComments/threadedComment9.xml><?xml version="1.0" encoding="utf-8"?>
<ThreadedComments xmlns="http://schemas.microsoft.com/office/spreadsheetml/2018/threadedcomments" xmlns:x="http://schemas.openxmlformats.org/spreadsheetml/2006/main">
  <threadedComment ref="D27" dT="2023-09-18T13:20:36.62" personId="{8649F295-7209-41E4-A7EC-7029668950EC}" id="{EE3CA8FA-9ED3-45D2-80EF-710159188664}">
    <text xml:space="preserve">Gross figure incl labour, materials, margin
</text>
  </threadedComment>
  <threadedComment ref="I27" dT="2023-09-12T09:36:42.72" personId="{8649F295-7209-41E4-A7EC-7029668950EC}" id="{755145A5-B1A2-4EB7-93F6-EAC2412B6DC1}">
    <text>Valuation submitted end August less up front material payment of 60k</text>
  </threadedComment>
  <threadedComment ref="K29" dT="2023-09-11T10:54:15.60" personId="{8649F295-7209-41E4-A7EC-7029668950EC}" id="{F79B4681-90F5-4906-BC1B-BC484A962A22}">
    <text>Job starting 13.9, two weeks to complete, invoice paid two weeks later.</text>
  </threadedComment>
  <threadedComment ref="D30" dT="2023-09-22T13:17:52.78" personId="{8649F295-7209-41E4-A7EC-7029668950EC}" id="{7F83C0E2-16F4-4103-82E9-65BA73B57941}">
    <text>Gross value to include Materials, Labour and margin, at this point</text>
  </threadedComment>
  <threadedComment ref="K30" dT="2023-10-09T14:05:04.94" personId="{8649F295-7209-41E4-A7EC-7029668950EC}" id="{35DEBD05-3FE2-41A5-BDF7-67F33ACDA70D}">
    <text>Project start for 24 weeks</text>
  </threadedComment>
  <threadedComment ref="D31" dT="2023-10-09T14:54:57.18" personId="{8649F295-7209-41E4-A7EC-7029668950EC}" id="{2BE740B8-0EEC-4E87-A98D-1324F6C662DE}">
    <text>Margin only</text>
  </threadedComment>
  <threadedComment ref="D32" dT="2023-10-09T14:55:46.59" personId="{8649F295-7209-41E4-A7EC-7029668950EC}" id="{B2830E3E-5DC4-4352-A3C8-124ADD50F164}">
    <text>Margin only</text>
  </threadedComment>
  <threadedComment ref="D36" dT="2023-10-05T13:18:52.34" personId="{8649F295-7209-41E4-A7EC-7029668950EC}" id="{AB059062-E5ED-4D22-940A-194334A8139B}">
    <text>Retention and tax to come out.</text>
  </threadedComment>
  <threadedComment ref="J36" dT="2023-09-14T15:49:01.93" personId="{8649F295-7209-41E4-A7EC-7029668950EC}" id="{36BA7414-16EE-4660-9153-0A2525EECD06}">
    <text>Agreement to pay 30k gross, ronan met him on site 5/10
Received 10 October</text>
  </threadedComment>
  <threadedComment ref="D37" dT="2023-09-22T10:56:22.86" personId="{8649F295-7209-41E4-A7EC-7029668950EC}" id="{E1682EA4-9D04-4BC0-89EE-6BC66D8F856B}">
    <text>Margin and labour</text>
  </threadedComment>
  <threadedComment ref="M37" dT="2023-10-02T09:46:03.10" personId="{8649F295-7209-41E4-A7EC-7029668950EC}" id="{E8F1B136-CFB0-4ED0-B83A-602B5004F155}">
    <text>After tax and after retention</text>
  </threadedComment>
  <threadedComment ref="M41" dT="2023-10-02T09:42:29.40" personId="{8649F295-7209-41E4-A7EC-7029668950EC}" id="{3491668E-3697-446A-AF0B-D5ABE6551D21}">
    <text>Net of retention</text>
  </threadedComment>
  <threadedComment ref="M43" dT="2023-10-02T09:49:39.38" personId="{8649F295-7209-41E4-A7EC-7029668950EC}" id="{F660DBED-BA65-4E8E-B256-78900F4CE8AC}">
    <text>After tax and retention</text>
  </threadedComment>
  <threadedComment ref="I44" dT="2023-10-04T14:40:20.68" personId="{8649F295-7209-41E4-A7EC-7029668950EC}" id="{CAC5B4F3-5F8F-400B-AA26-DBCA9BCC76A2}">
    <text>Confirmation received from Ray this will land.</text>
  </threadedComment>
  <threadedComment ref="G51" dT="2023-09-06T09:38:45.09" personId="{8649F295-7209-41E4-A7EC-7029668950EC}" id="{0DE773A9-2041-4EF7-AB0F-30C62D8FC24B}">
    <text>New calculations done, Ivan sent email to Flamestop. This is the current figure.</text>
  </threadedComment>
  <threadedComment ref="K51" dT="2023-09-19T12:07:38.70" personId="{8649F295-7209-41E4-A7EC-7029668950EC}" id="{9EE70A8A-E787-4DC7-813C-55FB538BEEE0}">
    <text>Valuation to be submitted 6/10</text>
  </threadedComment>
  <threadedComment ref="M51" dT="2023-09-19T12:07:56.22" personId="{8649F295-7209-41E4-A7EC-7029668950EC}" id="{503BCE58-7A0E-4768-BEE0-DFA6D447500C}">
    <text>Estimated figure based on 40% of remaining value</text>
  </threadedComment>
  <threadedComment ref="J52" dT="2023-10-05T12:51:58.52" personId="{8649F295-7209-41E4-A7EC-7029668950EC}" id="{360412E4-FCEF-409E-A40E-7A7879807210}">
    <text>Received into Bank 10 October</text>
  </threadedComment>
  <threadedComment ref="J53" dT="2023-10-02T09:52:23.91" personId="{8649F295-7209-41E4-A7EC-7029668950EC}" id="{7BBD5656-2FFC-4E2A-89CA-FB6B0EAB7534}">
    <text xml:space="preserve">Day work </text>
  </threadedComment>
  <threadedComment ref="F54" dT="2023-09-15T11:46:20.91" personId="{8649F295-7209-41E4-A7EC-7029668950EC}" id="{76399B90-7178-411C-904F-69CA07491002}">
    <text>Paid on 15.09 along with Flamestop aged above</text>
  </threadedComment>
  <threadedComment ref="J55" dT="2023-10-05T12:50:56.64" personId="{8649F295-7209-41E4-A7EC-7029668950EC}" id="{EC7596DB-2EB3-4D8F-9BE4-7707AFD9498E}">
    <text>Maria is paying this along with 9163 (gross) from Kilashee.
Received 10 Oct</text>
  </threadedComment>
  <threadedComment ref="E56" dT="2023-09-06T09:36:18.61" personId="{8649F295-7209-41E4-A7EC-7029668950EC}" id="{FF584402-29E3-4DE1-9F38-DA990A60E6A8}">
    <text>Move to more likely earlier week</text>
  </threadedComment>
  <threadedComment ref="F56" dT="2023-09-08T09:25:49.67" personId="{8649F295-7209-41E4-A7EC-7029668950EC}" id="{91B75351-5C3F-4090-9F20-B37B540A736E}">
    <text>Residual due from payment made 8th Sept</text>
  </threadedComment>
  <threadedComment ref="C57" dT="2023-09-11T15:21:40.50" personId="{8649F295-7209-41E4-A7EC-7029668950EC}" id="{19F0350D-64F9-4C84-BAD7-90FDE3FA8431}">
    <text>VAT to be charged?</text>
  </threadedComment>
  <threadedComment ref="C58" dT="2023-09-11T15:21:24.71" personId="{8649F295-7209-41E4-A7EC-7029668950EC}" id="{4A7587BC-D7B9-4137-A9D6-B3E85A5EDE05}">
    <text xml:space="preserve">VAT to be charged on top
</text>
  </threadedComment>
  <threadedComment ref="O58" dT="2023-09-12T11:21:31.73" personId="{8649F295-7209-41E4-A7EC-7029668950EC}" id="{D212141B-76EC-4637-855E-A82D8E9BB27D}">
    <text>No need for additional men, accounted for in the figures below</text>
  </threadedComment>
  <threadedComment ref="I76" dT="2023-10-02T10:20:12.38" personId="{8649F295-7209-41E4-A7EC-7029668950EC}" id="{F344683F-4FE4-4F12-8449-1E4E2243FEC0}">
    <text>Including VAT</text>
  </threadedComment>
  <threadedComment ref="H79" dT="2023-09-25T13:23:48.57" personId="{8649F295-7209-41E4-A7EC-7029668950EC}" id="{CDF748C5-4845-424C-B4A4-195FA8BF94D0}">
    <text>470.23 fuel plus 200 easy trip</text>
  </threadedComment>
  <threadedComment ref="B82" dT="2023-09-04T11:54:13.55" personId="{8649F295-7209-41E4-A7EC-7029668950EC}" id="{6AD1E5EF-473F-44D3-A1A8-6137AF266C5B}">
    <text xml:space="preserve">Not due for 11 months
</text>
  </threadedComment>
  <threadedComment ref="C86" dT="2023-10-02T12:01:10.05" personId="{8649F295-7209-41E4-A7EC-7029668950EC}" id="{9B37E51A-BE26-4B09-847B-7AE4E13F6C59}">
    <text>May statement of €8659 plus June, July, August added</text>
  </threadedComment>
  <threadedComment ref="I86" dT="2023-10-02T12:03:06.58" personId="{8649F295-7209-41E4-A7EC-7029668950EC}" id="{4FEB6E14-46D1-4517-A503-D7D8D7512E53}">
    <text>September payment</text>
  </threadedComment>
  <threadedComment ref="I102" dT="2023-09-26T11:53:43.95" personId="{8649F295-7209-41E4-A7EC-7029668950EC}" id="{9BD58AB3-2710-4B43-A33C-8A8A39662B09}">
    <text>This figure along with Week 5 and Nov and Dec payments clear the account balance as at 25/9 of €22967</text>
  </threadedComment>
  <threadedComment ref="H103" dT="2023-09-19T13:50:58.67" personId="{8649F295-7209-41E4-A7EC-7029668950EC}" id="{34327F4D-A0E4-4F7A-B8DD-0F7C048854C9}">
    <text>May and July owing. Agreed with Anne to pay half in Sept, and half in October.</text>
  </threadedComment>
  <threadedComment ref="K103" dT="2023-09-19T13:50:58.67" personId="{8649F295-7209-41E4-A7EC-7029668950EC}" id="{EAC15590-9476-485E-8298-54DA2439907E}">
    <text>May and July owing. Agreed with Anne to pay half in Sept, and half in October.</text>
  </threadedComment>
  <threadedComment ref="F104" dT="2023-09-11T15:27:45.89" personId="{8649F295-7209-41E4-A7EC-7029668950EC}" id="{789D63D2-FDEB-47D6-8DF4-6C6EB7ED428F}">
    <text>Make early payment to release</text>
  </threadedComment>
  <threadedComment ref="N105" dT="2023-10-06T09:10:22.52" personId="{8649F295-7209-41E4-A7EC-7029668950EC}" id="{ACA50FDD-7289-4FF7-A2B3-1D6418461194}">
    <text>Ordered in October</text>
  </threadedComment>
  <threadedComment ref="F112" dT="2023-09-18T10:52:31.53" personId="{8649F295-7209-41E4-A7EC-7029668950EC}" id="{CB3CB8BB-767C-4ADB-BFD3-6DCB7D12CEEB}">
    <text xml:space="preserve">Actual bal start of week 3
</text>
  </threadedComment>
  <threadedComment ref="H112" dT="2023-10-02T09:40:25.25" personId="{8649F295-7209-41E4-A7EC-7029668950EC}" id="{8FA5D5B2-2DAE-479E-B6A8-7FE8FD14BECA}">
    <text>Actual bank balance coming into week 5</text>
  </threadedComment>
  <threadedComment ref="I112" dT="2023-10-09T11:45:56.60" personId="{8649F295-7209-41E4-A7EC-7029668950EC}" id="{E5877288-B9E7-4600-831F-1FCA8E5EA211}">
    <text>Actual balance @ 6th October COB</text>
  </threadedComment>
  <threadedComment ref="D120" dT="2023-09-08T08:15:07.03" personId="{8649F295-7209-41E4-A7EC-7029668950EC}" id="{EFA65F08-41C3-44BC-90CD-3E24E3232B6D}">
    <text>On hold 8.9.23</text>
  </threadedComment>
  <threadedComment ref="C125" dT="2023-09-15T11:08:39.48" personId="{8649F295-7209-41E4-A7EC-7029668950EC}" id="{83C8B086-3E32-40D7-8132-182BD482A0C3}">
    <text>Unlikely to go ahead</text>
  </threadedComment>
  <threadedComment ref="D125" dT="2023-08-31T12:47:29.12" personId="{A73808F2-AF7C-4A12-92E3-E390CEC4A88D}" id="{BCC072BB-F242-4D7E-950F-00428F142DE5}">
    <text xml:space="preserve">Figures coming from email sent to Graham on 31.08 </text>
  </threadedComment>
  <threadedComment ref="D125" dT="2023-09-15T11:08:53.19" personId="{8649F295-7209-41E4-A7EC-7029668950EC}" id="{173ED22F-A269-43C9-AF9E-6F3C9C131A48}" parentId="{BCC072BB-F242-4D7E-950F-00428F142DE5}">
    <text>Unlikely to go ahead</text>
  </threadedComment>
  <threadedComment ref="B132" dT="2023-08-27T18:42:28.92" personId="{FE27BDFC-5682-5546-BE7C-AE8857E665EE}" id="{5D6F1D72-09B0-46A5-BB0B-73B24A6EEB2A}">
    <text xml:space="preserve">Paul Sheerin, Jason
</text>
  </threadedComment>
</ThreadedComments>
</file>

<file path=xl/threadedComments/threadedComment10.xml><?xml version="1.0" encoding="utf-8"?>
<ThreadedComments xmlns="http://schemas.microsoft.com/office/spreadsheetml/2018/threadedcomments" xmlns:x="http://schemas.openxmlformats.org/spreadsheetml/2006/main">
  <threadedComment ref="S12" dT="2023-11-01T12:13:58.01" personId="{8649F295-7209-41E4-A7EC-7029668950EC}" id="{B371541D-32C7-450B-8D27-B6EEC2E4C721}">
    <text>1st Nov Jason spoke to Pamela in Townlink, she said that they are on site snagging and that we should forecast to receive retention mid Dec.</text>
  </threadedComment>
  <threadedComment ref="D26" dT="2023-09-18T13:20:36.62" personId="{8649F295-7209-41E4-A7EC-7029668950EC}" id="{8533C665-12CE-4E20-A8E1-D6F74B699B9C}">
    <text>Gross figure incl labour, materials, margin
The project value increased by 16k net and has been added to the December receivable, it may come in sooner.</text>
  </threadedComment>
  <threadedComment ref="I26" dT="2023-09-12T09:36:42.72" personId="{8649F295-7209-41E4-A7EC-7029668950EC}" id="{B772C10F-961D-4BDE-8F68-B6C52D8BF8BA}">
    <text>Valuation submitted end August less up front material payment of 60k</text>
  </threadedComment>
  <threadedComment ref="U26" dT="2023-10-26T09:42:35.34" personId="{8649F295-7209-41E4-A7EC-7029668950EC}" id="{E4F8AE64-AF51-4DD4-AF93-2B71F41E4085}">
    <text>This represents final payment plus PC Retention of 2.5%</text>
  </threadedComment>
  <threadedComment ref="Q27" dT="2023-10-25T11:11:27.17" personId="{8649F295-7209-41E4-A7EC-7029668950EC}" id="{6C8618B2-C951-4E1F-AF04-264B72F78B1A}">
    <text>Invoice sent</text>
  </threadedComment>
  <threadedComment ref="D29" dT="2023-09-22T13:17:52.78" personId="{8649F295-7209-41E4-A7EC-7029668950EC}" id="{85A8BEA8-BDF6-44E4-AB3D-5D023C5F475E}">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L29" dT="2023-10-09T14:05:04.94" personId="{8649F295-7209-41E4-A7EC-7029668950EC}" id="{12C32591-9B27-4D77-BE03-65825361D044}">
    <text>Project start for 24 weeks.  This figure landed in bank Monday 23rd morning.</text>
  </threadedComment>
  <threadedComment ref="M29" dT="2023-10-26T09:14:20.38" personId="{8649F295-7209-41E4-A7EC-7029668950EC}" id="{26AEE0FD-D37A-4E84-836E-A9DC59DCAAEC}">
    <text xml:space="preserve">Dave submitted this figure to TSK 1/11
We were expecting to receive €37143.56 less 20% tax = €29,715
</text>
  </threadedComment>
  <threadedComment ref="R29" dT="2023-10-17T13:52:09.26" personId="{8649F295-7209-41E4-A7EC-7029668950EC}" id="{24FF2AE0-3BD5-43AA-AE72-9D99E69067AA}">
    <text>Includes value of Floor 7 closing</text>
  </threadedComment>
  <threadedComment ref="T29" dT="2023-10-17T13:52:25.41" personId="{8649F295-7209-41E4-A7EC-7029668950EC}" id="{BECCAB60-399C-4734-829F-726FE4CE5A07}">
    <text>Includes value of floor 6 closing</text>
  </threadedComment>
  <threadedComment ref="V29" dT="2023-10-17T14:06:19.65" personId="{8649F295-7209-41E4-A7EC-7029668950EC}" id="{69C33012-9880-4B62-8D25-E13C2DAA74E0}">
    <text xml:space="preserve">This sum is 40% of the balance of the €602 total value of the job.
</text>
  </threadedComment>
  <threadedComment ref="W29" dT="2023-10-17T14:06:19.65" personId="{8649F295-7209-41E4-A7EC-7029668950EC}" id="{F27D52C8-5B01-416E-9C79-D94D1A2043B5}">
    <text xml:space="preserve">This sum is 40% of the balance of the €602 total value of the job.
</text>
  </threadedComment>
  <threadedComment ref="X29" dT="2023-10-17T14:06:19.65" personId="{8649F295-7209-41E4-A7EC-7029668950EC}" id="{76F8DB63-59FB-458E-8DE6-353D7DF137C0}">
    <text xml:space="preserve">This sum is the remaining 20% of the balance of the €602 total value of the job.
</text>
  </threadedComment>
  <threadedComment ref="Y29" dT="2023-10-26T09:40:24.64" personId="{8649F295-7209-41E4-A7EC-7029668950EC}" id="{F77936DF-A449-4343-855A-2C90F4D58040}">
    <text>2.5% PC Retention</text>
  </threadedComment>
  <threadedComment ref="D31" dT="2023-10-09T14:54:57.18" personId="{8649F295-7209-41E4-A7EC-7029668950EC}" id="{A8323EAD-5800-4279-B2D2-919B32924823}">
    <text>Margin and Labour figure only net of the 20% tax deduction</text>
  </threadedComment>
  <threadedComment ref="D32" dT="2023-10-09T14:55:46.59" personId="{8649F295-7209-41E4-A7EC-7029668950EC}" id="{9B9B9F86-9569-40B3-B43D-B55B54E22C8E}">
    <text>Margin only</text>
  </threadedComment>
  <threadedComment ref="Q36" dT="2023-11-07T12:17:22.71" personId="{8649F295-7209-41E4-A7EC-7029668950EC}" id="{B61D454A-9917-4037-A804-2A617D7F5478}">
    <text>Gross figure has been submitted by Dave.</text>
  </threadedComment>
  <threadedComment ref="M38" dT="2023-10-02T09:42:29.40" personId="{8649F295-7209-41E4-A7EC-7029668950EC}" id="{D6F7655A-D9EF-420A-934B-29185D49C274}">
    <text>Net of retention</text>
  </threadedComment>
  <threadedComment ref="Q38" dT="2023-10-26T09:02:58.72" personId="{8649F295-7209-41E4-A7EC-7029668950EC}" id="{98BFA31F-FD40-4159-8848-F2A6979EAA61}">
    <text xml:space="preserve">Additional gym work, final payment.
</text>
  </threadedComment>
  <threadedComment ref="R38" dT="2023-10-26T09:04:02.33" personId="{8649F295-7209-41E4-A7EC-7029668950EC}" id="{C14191BC-1AEB-48B0-97A4-8B3FB4C3F00D}">
    <text xml:space="preserve">Final account PC retention </text>
  </threadedComment>
  <threadedComment ref="N40" dT="2023-10-02T09:49:39.38" personId="{8649F295-7209-41E4-A7EC-7029668950EC}" id="{2172D075-48A5-4B6E-ACB1-AB7F733FBA02}">
    <text>After tax and retention. Received response from Stephen, confirmed that daywork sheets have been sent.
Stephen paid less than what was due.</text>
  </threadedComment>
  <threadedComment ref="Q40" dT="2023-10-26T10:03:42.08" personId="{8649F295-7209-41E4-A7EC-7029668950EC}" id="{9A35A4AC-B03A-4796-A1A9-CD99DE971FAC}">
    <text xml:space="preserve">October valuation including 20% reduction and materials
</text>
  </threadedComment>
  <threadedComment ref="T40" dT="2023-10-26T09:04:02.33" personId="{8649F295-7209-41E4-A7EC-7029668950EC}" id="{4424238D-3C48-4BC9-9247-F1C20B76C926}">
    <text>Final account PC retention, Dave gave figure.</text>
  </threadedComment>
  <threadedComment ref="D41" dT="2023-09-22T10:56:22.86" personId="{8649F295-7209-41E4-A7EC-7029668950EC}" id="{7093438D-0DEC-404D-9472-C0466D5B32A3}">
    <text>Margin and labour and materials (already ordered).</text>
  </threadedComment>
  <threadedComment ref="N41" dT="2023-10-02T09:46:03.10" personId="{8649F295-7209-41E4-A7EC-7029668950EC}" id="{3FF3775F-BD9F-4F8D-BD09-390B0A7DEF3C}">
    <text>After tax and after retention. Received response from Stephen, confirmed that daywork sheets have been sent.</text>
  </threadedComment>
  <threadedComment ref="Q41" dT="2023-11-01T12:52:37.94" personId="{8649F295-7209-41E4-A7EC-7029668950EC}" id="{A9918C57-8C0C-445A-9607-40C83E2BEEE5}">
    <text>1st Nov, this is the valuation Dave is submitting.</text>
  </threadedComment>
  <threadedComment ref="T41" dT="2023-11-07T12:14:38.70" personId="{8649F295-7209-41E4-A7EC-7029668950EC}" id="{F70BB729-FB9B-40B3-80EE-387D1CB45846}">
    <text>Dave to sit with OHLA and agree what will be achieved by this date. Dave to revert 14.11</text>
  </threadedComment>
  <threadedComment ref="I42" dT="2023-10-04T14:40:20.68" personId="{8649F295-7209-41E4-A7EC-7029668950EC}" id="{0705D8EA-7814-4609-BC4E-658D30827A87}">
    <text>Confirmation received from Ray this will land.</text>
  </threadedComment>
  <threadedComment ref="P43" dT="2023-10-26T09:15:26.31" personId="{8649F295-7209-41E4-A7EC-7029668950EC}" id="{27803C74-E38D-4924-A094-8755A4FACDBE}">
    <text>Need to talk with Ray in CDM to see if we can get some earl(ier) payment</text>
  </threadedComment>
  <threadedComment ref="G49" dT="2023-09-06T09:38:45.09" personId="{8649F295-7209-41E4-A7EC-7029668950EC}" id="{7BF46C0C-625C-4DD8-A82A-34425E43BF09}">
    <text>New calculations done, Ivan sent email to Flamestop. This is the current figure.</text>
  </threadedComment>
  <threadedComment ref="K49" dT="2023-09-19T12:07:38.70" personId="{8649F295-7209-41E4-A7EC-7029668950EC}" id="{9B793F82-AC76-42FC-BE73-1977895FF188}">
    <text>Valuation to be submitted 6/10</text>
  </threadedComment>
  <threadedComment ref="R49" dT="2023-09-19T12:07:56.22" personId="{8649F295-7209-41E4-A7EC-7029668950EC}" id="{C12A4CFA-0F33-46FC-B65B-44044C8431B7}">
    <text>Estimated figure based on 40% of remaining value</text>
  </threadedComment>
  <threadedComment ref="J50" dT="2023-10-05T12:51:58.52" personId="{8649F295-7209-41E4-A7EC-7029668950EC}" id="{5C74A504-656F-4D2D-A510-7AB1923BA8A5}">
    <text>Received into Bank 10 October</text>
  </threadedComment>
  <threadedComment ref="O51" dT="2023-10-26T09:27:56.04" personId="{8649F295-7209-41E4-A7EC-7029668950EC}" id="{6DA52726-F47B-46B8-80D2-925E1C5CC839}">
    <text>Ronan to send this to Graham Dinh this week.</text>
  </threadedComment>
  <threadedComment ref="K52" dT="2023-10-02T09:52:23.91" personId="{8649F295-7209-41E4-A7EC-7029668950EC}" id="{632CE5C1-B081-43D7-AA40-ED1FF8F4A2BB}">
    <text xml:space="preserve">Day work </text>
  </threadedComment>
  <threadedComment ref="C53" dT="2023-09-11T15:21:40.50" personId="{8649F295-7209-41E4-A7EC-7029668950EC}" id="{00BAAAC0-DEFF-4480-B978-9F6E01D2AB68}">
    <text>VAT to be charged?</text>
  </threadedComment>
  <threadedComment ref="M53" dT="2023-10-26T09:21:49.72" personId="{8649F295-7209-41E4-A7EC-7029668950EC}" id="{5878EA58-408F-41C0-863B-1A01ECFAE504}">
    <text>Ivan spoke to Amanda, payment will be made next week into bank.</text>
  </threadedComment>
  <threadedComment ref="C54" dT="2023-09-11T15:21:24.71" personId="{8649F295-7209-41E4-A7EC-7029668950EC}" id="{F049DE39-93FA-48AA-BDC4-53CAE3153185}">
    <text xml:space="preserve">VAT to be charged on top
</text>
  </threadedComment>
  <threadedComment ref="T54" dT="2023-09-12T11:21:31.73" personId="{8649F295-7209-41E4-A7EC-7029668950EC}" id="{AD2058C0-0050-4D94-A8A6-5237F85DD2D1}">
    <text>Need to confirm start date. No need for additional men, accounted for in the figures below</text>
  </threadedComment>
  <threadedComment ref="K55" dT="2023-09-11T10:54:15.60" personId="{8649F295-7209-41E4-A7EC-7029668950EC}" id="{D660B73F-9C7D-4847-AC40-CA1A95C51E4C}">
    <text>Job starting 13.9, two weeks to complete, invoice paid two weeks later.</text>
  </threadedComment>
  <threadedComment ref="D57" dT="2023-10-26T10:26:13.86" personId="{8649F295-7209-41E4-A7EC-7029668950EC}" id="{65B2593F-7ECB-4CAF-BB0E-85772E8137AD}">
    <text>2000m2 of sand and cement @ €20pmsq</text>
  </threadedComment>
  <threadedComment ref="V57" dT="2023-10-26T10:29:58.25" personId="{8649F295-7209-41E4-A7EC-7029668950EC}" id="{6A51C0DA-31B5-4CC9-8F46-2A0ABD9A5DA6}">
    <text xml:space="preserve">2 and 1 gang at 4 weeks. 500m per week </text>
  </threadedComment>
  <threadedComment ref="D59" dT="2023-10-26T14:12:19.15" personId="{8649F295-7209-41E4-A7EC-7029668950EC}" id="{7FA7D492-E208-4485-A5BC-5946CDAA7785}">
    <text>Labour + Margin only</text>
  </threadedComment>
  <threadedComment ref="F65" dT="2023-09-15T11:46:20.91" personId="{8649F295-7209-41E4-A7EC-7029668950EC}" id="{344ABA15-EE79-4C92-957B-E079B4EB91E5}">
    <text>Paid on 15.09 along with Flamestop aged above</text>
  </threadedComment>
  <threadedComment ref="J66" dT="2023-10-05T12:50:56.64" personId="{8649F295-7209-41E4-A7EC-7029668950EC}" id="{EF53CCB0-C008-4613-B4A7-C875755883D8}">
    <text>Maria is paying this along with 9163 (gross) from Kilashee.
Received 10 Oct</text>
  </threadedComment>
  <threadedComment ref="E67" dT="2023-09-06T09:36:18.61" personId="{8649F295-7209-41E4-A7EC-7029668950EC}" id="{19E46178-5FE2-4E65-806C-B8011C9F61DC}">
    <text>Move to more likely earlier week</text>
  </threadedComment>
  <threadedComment ref="F67" dT="2023-09-08T09:25:49.67" personId="{8649F295-7209-41E4-A7EC-7029668950EC}" id="{36AE26BD-7CAE-4B8F-86CB-88BFFFDE1E31}">
    <text>Residual due from payment made 8th Sept</text>
  </threadedComment>
  <threadedComment ref="D69" dT="2023-10-05T13:18:52.34" personId="{8649F295-7209-41E4-A7EC-7029668950EC}" id="{6A87BC25-DF66-41FC-A306-F0DB236C2B59}">
    <text>Retention and tax to come out.</text>
  </threadedComment>
  <threadedComment ref="J69" dT="2023-09-14T15:49:01.93" personId="{8649F295-7209-41E4-A7EC-7029668950EC}" id="{0CF549D6-05B0-4344-B149-F259E06C6FD0}">
    <text>Agreement to pay 30k gross, ronan met him on site 5/10
Received 10 October</text>
  </threadedComment>
  <threadedComment ref="B79" dT="2023-11-03T12:33:13.07" personId="{8649F295-7209-41E4-A7EC-7029668950EC}" id="{ECE9D30A-BFA7-4460-A823-BB0A71AC5346}">
    <text>Vasile, Catalin, Gheorge, Gheorge, Cosmin, Ion, Ilie, Mircea, Adrian, Marian.</text>
  </threadedComment>
  <threadedComment ref="B81" dT="2023-11-03T12:34:26.58" personId="{8649F295-7209-41E4-A7EC-7029668950EC}" id="{AB96E2D8-63DE-4045-A42A-6F04D0104B18}">
    <text>Edgar, Vasil Bulz, Vasil Ursaciuc, Flavian, Daniel</text>
  </threadedComment>
  <threadedComment ref="V81" dT="2023-10-18T15:08:29.05" personId="{8649F295-7209-41E4-A7EC-7029668950EC}" id="{74B354B0-D997-4F2B-B194-A9BDCA4AE4BD}">
    <text>Taken 3k off for xmas holiday</text>
  </threadedComment>
  <threadedComment ref="V82" dT="2023-10-18T15:05:04.47" personId="{8649F295-7209-41E4-A7EC-7029668950EC}" id="{6585AC79-F461-4F2F-AFBC-1DBE955689D0}">
    <text>Reduced figure to cater for Xmas holiday time off.</text>
  </threadedComment>
  <threadedComment ref="X82" dT="2023-10-18T14:58:44.88" personId="{8649F295-7209-41E4-A7EC-7029668950EC}" id="{A838A4B4-9247-4BE7-B1E7-812353EAC4AA}">
    <text>Reduction in staff needed from March onwards based on Beach road coming in and no other jobs included yet.</text>
  </threadedComment>
  <threadedComment ref="I86" dT="2023-10-02T10:20:12.38" personId="{8649F295-7209-41E4-A7EC-7029668950EC}" id="{71DA4818-7BCD-4557-9E50-E392E9205607}">
    <text>Including VAT</text>
  </threadedComment>
  <threadedComment ref="W88" dT="2023-11-06T17:33:45.41" personId="{8649F295-7209-41E4-A7EC-7029668950EC}" id="{D2FAFA8A-CA52-4CED-A672-1CFAC391A32F}">
    <text xml:space="preserve">Increase for new fleet, incl Jason maybe.
</text>
  </threadedComment>
  <threadedComment ref="H89" dT="2023-09-25T13:23:48.57" personId="{8649F295-7209-41E4-A7EC-7029668950EC}" id="{E3F55F17-53B7-47B2-8338-B6B43A0A96BB}">
    <text>470.23 fuel plus 200 easy trip</text>
  </threadedComment>
  <threadedComment ref="B92" dT="2023-09-04T11:54:13.55" personId="{8649F295-7209-41E4-A7EC-7029668950EC}" id="{AE9686AE-B07F-48A3-A536-600C91F6CDDD}">
    <text xml:space="preserve">Not due for 11 months
</text>
  </threadedComment>
  <threadedComment ref="C96" dT="2023-10-02T12:01:10.05" personId="{8649F295-7209-41E4-A7EC-7029668950EC}" id="{2FCEED11-54FC-4A35-897B-F89CC0D729D0}">
    <text>May statement of €8659 plus June, July, August added</text>
  </threadedComment>
  <threadedComment ref="I96" dT="2023-10-02T12:03:06.58" personId="{8649F295-7209-41E4-A7EC-7029668950EC}" id="{6F886E83-8684-44C9-B45B-D5B8065B31CE}">
    <text>September payment</text>
  </threadedComment>
  <threadedComment ref="M97" dT="2023-11-03T12:23:27.30" personId="{8649F295-7209-41E4-A7EC-7029668950EC}" id="{767E9F66-D8A2-4806-89A8-3E7E98B48D50}">
    <text xml:space="preserve">Move to next week.
</text>
  </threadedComment>
  <threadedComment ref="J98" dT="2023-10-13T21:52:26.42" personId="{8649F295-7209-41E4-A7EC-7029668950EC}" id="{8F14A064-1F86-4AF7-AB7A-ECB00B412CF7}">
    <text>Check to make sure this is a credit card payment</text>
  </threadedComment>
  <threadedComment ref="S99" dT="2023-11-06T17:31:49.24" personId="{8649F295-7209-41E4-A7EC-7029668950EC}" id="{BD5E5597-B582-47E4-9162-411B7C2956DA}">
    <text>Quarterly overdraft interest (estimated)</text>
  </threadedComment>
  <threadedComment ref="M115" dT="2023-09-04T10:25:00.60" personId="{8649F295-7209-41E4-A7EC-7029668950EC}" id="{798610D7-E049-485F-8231-437CDECB8A6D}">
    <text xml:space="preserve">Proposal to be sent
</text>
  </threadedComment>
  <threadedComment ref="L116" dT="2023-09-22T11:19:45.33" personId="{8649F295-7209-41E4-A7EC-7029668950EC}" id="{E5671911-6C42-475A-B4D2-B8A92D6E3A5B}">
    <text xml:space="preserve">SIG bal as at 22.09 plus materials for Rhenus. Total was 44k, paid 30k early 17.10  </text>
  </threadedComment>
  <threadedComment ref="R116" dT="2023-09-29T13:31:54.50" personId="{8649F295-7209-41E4-A7EC-7029668950EC}" id="{59E3FCCD-03C2-48DB-80BA-BB5DD41763A6}">
    <text>This assumes we will use all our credit line with SIG.</text>
  </threadedComment>
  <threadedComment ref="U116" dT="2023-10-27T12:38:53.31" personId="{8649F295-7209-41E4-A7EC-7029668950EC}" id="{B64925A7-F066-4E7E-8CEF-B73AB127226E}">
    <text xml:space="preserve">This is the remainder of the SIG account balance as at 27.10 which is the email from Laura Peters showing €75,976 balance plus a further €8,204 orders placed after her statement came out.
</text>
  </threadedComment>
  <threadedComment ref="I119" dT="2023-09-26T11:53:43.95" personId="{8649F295-7209-41E4-A7EC-7029668950EC}" id="{F463A192-96BB-4BEE-AFA2-FF31385F6611}">
    <text>This figure along with Week 5 and Nov and Dec payments clear the account balance as at 25/9 of €22967</text>
  </threadedComment>
  <threadedComment ref="H120" dT="2023-09-19T13:50:58.67" personId="{8649F295-7209-41E4-A7EC-7029668950EC}" id="{8052A6F5-A03C-4743-97F8-D0729432BA91}">
    <text>May and July owing. Agreed with Anne to pay half in Sept, and half in October.</text>
  </threadedComment>
  <threadedComment ref="L120" dT="2023-09-19T13:50:58.67" personId="{8649F295-7209-41E4-A7EC-7029668950EC}" id="{EA53E666-52E8-497E-857C-FB7D2BD13661}">
    <text>May and July owing. Agreed with Anne to pay half in Sept, and half in October.</text>
  </threadedComment>
  <threadedComment ref="F121" dT="2023-09-11T15:27:45.89" personId="{8649F295-7209-41E4-A7EC-7029668950EC}" id="{44490909-BFF6-4EE8-8A2F-70BFB5C54CA9}">
    <text>Make early payment to release</text>
  </threadedComment>
  <threadedComment ref="M122" dT="2023-11-03T12:25:31.31" personId="{8649F295-7209-41E4-A7EC-7029668950EC}" id="{92632C56-0355-4BC0-B431-087C135273F8}">
    <text>Payment made for cash delivery</text>
  </threadedComment>
  <threadedComment ref="P122" dT="2023-10-06T09:10:22.52" personId="{8649F295-7209-41E4-A7EC-7029668950EC}" id="{EE7894AF-6293-4212-AB8D-E5BAC486FD5E}">
    <text>Ordered in October</text>
  </threadedComment>
  <threadedComment ref="Q122" dT="2023-10-25T11:33:06.83" personId="{8649F295-7209-41E4-A7EC-7029668950EC}" id="{B8188190-5523-4DBC-A13C-F9CD025449F6}">
    <text>Two orders placed for Belmayne and Rhenus</text>
  </threadedComment>
  <threadedComment ref="F131" dT="2023-09-18T10:52:31.53" personId="{8649F295-7209-41E4-A7EC-7029668950EC}" id="{9CACC3D0-ACB8-4E15-9ABA-69C365C41075}">
    <text xml:space="preserve">Actual bal start of week 3
</text>
  </threadedComment>
  <threadedComment ref="H131" dT="2023-10-02T09:40:25.25" personId="{8649F295-7209-41E4-A7EC-7029668950EC}" id="{30C58B8D-AB1F-4D8A-8C82-4EBCDED8B53A}">
    <text>Actual bank balance coming into week 5</text>
  </threadedComment>
  <threadedComment ref="I131" dT="2023-10-09T11:45:56.60" personId="{8649F295-7209-41E4-A7EC-7029668950EC}" id="{7B6F045B-4920-4F6A-9132-FE0884FD3012}">
    <text>Actual balance @ 6th October COB</text>
  </threadedComment>
  <threadedComment ref="J131" dT="2023-10-16T15:49:21.62" personId="{8649F295-7209-41E4-A7EC-7029668950EC}" id="{2D7F9E57-0E85-4F0E-8035-94F65A8AE9BE}">
    <text xml:space="preserve">Spreadsheet balance matches actual bal from Bank coming into 16.10
</text>
  </threadedComment>
  <threadedComment ref="K131" dT="2023-10-23T16:59:43.04" personId="{8649F295-7209-41E4-A7EC-7029668950EC}" id="{F107AE1C-23BE-4BEF-B235-D16A50F04AB7}">
    <text>Spreadsheet balance and bank balance match coming into week 23.10</text>
  </threadedComment>
  <threadedComment ref="L131" dT="2023-10-27T17:56:21.63" personId="{8649F295-7209-41E4-A7EC-7029668950EC}" id="{F214537B-9EB9-4E0A-B0C7-0F94EBCD2A62}">
    <text xml:space="preserve">Bank balance is €24,715 which is much the same.
</text>
  </threadedComment>
  <threadedComment ref="M131" dT="2023-11-03T13:58:26.28" personId="{8649F295-7209-41E4-A7EC-7029668950EC}" id="{D136D93D-4EDD-49A1-B0B1-F12F1902B289}">
    <text xml:space="preserve">This exactly matches the bank balance on Sunday evening 5/11 </text>
  </threadedComment>
  <threadedComment ref="D140" dT="2023-09-08T08:15:07.03" personId="{8649F295-7209-41E4-A7EC-7029668950EC}" id="{FB446C06-4829-4D3B-B091-57D12749170A}">
    <text>On hold 8.9.23</text>
  </threadedComment>
  <threadedComment ref="C145" dT="2023-09-15T11:08:39.48" personId="{8649F295-7209-41E4-A7EC-7029668950EC}" id="{67C4240D-87B0-4E29-A3F1-C91E91CD9475}">
    <text>Unlikely to go ahead</text>
  </threadedComment>
  <threadedComment ref="D145" dT="2023-08-31T12:47:29.12" personId="{A73808F2-AF7C-4A12-92E3-E390CEC4A88D}" id="{7E93FA69-E5DD-4244-904A-843FFACCE38D}">
    <text xml:space="preserve">Figures coming from email sent to Graham on 31.08 </text>
  </threadedComment>
  <threadedComment ref="D145" dT="2023-09-15T11:08:53.19" personId="{8649F295-7209-41E4-A7EC-7029668950EC}" id="{1AC44354-E1A8-458A-951E-A52D918ABEE8}" parentId="{7E93FA69-E5DD-4244-904A-843FFACCE38D}">
    <text>Unlikely to go ahead</text>
  </threadedComment>
</ThreadedComments>
</file>

<file path=xl/threadedComments/threadedComment11.xml><?xml version="1.0" encoding="utf-8"?>
<ThreadedComments xmlns="http://schemas.microsoft.com/office/spreadsheetml/2018/threadedcomments" xmlns:x="http://schemas.openxmlformats.org/spreadsheetml/2006/main">
  <threadedComment ref="S12" dT="2023-11-01T12:13:58.01" personId="{8649F295-7209-41E4-A7EC-7029668950EC}" id="{33380B5B-8964-493D-B313-4BF41CD9CC43}">
    <text>1st Nov Jason spoke to Pamela in Townlink, she said that they are on site snagging and that we should forecast to receive retention mid Dec.</text>
  </threadedComment>
  <threadedComment ref="D26" dT="2023-09-18T13:20:36.62" personId="{8649F295-7209-41E4-A7EC-7029668950EC}" id="{4274B13C-8711-4EF7-8B8E-7C7350944E47}">
    <text>Gross figure incl labour, materials, margin
The project value increased by 16k net and has been added to the December receivable, it may come in sooner.</text>
  </threadedComment>
  <threadedComment ref="I26" dT="2023-09-12T09:36:42.72" personId="{8649F295-7209-41E4-A7EC-7029668950EC}" id="{2B0BC094-A62C-4200-BBE9-41F2BEFA9B77}">
    <text>Valuation submitted end August less up front material payment of 60k</text>
  </threadedComment>
  <threadedComment ref="U26" dT="2023-10-26T09:42:35.34" personId="{8649F295-7209-41E4-A7EC-7029668950EC}" id="{EEDD4E2A-813F-47CB-8A97-AC40D5C0A0DC}">
    <text>This represents final payment plus PC Retention of 2.5%</text>
  </threadedComment>
  <threadedComment ref="Q27" dT="2023-10-25T11:11:27.17" personId="{8649F295-7209-41E4-A7EC-7029668950EC}" id="{D5900460-1B47-4C4A-9011-A910C20F8CFE}">
    <text>Invoice sent</text>
  </threadedComment>
  <threadedComment ref="D29" dT="2023-09-22T13:17:52.78" personId="{8649F295-7209-41E4-A7EC-7029668950EC}" id="{0F598AFD-A5F7-4497-AA32-92101000DD40}">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L29" dT="2023-10-09T14:05:04.94" personId="{8649F295-7209-41E4-A7EC-7029668950EC}" id="{7FCADCD6-D8B6-4F7E-B207-0E43E6B6DCB0}">
    <text>Project start for 24 weeks.  This figure landed in bank Monday 23rd morning.</text>
  </threadedComment>
  <threadedComment ref="M29" dT="2023-10-26T09:14:20.38" personId="{8649F295-7209-41E4-A7EC-7029668950EC}" id="{5535B016-3058-4698-A373-DDE2BD69B6D3}">
    <text xml:space="preserve">Dave submitted this figure to TSK 1/11
We were expecting to receive €37143.56 less 20% tax = €29,715
</text>
  </threadedComment>
  <threadedComment ref="R29" dT="2023-10-17T13:52:09.26" personId="{8649F295-7209-41E4-A7EC-7029668950EC}" id="{6DA93280-670E-4F57-97C2-DF0521F89643}">
    <text>Includes value of Floor 7 closing</text>
  </threadedComment>
  <threadedComment ref="T29" dT="2023-10-17T13:52:25.41" personId="{8649F295-7209-41E4-A7EC-7029668950EC}" id="{CA27B3FB-2606-49C9-9707-6816E50F749F}">
    <text>Includes value of floor 6 closing</text>
  </threadedComment>
  <threadedComment ref="V29" dT="2023-10-17T14:06:19.65" personId="{8649F295-7209-41E4-A7EC-7029668950EC}" id="{8244E8C0-72C6-46EB-B0D6-C9F82F63CB22}">
    <text xml:space="preserve">This sum is 40% of the balance of the €602 total value of the job.
</text>
  </threadedComment>
  <threadedComment ref="W29" dT="2023-10-17T14:06:19.65" personId="{8649F295-7209-41E4-A7EC-7029668950EC}" id="{B378BF47-A558-4511-86AB-287C25111E3B}">
    <text xml:space="preserve">This sum is 40% of the balance of the €602 total value of the job.
</text>
  </threadedComment>
  <threadedComment ref="X29" dT="2023-10-17T14:06:19.65" personId="{8649F295-7209-41E4-A7EC-7029668950EC}" id="{D8D433D0-8278-4379-8894-1016EF1229C1}">
    <text xml:space="preserve">This sum is the remaining 20% of the balance of the €602 total value of the job.
</text>
  </threadedComment>
  <threadedComment ref="Y29" dT="2023-10-26T09:40:24.64" personId="{8649F295-7209-41E4-A7EC-7029668950EC}" id="{87EE9548-7984-42D2-939B-693B4AE20459}">
    <text>2.5% PC Retention</text>
  </threadedComment>
  <threadedComment ref="D31" dT="2023-10-09T14:54:57.18" personId="{8649F295-7209-41E4-A7EC-7029668950EC}" id="{39E662FE-A6F5-4A79-A63F-B624CB66C6E9}">
    <text>Margin and Labour figure only net of the 20% tax deduction</text>
  </threadedComment>
  <threadedComment ref="D32" dT="2023-10-09T14:55:46.59" personId="{8649F295-7209-41E4-A7EC-7029668950EC}" id="{4E9624BA-9026-47CD-8F5D-DD7BAE124BCC}">
    <text>Margin only</text>
  </threadedComment>
  <threadedComment ref="Q36" dT="2023-11-07T12:17:22.71" personId="{8649F295-7209-41E4-A7EC-7029668950EC}" id="{6320FA39-F4BD-44E2-A37A-404494FF3326}">
    <text>Gross figure has been submitted by Dave.</text>
  </threadedComment>
  <threadedComment ref="M38" dT="2023-10-02T09:42:29.40" personId="{8649F295-7209-41E4-A7EC-7029668950EC}" id="{6151EEA9-019C-456D-9201-A0D6C1FE5B93}">
    <text>Net of retention</text>
  </threadedComment>
  <threadedComment ref="Q38" dT="2023-10-26T09:02:58.72" personId="{8649F295-7209-41E4-A7EC-7029668950EC}" id="{3555430D-0F19-4DBB-981E-F5741B942E88}">
    <text xml:space="preserve">Additional gym work, final payment.
</text>
  </threadedComment>
  <threadedComment ref="R38" dT="2023-10-26T09:04:02.33" personId="{8649F295-7209-41E4-A7EC-7029668950EC}" id="{6F63BAE1-2E2D-4B09-8316-C25438FC7D5E}">
    <text xml:space="preserve">Final account PC retention </text>
  </threadedComment>
  <threadedComment ref="N40" dT="2023-10-02T09:49:39.38" personId="{8649F295-7209-41E4-A7EC-7029668950EC}" id="{6D70DC47-93C5-4889-835A-B42EA7F2E712}">
    <text>After tax and retention. Received response from Stephen, confirmed that daywork sheets have been sent.
Stephen paid less than what was due.</text>
  </threadedComment>
  <threadedComment ref="Q40" dT="2023-10-26T10:03:42.08" personId="{8649F295-7209-41E4-A7EC-7029668950EC}" id="{1D7810A3-3E62-4773-A076-5AA62FB8054D}">
    <text xml:space="preserve">October valuation including 20% reduction and materials
</text>
  </threadedComment>
  <threadedComment ref="T40" dT="2023-10-26T09:04:02.33" personId="{8649F295-7209-41E4-A7EC-7029668950EC}" id="{C80180DE-015D-4E47-882E-DB235C225884}">
    <text>Final account PC retention, Dave gave figure.</text>
  </threadedComment>
  <threadedComment ref="D41" dT="2023-09-22T10:56:22.86" personId="{8649F295-7209-41E4-A7EC-7029668950EC}" id="{067C2DC2-C80E-4D9B-B6D7-481F61BBE3CC}">
    <text>Margin and labour and materials (already ordered).</text>
  </threadedComment>
  <threadedComment ref="N41" dT="2023-10-02T09:46:03.10" personId="{8649F295-7209-41E4-A7EC-7029668950EC}" id="{A8E6431B-C6A1-4F7D-A60E-D7F04461F7EF}">
    <text>After tax and after retention. Received response from Stephen, confirmed that daywork sheets have been sent.</text>
  </threadedComment>
  <threadedComment ref="Q41" dT="2023-11-01T12:52:37.94" personId="{8649F295-7209-41E4-A7EC-7029668950EC}" id="{30412654-9F42-48AE-B0D0-EF2AC0AF66E4}">
    <text>1st Nov, this is the valuation Dave is submitting.</text>
  </threadedComment>
  <threadedComment ref="T41" dT="2023-11-07T12:14:38.70" personId="{8649F295-7209-41E4-A7EC-7029668950EC}" id="{3E14EEBC-7A58-4DD1-AE6E-6478839BC4DB}">
    <text>Dave to sit with OHLA and agree what will be achieved by this date. Dave to revert 14.11</text>
  </threadedComment>
  <threadedComment ref="I42" dT="2023-10-04T14:40:20.68" personId="{8649F295-7209-41E4-A7EC-7029668950EC}" id="{06FEB3B0-9420-4FCC-8B70-CF1A718D1FC0}">
    <text>Confirmation received from Ray this will land.</text>
  </threadedComment>
  <threadedComment ref="P43" dT="2023-10-26T09:15:26.31" personId="{8649F295-7209-41E4-A7EC-7029668950EC}" id="{25B92F05-3A93-45BB-BB8F-D0128ACFBAC4}">
    <text>Need to talk with Ray in CDM to see if we can get some earl(ier) payment</text>
  </threadedComment>
  <threadedComment ref="G49" dT="2023-09-06T09:38:45.09" personId="{8649F295-7209-41E4-A7EC-7029668950EC}" id="{48245B5B-1CD2-46F9-B09A-EE80FB375E17}">
    <text>New calculations done, Ivan sent email to Flamestop. This is the current figure.</text>
  </threadedComment>
  <threadedComment ref="K49" dT="2023-09-19T12:07:38.70" personId="{8649F295-7209-41E4-A7EC-7029668950EC}" id="{01F7BC81-0661-4468-8EAD-1B665D37BE61}">
    <text>Valuation to be submitted 6/10</text>
  </threadedComment>
  <threadedComment ref="R49" dT="2023-09-19T12:07:56.22" personId="{8649F295-7209-41E4-A7EC-7029668950EC}" id="{1497F3E8-8B98-4BFD-B9A4-AEC515AC999C}">
    <text>Estimated figure based on 40% of remaining value</text>
  </threadedComment>
  <threadedComment ref="J50" dT="2023-10-05T12:51:58.52" personId="{8649F295-7209-41E4-A7EC-7029668950EC}" id="{B07551CC-F7D4-4FA0-981E-6D26C64345B0}">
    <text>Received into Bank 10 October</text>
  </threadedComment>
  <threadedComment ref="O51" dT="2023-10-26T09:27:56.04" personId="{8649F295-7209-41E4-A7EC-7029668950EC}" id="{ED7A1F5F-3468-466B-B57B-0CDD6C018276}">
    <text>Ronan to send this to Graham Dinh this week.</text>
  </threadedComment>
  <threadedComment ref="K52" dT="2023-10-02T09:52:23.91" personId="{8649F295-7209-41E4-A7EC-7029668950EC}" id="{6034F308-51C9-4BA6-A3A9-DCB85CB1AE04}">
    <text xml:space="preserve">Day work </text>
  </threadedComment>
  <threadedComment ref="C53" dT="2023-09-11T15:21:40.50" personId="{8649F295-7209-41E4-A7EC-7029668950EC}" id="{B7411028-EEF3-43F2-A1A7-9F1E0D902775}">
    <text>VAT to be charged?</text>
  </threadedComment>
  <threadedComment ref="M53" dT="2023-10-26T09:21:49.72" personId="{8649F295-7209-41E4-A7EC-7029668950EC}" id="{99B91EF2-4EFB-463E-BFBC-0FB7FF6FCFDE}">
    <text>Ivan spoke to Amanda, payment will be made next week into bank.</text>
  </threadedComment>
  <threadedComment ref="C54" dT="2023-09-11T15:21:24.71" personId="{8649F295-7209-41E4-A7EC-7029668950EC}" id="{DA21247E-6C6F-438E-A27A-AFB203D93251}">
    <text xml:space="preserve">VAT to be charged on top
</text>
  </threadedComment>
  <threadedComment ref="T54" dT="2023-09-12T11:21:31.73" personId="{8649F295-7209-41E4-A7EC-7029668950EC}" id="{C0243781-D597-4C4F-A07E-9346C8A865F5}">
    <text>Need to confirm start date. No need for additional men, accounted for in the figures below</text>
  </threadedComment>
  <threadedComment ref="K55" dT="2023-09-11T10:54:15.60" personId="{8649F295-7209-41E4-A7EC-7029668950EC}" id="{61B2E327-C959-44A6-A6F6-3D0648E46A35}">
    <text>Job starting 13.9, two weeks to complete, invoice paid two weeks later.</text>
  </threadedComment>
  <threadedComment ref="D57" dT="2023-10-26T10:26:13.86" personId="{8649F295-7209-41E4-A7EC-7029668950EC}" id="{195355E8-52DF-4A9C-BF8D-99C88E5492A6}">
    <text>2000m2 of sand and cement @ €20pmsq</text>
  </threadedComment>
  <threadedComment ref="V57" dT="2023-10-26T10:29:58.25" personId="{8649F295-7209-41E4-A7EC-7029668950EC}" id="{ACD24569-2FB7-425C-9F37-9F93CDD2B090}">
    <text xml:space="preserve">2 and 1 gang at 4 weeks. 500m per week </text>
  </threadedComment>
  <threadedComment ref="D59" dT="2023-10-26T14:12:19.15" personId="{8649F295-7209-41E4-A7EC-7029668950EC}" id="{2BCF0635-947A-47B1-9D36-B8EA4C1C4B9E}">
    <text>Labour + Margin only</text>
  </threadedComment>
  <threadedComment ref="F65" dT="2023-09-15T11:46:20.91" personId="{8649F295-7209-41E4-A7EC-7029668950EC}" id="{97056C8F-208D-4560-BEC6-58417B165FDB}">
    <text>Paid on 15.09 along with Flamestop aged above</text>
  </threadedComment>
  <threadedComment ref="J66" dT="2023-10-05T12:50:56.64" personId="{8649F295-7209-41E4-A7EC-7029668950EC}" id="{5D934A69-E6C3-42B3-B75C-3B5438BC7606}">
    <text>Maria is paying this along with 9163 (gross) from Kilashee.
Received 10 Oct</text>
  </threadedComment>
  <threadedComment ref="E67" dT="2023-09-06T09:36:18.61" personId="{8649F295-7209-41E4-A7EC-7029668950EC}" id="{13D81016-B864-4C73-BA0C-AC263D8501E4}">
    <text>Move to more likely earlier week</text>
  </threadedComment>
  <threadedComment ref="F67" dT="2023-09-08T09:25:49.67" personId="{8649F295-7209-41E4-A7EC-7029668950EC}" id="{27830B4D-C425-43C3-8D49-F3F2177C59AA}">
    <text>Residual due from payment made 8th Sept</text>
  </threadedComment>
  <threadedComment ref="D69" dT="2023-10-05T13:18:52.34" personId="{8649F295-7209-41E4-A7EC-7029668950EC}" id="{E6A932FB-536A-4077-894E-7599F7082623}">
    <text>Retention and tax to come out.</text>
  </threadedComment>
  <threadedComment ref="J69" dT="2023-09-14T15:49:01.93" personId="{8649F295-7209-41E4-A7EC-7029668950EC}" id="{360D2842-9676-4F35-B46E-2ED5710E6BCA}">
    <text>Agreement to pay 30k gross, ronan met him on site 5/10
Received 10 October</text>
  </threadedComment>
  <threadedComment ref="B79" dT="2023-11-03T12:33:13.07" personId="{8649F295-7209-41E4-A7EC-7029668950EC}" id="{B1E86C12-7534-43D9-B8EF-27E70F1B0232}">
    <text>Vasile, Catalin, Gheorge, Gheorge, Cosmin, Ion, Ilie, Mircea, Adrian, Marian.</text>
  </threadedComment>
  <threadedComment ref="B81" dT="2023-11-03T12:34:26.58" personId="{8649F295-7209-41E4-A7EC-7029668950EC}" id="{54937B07-115E-4ECA-A1AD-D1F837121701}">
    <text>Edgar, Vasil Bulz, Vasil Ursaciuc, Flavian, Daniel</text>
  </threadedComment>
  <threadedComment ref="V81" dT="2023-10-18T15:08:29.05" personId="{8649F295-7209-41E4-A7EC-7029668950EC}" id="{A8698ECC-D209-4590-B643-7A78D2DA0DEF}">
    <text>Taken 3k off for xmas holiday</text>
  </threadedComment>
  <threadedComment ref="V82" dT="2023-10-18T15:05:04.47" personId="{8649F295-7209-41E4-A7EC-7029668950EC}" id="{BCFA4FD5-DCBC-462B-B90A-61BD38481FBA}">
    <text>Reduced figure to cater for Xmas holiday time off.</text>
  </threadedComment>
  <threadedComment ref="X82" dT="2023-10-18T14:58:44.88" personId="{8649F295-7209-41E4-A7EC-7029668950EC}" id="{AEC591D2-717B-4EDD-9A3A-5B0F12F00426}">
    <text>Reduction in staff needed from March onwards based on Beach road coming in and no other jobs included yet.</text>
  </threadedComment>
  <threadedComment ref="I86" dT="2023-10-02T10:20:12.38" personId="{8649F295-7209-41E4-A7EC-7029668950EC}" id="{4C832F39-151E-4A7C-A70A-A7221DE0993D}">
    <text>Including VAT</text>
  </threadedComment>
  <threadedComment ref="W88" dT="2023-11-06T17:33:45.41" personId="{8649F295-7209-41E4-A7EC-7029668950EC}" id="{61B50CD7-7182-425F-A95A-6E084FC2C0C2}">
    <text xml:space="preserve">Increase for new fleet, incl Jason maybe.
</text>
  </threadedComment>
  <threadedComment ref="H89" dT="2023-09-25T13:23:48.57" personId="{8649F295-7209-41E4-A7EC-7029668950EC}" id="{FC562A41-D570-4E29-BEE4-51843599CE98}">
    <text>470.23 fuel plus 200 easy trip</text>
  </threadedComment>
  <threadedComment ref="B92" dT="2023-09-04T11:54:13.55" personId="{8649F295-7209-41E4-A7EC-7029668950EC}" id="{705582B7-A4AE-48D6-A91B-A5E775F7EC38}">
    <text xml:space="preserve">Not due for 11 months
</text>
  </threadedComment>
  <threadedComment ref="C96" dT="2023-10-02T12:01:10.05" personId="{8649F295-7209-41E4-A7EC-7029668950EC}" id="{9750085F-F0B3-4044-BEFC-A8873F8ACEC0}">
    <text>May statement of €8659 plus June, July, August added</text>
  </threadedComment>
  <threadedComment ref="I96" dT="2023-10-02T12:03:06.58" personId="{8649F295-7209-41E4-A7EC-7029668950EC}" id="{4F09C787-386A-42DE-9B8C-FF0C51A04B08}">
    <text>September payment</text>
  </threadedComment>
  <threadedComment ref="M97" dT="2023-11-03T12:23:27.30" personId="{8649F295-7209-41E4-A7EC-7029668950EC}" id="{FF72DCE1-3823-4C9E-AEEF-2B4B0933DB7C}">
    <text xml:space="preserve">Move to next week.
</text>
  </threadedComment>
  <threadedComment ref="J98" dT="2023-10-13T21:52:26.42" personId="{8649F295-7209-41E4-A7EC-7029668950EC}" id="{35DB5BB7-FA45-4684-BE0D-226BA4621970}">
    <text>Check to make sure this is a credit card payment</text>
  </threadedComment>
  <threadedComment ref="S99" dT="2023-11-06T17:31:49.24" personId="{8649F295-7209-41E4-A7EC-7029668950EC}" id="{3EB73CC3-6B4C-4CA4-B7F6-72A60A591817}">
    <text>Quarterly overdraft interest (estimated)</text>
  </threadedComment>
  <threadedComment ref="M115" dT="2023-09-04T10:25:00.60" personId="{8649F295-7209-41E4-A7EC-7029668950EC}" id="{22EADF4A-B4AF-4944-82CF-9555759DE677}">
    <text xml:space="preserve">Proposal to be sent
</text>
  </threadedComment>
  <threadedComment ref="L116" dT="2023-09-22T11:19:45.33" personId="{8649F295-7209-41E4-A7EC-7029668950EC}" id="{FECAF89B-D4B9-4D56-831F-49B58D681CF8}">
    <text xml:space="preserve">SIG bal as at 22.09 plus materials for Rhenus. Total was 44k, paid 30k early 17.10  </text>
  </threadedComment>
  <threadedComment ref="Q116" dT="2023-09-29T13:31:54.50" personId="{8649F295-7209-41E4-A7EC-7029668950EC}" id="{DCC7C394-E82A-4BAB-8871-145A54FF27F3}">
    <text>This assumes we will use all our credit line with SIG.</text>
  </threadedComment>
  <threadedComment ref="U116" dT="2023-10-27T12:38:53.31" personId="{8649F295-7209-41E4-A7EC-7029668950EC}" id="{A3C2260B-D346-4868-9FD6-B54911ACD3C2}">
    <text xml:space="preserve">This is the remainder of the SIG account balance as at 27.10 which is the email from Laura Peters showing €75,976 balance plus a further €8,204 orders placed after her statement came out.
</text>
  </threadedComment>
  <threadedComment ref="I119" dT="2023-09-26T11:53:43.95" personId="{8649F295-7209-41E4-A7EC-7029668950EC}" id="{67A595EE-31B6-4CFF-9329-B9B7DB0D0984}">
    <text>This figure along with Week 5 and Nov and Dec payments clear the account balance as at 25/9 of €22967</text>
  </threadedComment>
  <threadedComment ref="H120" dT="2023-09-19T13:50:58.67" personId="{8649F295-7209-41E4-A7EC-7029668950EC}" id="{48CBF2BA-8FE3-472E-9937-1095B7571775}">
    <text>May and July owing. Agreed with Anne to pay half in Sept, and half in October.</text>
  </threadedComment>
  <threadedComment ref="L120" dT="2023-09-19T13:50:58.67" personId="{8649F295-7209-41E4-A7EC-7029668950EC}" id="{E8FFE713-EE40-4973-8052-E11FB69EF969}">
    <text>May and July owing. Agreed with Anne to pay half in Sept, and half in October.</text>
  </threadedComment>
  <threadedComment ref="F121" dT="2023-09-11T15:27:45.89" personId="{8649F295-7209-41E4-A7EC-7029668950EC}" id="{B4399E35-C20B-47D8-956F-CB48BF06EF73}">
    <text>Make early payment to release</text>
  </threadedComment>
  <threadedComment ref="M122" dT="2023-11-03T12:25:31.31" personId="{8649F295-7209-41E4-A7EC-7029668950EC}" id="{ECD222A3-CE9E-41AC-A035-7140979372F9}">
    <text>Payment made for cash delivery</text>
  </threadedComment>
  <threadedComment ref="Q122" dT="2023-10-06T09:10:22.52" personId="{8649F295-7209-41E4-A7EC-7029668950EC}" id="{29CA7353-2409-4298-8CCF-465684B7FE49}">
    <text>Ordered in October</text>
  </threadedComment>
  <threadedComment ref="U122" dT="2023-10-25T11:33:06.83" personId="{8649F295-7209-41E4-A7EC-7029668950EC}" id="{F559E381-4058-4329-8C1F-DAD4F5A0A967}">
    <text>Two orders placed for Belmayne and Rhenus</text>
  </threadedComment>
  <threadedComment ref="F131" dT="2023-09-18T10:52:31.53" personId="{8649F295-7209-41E4-A7EC-7029668950EC}" id="{D7A6198A-B3D6-46EC-A2C5-FF85889200CB}">
    <text xml:space="preserve">Actual bal start of week 3
</text>
  </threadedComment>
  <threadedComment ref="H131" dT="2023-10-02T09:40:25.25" personId="{8649F295-7209-41E4-A7EC-7029668950EC}" id="{F5657584-250D-4EAE-8BA4-36B7A95CA724}">
    <text>Actual bank balance coming into week 5</text>
  </threadedComment>
  <threadedComment ref="I131" dT="2023-10-09T11:45:56.60" personId="{8649F295-7209-41E4-A7EC-7029668950EC}" id="{3F676BB7-5B25-4DA3-9CB1-16BA92784CAF}">
    <text>Actual balance @ 6th October COB</text>
  </threadedComment>
  <threadedComment ref="J131" dT="2023-10-16T15:49:21.62" personId="{8649F295-7209-41E4-A7EC-7029668950EC}" id="{6231947E-1DDC-4514-8CEF-CAD218FD23DA}">
    <text xml:space="preserve">Spreadsheet balance matches actual bal from Bank coming into 16.10
</text>
  </threadedComment>
  <threadedComment ref="K131" dT="2023-10-23T16:59:43.04" personId="{8649F295-7209-41E4-A7EC-7029668950EC}" id="{197B7414-414F-48F6-A989-30A7281E2A29}">
    <text>Spreadsheet balance and bank balance match coming into week 23.10</text>
  </threadedComment>
  <threadedComment ref="L131" dT="2023-10-27T17:56:21.63" personId="{8649F295-7209-41E4-A7EC-7029668950EC}" id="{6919D1DA-182A-41E9-BB90-4052D7F34252}">
    <text xml:space="preserve">Bank balance is €24,715 which is much the same.
</text>
  </threadedComment>
  <threadedComment ref="M131" dT="2023-11-03T13:58:26.28" personId="{8649F295-7209-41E4-A7EC-7029668950EC}" id="{ACA5D7E7-8C23-486C-942A-57BAFB3F5CB4}">
    <text xml:space="preserve">This exactly matches the bank balance on Sunday evening 5/11 </text>
  </threadedComment>
  <threadedComment ref="D140" dT="2023-09-08T08:15:07.03" personId="{8649F295-7209-41E4-A7EC-7029668950EC}" id="{7B2B8A81-FBD1-4E47-A361-6A5B146DF953}">
    <text>On hold 8.9.23</text>
  </threadedComment>
  <threadedComment ref="C145" dT="2023-09-15T11:08:39.48" personId="{8649F295-7209-41E4-A7EC-7029668950EC}" id="{4FC96E87-145A-4522-8AB9-2213FE47F1D3}">
    <text>Unlikely to go ahead</text>
  </threadedComment>
  <threadedComment ref="D145" dT="2023-08-31T12:47:29.12" personId="{A73808F2-AF7C-4A12-92E3-E390CEC4A88D}" id="{72A2A36E-FE1D-4600-BB3A-244F659576AB}">
    <text xml:space="preserve">Figures coming from email sent to Graham on 31.08 </text>
  </threadedComment>
  <threadedComment ref="D145" dT="2023-09-15T11:08:53.19" personId="{8649F295-7209-41E4-A7EC-7029668950EC}" id="{776BA411-ED2A-43BA-8F14-972821E280BB}" parentId="{72A2A36E-FE1D-4600-BB3A-244F659576AB}">
    <text>Unlikely to go ahead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 Id="rId4" Type="http://schemas.microsoft.com/office/2017/10/relationships/threadedComment" Target="../threadedComments/threadedComment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 Id="rId4" Type="http://schemas.microsoft.com/office/2017/10/relationships/threadedComment" Target="../threadedComments/threadedComment9.x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 Id="rId4" Type="http://schemas.microsoft.com/office/2017/10/relationships/threadedComment" Target="../threadedComments/threadedComment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19C90-2E0B-4D60-ADC8-7CF3B0FF4120}">
  <dimension ref="A1:EO293"/>
  <sheetViews>
    <sheetView tabSelected="1" topLeftCell="A3" zoomScale="80" zoomScaleNormal="80" workbookViewId="0">
      <pane xSplit="2" ySplit="2" topLeftCell="C5" activePane="bottomRight" state="frozen"/>
      <selection activeCell="A3" sqref="A3"/>
      <selection pane="topRight" activeCell="C3" sqref="C3"/>
      <selection pane="bottomLeft" activeCell="A5" sqref="A5"/>
      <selection pane="bottomRight" activeCell="F3" sqref="F3"/>
    </sheetView>
  </sheetViews>
  <sheetFormatPr baseColWidth="10" defaultColWidth="8.83203125" defaultRowHeight="14" outlineLevelRow="1" outlineLevelCol="1"/>
  <cols>
    <col min="1" max="1" width="25" style="3" customWidth="1"/>
    <col min="2" max="2" width="46.33203125" style="282" customWidth="1"/>
    <col min="3" max="3" width="14.6640625" style="3" customWidth="1"/>
    <col min="4" max="4" width="26.6640625" style="3" customWidth="1"/>
    <col min="5" max="5" width="16.33203125" style="282" customWidth="1"/>
    <col min="6" max="6" width="12.83203125" style="3" customWidth="1" outlineLevel="1"/>
    <col min="7" max="8" width="11.83203125" style="3" customWidth="1" outlineLevel="1"/>
    <col min="9" max="9" width="13.5" style="3" customWidth="1" outlineLevel="1"/>
    <col min="10" max="10" width="12.83203125" style="3" customWidth="1" outlineLevel="1"/>
    <col min="11" max="11" width="16.83203125" style="3" customWidth="1" outlineLevel="1"/>
    <col min="12" max="12" width="18.5" style="3" customWidth="1" outlineLevel="1"/>
    <col min="13" max="13" width="16.1640625" style="3" customWidth="1" outlineLevel="1"/>
    <col min="14" max="14" width="19.83203125" style="3" customWidth="1" outlineLevel="1"/>
    <col min="15" max="15" width="20.1640625" style="3" customWidth="1" outlineLevel="1"/>
    <col min="16" max="16" width="19.83203125" style="3" customWidth="1" outlineLevel="1"/>
    <col min="17" max="17" width="20.1640625" style="3" customWidth="1" outlineLevel="1"/>
    <col min="18" max="18" width="20.83203125" style="3" customWidth="1" outlineLevel="1"/>
    <col min="19" max="20" width="19.1640625" style="3" customWidth="1" outlineLevel="1"/>
    <col min="21" max="21" width="16.5" style="3" customWidth="1" outlineLevel="1"/>
    <col min="22" max="22" width="19.1640625" style="3" customWidth="1" outlineLevel="1"/>
    <col min="23" max="23" width="15.5" style="3" customWidth="1" outlineLevel="1"/>
    <col min="24" max="25" width="16.5" style="3" customWidth="1" outlineLevel="1"/>
    <col min="26" max="26" width="17" style="3" customWidth="1" outlineLevel="1"/>
    <col min="27" max="27" width="18.5" style="3" customWidth="1" outlineLevel="1"/>
    <col min="28" max="31" width="17.83203125" style="3" customWidth="1" outlineLevel="1"/>
    <col min="32" max="32" width="18.1640625" style="3" customWidth="1" outlineLevel="1"/>
    <col min="33" max="33" width="17.83203125" style="3" customWidth="1" outlineLevel="1"/>
    <col min="34" max="34" width="18.83203125" style="3" customWidth="1" outlineLevel="1"/>
    <col min="35" max="35" width="19.5" style="3" customWidth="1" outlineLevel="1"/>
    <col min="36" max="36" width="18.1640625" style="3" customWidth="1" outlineLevel="1"/>
    <col min="37" max="37" width="18.5" style="3" customWidth="1" outlineLevel="1"/>
    <col min="38" max="39" width="19.1640625" style="3" customWidth="1" outlineLevel="1"/>
    <col min="40" max="40" width="19.5" style="3" customWidth="1" outlineLevel="1"/>
    <col min="41" max="42" width="18.5" style="3" customWidth="1" outlineLevel="1"/>
    <col min="43" max="43" width="14.5" style="3" customWidth="1" outlineLevel="1"/>
    <col min="44" max="44" width="20" style="3" customWidth="1" outlineLevel="1"/>
    <col min="45" max="45" width="16.5" style="3" customWidth="1" outlineLevel="1"/>
    <col min="46" max="47" width="19.1640625" style="3" customWidth="1" outlineLevel="1"/>
    <col min="48" max="48" width="18.83203125" style="3" customWidth="1" outlineLevel="1"/>
    <col min="49" max="49" width="13.5" style="3" customWidth="1" outlineLevel="1"/>
    <col min="50" max="50" width="14.33203125" style="3" customWidth="1" outlineLevel="1"/>
    <col min="51" max="51" width="14.5" style="3" customWidth="1" outlineLevel="1"/>
    <col min="52" max="52" width="13.1640625" style="3" customWidth="1" outlineLevel="1"/>
    <col min="53" max="53" width="16.5" style="3" customWidth="1" outlineLevel="1"/>
    <col min="54" max="54" width="13" style="3" customWidth="1" outlineLevel="1"/>
    <col min="55" max="56" width="15.6640625" style="3" customWidth="1" outlineLevel="1"/>
    <col min="57" max="57" width="16.33203125" style="3" customWidth="1" outlineLevel="1"/>
    <col min="58" max="58" width="15.1640625" style="3" customWidth="1" outlineLevel="1"/>
    <col min="59" max="63" width="12.83203125" style="3" customWidth="1" outlineLevel="1"/>
    <col min="64" max="64" width="17.5" style="3" customWidth="1" outlineLevel="1"/>
    <col min="65" max="66" width="12.83203125" style="3" customWidth="1" outlineLevel="1"/>
    <col min="67" max="69" width="13.1640625" style="3" customWidth="1" outlineLevel="1"/>
    <col min="70" max="70" width="13.83203125" style="3" customWidth="1" outlineLevel="1"/>
    <col min="71" max="71" width="13.1640625" style="3" customWidth="1" outlineLevel="1"/>
    <col min="72" max="73" width="14.1640625" style="3" customWidth="1" outlineLevel="1"/>
    <col min="74" max="74" width="12.1640625" style="3" customWidth="1" outlineLevel="1"/>
    <col min="75" max="78" width="14.1640625" style="3" customWidth="1" outlineLevel="1"/>
    <col min="79" max="82" width="13.5" style="3" customWidth="1" outlineLevel="1"/>
    <col min="83" max="83" width="16.5" style="3" customWidth="1" outlineLevel="1"/>
    <col min="84" max="84" width="13.5" style="3" customWidth="1" outlineLevel="1"/>
    <col min="85" max="85" width="17.5" style="3" customWidth="1" outlineLevel="1"/>
    <col min="86" max="88" width="13.83203125" style="3" customWidth="1" outlineLevel="1"/>
    <col min="89" max="89" width="12.5" style="3" customWidth="1" outlineLevel="1"/>
    <col min="90" max="90" width="12.83203125" style="3" customWidth="1" outlineLevel="1"/>
    <col min="91" max="91" width="17.5" style="3" customWidth="1" outlineLevel="1"/>
    <col min="92" max="92" width="16.6640625" style="3" customWidth="1" outlineLevel="1"/>
    <col min="93" max="93" width="14.6640625" style="3" customWidth="1" outlineLevel="1"/>
    <col min="94" max="94" width="13" style="3" customWidth="1" outlineLevel="1"/>
    <col min="95" max="95" width="16" style="3" customWidth="1" outlineLevel="1"/>
    <col min="96" max="96" width="16.33203125" style="3" customWidth="1" outlineLevel="1"/>
    <col min="97" max="97" width="16.1640625" style="3" customWidth="1" outlineLevel="1"/>
    <col min="98" max="98" width="14.33203125" style="3" customWidth="1" outlineLevel="1"/>
    <col min="99" max="99" width="14.6640625" style="3" customWidth="1" outlineLevel="1"/>
    <col min="100" max="100" width="15.1640625" style="3" customWidth="1" outlineLevel="1"/>
    <col min="101" max="101" width="14.83203125" style="3" customWidth="1" outlineLevel="1"/>
    <col min="102" max="103" width="15.33203125" style="3" customWidth="1" outlineLevel="1"/>
    <col min="104" max="105" width="15.33203125" style="3" customWidth="1"/>
    <col min="106" max="106" width="12.33203125" style="3" customWidth="1"/>
    <col min="107" max="111" width="13.83203125" style="3" customWidth="1"/>
    <col min="112" max="113" width="14.6640625" style="3" customWidth="1"/>
    <col min="114" max="122" width="13.5" style="3" customWidth="1"/>
    <col min="123" max="124" width="12.83203125" style="3" customWidth="1"/>
    <col min="125" max="125" width="15.1640625" style="3" customWidth="1"/>
    <col min="126" max="126" width="15.6640625" style="3" customWidth="1"/>
    <col min="127" max="127" width="12.83203125" style="3" customWidth="1"/>
    <col min="128" max="135" width="14.33203125" style="3" customWidth="1"/>
    <col min="136" max="136" width="13.1640625" style="3" customWidth="1"/>
    <col min="137" max="140" width="14.33203125" style="3" customWidth="1"/>
    <col min="141" max="141" width="11.6640625" style="3" customWidth="1"/>
    <col min="142" max="142" width="10.33203125" style="3" bestFit="1" customWidth="1"/>
    <col min="143" max="16384" width="8.83203125" style="3"/>
  </cols>
  <sheetData>
    <row r="1" spans="1:144" s="201" customFormat="1" ht="25">
      <c r="B1" s="676" t="s">
        <v>848</v>
      </c>
      <c r="C1" s="518"/>
      <c r="E1" s="596"/>
      <c r="BG1" s="518"/>
      <c r="BH1" s="518"/>
      <c r="BJ1" s="595"/>
      <c r="BL1" s="518"/>
      <c r="BR1" s="518"/>
      <c r="BS1" s="560" t="s">
        <v>785</v>
      </c>
    </row>
    <row r="2" spans="1:144" ht="15">
      <c r="B2" s="596" t="s">
        <v>0</v>
      </c>
      <c r="BG2" s="597"/>
      <c r="BH2" s="597"/>
      <c r="BJ2" s="561"/>
      <c r="BL2" s="597"/>
      <c r="BR2" s="597"/>
      <c r="BS2" s="598" t="s">
        <v>384</v>
      </c>
      <c r="BT2" s="599" t="s">
        <v>0</v>
      </c>
      <c r="BU2" s="599"/>
      <c r="CB2" s="600" t="s">
        <v>784</v>
      </c>
      <c r="CL2" s="597"/>
      <c r="CM2" s="683"/>
      <c r="CN2" s="683"/>
    </row>
    <row r="3" spans="1:144" ht="15" thickBot="1">
      <c r="F3" s="317">
        <v>45170</v>
      </c>
      <c r="G3" s="317">
        <v>45170</v>
      </c>
      <c r="H3" s="317">
        <v>45170</v>
      </c>
      <c r="I3" s="317">
        <v>45170</v>
      </c>
      <c r="J3" s="317">
        <v>45200</v>
      </c>
      <c r="K3" s="317">
        <v>45200</v>
      </c>
      <c r="L3" s="317">
        <v>45200</v>
      </c>
      <c r="M3" s="317">
        <v>45200</v>
      </c>
      <c r="N3" s="317">
        <v>45200</v>
      </c>
      <c r="O3" s="317">
        <v>45231</v>
      </c>
      <c r="P3" s="317">
        <v>45231</v>
      </c>
      <c r="Q3" s="317">
        <v>45231</v>
      </c>
      <c r="R3" s="317">
        <v>45231</v>
      </c>
      <c r="S3" s="317">
        <v>45261</v>
      </c>
      <c r="T3" s="317">
        <v>45261</v>
      </c>
      <c r="U3" s="317">
        <v>45261</v>
      </c>
      <c r="V3" s="317">
        <v>45261</v>
      </c>
      <c r="W3" s="317">
        <v>45292</v>
      </c>
      <c r="X3" s="317">
        <v>45292</v>
      </c>
      <c r="Y3" s="317">
        <v>45292</v>
      </c>
      <c r="Z3" s="317">
        <v>45292</v>
      </c>
      <c r="AA3" s="317">
        <v>45292</v>
      </c>
      <c r="AB3" s="317">
        <v>45323</v>
      </c>
      <c r="AC3" s="317">
        <v>45323</v>
      </c>
      <c r="AD3" s="317">
        <v>45323</v>
      </c>
      <c r="AE3" s="317">
        <v>45323</v>
      </c>
      <c r="AF3" s="317">
        <v>45352</v>
      </c>
      <c r="AG3" s="317">
        <v>45352</v>
      </c>
      <c r="AH3" s="317">
        <v>45352</v>
      </c>
      <c r="AI3" s="317">
        <v>45352</v>
      </c>
      <c r="AJ3" s="317">
        <v>45383</v>
      </c>
      <c r="AK3" s="317">
        <v>45383</v>
      </c>
      <c r="AL3" s="317">
        <v>45383</v>
      </c>
      <c r="AM3" s="317">
        <v>45383</v>
      </c>
      <c r="AN3" s="317">
        <v>45383</v>
      </c>
      <c r="AO3" s="317">
        <v>45413</v>
      </c>
      <c r="AP3" s="317">
        <v>45413</v>
      </c>
      <c r="AQ3" s="317">
        <v>45413</v>
      </c>
      <c r="AR3" s="317">
        <v>45413</v>
      </c>
      <c r="AS3" s="317">
        <v>45444</v>
      </c>
      <c r="AT3" s="317">
        <v>45444</v>
      </c>
      <c r="AU3" s="317">
        <v>45444</v>
      </c>
      <c r="AV3" s="317">
        <v>45444</v>
      </c>
      <c r="AW3" s="317">
        <v>45474</v>
      </c>
      <c r="AX3" s="317">
        <v>45474</v>
      </c>
      <c r="AY3" s="317">
        <v>45474</v>
      </c>
      <c r="AZ3" s="317">
        <v>45474</v>
      </c>
      <c r="BA3" s="317">
        <v>45474</v>
      </c>
      <c r="BB3" s="317">
        <v>45505</v>
      </c>
      <c r="BC3" s="317">
        <v>45505</v>
      </c>
      <c r="BD3" s="317"/>
      <c r="BE3" s="317">
        <v>45505</v>
      </c>
      <c r="BF3" s="317">
        <v>45505</v>
      </c>
      <c r="BG3" s="317">
        <v>45536</v>
      </c>
      <c r="BH3" s="317"/>
      <c r="BI3" s="317">
        <v>45536</v>
      </c>
      <c r="BJ3" s="317">
        <v>45536</v>
      </c>
      <c r="BK3" s="317"/>
      <c r="BL3" s="317">
        <v>45536</v>
      </c>
      <c r="BM3" s="317">
        <v>45536</v>
      </c>
      <c r="BN3" s="317"/>
      <c r="BO3" s="317">
        <v>45566</v>
      </c>
      <c r="BP3" s="317">
        <v>45566</v>
      </c>
      <c r="BQ3" s="317"/>
      <c r="BR3" s="317">
        <v>45566</v>
      </c>
      <c r="BS3" s="317">
        <v>45566</v>
      </c>
      <c r="BT3" s="317">
        <v>45597</v>
      </c>
      <c r="BU3" s="317">
        <v>45597</v>
      </c>
      <c r="BV3" s="317">
        <v>45597</v>
      </c>
      <c r="BW3" s="317">
        <v>45597</v>
      </c>
      <c r="BX3" s="317">
        <v>45597</v>
      </c>
      <c r="BY3" s="317"/>
      <c r="BZ3" s="317">
        <v>45597</v>
      </c>
      <c r="CA3" s="317">
        <v>45627</v>
      </c>
      <c r="CB3" s="317">
        <v>45627</v>
      </c>
      <c r="CC3" s="317">
        <v>45627</v>
      </c>
      <c r="CD3" s="317"/>
      <c r="CE3" s="317">
        <v>45627</v>
      </c>
      <c r="CF3" s="317">
        <v>45627</v>
      </c>
      <c r="CG3" s="317">
        <v>45627</v>
      </c>
      <c r="CH3" s="317">
        <v>45658</v>
      </c>
      <c r="CI3" s="317">
        <v>45658</v>
      </c>
      <c r="CJ3" s="317">
        <v>45658</v>
      </c>
      <c r="CK3" s="317">
        <v>45658</v>
      </c>
      <c r="CL3" s="317">
        <v>45689</v>
      </c>
      <c r="CM3" s="317">
        <v>45689</v>
      </c>
      <c r="CN3" s="317">
        <v>45689</v>
      </c>
      <c r="CO3" s="317">
        <v>45689</v>
      </c>
      <c r="CP3" s="317">
        <v>45717</v>
      </c>
      <c r="CQ3" s="317">
        <v>45717</v>
      </c>
      <c r="CR3" s="317">
        <v>45717</v>
      </c>
      <c r="CS3" s="317">
        <v>45717</v>
      </c>
      <c r="CT3" s="317">
        <v>45717</v>
      </c>
      <c r="CU3" s="317">
        <v>45748</v>
      </c>
      <c r="CV3" s="317">
        <v>45748</v>
      </c>
      <c r="CW3" s="317">
        <v>45748</v>
      </c>
      <c r="CX3" s="317">
        <v>45748</v>
      </c>
      <c r="CY3" s="317" t="s">
        <v>415</v>
      </c>
      <c r="CZ3" s="317" t="s">
        <v>415</v>
      </c>
      <c r="DA3" s="700" t="s">
        <v>415</v>
      </c>
      <c r="DB3" s="700">
        <v>45778</v>
      </c>
      <c r="DC3" s="700">
        <v>45809</v>
      </c>
      <c r="DD3" s="700"/>
      <c r="DE3" s="700" t="s">
        <v>416</v>
      </c>
      <c r="DF3" s="700" t="s">
        <v>416</v>
      </c>
      <c r="DG3" s="700" t="s">
        <v>416</v>
      </c>
      <c r="DH3" s="700" t="s">
        <v>417</v>
      </c>
      <c r="DI3" s="700"/>
      <c r="DJ3" s="700">
        <v>45839</v>
      </c>
      <c r="DK3" s="700">
        <v>45839</v>
      </c>
      <c r="DL3" s="700">
        <v>45839</v>
      </c>
      <c r="DM3" s="700">
        <v>45870</v>
      </c>
      <c r="DN3" s="700"/>
      <c r="DO3" s="317">
        <v>45870</v>
      </c>
      <c r="DP3" s="317">
        <v>45870</v>
      </c>
      <c r="DQ3" s="317">
        <v>45870</v>
      </c>
      <c r="DR3" s="317">
        <v>45870</v>
      </c>
      <c r="DS3" s="317">
        <v>45901</v>
      </c>
      <c r="DT3" s="317">
        <v>45901</v>
      </c>
      <c r="DU3" s="317">
        <v>45901</v>
      </c>
      <c r="DV3" s="317">
        <v>45901</v>
      </c>
      <c r="DW3" s="317">
        <v>45931</v>
      </c>
      <c r="DX3" s="317">
        <v>45931</v>
      </c>
      <c r="DY3" s="317">
        <v>45931</v>
      </c>
      <c r="DZ3" s="317">
        <v>45931</v>
      </c>
      <c r="EA3" s="317">
        <v>45931</v>
      </c>
      <c r="EB3" s="317">
        <v>45962</v>
      </c>
      <c r="EC3" s="317">
        <v>45962</v>
      </c>
      <c r="ED3" s="317">
        <v>45962</v>
      </c>
      <c r="EE3" s="317">
        <v>45962</v>
      </c>
      <c r="EF3" s="317">
        <v>45992</v>
      </c>
      <c r="EG3" s="317">
        <v>45992</v>
      </c>
      <c r="EH3" s="317">
        <v>45992</v>
      </c>
      <c r="EI3" s="317">
        <v>45992</v>
      </c>
      <c r="EJ3" s="317">
        <v>45658</v>
      </c>
      <c r="EK3" s="317">
        <v>46023</v>
      </c>
      <c r="EL3" s="317">
        <v>46054</v>
      </c>
      <c r="EM3" s="317">
        <v>46082</v>
      </c>
      <c r="EN3" s="317">
        <v>46113</v>
      </c>
    </row>
    <row r="4" spans="1:144" s="556" customFormat="1" ht="53.75" customHeight="1" thickBot="1">
      <c r="A4" s="714"/>
      <c r="B4" s="715"/>
      <c r="C4" s="716"/>
      <c r="D4" s="715"/>
      <c r="E4" s="715"/>
      <c r="F4" s="717" t="s">
        <v>3</v>
      </c>
      <c r="G4" s="717" t="s">
        <v>4</v>
      </c>
      <c r="H4" s="717" t="s">
        <v>5</v>
      </c>
      <c r="I4" s="717" t="s">
        <v>6</v>
      </c>
      <c r="J4" s="717" t="s">
        <v>7</v>
      </c>
      <c r="K4" s="717" t="s">
        <v>8</v>
      </c>
      <c r="L4" s="717" t="s">
        <v>9</v>
      </c>
      <c r="M4" s="717" t="s">
        <v>10</v>
      </c>
      <c r="N4" s="717" t="s">
        <v>11</v>
      </c>
      <c r="O4" s="717" t="s">
        <v>12</v>
      </c>
      <c r="P4" s="717" t="s">
        <v>13</v>
      </c>
      <c r="Q4" s="717" t="s">
        <v>14</v>
      </c>
      <c r="R4" s="717" t="s">
        <v>15</v>
      </c>
      <c r="S4" s="717" t="s">
        <v>16</v>
      </c>
      <c r="T4" s="717" t="s">
        <v>17</v>
      </c>
      <c r="U4" s="717" t="s">
        <v>18</v>
      </c>
      <c r="V4" s="717" t="s">
        <v>19</v>
      </c>
      <c r="W4" s="717" t="s">
        <v>20</v>
      </c>
      <c r="X4" s="717" t="s">
        <v>21</v>
      </c>
      <c r="Y4" s="717" t="s">
        <v>22</v>
      </c>
      <c r="Z4" s="717" t="s">
        <v>23</v>
      </c>
      <c r="AA4" s="717" t="s">
        <v>24</v>
      </c>
      <c r="AB4" s="717" t="s">
        <v>25</v>
      </c>
      <c r="AC4" s="717" t="s">
        <v>26</v>
      </c>
      <c r="AD4" s="717" t="s">
        <v>27</v>
      </c>
      <c r="AE4" s="717" t="s">
        <v>28</v>
      </c>
      <c r="AF4" s="717" t="s">
        <v>29</v>
      </c>
      <c r="AG4" s="717" t="s">
        <v>30</v>
      </c>
      <c r="AH4" s="717" t="s">
        <v>31</v>
      </c>
      <c r="AI4" s="717" t="s">
        <v>32</v>
      </c>
      <c r="AJ4" s="717" t="s">
        <v>33</v>
      </c>
      <c r="AK4" s="717" t="s">
        <v>34</v>
      </c>
      <c r="AL4" s="717" t="s">
        <v>35</v>
      </c>
      <c r="AM4" s="717" t="s">
        <v>36</v>
      </c>
      <c r="AN4" s="717" t="s">
        <v>37</v>
      </c>
      <c r="AO4" s="717" t="s">
        <v>38</v>
      </c>
      <c r="AP4" s="717" t="s">
        <v>39</v>
      </c>
      <c r="AQ4" s="717" t="s">
        <v>40</v>
      </c>
      <c r="AR4" s="717" t="s">
        <v>41</v>
      </c>
      <c r="AS4" s="717" t="s">
        <v>42</v>
      </c>
      <c r="AT4" s="717" t="s">
        <v>43</v>
      </c>
      <c r="AU4" s="717" t="s">
        <v>44</v>
      </c>
      <c r="AV4" s="717" t="s">
        <v>45</v>
      </c>
      <c r="AW4" s="717" t="s">
        <v>697</v>
      </c>
      <c r="AX4" s="717" t="s">
        <v>699</v>
      </c>
      <c r="AY4" s="717" t="s">
        <v>698</v>
      </c>
      <c r="AZ4" s="717" t="s">
        <v>700</v>
      </c>
      <c r="BA4" s="717" t="s">
        <v>701</v>
      </c>
      <c r="BB4" s="717" t="s">
        <v>702</v>
      </c>
      <c r="BC4" s="717" t="s">
        <v>746</v>
      </c>
      <c r="BD4" s="717" t="s">
        <v>747</v>
      </c>
      <c r="BE4" s="717" t="s">
        <v>744</v>
      </c>
      <c r="BF4" s="717" t="s">
        <v>745</v>
      </c>
      <c r="BG4" s="717" t="s">
        <v>725</v>
      </c>
      <c r="BH4" s="717" t="s">
        <v>743</v>
      </c>
      <c r="BI4" s="717" t="s">
        <v>726</v>
      </c>
      <c r="BJ4" s="717" t="s">
        <v>727</v>
      </c>
      <c r="BK4" s="717" t="s">
        <v>757</v>
      </c>
      <c r="BL4" s="717" t="s">
        <v>728</v>
      </c>
      <c r="BM4" s="717" t="s">
        <v>729</v>
      </c>
      <c r="BN4" s="717" t="s">
        <v>758</v>
      </c>
      <c r="BO4" s="717" t="s">
        <v>748</v>
      </c>
      <c r="BP4" s="717" t="s">
        <v>749</v>
      </c>
      <c r="BQ4" s="717" t="s">
        <v>762</v>
      </c>
      <c r="BR4" s="717" t="s">
        <v>750</v>
      </c>
      <c r="BS4" s="717" t="s">
        <v>751</v>
      </c>
      <c r="BT4" s="717" t="s">
        <v>752</v>
      </c>
      <c r="BU4" s="717" t="s">
        <v>793</v>
      </c>
      <c r="BV4" s="717" t="s">
        <v>753</v>
      </c>
      <c r="BW4" s="717" t="s">
        <v>819</v>
      </c>
      <c r="BX4" s="717" t="s">
        <v>754</v>
      </c>
      <c r="BY4" s="717" t="s">
        <v>849</v>
      </c>
      <c r="BZ4" s="717" t="s">
        <v>755</v>
      </c>
      <c r="CA4" s="717" t="s">
        <v>759</v>
      </c>
      <c r="CB4" s="717" t="s">
        <v>743</v>
      </c>
      <c r="CC4" s="717" t="s">
        <v>760</v>
      </c>
      <c r="CD4" s="717" t="s">
        <v>889</v>
      </c>
      <c r="CE4" s="717" t="s">
        <v>761</v>
      </c>
      <c r="CF4" s="717" t="s">
        <v>814</v>
      </c>
      <c r="CG4" s="717" t="s">
        <v>815</v>
      </c>
      <c r="CH4" s="717" t="s">
        <v>810</v>
      </c>
      <c r="CI4" s="717" t="s">
        <v>811</v>
      </c>
      <c r="CJ4" s="717" t="s">
        <v>812</v>
      </c>
      <c r="CK4" s="717" t="s">
        <v>813</v>
      </c>
      <c r="CL4" s="717" t="s">
        <v>799</v>
      </c>
      <c r="CM4" s="717" t="s">
        <v>800</v>
      </c>
      <c r="CN4" s="717" t="s">
        <v>801</v>
      </c>
      <c r="CO4" s="717" t="s">
        <v>802</v>
      </c>
      <c r="CP4" s="717" t="s">
        <v>803</v>
      </c>
      <c r="CQ4" s="717" t="s">
        <v>804</v>
      </c>
      <c r="CR4" s="718" t="s">
        <v>805</v>
      </c>
      <c r="CS4" s="717" t="s">
        <v>806</v>
      </c>
      <c r="CT4" s="717" t="s">
        <v>807</v>
      </c>
      <c r="CU4" s="717" t="s">
        <v>894</v>
      </c>
      <c r="CV4" s="717" t="s">
        <v>895</v>
      </c>
      <c r="CW4" s="717" t="s">
        <v>896</v>
      </c>
      <c r="CX4" s="717" t="s">
        <v>897</v>
      </c>
      <c r="CY4" s="717" t="s">
        <v>909</v>
      </c>
      <c r="CZ4" s="717" t="s">
        <v>910</v>
      </c>
      <c r="DA4" s="717" t="s">
        <v>911</v>
      </c>
      <c r="DB4" s="717" t="s">
        <v>912</v>
      </c>
      <c r="DC4" s="719" t="s">
        <v>913</v>
      </c>
      <c r="DD4" s="717" t="s">
        <v>970</v>
      </c>
      <c r="DE4" s="717" t="s">
        <v>914</v>
      </c>
      <c r="DF4" s="717" t="s">
        <v>915</v>
      </c>
      <c r="DG4" s="717" t="s">
        <v>916</v>
      </c>
      <c r="DH4" s="717" t="s">
        <v>917</v>
      </c>
      <c r="DI4" s="717" t="s">
        <v>971</v>
      </c>
      <c r="DJ4" s="717" t="s">
        <v>918</v>
      </c>
      <c r="DK4" s="717" t="s">
        <v>919</v>
      </c>
      <c r="DL4" s="717" t="s">
        <v>920</v>
      </c>
      <c r="DM4" s="717" t="s">
        <v>921</v>
      </c>
      <c r="DN4" s="717" t="s">
        <v>972</v>
      </c>
      <c r="DO4" s="717" t="s">
        <v>922</v>
      </c>
      <c r="DP4" s="717" t="s">
        <v>923</v>
      </c>
      <c r="DQ4" s="717" t="s">
        <v>924</v>
      </c>
      <c r="DR4" s="717" t="s">
        <v>925</v>
      </c>
      <c r="DS4" s="715" t="s">
        <v>926</v>
      </c>
      <c r="DT4" s="715" t="s">
        <v>927</v>
      </c>
      <c r="DU4" s="715" t="s">
        <v>928</v>
      </c>
      <c r="DV4" s="715" t="s">
        <v>929</v>
      </c>
      <c r="DW4" s="715" t="s">
        <v>930</v>
      </c>
      <c r="DX4" s="715" t="s">
        <v>931</v>
      </c>
      <c r="DY4" s="715" t="s">
        <v>932</v>
      </c>
      <c r="DZ4" s="715" t="s">
        <v>933</v>
      </c>
      <c r="EA4" s="715" t="s">
        <v>934</v>
      </c>
      <c r="EB4" s="715" t="s">
        <v>935</v>
      </c>
      <c r="EC4" s="715" t="s">
        <v>936</v>
      </c>
      <c r="ED4" s="715" t="s">
        <v>937</v>
      </c>
      <c r="EE4" s="715" t="s">
        <v>938</v>
      </c>
      <c r="EF4" s="715" t="s">
        <v>939</v>
      </c>
      <c r="EG4" s="715" t="s">
        <v>940</v>
      </c>
      <c r="EH4" s="715" t="s">
        <v>941</v>
      </c>
      <c r="EI4" s="715" t="s">
        <v>942</v>
      </c>
      <c r="EJ4" s="715" t="s">
        <v>943</v>
      </c>
      <c r="EK4" s="715" t="s">
        <v>951</v>
      </c>
      <c r="EL4" s="715"/>
      <c r="EM4" s="715"/>
      <c r="EN4" s="720"/>
    </row>
    <row r="5" spans="1:144">
      <c r="A5" s="648"/>
      <c r="C5" s="603"/>
      <c r="F5" s="267"/>
      <c r="G5" s="267"/>
      <c r="H5" s="267"/>
      <c r="I5" s="267"/>
      <c r="J5" s="267"/>
      <c r="K5" s="267"/>
      <c r="L5" s="267"/>
      <c r="M5" s="267"/>
      <c r="N5" s="267"/>
      <c r="O5" s="267"/>
      <c r="P5" s="267"/>
      <c r="Q5" s="267"/>
      <c r="R5" s="267"/>
      <c r="S5" s="267"/>
      <c r="T5" s="267"/>
      <c r="U5" s="267"/>
      <c r="V5" s="267"/>
      <c r="W5" s="267"/>
      <c r="X5" s="267"/>
      <c r="Y5" s="267"/>
      <c r="Z5" s="267"/>
      <c r="AA5" s="267"/>
      <c r="AB5" s="267"/>
      <c r="AC5" s="267"/>
      <c r="AD5" s="267"/>
      <c r="AE5" s="267"/>
      <c r="AF5" s="267"/>
      <c r="AG5" s="267"/>
      <c r="AH5" s="267"/>
      <c r="AI5" s="267"/>
      <c r="AJ5" s="267"/>
      <c r="AK5" s="267"/>
      <c r="AL5" s="267"/>
      <c r="AM5" s="267"/>
      <c r="AN5" s="267"/>
      <c r="AO5" s="267"/>
      <c r="AP5" s="267"/>
      <c r="AQ5" s="267"/>
      <c r="AR5" s="267"/>
      <c r="AS5" s="267"/>
      <c r="AT5" s="267"/>
      <c r="AU5" s="267"/>
      <c r="AV5" s="267"/>
      <c r="AW5" s="604" t="s">
        <v>710</v>
      </c>
      <c r="AX5" s="267"/>
      <c r="AY5" s="605" t="s">
        <v>709</v>
      </c>
      <c r="AZ5" s="605"/>
      <c r="BA5" s="605" t="s">
        <v>0</v>
      </c>
      <c r="BB5" s="605"/>
      <c r="BC5" s="605" t="s">
        <v>0</v>
      </c>
      <c r="BD5" s="605"/>
      <c r="BE5" s="267"/>
      <c r="BF5" s="267"/>
      <c r="BG5" s="267" t="s">
        <v>0</v>
      </c>
      <c r="BH5" s="267"/>
      <c r="BI5" s="267"/>
      <c r="BJ5" s="267"/>
      <c r="BK5" s="267"/>
      <c r="BL5" s="267"/>
      <c r="BM5" s="267"/>
      <c r="BN5" s="267"/>
      <c r="CS5" s="560" t="s">
        <v>957</v>
      </c>
      <c r="CX5" s="560" t="s">
        <v>944</v>
      </c>
      <c r="DA5" s="588"/>
      <c r="DC5" s="560" t="s">
        <v>945</v>
      </c>
      <c r="DD5" s="560"/>
      <c r="DH5" s="560" t="s">
        <v>946</v>
      </c>
      <c r="DI5" s="560"/>
      <c r="DJ5" s="619" t="s">
        <v>0</v>
      </c>
      <c r="DK5" s="619"/>
      <c r="DL5" s="619"/>
      <c r="DM5" s="560" t="s">
        <v>948</v>
      </c>
      <c r="DN5" s="560"/>
      <c r="DS5" s="560" t="s">
        <v>947</v>
      </c>
      <c r="DW5" s="560" t="s">
        <v>949</v>
      </c>
      <c r="EB5" s="560" t="s">
        <v>950</v>
      </c>
      <c r="EN5" s="207"/>
    </row>
    <row r="6" spans="1:144" s="211" customFormat="1" ht="15">
      <c r="A6" s="323"/>
      <c r="B6" s="606" t="s">
        <v>46</v>
      </c>
      <c r="E6" s="519"/>
      <c r="F6" s="272">
        <v>90280</v>
      </c>
      <c r="G6" s="273"/>
      <c r="H6" s="273" t="s">
        <v>0</v>
      </c>
      <c r="I6" s="273"/>
      <c r="J6" s="273"/>
      <c r="K6" s="273"/>
      <c r="L6" s="273"/>
      <c r="M6" s="273"/>
      <c r="N6" s="273"/>
      <c r="O6" s="273"/>
      <c r="P6" s="273"/>
      <c r="Q6" s="273"/>
      <c r="R6" s="273"/>
      <c r="S6" s="273"/>
      <c r="T6" s="273"/>
      <c r="U6" s="273"/>
      <c r="V6" s="273"/>
      <c r="W6" s="273"/>
      <c r="X6" s="273"/>
      <c r="Y6" s="273"/>
      <c r="Z6" s="273"/>
      <c r="AA6" s="273"/>
      <c r="AB6" s="273"/>
      <c r="AC6" s="273"/>
      <c r="AD6" s="273"/>
      <c r="AE6" s="273"/>
      <c r="AF6" s="273"/>
      <c r="AG6" s="273"/>
      <c r="AH6" s="273"/>
      <c r="AI6" s="273"/>
      <c r="AJ6" s="273"/>
      <c r="AK6" s="273"/>
      <c r="AL6" s="273"/>
      <c r="AM6" s="273"/>
      <c r="AN6" s="273"/>
      <c r="AO6" s="268"/>
      <c r="AP6" s="268"/>
      <c r="AQ6" s="268"/>
      <c r="AR6" s="268"/>
      <c r="AS6" s="268"/>
      <c r="AT6" s="268"/>
      <c r="AU6" s="268"/>
      <c r="AV6" s="268"/>
      <c r="AW6" s="275"/>
      <c r="AX6" s="268"/>
      <c r="AY6" s="268"/>
      <c r="AZ6" s="268"/>
      <c r="BA6" s="268"/>
      <c r="BB6" s="268"/>
      <c r="BC6" s="268"/>
      <c r="BD6" s="268"/>
      <c r="BE6" s="268"/>
      <c r="BF6" s="268"/>
      <c r="BG6" s="268"/>
      <c r="BH6" s="268"/>
      <c r="BI6" s="268"/>
      <c r="BJ6" s="268"/>
      <c r="BK6" s="268"/>
      <c r="BL6" s="268"/>
      <c r="BM6" s="268"/>
      <c r="BN6" s="268"/>
      <c r="DA6" s="583"/>
      <c r="EN6" s="351"/>
    </row>
    <row r="7" spans="1:144" s="211" customFormat="1" ht="15">
      <c r="A7" s="323"/>
      <c r="B7" s="606" t="s">
        <v>47</v>
      </c>
      <c r="E7" s="519"/>
      <c r="F7" s="273"/>
      <c r="G7" s="272">
        <v>46684</v>
      </c>
      <c r="H7" s="273"/>
      <c r="I7" s="273"/>
      <c r="J7" s="273"/>
      <c r="K7" s="273"/>
      <c r="L7" s="273"/>
      <c r="M7" s="273"/>
      <c r="N7" s="273"/>
      <c r="P7" s="607">
        <v>26097</v>
      </c>
      <c r="Q7" s="273">
        <v>0</v>
      </c>
      <c r="R7" s="273"/>
      <c r="S7" s="273"/>
      <c r="T7" s="273"/>
      <c r="U7" s="273"/>
      <c r="V7" s="273"/>
      <c r="W7" s="273" t="s">
        <v>0</v>
      </c>
      <c r="X7" s="273"/>
      <c r="Y7" s="272">
        <f>29291-2419</f>
        <v>26872</v>
      </c>
      <c r="Z7" s="273"/>
      <c r="AA7" s="273"/>
      <c r="AB7" s="273"/>
      <c r="AC7" s="273"/>
      <c r="AD7" s="273"/>
      <c r="AE7" s="273"/>
      <c r="AF7" s="607">
        <v>51074</v>
      </c>
      <c r="AG7" s="273" t="s">
        <v>0</v>
      </c>
      <c r="AH7" s="273" t="s">
        <v>0</v>
      </c>
      <c r="AI7" s="273"/>
      <c r="AJ7" s="273" t="s">
        <v>0</v>
      </c>
      <c r="AK7" s="273"/>
      <c r="AL7" s="273"/>
      <c r="AM7" s="273"/>
      <c r="AN7" s="273"/>
      <c r="AP7" s="269">
        <v>41957</v>
      </c>
      <c r="AR7" s="268"/>
      <c r="AS7" s="268"/>
      <c r="AT7" s="268"/>
      <c r="AU7" s="268"/>
      <c r="AV7" s="268"/>
      <c r="AW7" s="569"/>
      <c r="AY7" s="269">
        <v>56733</v>
      </c>
      <c r="AZ7" s="268"/>
      <c r="BA7" s="268"/>
      <c r="BB7" s="268"/>
      <c r="BC7" s="268"/>
      <c r="BD7" s="268"/>
      <c r="BE7" s="268"/>
      <c r="BF7" s="268"/>
      <c r="BJ7" s="269">
        <v>69845</v>
      </c>
      <c r="BK7" s="268"/>
      <c r="BM7" s="268"/>
      <c r="BN7" s="268"/>
      <c r="BX7" s="607">
        <f>26363.83+286.97</f>
        <v>26650.800000000003</v>
      </c>
      <c r="BZ7" s="607">
        <f>54989-BX7</f>
        <v>28338.199999999997</v>
      </c>
      <c r="CB7" s="211">
        <v>0</v>
      </c>
      <c r="CJ7" s="607">
        <v>35671</v>
      </c>
      <c r="CQ7" s="607">
        <v>46402</v>
      </c>
      <c r="CZ7" s="607">
        <v>75119</v>
      </c>
      <c r="DA7" s="583"/>
      <c r="DJ7" s="211">
        <v>50000</v>
      </c>
      <c r="DS7" s="211">
        <v>50000</v>
      </c>
      <c r="EB7" s="211">
        <v>50000</v>
      </c>
      <c r="EF7" s="211" t="s">
        <v>0</v>
      </c>
      <c r="EK7" s="211">
        <v>50000</v>
      </c>
      <c r="EN7" s="351"/>
    </row>
    <row r="8" spans="1:144" s="211" customFormat="1">
      <c r="A8" s="323"/>
      <c r="B8" s="606"/>
      <c r="E8" s="519"/>
      <c r="F8" s="273"/>
      <c r="G8" s="273"/>
      <c r="H8" s="273"/>
      <c r="I8" s="273"/>
      <c r="J8" s="273"/>
      <c r="K8" s="273"/>
      <c r="L8" s="273"/>
      <c r="M8" s="273"/>
      <c r="N8" s="273"/>
      <c r="O8" s="273"/>
      <c r="P8" s="273"/>
      <c r="Q8" s="273"/>
      <c r="R8" s="273"/>
      <c r="S8" s="273"/>
      <c r="T8" s="273"/>
      <c r="U8" s="273"/>
      <c r="V8" s="273"/>
      <c r="W8" s="273"/>
      <c r="X8" s="273"/>
      <c r="Y8" s="273"/>
      <c r="Z8" s="273"/>
      <c r="AA8" s="273"/>
      <c r="AB8" s="273"/>
      <c r="AC8" s="273"/>
      <c r="AD8" s="273"/>
      <c r="AE8" s="273"/>
      <c r="AF8" s="273"/>
      <c r="AG8" s="273"/>
      <c r="AH8" s="273"/>
      <c r="AI8" s="273"/>
      <c r="AJ8" s="273"/>
      <c r="AK8" s="273"/>
      <c r="AL8" s="273"/>
      <c r="AM8" s="273"/>
      <c r="AN8" s="273"/>
      <c r="AO8" s="268"/>
      <c r="AP8" s="268"/>
      <c r="AQ8" s="268"/>
      <c r="AR8" s="268"/>
      <c r="AS8" s="268"/>
      <c r="AT8" s="268"/>
      <c r="AU8" s="268"/>
      <c r="AV8" s="268"/>
      <c r="AW8" s="275"/>
      <c r="AX8" s="268"/>
      <c r="AY8" s="268"/>
      <c r="AZ8" s="268"/>
      <c r="BA8" s="268"/>
      <c r="BB8" s="268"/>
      <c r="BC8" s="268"/>
      <c r="BD8" s="268"/>
      <c r="BE8" s="268"/>
      <c r="BF8" s="268"/>
      <c r="BG8" s="268"/>
      <c r="BH8" s="268"/>
      <c r="BI8" s="268"/>
      <c r="BJ8" s="268"/>
      <c r="BK8" s="268"/>
      <c r="BL8" s="268"/>
      <c r="BM8" s="268"/>
      <c r="BN8" s="268"/>
      <c r="DA8" s="583"/>
      <c r="EN8" s="351"/>
    </row>
    <row r="9" spans="1:144" s="211" customFormat="1" ht="17">
      <c r="A9" s="684" t="s">
        <v>50</v>
      </c>
      <c r="B9" s="701" t="s">
        <v>50</v>
      </c>
      <c r="E9" s="519"/>
      <c r="F9" s="273"/>
      <c r="G9" s="273"/>
      <c r="H9" s="273"/>
      <c r="I9" s="273"/>
      <c r="J9" s="273"/>
      <c r="K9" s="273"/>
      <c r="L9" s="273"/>
      <c r="M9" s="273"/>
      <c r="N9" s="273"/>
      <c r="O9" s="273"/>
      <c r="P9" s="273"/>
      <c r="Q9" s="273"/>
      <c r="R9" s="273"/>
      <c r="S9" s="273"/>
      <c r="T9" s="273"/>
      <c r="U9" s="273"/>
      <c r="V9" s="273"/>
      <c r="W9" s="273" t="s">
        <v>0</v>
      </c>
      <c r="X9" s="273"/>
      <c r="Y9" s="273"/>
      <c r="Z9" s="273"/>
      <c r="AA9" s="273"/>
      <c r="AB9" s="273"/>
      <c r="AC9" s="273"/>
      <c r="AD9" s="273"/>
      <c r="AE9" s="273"/>
      <c r="AF9" s="273"/>
      <c r="AG9" s="273"/>
      <c r="AH9" s="273"/>
      <c r="AI9" s="273"/>
      <c r="AJ9" s="273"/>
      <c r="AK9" s="273"/>
      <c r="AL9" s="273"/>
      <c r="AM9" s="273"/>
      <c r="AN9" s="273"/>
      <c r="AO9" s="268"/>
      <c r="AP9" s="268"/>
      <c r="AQ9" s="268"/>
      <c r="AR9" s="268"/>
      <c r="AS9" s="268"/>
      <c r="AT9" s="268"/>
      <c r="AU9" s="268"/>
      <c r="AV9" s="268"/>
      <c r="AW9" s="275"/>
      <c r="AX9" s="268"/>
      <c r="AY9" s="268"/>
      <c r="AZ9" s="268"/>
      <c r="BA9" s="268"/>
      <c r="BB9" s="268"/>
      <c r="BC9" s="268"/>
      <c r="BD9" s="268"/>
      <c r="BE9" s="268"/>
      <c r="BF9" s="268"/>
      <c r="BG9" s="268"/>
      <c r="BH9" s="268"/>
      <c r="BI9" s="268"/>
      <c r="BJ9" s="268"/>
      <c r="BK9" s="268"/>
      <c r="BL9" s="268"/>
      <c r="BM9" s="268"/>
      <c r="BN9" s="268"/>
      <c r="DA9" s="583"/>
      <c r="EN9" s="351"/>
    </row>
    <row r="10" spans="1:144" s="211" customFormat="1" ht="25.5" customHeight="1" outlineLevel="1">
      <c r="A10" s="323"/>
      <c r="B10" s="519" t="s">
        <v>51</v>
      </c>
      <c r="E10" s="519"/>
      <c r="F10" s="268"/>
      <c r="G10" s="268"/>
      <c r="H10" s="268"/>
      <c r="I10" s="268"/>
      <c r="J10" s="268"/>
      <c r="K10" s="268"/>
      <c r="L10" s="268"/>
      <c r="M10" s="268"/>
      <c r="N10" s="268"/>
      <c r="P10" s="275"/>
      <c r="Q10" s="275"/>
      <c r="R10" s="275"/>
      <c r="S10" s="268"/>
      <c r="T10" s="275" t="s">
        <v>0</v>
      </c>
      <c r="U10" s="268"/>
      <c r="V10" s="268"/>
      <c r="W10" s="268"/>
      <c r="Z10" s="268"/>
      <c r="AA10" s="268"/>
      <c r="AC10" s="268"/>
      <c r="AD10" s="268">
        <v>0</v>
      </c>
      <c r="AE10" s="268"/>
      <c r="AF10" s="268"/>
      <c r="AG10" s="268"/>
      <c r="AH10" s="268"/>
      <c r="AJ10" s="268"/>
      <c r="AK10" s="268"/>
      <c r="AL10" s="269">
        <f>18000*0.8</f>
        <v>14400</v>
      </c>
      <c r="AM10" s="268"/>
      <c r="AP10" s="268"/>
      <c r="AQ10" s="268"/>
      <c r="AR10" s="268"/>
      <c r="AS10" s="268"/>
      <c r="AT10" s="268"/>
      <c r="AU10" s="268"/>
      <c r="AV10" s="268"/>
      <c r="AW10" s="275"/>
      <c r="AX10" s="268"/>
      <c r="AY10" s="268"/>
      <c r="AZ10" s="268"/>
      <c r="BA10" s="268"/>
      <c r="BC10" s="268"/>
      <c r="BD10" s="268"/>
      <c r="BF10" s="268"/>
      <c r="BG10" s="268"/>
      <c r="BH10" s="268"/>
      <c r="BI10" s="268"/>
      <c r="BJ10" s="268"/>
      <c r="BK10" s="268"/>
      <c r="BL10" s="268"/>
      <c r="BN10" s="268"/>
      <c r="BZ10" s="268" t="s">
        <v>0</v>
      </c>
      <c r="CY10" s="268"/>
      <c r="DA10" s="582"/>
      <c r="DB10" s="268">
        <f>3600</f>
        <v>3600</v>
      </c>
      <c r="EN10" s="351"/>
    </row>
    <row r="11" spans="1:144" s="211" customFormat="1" ht="15" outlineLevel="1">
      <c r="A11" s="323"/>
      <c r="B11" s="519" t="s">
        <v>842</v>
      </c>
      <c r="E11" s="519"/>
      <c r="F11" s="268"/>
      <c r="G11" s="268"/>
      <c r="H11" s="268"/>
      <c r="I11" s="268"/>
      <c r="J11" s="268"/>
      <c r="K11" s="268"/>
      <c r="L11" s="268"/>
      <c r="M11" s="268"/>
      <c r="N11" s="268"/>
      <c r="O11" s="268"/>
      <c r="P11" s="268"/>
      <c r="Q11" s="268"/>
      <c r="R11" s="268"/>
      <c r="S11" s="268"/>
      <c r="T11" s="268"/>
      <c r="U11" s="268"/>
      <c r="V11" s="268"/>
      <c r="W11" s="268"/>
      <c r="X11" s="268"/>
      <c r="Y11" s="268"/>
      <c r="Z11" s="268"/>
      <c r="AA11" s="268"/>
      <c r="AB11" s="268"/>
      <c r="AC11" s="268"/>
      <c r="AD11" s="268"/>
      <c r="AE11" s="268"/>
      <c r="AF11" s="268"/>
      <c r="AG11" s="268"/>
      <c r="AH11" s="268"/>
      <c r="AI11" s="268"/>
      <c r="AJ11" s="268"/>
      <c r="AK11" s="268"/>
      <c r="AL11" s="268"/>
      <c r="AM11" s="268"/>
      <c r="AN11" s="268"/>
      <c r="AP11" s="268"/>
      <c r="AQ11" s="268"/>
      <c r="AW11" s="569"/>
      <c r="BC11" s="268"/>
      <c r="BD11" s="268"/>
      <c r="BF11" s="268"/>
      <c r="BI11" s="268"/>
      <c r="BJ11" s="268"/>
      <c r="BK11" s="268"/>
      <c r="BL11" s="268"/>
      <c r="BN11" s="268"/>
      <c r="CJ11" s="269">
        <v>42075</v>
      </c>
      <c r="DA11" s="583"/>
      <c r="EN11" s="351"/>
    </row>
    <row r="12" spans="1:144" s="211" customFormat="1" ht="15" outlineLevel="1">
      <c r="A12" s="323"/>
      <c r="B12" s="519" t="s">
        <v>907</v>
      </c>
      <c r="E12" s="519"/>
      <c r="F12" s="268"/>
      <c r="G12" s="268"/>
      <c r="H12" s="268"/>
      <c r="I12" s="268"/>
      <c r="J12" s="268"/>
      <c r="K12" s="268"/>
      <c r="L12" s="268"/>
      <c r="M12" s="268"/>
      <c r="N12" s="268"/>
      <c r="O12" s="268"/>
      <c r="P12" s="268"/>
      <c r="Q12" s="268"/>
      <c r="R12" s="268"/>
      <c r="S12" s="268"/>
      <c r="T12" s="268"/>
      <c r="U12" s="268"/>
      <c r="V12" s="268"/>
      <c r="W12" s="268"/>
      <c r="X12" s="268"/>
      <c r="Y12" s="268"/>
      <c r="Z12" s="268"/>
      <c r="AA12" s="268"/>
      <c r="AB12" s="268"/>
      <c r="AC12" s="268"/>
      <c r="AD12" s="268"/>
      <c r="AE12" s="268"/>
      <c r="AF12" s="268"/>
      <c r="AG12" s="268"/>
      <c r="AH12" s="268"/>
      <c r="AI12" s="268"/>
      <c r="AJ12" s="268"/>
      <c r="AK12" s="268"/>
      <c r="AL12" s="268"/>
      <c r="AM12" s="268"/>
      <c r="AN12" s="268"/>
      <c r="AP12" s="268"/>
      <c r="AQ12" s="268"/>
      <c r="AW12" s="569"/>
      <c r="BC12" s="268"/>
      <c r="BD12" s="268"/>
      <c r="BF12" s="268"/>
      <c r="BI12" s="268"/>
      <c r="BJ12" s="268"/>
      <c r="BK12" s="268"/>
      <c r="BL12" s="268"/>
      <c r="BN12" s="268"/>
      <c r="CH12" s="268"/>
      <c r="CM12" s="607">
        <v>8565.7000000000007</v>
      </c>
      <c r="DA12" s="583"/>
      <c r="EN12" s="351"/>
    </row>
    <row r="13" spans="1:144" s="211" customFormat="1" ht="15" outlineLevel="1">
      <c r="A13" s="323"/>
      <c r="B13" s="519" t="s">
        <v>794</v>
      </c>
      <c r="E13" s="519"/>
      <c r="F13" s="268"/>
      <c r="G13" s="268"/>
      <c r="H13" s="268"/>
      <c r="I13" s="268"/>
      <c r="J13" s="268"/>
      <c r="K13" s="268"/>
      <c r="L13" s="268"/>
      <c r="M13" s="268"/>
      <c r="N13" s="268"/>
      <c r="O13" s="268"/>
      <c r="P13" s="268"/>
      <c r="Q13" s="268"/>
      <c r="R13" s="268"/>
      <c r="S13" s="268"/>
      <c r="T13" s="268"/>
      <c r="U13" s="268"/>
      <c r="V13" s="268"/>
      <c r="W13" s="268"/>
      <c r="X13" s="268"/>
      <c r="Y13" s="268"/>
      <c r="Z13" s="268"/>
      <c r="AA13" s="268"/>
      <c r="AB13" s="268"/>
      <c r="AC13" s="268"/>
      <c r="AD13" s="268"/>
      <c r="AE13" s="268"/>
      <c r="AF13" s="268"/>
      <c r="AG13" s="268"/>
      <c r="AH13" s="268"/>
      <c r="AI13" s="268"/>
      <c r="AJ13" s="268"/>
      <c r="AK13" s="268"/>
      <c r="AL13" s="268"/>
      <c r="AM13" s="268"/>
      <c r="AN13" s="268"/>
      <c r="AO13" s="268"/>
      <c r="AP13" s="268"/>
      <c r="AQ13" s="268"/>
      <c r="AR13" s="268"/>
      <c r="AS13" s="268"/>
      <c r="AT13" s="268"/>
      <c r="AU13" s="268"/>
      <c r="AV13" s="268"/>
      <c r="AW13" s="275"/>
      <c r="AX13" s="268"/>
      <c r="AY13" s="268"/>
      <c r="AZ13" s="268"/>
      <c r="BA13" s="268"/>
      <c r="BC13" s="268"/>
      <c r="BD13" s="268"/>
      <c r="BF13" s="268"/>
      <c r="BG13" s="268" t="s">
        <v>0</v>
      </c>
      <c r="BH13" s="268"/>
      <c r="BI13" s="268"/>
      <c r="BJ13" s="268"/>
      <c r="BK13" s="268"/>
      <c r="BL13" s="268"/>
      <c r="BN13" s="268"/>
      <c r="CV13" s="268"/>
      <c r="CW13" s="268"/>
      <c r="CX13" s="268"/>
      <c r="CZ13" s="268"/>
      <c r="DA13" s="582"/>
      <c r="DM13" s="558">
        <f>Retention!J56</f>
        <v>11694.62</v>
      </c>
      <c r="EN13" s="351"/>
    </row>
    <row r="14" spans="1:144" s="211" customFormat="1" outlineLevel="1">
      <c r="A14" s="323"/>
      <c r="B14" s="519"/>
      <c r="E14" s="519"/>
      <c r="F14" s="268"/>
      <c r="G14" s="268"/>
      <c r="H14" s="268"/>
      <c r="I14" s="268"/>
      <c r="J14" s="268"/>
      <c r="K14" s="268"/>
      <c r="L14" s="268"/>
      <c r="M14" s="268"/>
      <c r="N14" s="268"/>
      <c r="O14" s="268"/>
      <c r="P14" s="268"/>
      <c r="Q14" s="268"/>
      <c r="R14" s="268"/>
      <c r="S14" s="268"/>
      <c r="T14" s="268"/>
      <c r="U14" s="268"/>
      <c r="V14" s="268"/>
      <c r="W14" s="268"/>
      <c r="X14" s="268"/>
      <c r="Y14" s="268"/>
      <c r="Z14" s="268"/>
      <c r="AA14" s="268"/>
      <c r="AB14" s="268"/>
      <c r="AC14" s="268"/>
      <c r="AD14" s="268"/>
      <c r="AE14" s="268"/>
      <c r="AF14" s="268"/>
      <c r="AG14" s="268"/>
      <c r="AH14" s="268"/>
      <c r="AI14" s="268"/>
      <c r="AJ14" s="268"/>
      <c r="AK14" s="268"/>
      <c r="AL14" s="268"/>
      <c r="AM14" s="268"/>
      <c r="AN14" s="268"/>
      <c r="AO14" s="268"/>
      <c r="AP14" s="268"/>
      <c r="AQ14" s="268"/>
      <c r="AR14" s="268"/>
      <c r="AS14" s="268"/>
      <c r="AT14" s="268"/>
      <c r="AU14" s="268"/>
      <c r="AV14" s="268"/>
      <c r="AW14" s="275"/>
      <c r="AX14" s="268"/>
      <c r="AY14" s="268"/>
      <c r="AZ14" s="268"/>
      <c r="BA14" s="268"/>
      <c r="BB14" s="268"/>
      <c r="BC14" s="268"/>
      <c r="BD14" s="268"/>
      <c r="BE14" s="268"/>
      <c r="BF14" s="268"/>
      <c r="BG14" s="268"/>
      <c r="BH14" s="268"/>
      <c r="BI14" s="268"/>
      <c r="BJ14" s="268"/>
      <c r="BK14" s="268"/>
      <c r="BL14" s="268"/>
      <c r="BM14" s="268"/>
      <c r="BN14" s="268"/>
      <c r="CQ14" s="211" t="s">
        <v>0</v>
      </c>
      <c r="DA14" s="583"/>
      <c r="EN14" s="351"/>
    </row>
    <row r="15" spans="1:144" ht="15.5" customHeight="1">
      <c r="A15" s="684" t="s">
        <v>878</v>
      </c>
      <c r="B15" s="701" t="s">
        <v>878</v>
      </c>
      <c r="C15" s="560" t="s">
        <v>64</v>
      </c>
      <c r="D15" s="560" t="s">
        <v>65</v>
      </c>
      <c r="E15" s="702" t="s">
        <v>737</v>
      </c>
      <c r="F15" s="268"/>
      <c r="G15" s="268"/>
      <c r="H15" s="268"/>
      <c r="I15" s="268"/>
      <c r="J15" s="268"/>
      <c r="K15" s="268"/>
      <c r="L15" s="268"/>
      <c r="M15" s="268"/>
      <c r="N15" s="268"/>
      <c r="O15" s="268"/>
      <c r="P15" s="268"/>
      <c r="Q15" s="268"/>
      <c r="R15" s="268"/>
      <c r="S15" s="268"/>
      <c r="T15" s="268"/>
      <c r="U15" s="268"/>
      <c r="V15" s="268"/>
      <c r="W15" s="268"/>
      <c r="X15" s="268"/>
      <c r="Y15" s="268"/>
      <c r="Z15" s="268"/>
      <c r="AA15" s="268"/>
      <c r="AB15" s="268"/>
      <c r="AC15" s="268"/>
      <c r="AD15" s="268"/>
      <c r="AE15" s="268"/>
      <c r="AF15" s="268"/>
      <c r="AG15" s="268"/>
      <c r="AH15" s="268"/>
      <c r="AI15" s="268"/>
      <c r="AJ15" s="268"/>
      <c r="AK15" s="268"/>
      <c r="AL15" s="268"/>
      <c r="AM15" s="268"/>
      <c r="AN15" s="268"/>
      <c r="AO15" s="268"/>
      <c r="AP15" s="268"/>
      <c r="AQ15" s="268"/>
      <c r="AR15" s="268"/>
      <c r="AS15" s="268"/>
      <c r="AT15" s="268"/>
      <c r="AU15" s="268"/>
      <c r="AV15" s="268"/>
      <c r="AW15" s="275"/>
      <c r="AX15" s="268"/>
      <c r="AY15" s="268"/>
      <c r="AZ15" s="268"/>
      <c r="BA15" s="268"/>
      <c r="BB15" s="268"/>
      <c r="BC15" s="268"/>
      <c r="BD15" s="268"/>
      <c r="BE15" s="268"/>
      <c r="BF15" s="268"/>
      <c r="BG15" s="268"/>
      <c r="BH15" s="268"/>
      <c r="BI15" s="268"/>
      <c r="BJ15" s="268"/>
      <c r="BK15" s="268"/>
      <c r="BL15" s="268"/>
      <c r="BM15" s="268"/>
      <c r="BN15" s="268"/>
      <c r="CQ15" s="3" t="s">
        <v>0</v>
      </c>
      <c r="DA15" s="584"/>
      <c r="EN15" s="207"/>
    </row>
    <row r="16" spans="1:144" ht="15">
      <c r="A16" s="721" t="s">
        <v>984</v>
      </c>
      <c r="B16" s="282" t="s">
        <v>615</v>
      </c>
      <c r="C16" s="268" t="s">
        <v>0</v>
      </c>
      <c r="DA16" s="584"/>
      <c r="EN16" s="207"/>
    </row>
    <row r="17" spans="1:144" ht="15">
      <c r="A17" s="648"/>
      <c r="B17" s="282" t="s">
        <v>1030</v>
      </c>
      <c r="C17" s="268" t="s">
        <v>0</v>
      </c>
      <c r="CK17" s="3" t="s">
        <v>0</v>
      </c>
      <c r="DA17" s="584"/>
      <c r="DS17" s="275">
        <v>-19000</v>
      </c>
      <c r="DW17" s="275">
        <v>-41000</v>
      </c>
      <c r="EA17" s="275"/>
      <c r="EB17" s="275">
        <v>-35000</v>
      </c>
      <c r="EC17" s="275"/>
      <c r="ED17" s="275"/>
      <c r="EE17" s="275"/>
      <c r="EF17" s="275">
        <v>-23000</v>
      </c>
      <c r="EG17" s="275"/>
      <c r="EH17" s="275"/>
      <c r="EI17" s="275"/>
      <c r="EJ17" s="275"/>
      <c r="EL17" s="275">
        <v>-41000</v>
      </c>
      <c r="EN17" s="207"/>
    </row>
    <row r="18" spans="1:144" ht="15">
      <c r="A18" s="648"/>
      <c r="B18" s="282" t="s">
        <v>1034</v>
      </c>
      <c r="DA18" s="584"/>
      <c r="DF18" s="268" t="s">
        <v>0</v>
      </c>
      <c r="DM18" s="275">
        <v>55000</v>
      </c>
      <c r="DS18" s="275">
        <v>85000</v>
      </c>
      <c r="DW18" s="275">
        <v>85000</v>
      </c>
      <c r="EA18" s="275">
        <v>70000</v>
      </c>
      <c r="EB18" s="275"/>
      <c r="EC18" s="275"/>
      <c r="ED18" s="275"/>
      <c r="EE18" s="275">
        <v>70000</v>
      </c>
      <c r="EF18" s="275"/>
      <c r="EG18" s="275"/>
      <c r="EH18" s="275"/>
      <c r="EI18" s="275">
        <v>80000</v>
      </c>
      <c r="EJ18" s="275"/>
      <c r="EN18" s="311">
        <v>30000</v>
      </c>
    </row>
    <row r="19" spans="1:144" ht="17" customHeight="1">
      <c r="A19" s="685" t="s">
        <v>875</v>
      </c>
      <c r="B19" s="596" t="s">
        <v>843</v>
      </c>
      <c r="C19" s="211">
        <f>290000+5000</f>
        <v>295000</v>
      </c>
      <c r="D19" s="211">
        <f>C19*0.975</f>
        <v>287625</v>
      </c>
      <c r="F19" s="211"/>
      <c r="G19" s="211"/>
      <c r="H19" s="211"/>
      <c r="I19" s="211"/>
      <c r="J19" s="211"/>
      <c r="K19" s="211"/>
      <c r="L19" s="211"/>
      <c r="M19" s="211"/>
      <c r="N19" s="211"/>
      <c r="O19" s="211"/>
      <c r="P19" s="211"/>
      <c r="Q19" s="211"/>
      <c r="R19" s="211"/>
      <c r="S19" s="211"/>
      <c r="T19" s="211"/>
      <c r="U19" s="211"/>
      <c r="V19" s="211"/>
      <c r="W19" s="211"/>
      <c r="X19" s="211"/>
      <c r="Y19" s="211"/>
      <c r="Z19" s="211"/>
      <c r="AA19" s="211"/>
      <c r="AB19" s="211"/>
      <c r="AC19" s="211"/>
      <c r="AD19" s="211"/>
      <c r="AE19" s="211"/>
      <c r="AF19" s="211"/>
      <c r="AG19" s="211"/>
      <c r="AH19" s="211"/>
      <c r="AI19" s="211"/>
      <c r="AJ19" s="211"/>
      <c r="AK19" s="211"/>
      <c r="AL19" s="211"/>
      <c r="AM19" s="211"/>
      <c r="AN19" s="211"/>
      <c r="AO19" s="211"/>
      <c r="AP19" s="211"/>
      <c r="AQ19" s="211"/>
      <c r="AR19" s="211"/>
      <c r="AS19" s="211"/>
      <c r="AT19" s="211"/>
      <c r="AU19" s="211"/>
      <c r="AV19" s="569"/>
      <c r="AW19" s="211"/>
      <c r="AX19" s="211"/>
      <c r="AY19" s="211"/>
      <c r="AZ19" s="211"/>
      <c r="BA19" s="211"/>
      <c r="BB19" s="211"/>
      <c r="BC19" s="211"/>
      <c r="BD19" s="211"/>
      <c r="BE19" s="211"/>
      <c r="BF19" s="211"/>
      <c r="BG19" s="211"/>
      <c r="BH19" s="211"/>
      <c r="BI19" s="211"/>
      <c r="BJ19" s="211"/>
      <c r="BK19" s="211"/>
      <c r="BL19" s="211"/>
      <c r="BM19" s="211"/>
      <c r="BN19" s="211"/>
      <c r="CH19" s="703" t="s">
        <v>716</v>
      </c>
      <c r="DA19" s="584"/>
      <c r="EN19" s="207"/>
    </row>
    <row r="20" spans="1:144" ht="12.5" customHeight="1">
      <c r="A20" s="648"/>
      <c r="B20" s="282" t="s">
        <v>847</v>
      </c>
      <c r="C20" s="211"/>
      <c r="D20" s="211">
        <f>D19-D21-D22</f>
        <v>170625</v>
      </c>
      <c r="F20" s="211"/>
      <c r="G20" s="211"/>
      <c r="H20" s="211"/>
      <c r="I20" s="211"/>
      <c r="J20" s="211"/>
      <c r="K20" s="211"/>
      <c r="L20" s="211"/>
      <c r="M20" s="211"/>
      <c r="N20" s="211"/>
      <c r="O20" s="211"/>
      <c r="P20" s="211"/>
      <c r="Q20" s="211"/>
      <c r="R20" s="211"/>
      <c r="S20" s="211"/>
      <c r="T20" s="211"/>
      <c r="U20" s="211"/>
      <c r="V20" s="211"/>
      <c r="W20" s="211"/>
      <c r="X20" s="211"/>
      <c r="Y20" s="211"/>
      <c r="Z20" s="211"/>
      <c r="AA20" s="211"/>
      <c r="AB20" s="211"/>
      <c r="AC20" s="211"/>
      <c r="AD20" s="211"/>
      <c r="AE20" s="211"/>
      <c r="AF20" s="211"/>
      <c r="AG20" s="211"/>
      <c r="AH20" s="211"/>
      <c r="AI20" s="211"/>
      <c r="AJ20" s="211"/>
      <c r="AK20" s="211"/>
      <c r="AL20" s="211"/>
      <c r="AM20" s="211"/>
      <c r="AN20" s="211"/>
      <c r="AO20" s="211"/>
      <c r="AP20" s="211"/>
      <c r="AQ20" s="211"/>
      <c r="AR20" s="211"/>
      <c r="AS20" s="211"/>
      <c r="AT20" s="211"/>
      <c r="AU20" s="211"/>
      <c r="AV20" s="569"/>
      <c r="AW20" s="211"/>
      <c r="AX20" s="211"/>
      <c r="AY20" s="211"/>
      <c r="AZ20" s="211"/>
      <c r="BA20" s="211"/>
      <c r="BB20" s="211"/>
      <c r="BC20" s="211"/>
      <c r="BD20" s="211"/>
      <c r="BE20" s="211"/>
      <c r="BF20" s="211"/>
      <c r="BG20" s="211"/>
      <c r="BH20" s="211"/>
      <c r="BI20" s="211"/>
      <c r="BJ20" s="211"/>
      <c r="BK20" s="211"/>
      <c r="BL20" s="211"/>
      <c r="BM20" s="211"/>
      <c r="BN20" s="211"/>
      <c r="CH20" s="704"/>
      <c r="CK20" s="211"/>
      <c r="CL20" s="211"/>
      <c r="CM20" s="211"/>
      <c r="CN20" s="211"/>
      <c r="CO20" s="607">
        <v>78565.399999999994</v>
      </c>
      <c r="CS20" s="269">
        <v>114104.5</v>
      </c>
      <c r="CV20" s="268"/>
      <c r="CW20" s="268"/>
      <c r="CY20" s="269">
        <v>64730.09</v>
      </c>
      <c r="CZ20" s="268"/>
      <c r="DA20" s="582"/>
      <c r="DB20" s="268" t="s">
        <v>0</v>
      </c>
      <c r="EN20" s="207"/>
    </row>
    <row r="21" spans="1:144" ht="12.5" customHeight="1">
      <c r="A21" s="648"/>
      <c r="B21" s="282" t="s">
        <v>844</v>
      </c>
      <c r="C21" s="211"/>
      <c r="D21" s="211">
        <v>45000</v>
      </c>
      <c r="F21" s="211"/>
      <c r="G21" s="211"/>
      <c r="H21" s="211"/>
      <c r="I21" s="211"/>
      <c r="J21" s="211"/>
      <c r="K21" s="211"/>
      <c r="L21" s="211"/>
      <c r="M21" s="211"/>
      <c r="N21" s="211"/>
      <c r="O21" s="211"/>
      <c r="P21" s="211"/>
      <c r="Q21" s="211"/>
      <c r="R21" s="211"/>
      <c r="S21" s="211"/>
      <c r="T21" s="211"/>
      <c r="U21" s="211"/>
      <c r="V21" s="211"/>
      <c r="W21" s="211"/>
      <c r="X21" s="211"/>
      <c r="Y21" s="211"/>
      <c r="Z21" s="211"/>
      <c r="AA21" s="211"/>
      <c r="AB21" s="211"/>
      <c r="AC21" s="211"/>
      <c r="AD21" s="211"/>
      <c r="AE21" s="211"/>
      <c r="AF21" s="211"/>
      <c r="AG21" s="211"/>
      <c r="AH21" s="211"/>
      <c r="AI21" s="211"/>
      <c r="AJ21" s="211"/>
      <c r="AK21" s="211"/>
      <c r="AL21" s="211"/>
      <c r="AM21" s="211"/>
      <c r="AN21" s="211"/>
      <c r="AO21" s="211"/>
      <c r="AP21" s="211"/>
      <c r="AQ21" s="211"/>
      <c r="AR21" s="211"/>
      <c r="AS21" s="211"/>
      <c r="AT21" s="211"/>
      <c r="AU21" s="211"/>
      <c r="AV21" s="569"/>
      <c r="AW21" s="211"/>
      <c r="AX21" s="211"/>
      <c r="AY21" s="211"/>
      <c r="AZ21" s="211"/>
      <c r="BA21" s="211"/>
      <c r="BB21" s="211"/>
      <c r="BC21" s="211"/>
      <c r="BD21" s="211"/>
      <c r="BE21" s="211"/>
      <c r="BF21" s="211"/>
      <c r="BG21" s="211"/>
      <c r="BH21" s="211"/>
      <c r="BI21" s="211"/>
      <c r="BJ21" s="211"/>
      <c r="BK21" s="211"/>
      <c r="BL21" s="211"/>
      <c r="BM21" s="211"/>
      <c r="BN21" s="211"/>
      <c r="CL21" s="607">
        <f>19500-975</f>
        <v>18525</v>
      </c>
      <c r="CM21" s="211"/>
      <c r="CN21" s="211"/>
      <c r="CO21" s="211">
        <v>0</v>
      </c>
      <c r="CS21" s="268" t="s">
        <v>0</v>
      </c>
      <c r="CV21" s="268"/>
      <c r="CW21" s="268"/>
      <c r="CX21" s="268" t="s">
        <v>0</v>
      </c>
      <c r="CY21" s="268"/>
      <c r="CZ21" s="268"/>
      <c r="DA21" s="582"/>
      <c r="EN21" s="207"/>
    </row>
    <row r="22" spans="1:144" ht="12.5" customHeight="1">
      <c r="A22" s="648"/>
      <c r="B22" s="282" t="s">
        <v>845</v>
      </c>
      <c r="C22" s="211"/>
      <c r="D22" s="211">
        <v>72000</v>
      </c>
      <c r="F22" s="211"/>
      <c r="G22" s="211"/>
      <c r="H22" s="211"/>
      <c r="I22" s="211"/>
      <c r="J22" s="211"/>
      <c r="K22" s="211"/>
      <c r="L22" s="211"/>
      <c r="M22" s="211"/>
      <c r="N22" s="211"/>
      <c r="O22" s="211"/>
      <c r="P22" s="211"/>
      <c r="Q22" s="211"/>
      <c r="R22" s="211"/>
      <c r="S22" s="211"/>
      <c r="T22" s="211"/>
      <c r="U22" s="211"/>
      <c r="V22" s="211"/>
      <c r="W22" s="211"/>
      <c r="X22" s="211"/>
      <c r="Y22" s="211"/>
      <c r="Z22" s="211"/>
      <c r="AA22" s="211"/>
      <c r="AB22" s="211"/>
      <c r="AC22" s="211"/>
      <c r="AD22" s="211"/>
      <c r="AE22" s="211"/>
      <c r="AF22" s="211"/>
      <c r="AG22" s="211"/>
      <c r="AH22" s="211"/>
      <c r="AI22" s="211"/>
      <c r="AJ22" s="211"/>
      <c r="AK22" s="211"/>
      <c r="AL22" s="211"/>
      <c r="AM22" s="211"/>
      <c r="AN22" s="211"/>
      <c r="AO22" s="211"/>
      <c r="AP22" s="211"/>
      <c r="AQ22" s="211"/>
      <c r="AR22" s="211"/>
      <c r="AS22" s="211"/>
      <c r="AT22" s="211"/>
      <c r="AU22" s="211"/>
      <c r="AV22" s="569"/>
      <c r="AW22" s="211"/>
      <c r="AX22" s="211"/>
      <c r="AY22" s="211"/>
      <c r="AZ22" s="211"/>
      <c r="BA22" s="211"/>
      <c r="BB22" s="211"/>
      <c r="BC22" s="211"/>
      <c r="BD22" s="211"/>
      <c r="BE22" s="211"/>
      <c r="BF22" s="211"/>
      <c r="BG22" s="211"/>
      <c r="BH22" s="211"/>
      <c r="BI22" s="211"/>
      <c r="BJ22" s="211"/>
      <c r="BK22" s="211"/>
      <c r="BL22" s="211"/>
      <c r="BM22" s="211"/>
      <c r="BN22" s="211"/>
      <c r="CE22" s="268" t="s">
        <v>0</v>
      </c>
      <c r="CO22" s="268">
        <v>0</v>
      </c>
      <c r="DA22" s="584"/>
      <c r="EN22" s="207"/>
    </row>
    <row r="23" spans="1:144" ht="12.5" customHeight="1">
      <c r="A23" s="648"/>
      <c r="B23" s="282" t="s">
        <v>846</v>
      </c>
      <c r="C23" s="211"/>
      <c r="D23" s="211">
        <v>-45000</v>
      </c>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211"/>
      <c r="AE23" s="211"/>
      <c r="AF23" s="211"/>
      <c r="AG23" s="211"/>
      <c r="AH23" s="211"/>
      <c r="AI23" s="211"/>
      <c r="AJ23" s="211"/>
      <c r="AK23" s="211"/>
      <c r="AL23" s="211"/>
      <c r="AM23" s="211"/>
      <c r="AN23" s="211"/>
      <c r="AO23" s="211"/>
      <c r="AP23" s="211"/>
      <c r="AQ23" s="211"/>
      <c r="AR23" s="211"/>
      <c r="AS23" s="211"/>
      <c r="AT23" s="211"/>
      <c r="AU23" s="211"/>
      <c r="AV23" s="569"/>
      <c r="AW23" s="211"/>
      <c r="AX23" s="211"/>
      <c r="AY23" s="211"/>
      <c r="AZ23" s="211"/>
      <c r="BA23" s="211"/>
      <c r="BB23" s="211"/>
      <c r="BC23" s="211"/>
      <c r="BD23" s="211"/>
      <c r="BE23" s="211"/>
      <c r="BF23" s="211"/>
      <c r="BG23" s="211"/>
      <c r="BH23" s="211"/>
      <c r="BI23" s="211"/>
      <c r="BJ23" s="211"/>
      <c r="BK23" s="211"/>
      <c r="BL23" s="211"/>
      <c r="BM23" s="211"/>
      <c r="BN23" s="211"/>
      <c r="CE23" s="268"/>
      <c r="CP23" s="211">
        <v>0</v>
      </c>
      <c r="CT23" s="211">
        <v>0</v>
      </c>
      <c r="DA23" s="584"/>
      <c r="DC23" s="211">
        <v>0</v>
      </c>
      <c r="DD23" s="211"/>
      <c r="DE23" s="211"/>
      <c r="DF23" s="211"/>
      <c r="DG23" s="211"/>
      <c r="DH23" s="211"/>
      <c r="DI23" s="211"/>
      <c r="EN23" s="207"/>
    </row>
    <row r="24" spans="1:144" ht="12.5" customHeight="1">
      <c r="A24" s="648"/>
      <c r="B24" s="282" t="s">
        <v>871</v>
      </c>
      <c r="C24" s="211"/>
      <c r="D24" s="211">
        <v>-60000</v>
      </c>
      <c r="F24" s="211"/>
      <c r="G24" s="211"/>
      <c r="H24" s="211"/>
      <c r="I24" s="211"/>
      <c r="J24" s="211"/>
      <c r="K24" s="211"/>
      <c r="L24" s="211"/>
      <c r="M24" s="211"/>
      <c r="N24" s="211"/>
      <c r="O24" s="211"/>
      <c r="P24" s="211"/>
      <c r="Q24" s="211"/>
      <c r="R24" s="211"/>
      <c r="S24" s="211"/>
      <c r="T24" s="211"/>
      <c r="U24" s="211"/>
      <c r="V24" s="211"/>
      <c r="W24" s="211"/>
      <c r="X24" s="211"/>
      <c r="Y24" s="211"/>
      <c r="Z24" s="211"/>
      <c r="AA24" s="211"/>
      <c r="AB24" s="211"/>
      <c r="AC24" s="211"/>
      <c r="AD24" s="211"/>
      <c r="AE24" s="211"/>
      <c r="AF24" s="211"/>
      <c r="AG24" s="211"/>
      <c r="AH24" s="211"/>
      <c r="AI24" s="211"/>
      <c r="AJ24" s="211"/>
      <c r="AK24" s="211"/>
      <c r="AL24" s="211"/>
      <c r="AM24" s="211"/>
      <c r="AN24" s="211"/>
      <c r="AO24" s="211"/>
      <c r="AP24" s="211"/>
      <c r="AQ24" s="211"/>
      <c r="AR24" s="211"/>
      <c r="AS24" s="211"/>
      <c r="AT24" s="211"/>
      <c r="AU24" s="211"/>
      <c r="AV24" s="569"/>
      <c r="AW24" s="211"/>
      <c r="AX24" s="211"/>
      <c r="AY24" s="211"/>
      <c r="AZ24" s="211"/>
      <c r="BA24" s="211"/>
      <c r="BB24" s="211"/>
      <c r="BC24" s="211"/>
      <c r="BD24" s="211"/>
      <c r="BE24" s="211"/>
      <c r="BF24" s="211"/>
      <c r="BG24" s="211"/>
      <c r="BH24" s="211"/>
      <c r="BI24" s="211"/>
      <c r="BJ24" s="211"/>
      <c r="BK24" s="211"/>
      <c r="BL24" s="211"/>
      <c r="BM24" s="211"/>
      <c r="BN24" s="211"/>
      <c r="CE24" s="268" t="s">
        <v>0</v>
      </c>
      <c r="CL24" s="268" t="s">
        <v>0</v>
      </c>
      <c r="CV24" s="211"/>
      <c r="CW24" s="211"/>
      <c r="CX24" s="211" t="s">
        <v>0</v>
      </c>
      <c r="CY24" s="211"/>
      <c r="CZ24" s="211"/>
      <c r="DA24" s="583"/>
      <c r="EN24" s="207"/>
    </row>
    <row r="25" spans="1:144" ht="16">
      <c r="A25" s="685" t="s">
        <v>876</v>
      </c>
      <c r="B25" s="282" t="s">
        <v>808</v>
      </c>
      <c r="E25" s="702"/>
      <c r="F25" s="268"/>
      <c r="G25" s="268"/>
      <c r="H25" s="268"/>
      <c r="I25" s="268"/>
      <c r="J25" s="268"/>
      <c r="K25" s="268"/>
      <c r="L25" s="268"/>
      <c r="M25" s="268"/>
      <c r="N25" s="268"/>
      <c r="O25" s="268"/>
      <c r="P25" s="268"/>
      <c r="Q25" s="268"/>
      <c r="R25" s="268"/>
      <c r="S25" s="268"/>
      <c r="T25" s="268"/>
      <c r="U25" s="268"/>
      <c r="V25" s="268"/>
      <c r="W25" s="268"/>
      <c r="X25" s="268"/>
      <c r="Y25" s="268"/>
      <c r="Z25" s="268"/>
      <c r="AA25" s="268"/>
      <c r="AB25" s="268"/>
      <c r="AC25" s="268"/>
      <c r="AD25" s="268"/>
      <c r="AE25" s="268"/>
      <c r="AF25" s="268"/>
      <c r="AG25" s="268"/>
      <c r="AH25" s="268"/>
      <c r="AI25" s="268"/>
      <c r="AJ25" s="268"/>
      <c r="AK25" s="268"/>
      <c r="AL25" s="268"/>
      <c r="AM25" s="268"/>
      <c r="AN25" s="268"/>
      <c r="AO25" s="268"/>
      <c r="AP25" s="268"/>
      <c r="AQ25" s="268"/>
      <c r="AR25" s="268"/>
      <c r="AS25" s="268"/>
      <c r="AT25" s="268"/>
      <c r="AU25" s="268"/>
      <c r="AV25" s="268"/>
      <c r="AW25" s="275"/>
      <c r="AX25" s="268"/>
      <c r="AY25" s="268"/>
      <c r="AZ25" s="268"/>
      <c r="BA25" s="268"/>
      <c r="BB25" s="268"/>
      <c r="BC25" s="268"/>
      <c r="BD25" s="268"/>
      <c r="BE25" s="268"/>
      <c r="BF25" s="268"/>
      <c r="BG25" s="268"/>
      <c r="BH25" s="268"/>
      <c r="BI25" s="268"/>
      <c r="BJ25" s="268"/>
      <c r="BK25" s="268"/>
      <c r="BL25" s="268"/>
      <c r="BM25" s="268"/>
      <c r="BN25" s="268"/>
      <c r="CF25" s="268" t="s">
        <v>0</v>
      </c>
      <c r="CK25" s="3" t="s">
        <v>0</v>
      </c>
      <c r="CM25" s="269">
        <f>41668.13*0.95</f>
        <v>39584.723499999993</v>
      </c>
      <c r="CQ25" s="269">
        <v>65364.85</v>
      </c>
      <c r="CR25" s="268"/>
      <c r="CS25" s="268"/>
      <c r="CT25" s="268" t="s">
        <v>0</v>
      </c>
      <c r="CV25" s="268"/>
      <c r="CW25" s="268"/>
      <c r="CX25" s="268">
        <v>0</v>
      </c>
      <c r="CY25" s="268"/>
      <c r="CZ25" s="268"/>
      <c r="DA25" s="582"/>
      <c r="EL25" s="3" t="s">
        <v>0</v>
      </c>
      <c r="EN25" s="207"/>
    </row>
    <row r="26" spans="1:144" ht="15">
      <c r="A26" s="648"/>
      <c r="B26" s="282" t="s">
        <v>809</v>
      </c>
      <c r="C26" s="263">
        <v>2600000</v>
      </c>
      <c r="D26" s="263">
        <f>C26*0.975</f>
        <v>2535000</v>
      </c>
      <c r="E26" s="702"/>
      <c r="F26" s="268"/>
      <c r="G26" s="268"/>
      <c r="H26" s="268"/>
      <c r="I26" s="268"/>
      <c r="J26" s="268"/>
      <c r="K26" s="268"/>
      <c r="L26" s="268"/>
      <c r="M26" s="268"/>
      <c r="N26" s="268"/>
      <c r="O26" s="268"/>
      <c r="P26" s="268"/>
      <c r="Q26" s="268"/>
      <c r="R26" s="268"/>
      <c r="S26" s="268"/>
      <c r="T26" s="268"/>
      <c r="U26" s="268"/>
      <c r="V26" s="268"/>
      <c r="W26" s="268"/>
      <c r="X26" s="268"/>
      <c r="Y26" s="268"/>
      <c r="Z26" s="268"/>
      <c r="AA26" s="268"/>
      <c r="AB26" s="268"/>
      <c r="AC26" s="268"/>
      <c r="AD26" s="268"/>
      <c r="AE26" s="268"/>
      <c r="AF26" s="268"/>
      <c r="AG26" s="268"/>
      <c r="AH26" s="268"/>
      <c r="AI26" s="268"/>
      <c r="AJ26" s="268"/>
      <c r="AK26" s="268"/>
      <c r="AL26" s="268"/>
      <c r="AM26" s="268"/>
      <c r="AN26" s="268"/>
      <c r="AO26" s="268"/>
      <c r="AP26" s="268"/>
      <c r="AQ26" s="268"/>
      <c r="AR26" s="268"/>
      <c r="AS26" s="268"/>
      <c r="AT26" s="268"/>
      <c r="AU26" s="268"/>
      <c r="AV26" s="268"/>
      <c r="AW26" s="275"/>
      <c r="AX26" s="268"/>
      <c r="AY26" s="268"/>
      <c r="AZ26" s="268"/>
      <c r="BA26" s="268"/>
      <c r="BB26" s="268"/>
      <c r="BC26" s="268"/>
      <c r="BD26" s="268"/>
      <c r="BE26" s="268"/>
      <c r="BF26" s="268"/>
      <c r="BG26" s="268"/>
      <c r="BH26" s="268"/>
      <c r="BI26" s="268"/>
      <c r="BJ26" s="268"/>
      <c r="BK26" s="268"/>
      <c r="BL26" s="268"/>
      <c r="BM26" s="268"/>
      <c r="BN26" s="268"/>
      <c r="CE26" s="268" t="s">
        <v>0</v>
      </c>
      <c r="CG26" s="268"/>
      <c r="CL26" s="268"/>
      <c r="CQ26" s="268"/>
      <c r="CR26" s="268"/>
      <c r="CS26" s="268"/>
      <c r="CU26" s="269">
        <v>278271</v>
      </c>
      <c r="CV26" s="268"/>
      <c r="CW26" s="268"/>
      <c r="CY26" s="269">
        <v>389917.05</v>
      </c>
      <c r="CZ26" s="268"/>
      <c r="DA26" s="582"/>
      <c r="DD26" s="268">
        <v>478152</v>
      </c>
      <c r="DE26" s="268"/>
      <c r="DF26" s="268"/>
      <c r="DG26" s="268"/>
      <c r="DI26" s="268">
        <v>470000</v>
      </c>
      <c r="DK26" s="268"/>
      <c r="DL26" s="268"/>
      <c r="DN26" s="268">
        <v>400000</v>
      </c>
      <c r="DO26" s="268" t="s">
        <v>0</v>
      </c>
      <c r="DP26" s="268"/>
      <c r="DQ26" s="268"/>
      <c r="DR26" s="268"/>
      <c r="DS26" s="268">
        <v>360000</v>
      </c>
      <c r="DT26" s="268"/>
      <c r="DU26" s="268"/>
      <c r="DV26" s="268"/>
      <c r="DX26" s="268">
        <v>50000</v>
      </c>
      <c r="DY26" s="268"/>
      <c r="DZ26" s="268"/>
      <c r="EB26" s="268">
        <v>140000</v>
      </c>
      <c r="EC26" s="268"/>
      <c r="ED26" s="268"/>
      <c r="EE26" s="268"/>
      <c r="EG26" s="268"/>
      <c r="EH26" s="268"/>
      <c r="EI26" s="268" t="s">
        <v>0</v>
      </c>
      <c r="EJ26" s="268" t="s">
        <v>0</v>
      </c>
      <c r="EK26" s="268" t="s">
        <v>0</v>
      </c>
      <c r="EL26" s="211" t="s">
        <v>0</v>
      </c>
      <c r="EN26" s="207"/>
    </row>
    <row r="27" spans="1:144" ht="16">
      <c r="A27" s="685" t="s">
        <v>386</v>
      </c>
      <c r="B27" s="299" t="s">
        <v>722</v>
      </c>
      <c r="C27" s="263">
        <v>2340000</v>
      </c>
      <c r="D27" s="211">
        <f>C27*0.975</f>
        <v>2281500</v>
      </c>
      <c r="E27" s="519">
        <v>2208375</v>
      </c>
      <c r="F27" s="268"/>
      <c r="G27" s="268"/>
      <c r="H27" s="268"/>
      <c r="I27" s="268"/>
      <c r="J27" s="268"/>
      <c r="K27" s="268"/>
      <c r="L27" s="273"/>
      <c r="M27" s="268"/>
      <c r="N27" s="268"/>
      <c r="O27" s="268"/>
      <c r="P27" s="268"/>
      <c r="Q27" s="268"/>
      <c r="R27" s="268"/>
      <c r="S27" s="268"/>
      <c r="T27" s="268"/>
      <c r="U27" s="268"/>
      <c r="V27" s="268"/>
      <c r="W27" s="268">
        <v>0</v>
      </c>
      <c r="X27" s="268"/>
      <c r="Y27" s="268"/>
      <c r="Z27" s="268"/>
      <c r="AA27" s="268"/>
      <c r="AB27" s="268">
        <v>0</v>
      </c>
      <c r="AC27" s="268"/>
      <c r="AD27" s="268"/>
      <c r="AE27" s="268"/>
      <c r="AG27" s="268"/>
      <c r="AH27" s="268"/>
      <c r="AI27" s="268">
        <v>0</v>
      </c>
      <c r="AK27" s="268"/>
      <c r="AL27" s="268"/>
      <c r="AM27" s="268"/>
      <c r="AO27" s="269">
        <v>35827.06</v>
      </c>
      <c r="AP27" s="268"/>
      <c r="AQ27" s="268"/>
      <c r="AR27" s="268"/>
      <c r="AT27" s="269">
        <v>109979.36</v>
      </c>
      <c r="AU27" s="268"/>
      <c r="AV27" s="268" t="s">
        <v>0</v>
      </c>
      <c r="AX27" s="310">
        <v>265843.69</v>
      </c>
      <c r="AZ27" s="269">
        <v>120003.14</v>
      </c>
      <c r="BB27" s="269">
        <v>252246.55</v>
      </c>
      <c r="BE27" s="269">
        <v>120000.5</v>
      </c>
      <c r="BF27" s="269">
        <v>50000.4</v>
      </c>
      <c r="BH27" s="269">
        <v>205045.3</v>
      </c>
      <c r="BJ27" s="269">
        <v>94999.9</v>
      </c>
      <c r="BM27" s="268"/>
      <c r="BO27" s="269">
        <v>190000.1</v>
      </c>
      <c r="BR27" s="269">
        <f>50000+30750</f>
        <v>80750</v>
      </c>
      <c r="BT27" s="269">
        <v>185304.05</v>
      </c>
      <c r="BX27" s="269">
        <f>75123.15*0.8</f>
        <v>60098.52</v>
      </c>
      <c r="BY27" s="268"/>
      <c r="BZ27" s="268"/>
      <c r="CC27" s="268"/>
      <c r="CD27" s="268"/>
      <c r="CE27" s="269">
        <f>99999.85+100000</f>
        <v>199999.85</v>
      </c>
      <c r="CF27" s="268"/>
      <c r="CG27" s="268"/>
      <c r="CI27" s="269">
        <v>133000</v>
      </c>
      <c r="CJ27" s="268"/>
      <c r="CK27" s="268" t="s">
        <v>0</v>
      </c>
      <c r="CM27" s="268"/>
      <c r="CN27" s="268" t="s">
        <v>0</v>
      </c>
      <c r="CO27" s="268"/>
      <c r="CQ27" s="269">
        <v>60000</v>
      </c>
      <c r="CR27" s="269">
        <v>60000.1</v>
      </c>
      <c r="CU27" s="268" t="s">
        <v>0</v>
      </c>
      <c r="CV27" s="268"/>
      <c r="CW27" s="268"/>
      <c r="CX27" s="268"/>
      <c r="CY27" s="268"/>
      <c r="CZ27" s="268"/>
      <c r="DA27" s="582"/>
      <c r="DC27" s="268" t="s">
        <v>0</v>
      </c>
      <c r="DD27" s="268"/>
      <c r="DE27" s="268"/>
      <c r="DF27" s="268"/>
      <c r="DG27" s="268"/>
      <c r="DH27" s="268"/>
      <c r="DI27" s="268"/>
      <c r="EL27" s="3" t="s">
        <v>0</v>
      </c>
      <c r="EN27" s="207"/>
    </row>
    <row r="28" spans="1:144" ht="16">
      <c r="A28" s="685"/>
      <c r="B28" s="299" t="s">
        <v>903</v>
      </c>
      <c r="C28" s="263">
        <v>25000</v>
      </c>
      <c r="D28" s="211"/>
      <c r="E28" s="519"/>
      <c r="F28" s="268"/>
      <c r="G28" s="268"/>
      <c r="H28" s="268"/>
      <c r="I28" s="268"/>
      <c r="J28" s="268"/>
      <c r="K28" s="268"/>
      <c r="L28" s="273"/>
      <c r="M28" s="268"/>
      <c r="N28" s="268"/>
      <c r="O28" s="268"/>
      <c r="P28" s="268"/>
      <c r="Q28" s="268"/>
      <c r="R28" s="268"/>
      <c r="S28" s="268"/>
      <c r="T28" s="268"/>
      <c r="U28" s="268"/>
      <c r="V28" s="268"/>
      <c r="W28" s="268"/>
      <c r="X28" s="268"/>
      <c r="Y28" s="268"/>
      <c r="Z28" s="268"/>
      <c r="AA28" s="268"/>
      <c r="AB28" s="268"/>
      <c r="AC28" s="268"/>
      <c r="AD28" s="268"/>
      <c r="AE28" s="268"/>
      <c r="AG28" s="268"/>
      <c r="AH28" s="268"/>
      <c r="AI28" s="268"/>
      <c r="AK28" s="268"/>
      <c r="AL28" s="268"/>
      <c r="AM28" s="268"/>
      <c r="AO28" s="268"/>
      <c r="AP28" s="268"/>
      <c r="AQ28" s="268"/>
      <c r="AR28" s="268"/>
      <c r="AT28" s="268"/>
      <c r="AU28" s="268"/>
      <c r="AV28" s="268"/>
      <c r="AX28" s="275"/>
      <c r="AZ28" s="268"/>
      <c r="BB28" s="268"/>
      <c r="BE28" s="268"/>
      <c r="BF28" s="268"/>
      <c r="BH28" s="268"/>
      <c r="BJ28" s="268"/>
      <c r="BM28" s="268"/>
      <c r="BO28" s="268"/>
      <c r="BR28" s="268"/>
      <c r="BT28" s="268"/>
      <c r="BX28" s="268"/>
      <c r="BY28" s="268"/>
      <c r="BZ28" s="268"/>
      <c r="CC28" s="268"/>
      <c r="CD28" s="268"/>
      <c r="CE28" s="268"/>
      <c r="CF28" s="268"/>
      <c r="CG28" s="268"/>
      <c r="CI28" s="268"/>
      <c r="CJ28" s="268"/>
      <c r="CK28" s="268"/>
      <c r="CM28" s="268"/>
      <c r="CN28" s="268"/>
      <c r="CO28" s="268"/>
      <c r="CP28" s="268"/>
      <c r="CT28" s="268" t="s">
        <v>0</v>
      </c>
      <c r="CU28" s="268"/>
      <c r="CV28" s="268"/>
      <c r="CW28" s="268"/>
      <c r="CX28" s="268"/>
      <c r="CY28" s="268"/>
      <c r="CZ28" s="268"/>
      <c r="DA28" s="582"/>
      <c r="DC28" s="268"/>
      <c r="DD28" s="268"/>
      <c r="DE28" s="268"/>
      <c r="DF28" s="268"/>
      <c r="DG28" s="268"/>
      <c r="DH28" s="268"/>
      <c r="DI28" s="268"/>
      <c r="EL28" s="3" t="s">
        <v>0</v>
      </c>
      <c r="EN28" s="207"/>
    </row>
    <row r="29" spans="1:144" ht="15">
      <c r="A29" s="648"/>
      <c r="B29" s="299" t="s">
        <v>77</v>
      </c>
      <c r="C29" s="263">
        <v>0</v>
      </c>
      <c r="D29" s="211">
        <v>0</v>
      </c>
      <c r="E29" s="519">
        <v>2123000</v>
      </c>
      <c r="F29" s="268"/>
      <c r="G29" s="268"/>
      <c r="H29" s="268"/>
      <c r="I29" s="268"/>
      <c r="J29" s="268"/>
      <c r="K29" s="268"/>
      <c r="L29" s="268"/>
      <c r="M29" s="268"/>
      <c r="N29" s="268"/>
      <c r="O29" s="268"/>
      <c r="P29" s="268"/>
      <c r="Q29" s="268"/>
      <c r="R29" s="268"/>
      <c r="S29" s="268"/>
      <c r="T29" s="268"/>
      <c r="U29" s="268"/>
      <c r="V29" s="268"/>
      <c r="W29" s="308" t="s">
        <v>0</v>
      </c>
      <c r="X29" s="308"/>
      <c r="Y29" s="308"/>
      <c r="Z29" s="308"/>
      <c r="AA29" s="308"/>
      <c r="AB29" s="268">
        <v>0</v>
      </c>
      <c r="AC29" s="268"/>
      <c r="AD29" s="268"/>
      <c r="AE29" s="268"/>
      <c r="AF29" s="268">
        <v>0</v>
      </c>
      <c r="AG29" s="268"/>
      <c r="AH29" s="268"/>
      <c r="AI29" s="268"/>
      <c r="AJ29" s="268">
        <v>0</v>
      </c>
      <c r="AK29" s="268"/>
      <c r="AL29" s="268"/>
      <c r="AM29" s="268"/>
      <c r="AN29" s="268"/>
      <c r="AO29" s="268" t="s">
        <v>0</v>
      </c>
      <c r="AP29" s="268"/>
      <c r="AQ29" s="268"/>
      <c r="AR29" s="268"/>
      <c r="AS29" s="268"/>
      <c r="AT29" s="268"/>
      <c r="AU29" s="268"/>
      <c r="AV29" s="268" t="s">
        <v>0</v>
      </c>
      <c r="AW29" s="275" t="s">
        <v>0</v>
      </c>
      <c r="AX29" s="268"/>
      <c r="AY29" s="268"/>
      <c r="AZ29" s="268"/>
      <c r="BA29" s="268"/>
      <c r="BB29" s="268" t="s">
        <v>0</v>
      </c>
      <c r="BC29" s="268"/>
      <c r="BD29" s="268"/>
      <c r="BE29" s="268"/>
      <c r="BF29" s="268"/>
      <c r="BG29" s="268" t="s">
        <v>0</v>
      </c>
      <c r="BH29" s="268"/>
      <c r="BI29" s="268"/>
      <c r="BJ29" s="268"/>
      <c r="BK29" s="268"/>
      <c r="BL29" s="268"/>
      <c r="BM29" s="268"/>
      <c r="BN29" s="268"/>
      <c r="DA29" s="584"/>
      <c r="EL29" s="3" t="s">
        <v>0</v>
      </c>
      <c r="EN29" s="207"/>
    </row>
    <row r="30" spans="1:144" ht="15">
      <c r="A30" s="648"/>
      <c r="B30" s="299" t="s">
        <v>78</v>
      </c>
      <c r="C30" s="263">
        <v>0</v>
      </c>
      <c r="D30" s="211">
        <v>0</v>
      </c>
      <c r="E30" s="519"/>
      <c r="F30" s="268"/>
      <c r="G30" s="268"/>
      <c r="H30" s="268"/>
      <c r="I30" s="268"/>
      <c r="J30" s="268"/>
      <c r="K30" s="268"/>
      <c r="L30" s="268"/>
      <c r="M30" s="268"/>
      <c r="N30" s="268"/>
      <c r="O30" s="268"/>
      <c r="P30" s="268"/>
      <c r="Q30" s="268"/>
      <c r="R30" s="268"/>
      <c r="S30" s="268"/>
      <c r="T30" s="268"/>
      <c r="U30" s="268"/>
      <c r="V30" s="268"/>
      <c r="W30" s="268" t="s">
        <v>0</v>
      </c>
      <c r="X30" s="268"/>
      <c r="Y30" s="268"/>
      <c r="Z30" s="268"/>
      <c r="AA30" s="268"/>
      <c r="AB30" s="268" t="s">
        <v>0</v>
      </c>
      <c r="AC30" s="268"/>
      <c r="AD30" s="268"/>
      <c r="AE30" s="268"/>
      <c r="AF30" s="308" t="s">
        <v>0</v>
      </c>
      <c r="AG30" s="308"/>
      <c r="AH30" s="308"/>
      <c r="AI30" s="308"/>
      <c r="AJ30" s="268">
        <v>0</v>
      </c>
      <c r="AK30" s="268"/>
      <c r="AL30" s="268"/>
      <c r="AM30" s="268"/>
      <c r="AN30" s="268"/>
      <c r="AO30" s="268" t="s">
        <v>0</v>
      </c>
      <c r="AP30" s="268"/>
      <c r="AQ30" s="268"/>
      <c r="AR30" s="268"/>
      <c r="AS30" s="268"/>
      <c r="AT30" s="268"/>
      <c r="AU30" s="268"/>
      <c r="AV30" s="268" t="s">
        <v>0</v>
      </c>
      <c r="AW30" s="275" t="s">
        <v>0</v>
      </c>
      <c r="AX30" s="268"/>
      <c r="AY30" s="268"/>
      <c r="AZ30" s="268"/>
      <c r="BA30" s="268"/>
      <c r="BB30" s="268" t="s">
        <v>0</v>
      </c>
      <c r="BC30" s="268"/>
      <c r="BD30" s="268"/>
      <c r="BE30" s="268"/>
      <c r="BF30" s="268"/>
      <c r="BG30" s="268" t="s">
        <v>0</v>
      </c>
      <c r="BH30" s="268"/>
      <c r="BI30" s="268"/>
      <c r="BJ30" s="268"/>
      <c r="BK30" s="268"/>
      <c r="BL30" s="268"/>
      <c r="BM30" s="268"/>
      <c r="BN30" s="268"/>
      <c r="DA30" s="584"/>
      <c r="EL30" s="3" t="s">
        <v>0</v>
      </c>
      <c r="EN30" s="207"/>
    </row>
    <row r="31" spans="1:144" ht="15">
      <c r="A31" s="648"/>
      <c r="B31" s="299" t="s">
        <v>861</v>
      </c>
      <c r="C31" s="263"/>
      <c r="D31" s="211">
        <f>40000+10000</f>
        <v>50000</v>
      </c>
      <c r="E31" s="519"/>
      <c r="F31" s="268"/>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308"/>
      <c r="AG31" s="308"/>
      <c r="AH31" s="308"/>
      <c r="AI31" s="308"/>
      <c r="AJ31" s="268"/>
      <c r="AK31" s="268"/>
      <c r="AL31" s="268"/>
      <c r="AM31" s="268"/>
      <c r="AN31" s="268"/>
      <c r="AO31" s="268"/>
      <c r="AP31" s="268"/>
      <c r="AQ31" s="268"/>
      <c r="AR31" s="268"/>
      <c r="AS31" s="268"/>
      <c r="AT31" s="268"/>
      <c r="AU31" s="268"/>
      <c r="AV31" s="268"/>
      <c r="AW31" s="275"/>
      <c r="AX31" s="268"/>
      <c r="AY31" s="268"/>
      <c r="AZ31" s="268"/>
      <c r="BA31" s="268"/>
      <c r="BB31" s="268"/>
      <c r="BC31" s="268"/>
      <c r="BD31" s="268"/>
      <c r="BE31" s="268"/>
      <c r="BF31" s="268"/>
      <c r="BG31" s="268"/>
      <c r="BH31" s="268"/>
      <c r="BI31" s="268"/>
      <c r="BJ31" s="268"/>
      <c r="BK31" s="268"/>
      <c r="BL31" s="268"/>
      <c r="BM31" s="268"/>
      <c r="BN31" s="268"/>
      <c r="CP31" s="268" t="s">
        <v>0</v>
      </c>
      <c r="DA31" s="584"/>
      <c r="EL31" s="3" t="s">
        <v>0</v>
      </c>
      <c r="EN31" s="207"/>
    </row>
    <row r="32" spans="1:144" ht="13" customHeight="1">
      <c r="A32" s="685" t="s">
        <v>877</v>
      </c>
      <c r="B32" s="282" t="s">
        <v>105</v>
      </c>
      <c r="C32" s="263">
        <v>20000</v>
      </c>
      <c r="D32" s="211">
        <f>C32*0.95</f>
        <v>19000</v>
      </c>
      <c r="E32" s="519"/>
      <c r="F32" s="268"/>
      <c r="G32" s="268"/>
      <c r="H32" s="268"/>
      <c r="I32" s="268"/>
      <c r="J32" s="268"/>
      <c r="K32" s="268"/>
      <c r="L32" s="268"/>
      <c r="M32" s="268"/>
      <c r="N32" s="268"/>
      <c r="O32" s="268"/>
      <c r="P32" s="268"/>
      <c r="Q32" s="268"/>
      <c r="R32" s="268"/>
      <c r="T32" s="268"/>
      <c r="V32" s="268"/>
      <c r="W32" s="268"/>
      <c r="X32" s="268"/>
      <c r="Y32" s="268"/>
      <c r="Z32" s="268"/>
      <c r="AA32" s="268"/>
      <c r="AB32" s="268"/>
      <c r="AC32" s="268"/>
      <c r="AD32" s="268"/>
      <c r="AE32" s="269"/>
      <c r="AF32" s="268"/>
      <c r="AG32" s="268"/>
      <c r="AH32" s="268"/>
      <c r="AI32" s="269">
        <v>20000</v>
      </c>
      <c r="AJ32" s="268"/>
      <c r="AK32" s="268"/>
      <c r="AL32" s="268"/>
      <c r="AM32" s="268"/>
      <c r="AN32" s="268" t="s">
        <v>0</v>
      </c>
      <c r="AO32" s="268"/>
      <c r="AP32" s="268"/>
      <c r="AQ32" s="268"/>
      <c r="AR32" s="268"/>
      <c r="AS32" s="268"/>
      <c r="AT32" s="268"/>
      <c r="AU32" s="268"/>
      <c r="AV32" s="268"/>
      <c r="AW32" s="275"/>
      <c r="AX32" s="268"/>
      <c r="AY32" s="268"/>
      <c r="AZ32" s="268"/>
      <c r="BA32" s="268"/>
      <c r="BG32" s="268"/>
      <c r="BH32" s="268"/>
      <c r="BI32" s="268"/>
      <c r="BJ32" s="268"/>
      <c r="BK32" s="268"/>
      <c r="BL32" s="268"/>
      <c r="BM32" s="268"/>
      <c r="BN32" s="268"/>
      <c r="DA32" s="584"/>
      <c r="EN32" s="207"/>
    </row>
    <row r="33" spans="1:144" ht="12" customHeight="1">
      <c r="A33" s="648"/>
      <c r="B33" s="282" t="s">
        <v>106</v>
      </c>
      <c r="C33" s="263">
        <f>'Job Calculations'!C119</f>
        <v>176000</v>
      </c>
      <c r="D33" s="268">
        <f>C33*0.95</f>
        <v>167200</v>
      </c>
      <c r="E33" s="565"/>
      <c r="F33" s="268"/>
      <c r="G33" s="268"/>
      <c r="H33" s="268"/>
      <c r="I33" s="268"/>
      <c r="J33" s="268"/>
      <c r="K33" s="268"/>
      <c r="L33" s="268"/>
      <c r="M33" s="268"/>
      <c r="N33" s="268"/>
      <c r="O33" s="268"/>
      <c r="P33" s="268"/>
      <c r="Q33" s="268"/>
      <c r="R33" s="268"/>
      <c r="S33" s="268"/>
      <c r="T33" s="268"/>
      <c r="V33" s="268"/>
      <c r="W33" s="268">
        <v>0</v>
      </c>
      <c r="X33" s="268"/>
      <c r="AC33" s="268"/>
      <c r="AD33" s="268"/>
      <c r="AE33" s="269">
        <v>30675</v>
      </c>
      <c r="AF33" s="268" t="s">
        <v>0</v>
      </c>
      <c r="AG33" s="268"/>
      <c r="AH33" s="268"/>
      <c r="AI33" s="269">
        <v>20000</v>
      </c>
      <c r="AK33" s="268"/>
      <c r="AL33" s="268"/>
      <c r="AM33" s="268"/>
      <c r="AN33" s="268" t="s">
        <v>0</v>
      </c>
      <c r="AP33" s="268"/>
      <c r="AQ33" s="268"/>
      <c r="AR33" s="268" t="s">
        <v>0</v>
      </c>
      <c r="AS33" s="268"/>
      <c r="AT33" s="268"/>
      <c r="AU33" s="268"/>
      <c r="AW33" s="275" t="s">
        <v>0</v>
      </c>
      <c r="AX33" s="268"/>
      <c r="AY33" s="268"/>
      <c r="AZ33" s="268"/>
      <c r="BA33" s="268"/>
      <c r="BB33" s="268" t="s">
        <v>0</v>
      </c>
      <c r="BC33" s="268"/>
      <c r="BD33" s="268"/>
      <c r="BE33" s="268"/>
      <c r="BF33" s="268"/>
      <c r="BG33" s="268" t="s">
        <v>0</v>
      </c>
      <c r="BH33" s="268"/>
      <c r="BI33" s="268"/>
      <c r="BJ33" s="268"/>
      <c r="BK33" s="268"/>
      <c r="BL33" s="268"/>
      <c r="BM33" s="268"/>
      <c r="BN33" s="268"/>
      <c r="BO33" s="356" t="s">
        <v>0</v>
      </c>
      <c r="BP33" s="356"/>
      <c r="BQ33" s="356"/>
      <c r="BR33" s="356"/>
      <c r="BS33" s="356"/>
      <c r="CK33" s="3" t="s">
        <v>0</v>
      </c>
      <c r="DA33" s="584"/>
      <c r="EN33" s="207"/>
    </row>
    <row r="34" spans="1:144" ht="30">
      <c r="A34" s="648"/>
      <c r="B34" s="282" t="s">
        <v>107</v>
      </c>
      <c r="C34" s="263">
        <f>'Job Calculations'!C113</f>
        <v>518000</v>
      </c>
      <c r="D34" s="211">
        <f>'Job Calculations'!D113</f>
        <v>492100</v>
      </c>
      <c r="E34" s="519"/>
      <c r="F34" s="268"/>
      <c r="G34" s="268"/>
      <c r="H34" s="268"/>
      <c r="I34" s="268"/>
      <c r="J34" s="268"/>
      <c r="K34" s="268"/>
      <c r="L34" s="268"/>
      <c r="M34" s="268"/>
      <c r="N34" s="268"/>
      <c r="O34" s="268"/>
      <c r="P34" s="268"/>
      <c r="Q34" s="268"/>
      <c r="R34" s="268"/>
      <c r="S34" s="268"/>
      <c r="T34" s="268"/>
      <c r="U34" s="268"/>
      <c r="V34" s="268"/>
      <c r="W34" s="268"/>
      <c r="X34" s="268"/>
      <c r="Y34" s="268"/>
      <c r="Z34" s="268"/>
      <c r="AA34" s="268"/>
      <c r="AC34" s="268"/>
      <c r="AD34" s="268"/>
      <c r="AE34" s="268">
        <v>0</v>
      </c>
      <c r="AF34" s="268" t="s">
        <v>0</v>
      </c>
      <c r="AG34" s="268"/>
      <c r="AH34" s="268"/>
      <c r="AI34" s="269">
        <v>3000</v>
      </c>
      <c r="AK34" s="268"/>
      <c r="AL34" s="268"/>
      <c r="AM34" s="268"/>
      <c r="AN34" s="268" t="s">
        <v>0</v>
      </c>
      <c r="AP34" s="268"/>
      <c r="AQ34" s="268"/>
      <c r="AR34" s="269">
        <v>71250</v>
      </c>
      <c r="AT34" s="268" t="s">
        <v>0</v>
      </c>
      <c r="AU34" s="269">
        <v>9500</v>
      </c>
      <c r="AW34" s="275" t="s">
        <v>0</v>
      </c>
      <c r="AX34" s="268"/>
      <c r="AY34" s="268"/>
      <c r="AZ34" s="268"/>
      <c r="BA34" s="268"/>
      <c r="BB34" s="268" t="s">
        <v>0</v>
      </c>
      <c r="BC34" s="268"/>
      <c r="BD34" s="268"/>
      <c r="BE34" s="268"/>
      <c r="BF34" s="268"/>
      <c r="BG34" s="268" t="s">
        <v>0</v>
      </c>
      <c r="BH34" s="268"/>
      <c r="BI34" s="268"/>
      <c r="BJ34" s="268"/>
      <c r="BK34" s="268"/>
      <c r="BL34" s="268"/>
      <c r="BM34" s="268"/>
      <c r="BN34" s="268"/>
      <c r="BO34" s="268" t="s">
        <v>0</v>
      </c>
      <c r="BP34" s="268"/>
      <c r="BQ34" s="268"/>
      <c r="BR34" s="268"/>
      <c r="BS34" s="268"/>
      <c r="CK34" s="3" t="s">
        <v>0</v>
      </c>
      <c r="DA34" s="584"/>
      <c r="EN34" s="207"/>
    </row>
    <row r="35" spans="1:144" ht="15">
      <c r="A35" s="648"/>
      <c r="B35" s="282" t="s">
        <v>108</v>
      </c>
      <c r="C35" s="263"/>
      <c r="D35" s="211">
        <v>30000</v>
      </c>
      <c r="E35" s="519"/>
      <c r="F35" s="268"/>
      <c r="G35" s="268"/>
      <c r="H35" s="268"/>
      <c r="I35" s="268"/>
      <c r="J35" s="268"/>
      <c r="K35" s="268"/>
      <c r="L35" s="268"/>
      <c r="M35" s="268"/>
      <c r="N35" s="268"/>
      <c r="O35" s="268"/>
      <c r="P35" s="268"/>
      <c r="Q35" s="268"/>
      <c r="R35" s="268"/>
      <c r="S35" s="268"/>
      <c r="T35" s="268"/>
      <c r="U35" s="268"/>
      <c r="V35" s="268"/>
      <c r="W35" s="268"/>
      <c r="X35" s="268"/>
      <c r="Y35" s="268"/>
      <c r="Z35" s="268"/>
      <c r="AA35" s="268"/>
      <c r="AC35" s="268"/>
      <c r="AD35" s="268"/>
      <c r="AE35" s="268"/>
      <c r="AF35" s="268"/>
      <c r="AG35" s="268"/>
      <c r="AH35" s="268"/>
      <c r="AI35" s="268"/>
      <c r="AK35" s="268"/>
      <c r="AL35" s="268"/>
      <c r="AM35" s="268"/>
      <c r="AN35" s="268"/>
      <c r="AP35" s="268"/>
      <c r="AQ35" s="268"/>
      <c r="AR35" s="268"/>
      <c r="AS35" s="268"/>
      <c r="AT35" s="268"/>
      <c r="AU35" s="268"/>
      <c r="AW35" s="561"/>
      <c r="AX35" s="268"/>
      <c r="AY35" s="268"/>
      <c r="AZ35" s="268"/>
      <c r="BA35" s="268"/>
      <c r="BB35" s="268"/>
      <c r="BC35" s="268"/>
      <c r="BD35" s="268"/>
      <c r="BE35" s="268"/>
      <c r="BF35" s="268"/>
      <c r="BG35" s="268"/>
      <c r="BH35" s="268"/>
      <c r="BI35" s="268"/>
      <c r="BJ35" s="268"/>
      <c r="BK35" s="268"/>
      <c r="BL35" s="268"/>
      <c r="BM35" s="268"/>
      <c r="BN35" s="268"/>
      <c r="BO35" s="268"/>
      <c r="BP35" s="268"/>
      <c r="BQ35" s="268"/>
      <c r="BR35" s="268"/>
      <c r="BS35" s="268"/>
      <c r="CK35" s="3" t="s">
        <v>0</v>
      </c>
      <c r="DA35" s="584"/>
      <c r="EN35" s="207"/>
    </row>
    <row r="36" spans="1:144" ht="14.5" customHeight="1">
      <c r="A36" s="648"/>
      <c r="B36" s="596" t="s">
        <v>719</v>
      </c>
      <c r="C36" s="613">
        <v>840000</v>
      </c>
      <c r="D36" s="614">
        <f>C36*0.95</f>
        <v>798000</v>
      </c>
      <c r="E36" s="631">
        <f>C36*0.975</f>
        <v>819000</v>
      </c>
      <c r="F36" s="268"/>
      <c r="G36" s="268"/>
      <c r="H36" s="268"/>
      <c r="I36" s="268"/>
      <c r="J36" s="268"/>
      <c r="K36" s="268"/>
      <c r="L36" s="268"/>
      <c r="M36" s="268"/>
      <c r="N36" s="268"/>
      <c r="O36" s="268"/>
      <c r="P36" s="268"/>
      <c r="Q36" s="268"/>
      <c r="R36" s="268"/>
      <c r="S36" s="268"/>
      <c r="T36" s="268"/>
      <c r="U36" s="268"/>
      <c r="V36" s="268"/>
      <c r="W36" s="268"/>
      <c r="X36" s="268"/>
      <c r="Y36" s="268"/>
      <c r="Z36" s="268"/>
      <c r="AA36" s="268"/>
      <c r="AC36" s="268"/>
      <c r="AD36" s="268"/>
      <c r="AE36" s="268"/>
      <c r="AF36" s="268"/>
      <c r="AG36" s="268"/>
      <c r="AH36" s="268"/>
      <c r="AI36" s="268"/>
      <c r="AK36" s="268"/>
      <c r="AL36" s="268"/>
      <c r="AM36" s="268"/>
      <c r="AN36" s="269">
        <v>71250</v>
      </c>
      <c r="AP36" s="269">
        <v>23750</v>
      </c>
      <c r="AR36" s="268"/>
      <c r="AS36" s="268"/>
      <c r="AT36" s="268"/>
      <c r="AU36" s="268"/>
      <c r="AW36" s="310">
        <v>38000</v>
      </c>
      <c r="AY36" s="269">
        <v>11124.97</v>
      </c>
      <c r="AZ36" s="268" t="s">
        <v>0</v>
      </c>
      <c r="BA36" s="268" t="s">
        <v>0</v>
      </c>
      <c r="BB36" s="269">
        <v>64875.03</v>
      </c>
      <c r="BE36" s="269">
        <v>3761.33</v>
      </c>
      <c r="BG36" s="269">
        <v>48817.73</v>
      </c>
      <c r="BI36" s="268"/>
      <c r="BJ36" s="268"/>
      <c r="BK36" s="268"/>
      <c r="BL36" s="268"/>
      <c r="BM36" s="269">
        <v>80420.94</v>
      </c>
      <c r="BN36" s="268"/>
      <c r="BP36" s="268"/>
      <c r="BQ36" s="268"/>
      <c r="BR36" s="268"/>
      <c r="BS36" s="269">
        <v>57000</v>
      </c>
      <c r="BV36" s="269">
        <v>13712.19</v>
      </c>
      <c r="BW36" s="268"/>
      <c r="BX36" s="268"/>
      <c r="BY36" s="268"/>
      <c r="BZ36" s="269">
        <v>74059.759999999995</v>
      </c>
      <c r="CC36" s="268">
        <v>0</v>
      </c>
      <c r="CD36" s="268"/>
      <c r="CE36" s="269">
        <v>98800</v>
      </c>
      <c r="CI36" s="268"/>
      <c r="CJ36" s="268"/>
      <c r="CK36" s="269">
        <v>24128.240000000002</v>
      </c>
      <c r="CP36" s="269">
        <v>9596.76</v>
      </c>
      <c r="CT36" s="269">
        <v>15000</v>
      </c>
      <c r="CY36" s="269">
        <v>17775</v>
      </c>
      <c r="CZ36" s="268"/>
      <c r="DA36" s="582"/>
      <c r="DS36" s="268">
        <f>50000-CY36</f>
        <v>32225</v>
      </c>
      <c r="DV36" s="3" t="s">
        <v>0</v>
      </c>
      <c r="EN36" s="207"/>
    </row>
    <row r="37" spans="1:144" ht="15">
      <c r="A37" s="648"/>
      <c r="B37" s="282" t="s">
        <v>109</v>
      </c>
      <c r="C37" s="263"/>
      <c r="D37" s="211"/>
      <c r="E37" s="519" t="s">
        <v>0</v>
      </c>
      <c r="F37" s="268"/>
      <c r="G37" s="268"/>
      <c r="H37" s="268"/>
      <c r="I37" s="268"/>
      <c r="J37" s="268"/>
      <c r="K37" s="268"/>
      <c r="L37" s="268"/>
      <c r="M37" s="268"/>
      <c r="N37" s="268"/>
      <c r="O37" s="268"/>
      <c r="P37" s="268"/>
      <c r="Q37" s="268"/>
      <c r="R37" s="268"/>
      <c r="S37" s="268"/>
      <c r="T37" s="268"/>
      <c r="U37" s="268"/>
      <c r="V37" s="268"/>
      <c r="W37" s="268"/>
      <c r="X37" s="268"/>
      <c r="Y37" s="268"/>
      <c r="Z37" s="268"/>
      <c r="AA37" s="268"/>
      <c r="AC37" s="268"/>
      <c r="AD37" s="268"/>
      <c r="AE37" s="268"/>
      <c r="AF37" s="268"/>
      <c r="AG37" s="268"/>
      <c r="AH37" s="268"/>
      <c r="AI37" s="269">
        <f>40574.12-AI32-AI33-AI34</f>
        <v>-2425.8799999999974</v>
      </c>
      <c r="AK37" s="268"/>
      <c r="AL37" s="268"/>
      <c r="AM37" s="268"/>
      <c r="AN37" s="268"/>
      <c r="AP37" s="268"/>
      <c r="AQ37" s="268"/>
      <c r="AR37" s="268"/>
      <c r="AS37" s="268"/>
      <c r="AT37" s="268"/>
      <c r="AU37" s="268"/>
      <c r="AV37" s="268"/>
      <c r="AW37" s="275"/>
      <c r="AX37" s="268"/>
      <c r="AY37" s="268"/>
      <c r="AZ37" s="268"/>
      <c r="BA37" s="268"/>
      <c r="BB37" s="268"/>
      <c r="BC37" s="268"/>
      <c r="BD37" s="268"/>
      <c r="BE37" s="268"/>
      <c r="BF37" s="268"/>
      <c r="BG37" s="268"/>
      <c r="BH37" s="268"/>
      <c r="BI37" s="268"/>
      <c r="BJ37" s="268"/>
      <c r="BK37" s="268"/>
      <c r="BL37" s="268"/>
      <c r="BM37" s="268"/>
      <c r="BN37" s="268"/>
      <c r="CK37" s="3" t="s">
        <v>0</v>
      </c>
      <c r="DA37" s="584"/>
      <c r="EN37" s="207"/>
    </row>
    <row r="38" spans="1:144" ht="14.75" customHeight="1">
      <c r="A38" s="685" t="s">
        <v>872</v>
      </c>
      <c r="B38" s="299" t="s">
        <v>797</v>
      </c>
      <c r="C38" s="263"/>
      <c r="D38" s="211"/>
      <c r="E38" s="519"/>
      <c r="F38" s="268"/>
      <c r="G38" s="268"/>
      <c r="H38" s="268"/>
      <c r="I38" s="268"/>
      <c r="J38" s="268"/>
      <c r="K38" s="268"/>
      <c r="L38" s="268"/>
      <c r="M38" s="268"/>
      <c r="N38" s="268"/>
      <c r="O38" s="268"/>
      <c r="P38" s="268"/>
      <c r="Q38" s="268"/>
      <c r="R38" s="268"/>
      <c r="S38" s="268"/>
      <c r="T38" s="268"/>
      <c r="U38" s="268"/>
      <c r="V38" s="268"/>
      <c r="W38" s="268"/>
      <c r="X38" s="268"/>
      <c r="Y38" s="268"/>
      <c r="Z38" s="268"/>
      <c r="AA38" s="268"/>
      <c r="AB38" s="268"/>
      <c r="AC38" s="268"/>
      <c r="AD38" s="268"/>
      <c r="AF38" s="268"/>
      <c r="AG38" s="268"/>
      <c r="AH38" s="268"/>
      <c r="AI38" s="268"/>
      <c r="AJ38" s="268"/>
      <c r="AK38" s="268"/>
      <c r="AL38" s="268"/>
      <c r="AM38" s="268"/>
      <c r="AN38" s="268"/>
      <c r="AO38" s="268"/>
      <c r="AP38" s="268"/>
      <c r="AQ38" s="268"/>
      <c r="AR38" s="268"/>
      <c r="AS38" s="268"/>
      <c r="AT38" s="268"/>
      <c r="AU38" s="268"/>
      <c r="AW38" s="275"/>
      <c r="AX38" s="268"/>
      <c r="AY38" s="268"/>
      <c r="AZ38" s="268"/>
      <c r="BA38" s="268"/>
      <c r="BB38" s="268"/>
      <c r="BC38" s="268"/>
      <c r="BD38" s="268"/>
      <c r="BE38" s="268"/>
      <c r="BF38" s="268"/>
      <c r="BG38" s="268"/>
      <c r="BH38" s="268"/>
      <c r="BI38" s="268"/>
      <c r="BJ38" s="268"/>
      <c r="BK38" s="268"/>
      <c r="BL38" s="268"/>
      <c r="BM38" s="268"/>
      <c r="BN38" s="268"/>
      <c r="CA38" s="269">
        <v>6460</v>
      </c>
      <c r="CF38" s="268"/>
      <c r="CH38" s="269">
        <v>19550</v>
      </c>
      <c r="CJ38" s="269">
        <v>6120</v>
      </c>
      <c r="CK38" s="269">
        <v>6311.25</v>
      </c>
      <c r="CN38" s="269">
        <v>12240</v>
      </c>
      <c r="CP38" s="269">
        <v>12601.3</v>
      </c>
      <c r="CR38" s="269">
        <v>1572.5</v>
      </c>
      <c r="DA38" s="584"/>
      <c r="EN38" s="207"/>
    </row>
    <row r="39" spans="1:144" ht="16">
      <c r="A39" s="685" t="s">
        <v>475</v>
      </c>
      <c r="B39" s="299" t="s">
        <v>816</v>
      </c>
      <c r="C39" s="263"/>
      <c r="D39" s="211"/>
      <c r="E39" s="519"/>
      <c r="F39" s="268"/>
      <c r="G39" s="268"/>
      <c r="H39" s="268"/>
      <c r="I39" s="268"/>
      <c r="J39" s="268"/>
      <c r="K39" s="268"/>
      <c r="L39" s="268"/>
      <c r="M39" s="268"/>
      <c r="N39" s="268"/>
      <c r="O39" s="268"/>
      <c r="P39" s="268"/>
      <c r="Q39" s="268"/>
      <c r="R39" s="268"/>
      <c r="S39" s="268"/>
      <c r="T39" s="268"/>
      <c r="U39" s="268"/>
      <c r="V39" s="268"/>
      <c r="W39" s="268"/>
      <c r="X39" s="268"/>
      <c r="Y39" s="268"/>
      <c r="Z39" s="268"/>
      <c r="AA39" s="268"/>
      <c r="AB39" s="268"/>
      <c r="AC39" s="268"/>
      <c r="AD39" s="268"/>
      <c r="AF39" s="268"/>
      <c r="AG39" s="268"/>
      <c r="AH39" s="268"/>
      <c r="AI39" s="268"/>
      <c r="AJ39" s="268"/>
      <c r="AK39" s="268"/>
      <c r="AL39" s="268"/>
      <c r="AM39" s="268"/>
      <c r="AN39" s="268"/>
      <c r="AO39" s="268"/>
      <c r="AP39" s="268"/>
      <c r="AQ39" s="268"/>
      <c r="AR39" s="268"/>
      <c r="AS39" s="268"/>
      <c r="AT39" s="268"/>
      <c r="AU39" s="268"/>
      <c r="AW39" s="275"/>
      <c r="AX39" s="268"/>
      <c r="AY39" s="268"/>
      <c r="AZ39" s="268"/>
      <c r="BA39" s="268"/>
      <c r="BB39" s="268"/>
      <c r="BC39" s="268"/>
      <c r="BD39" s="268"/>
      <c r="BE39" s="268"/>
      <c r="BF39" s="268"/>
      <c r="BG39" s="268"/>
      <c r="BH39" s="268"/>
      <c r="BI39" s="268"/>
      <c r="BJ39" s="268"/>
      <c r="BK39" s="268"/>
      <c r="BL39" s="268"/>
      <c r="BM39" s="268"/>
      <c r="BN39" s="268"/>
      <c r="BZ39" s="269">
        <v>4962.6000000000004</v>
      </c>
      <c r="CE39" s="607">
        <v>5313</v>
      </c>
      <c r="CF39" s="268"/>
      <c r="CK39" s="269">
        <v>4013</v>
      </c>
      <c r="DA39" s="584"/>
      <c r="EN39" s="207"/>
    </row>
    <row r="40" spans="1:144" ht="15">
      <c r="A40" s="648"/>
      <c r="B40" s="299" t="s">
        <v>866</v>
      </c>
      <c r="C40" s="263"/>
      <c r="D40" s="211"/>
      <c r="E40" s="519"/>
      <c r="F40" s="268"/>
      <c r="G40" s="268"/>
      <c r="H40" s="268"/>
      <c r="I40" s="268"/>
      <c r="J40" s="268"/>
      <c r="K40" s="268"/>
      <c r="L40" s="268"/>
      <c r="M40" s="268"/>
      <c r="N40" s="268"/>
      <c r="O40" s="268"/>
      <c r="P40" s="268"/>
      <c r="Q40" s="268"/>
      <c r="R40" s="268"/>
      <c r="S40" s="268"/>
      <c r="T40" s="268"/>
      <c r="U40" s="268"/>
      <c r="V40" s="268"/>
      <c r="W40" s="268"/>
      <c r="X40" s="268"/>
      <c r="Y40" s="268"/>
      <c r="Z40" s="268"/>
      <c r="AA40" s="268"/>
      <c r="AB40" s="268"/>
      <c r="AC40" s="268"/>
      <c r="AD40" s="268"/>
      <c r="AF40" s="268"/>
      <c r="AG40" s="268"/>
      <c r="AH40" s="268"/>
      <c r="AI40" s="268"/>
      <c r="AJ40" s="268"/>
      <c r="AK40" s="268"/>
      <c r="AL40" s="268"/>
      <c r="AM40" s="268"/>
      <c r="AN40" s="268"/>
      <c r="AO40" s="268"/>
      <c r="AP40" s="268"/>
      <c r="AQ40" s="268"/>
      <c r="AR40" s="268"/>
      <c r="AS40" s="268"/>
      <c r="AT40" s="268"/>
      <c r="AU40" s="268"/>
      <c r="AW40" s="275"/>
      <c r="AX40" s="268"/>
      <c r="AY40" s="268"/>
      <c r="AZ40" s="268"/>
      <c r="BA40" s="268"/>
      <c r="BB40" s="268"/>
      <c r="BC40" s="268"/>
      <c r="BD40" s="268"/>
      <c r="BE40" s="268"/>
      <c r="BF40" s="268"/>
      <c r="BG40" s="268"/>
      <c r="BH40" s="268"/>
      <c r="BI40" s="268"/>
      <c r="BJ40" s="268"/>
      <c r="BK40" s="268"/>
      <c r="BL40" s="268"/>
      <c r="BM40" s="268"/>
      <c r="BN40" s="268"/>
      <c r="CE40" s="607">
        <v>10000</v>
      </c>
      <c r="CF40" s="268"/>
      <c r="CL40" s="269">
        <v>10000</v>
      </c>
      <c r="CM40" s="269">
        <v>4110.04</v>
      </c>
      <c r="DA40" s="582">
        <f>5300-CM40</f>
        <v>1189.96</v>
      </c>
      <c r="EN40" s="207"/>
    </row>
    <row r="41" spans="1:144" ht="15">
      <c r="A41" s="648"/>
      <c r="B41" s="299" t="s">
        <v>783</v>
      </c>
      <c r="C41" s="263"/>
      <c r="D41" s="211">
        <v>14000</v>
      </c>
      <c r="E41" s="519"/>
      <c r="F41" s="268"/>
      <c r="G41" s="268"/>
      <c r="H41" s="268"/>
      <c r="I41" s="268"/>
      <c r="J41" s="268"/>
      <c r="K41" s="268"/>
      <c r="L41" s="268"/>
      <c r="M41" s="268"/>
      <c r="N41" s="268"/>
      <c r="O41" s="268"/>
      <c r="P41" s="268"/>
      <c r="Q41" s="268"/>
      <c r="R41" s="268"/>
      <c r="S41" s="268"/>
      <c r="T41" s="268"/>
      <c r="U41" s="268"/>
      <c r="V41" s="268"/>
      <c r="W41" s="268"/>
      <c r="X41" s="268"/>
      <c r="Y41" s="268"/>
      <c r="Z41" s="268"/>
      <c r="AA41" s="268"/>
      <c r="AB41" s="268"/>
      <c r="AC41" s="268"/>
      <c r="AD41" s="268"/>
      <c r="AF41" s="268"/>
      <c r="AG41" s="268"/>
      <c r="AH41" s="268"/>
      <c r="AI41" s="268"/>
      <c r="AJ41" s="268"/>
      <c r="AK41" s="268"/>
      <c r="AL41" s="268"/>
      <c r="AM41" s="268"/>
      <c r="AN41" s="268"/>
      <c r="AO41" s="268"/>
      <c r="AP41" s="268"/>
      <c r="AQ41" s="268"/>
      <c r="AS41" s="268"/>
      <c r="AT41" s="268"/>
      <c r="AU41" s="268"/>
      <c r="AV41" s="277"/>
      <c r="AW41" s="561"/>
      <c r="AX41" s="268"/>
      <c r="AY41" s="268"/>
      <c r="AZ41" s="268"/>
      <c r="BA41" s="268"/>
      <c r="BB41" s="559"/>
      <c r="BC41" s="268"/>
      <c r="BD41" s="268"/>
      <c r="BE41" s="268"/>
      <c r="BF41" s="268"/>
      <c r="BG41" s="268"/>
      <c r="BH41" s="268"/>
      <c r="BI41" s="268"/>
      <c r="BJ41" s="268"/>
      <c r="BK41" s="268"/>
      <c r="BL41" s="268"/>
      <c r="BM41" s="268"/>
      <c r="BN41" s="268"/>
      <c r="BP41" s="268"/>
      <c r="BS41" s="268"/>
      <c r="BT41" s="268"/>
      <c r="BU41" s="268"/>
      <c r="CD41" s="268"/>
      <c r="CE41" s="607">
        <f>14372-99.7</f>
        <v>14272.3</v>
      </c>
      <c r="DA41" s="584"/>
      <c r="EN41" s="207"/>
    </row>
    <row r="42" spans="1:144" ht="15">
      <c r="A42" s="648"/>
      <c r="B42" s="299" t="s">
        <v>94</v>
      </c>
      <c r="C42" s="263"/>
      <c r="D42" s="211"/>
      <c r="E42" s="519"/>
      <c r="F42" s="268"/>
      <c r="G42" s="268"/>
      <c r="H42" s="268"/>
      <c r="I42" s="268"/>
      <c r="J42" s="268"/>
      <c r="K42" s="268"/>
      <c r="L42" s="268"/>
      <c r="M42" s="268"/>
      <c r="N42" s="268"/>
      <c r="O42" s="268"/>
      <c r="P42" s="268"/>
      <c r="Q42" s="268"/>
      <c r="R42" s="268"/>
      <c r="S42" s="268"/>
      <c r="T42" s="268"/>
      <c r="U42" s="268"/>
      <c r="V42" s="268"/>
      <c r="W42" s="268"/>
      <c r="X42" s="268"/>
      <c r="Y42" s="268"/>
      <c r="Z42" s="268"/>
      <c r="AA42" s="268"/>
      <c r="AB42" s="268"/>
      <c r="AC42" s="268"/>
      <c r="AD42" s="268"/>
      <c r="AF42" s="268"/>
      <c r="AG42" s="268"/>
      <c r="AH42" s="268"/>
      <c r="AI42" s="268"/>
      <c r="AJ42" s="268"/>
      <c r="AK42" s="268"/>
      <c r="AL42" s="268"/>
      <c r="AM42" s="268"/>
      <c r="AN42" s="268"/>
      <c r="AO42" s="268"/>
      <c r="AP42" s="268"/>
      <c r="AQ42" s="268"/>
      <c r="AR42" s="268"/>
      <c r="AS42" s="268"/>
      <c r="AT42" s="268"/>
      <c r="AU42" s="268"/>
      <c r="AX42" s="268"/>
      <c r="BH42" s="268"/>
      <c r="BJ42" s="268"/>
      <c r="BK42" s="275" t="s">
        <v>0</v>
      </c>
      <c r="BL42" s="268"/>
      <c r="BN42" s="268"/>
      <c r="CD42" s="268"/>
      <c r="CE42" s="269">
        <v>-13890</v>
      </c>
      <c r="DA42" s="584"/>
      <c r="EN42" s="207"/>
    </row>
    <row r="43" spans="1:144" ht="15">
      <c r="A43" s="648"/>
      <c r="B43" s="299" t="s">
        <v>885</v>
      </c>
      <c r="C43" s="263"/>
      <c r="D43" s="211"/>
      <c r="E43" s="519"/>
      <c r="F43" s="268"/>
      <c r="G43" s="268"/>
      <c r="H43" s="268"/>
      <c r="I43" s="268"/>
      <c r="J43" s="268"/>
      <c r="K43" s="268"/>
      <c r="L43" s="268"/>
      <c r="M43" s="268"/>
      <c r="N43" s="268"/>
      <c r="O43" s="268"/>
      <c r="P43" s="268"/>
      <c r="Q43" s="268"/>
      <c r="R43" s="268"/>
      <c r="S43" s="268"/>
      <c r="T43" s="268"/>
      <c r="U43" s="268"/>
      <c r="V43" s="268"/>
      <c r="W43" s="268"/>
      <c r="X43" s="268"/>
      <c r="Y43" s="268"/>
      <c r="Z43" s="268"/>
      <c r="AA43" s="268"/>
      <c r="AB43" s="268"/>
      <c r="AC43" s="268"/>
      <c r="AD43" s="268"/>
      <c r="AF43" s="268"/>
      <c r="AG43" s="268"/>
      <c r="AH43" s="268"/>
      <c r="AI43" s="268"/>
      <c r="AJ43" s="268"/>
      <c r="AK43" s="268"/>
      <c r="AL43" s="268"/>
      <c r="AM43" s="268"/>
      <c r="AN43" s="268"/>
      <c r="AO43" s="268"/>
      <c r="AP43" s="268"/>
      <c r="AQ43" s="268"/>
      <c r="AS43" s="268"/>
      <c r="AT43" s="268"/>
      <c r="AU43" s="268"/>
      <c r="AV43" s="277"/>
      <c r="AW43" s="561"/>
      <c r="AX43" s="268"/>
      <c r="AY43" s="268"/>
      <c r="AZ43" s="268"/>
      <c r="BA43" s="268"/>
      <c r="BB43" s="559"/>
      <c r="BC43" s="268"/>
      <c r="BD43" s="268"/>
      <c r="BE43" s="268"/>
      <c r="BF43" s="268"/>
      <c r="BG43" s="268"/>
      <c r="BH43" s="268"/>
      <c r="BI43" s="268"/>
      <c r="BJ43" s="268"/>
      <c r="BK43" s="268"/>
      <c r="BL43" s="268"/>
      <c r="BM43" s="268"/>
      <c r="BN43" s="268"/>
      <c r="BP43" s="268"/>
      <c r="BS43" s="268"/>
      <c r="BT43" s="268"/>
      <c r="BU43" s="268"/>
      <c r="CC43" s="268"/>
      <c r="CD43" s="268"/>
      <c r="CK43" s="269">
        <v>4000</v>
      </c>
      <c r="DA43" s="584"/>
      <c r="EN43" s="207"/>
    </row>
    <row r="44" spans="1:144" ht="15">
      <c r="A44" s="648"/>
      <c r="B44" s="282" t="s">
        <v>791</v>
      </c>
      <c r="D44" s="211">
        <v>80000</v>
      </c>
      <c r="BZ44" s="268" t="s">
        <v>0</v>
      </c>
      <c r="CA44" s="268" t="s">
        <v>0</v>
      </c>
      <c r="CB44" s="268"/>
      <c r="CN44" s="618" t="s">
        <v>862</v>
      </c>
      <c r="CS44" s="269">
        <v>26088.22</v>
      </c>
      <c r="CX44" s="269">
        <v>20911.78</v>
      </c>
      <c r="DA44" s="584"/>
      <c r="DB44" s="268">
        <f>25000-CX44+2500</f>
        <v>6588.2200000000012</v>
      </c>
      <c r="EN44" s="207"/>
    </row>
    <row r="45" spans="1:144" ht="15">
      <c r="A45" s="648"/>
      <c r="B45" s="282" t="s">
        <v>890</v>
      </c>
      <c r="D45" s="211">
        <v>35000</v>
      </c>
      <c r="BZ45" s="268"/>
      <c r="CA45" s="268"/>
      <c r="CB45" s="268"/>
      <c r="CH45" s="560"/>
      <c r="CS45" s="268"/>
      <c r="CV45" s="268"/>
      <c r="CW45" s="268"/>
      <c r="CX45" s="268">
        <v>0</v>
      </c>
      <c r="CY45" s="268"/>
      <c r="DA45" s="582">
        <v>10000</v>
      </c>
      <c r="EN45" s="207"/>
    </row>
    <row r="46" spans="1:144" ht="15">
      <c r="A46" s="648"/>
      <c r="B46" s="282" t="s">
        <v>974</v>
      </c>
      <c r="D46" s="211"/>
      <c r="BZ46" s="268"/>
      <c r="CA46" s="268"/>
      <c r="CB46" s="268"/>
      <c r="CH46" s="560"/>
      <c r="CS46" s="268"/>
      <c r="CV46" s="268"/>
      <c r="CW46" s="268"/>
      <c r="CY46" s="269">
        <v>10000</v>
      </c>
      <c r="CZ46" s="268"/>
      <c r="DA46" s="582"/>
      <c r="DB46" s="268">
        <v>5000</v>
      </c>
      <c r="EN46" s="207"/>
    </row>
    <row r="47" spans="1:144" ht="15">
      <c r="A47" s="648"/>
      <c r="B47" s="282" t="s">
        <v>975</v>
      </c>
      <c r="D47" s="211"/>
      <c r="BZ47" s="268"/>
      <c r="CA47" s="268"/>
      <c r="CB47" s="268"/>
      <c r="CH47" s="560"/>
      <c r="CS47" s="268"/>
      <c r="CV47" s="268"/>
      <c r="CW47" s="268"/>
      <c r="CX47" s="268"/>
      <c r="DA47" s="582">
        <v>2500</v>
      </c>
      <c r="EN47" s="207"/>
    </row>
    <row r="48" spans="1:144" ht="16">
      <c r="A48" s="685" t="s">
        <v>873</v>
      </c>
      <c r="B48" s="299" t="s">
        <v>867</v>
      </c>
      <c r="C48" s="263"/>
      <c r="D48" s="211"/>
      <c r="E48" s="519"/>
      <c r="F48" s="268"/>
      <c r="G48" s="268"/>
      <c r="H48" s="268"/>
      <c r="I48" s="268"/>
      <c r="J48" s="268"/>
      <c r="K48" s="268"/>
      <c r="L48" s="268"/>
      <c r="M48" s="268"/>
      <c r="N48" s="268"/>
      <c r="O48" s="268"/>
      <c r="P48" s="268"/>
      <c r="Q48" s="268"/>
      <c r="R48" s="268"/>
      <c r="S48" s="268"/>
      <c r="T48" s="268"/>
      <c r="U48" s="268"/>
      <c r="V48" s="268"/>
      <c r="W48" s="268"/>
      <c r="X48" s="268"/>
      <c r="Y48" s="268"/>
      <c r="Z48" s="268"/>
      <c r="AA48" s="268"/>
      <c r="AB48" s="268"/>
      <c r="AC48" s="268"/>
      <c r="AD48" s="268"/>
      <c r="AF48" s="268"/>
      <c r="AG48" s="268"/>
      <c r="AH48" s="268"/>
      <c r="AI48" s="268"/>
      <c r="AJ48" s="268"/>
      <c r="AK48" s="268"/>
      <c r="AL48" s="268"/>
      <c r="AM48" s="268"/>
      <c r="AN48" s="268"/>
      <c r="AO48" s="268"/>
      <c r="AP48" s="268"/>
      <c r="AQ48" s="268"/>
      <c r="AR48" s="268"/>
      <c r="AS48" s="268"/>
      <c r="AT48" s="268"/>
      <c r="AU48" s="268"/>
      <c r="AW48" s="275"/>
      <c r="AX48" s="268"/>
      <c r="AY48" s="268"/>
      <c r="AZ48" s="268"/>
      <c r="BA48" s="268"/>
      <c r="BB48" s="268"/>
      <c r="BC48" s="268"/>
      <c r="BD48" s="268"/>
      <c r="BE48" s="268"/>
      <c r="BF48" s="268"/>
      <c r="BG48" s="268"/>
      <c r="BH48" s="268"/>
      <c r="BI48" s="268"/>
      <c r="BJ48" s="268"/>
      <c r="BK48" s="268"/>
      <c r="BL48" s="268"/>
      <c r="BM48" s="268"/>
      <c r="BN48" s="268"/>
      <c r="CE48" s="268"/>
      <c r="CF48" s="268"/>
      <c r="CN48" s="269">
        <v>4395.5</v>
      </c>
      <c r="DA48" s="584"/>
      <c r="EN48" s="207"/>
    </row>
    <row r="49" spans="1:144" ht="16">
      <c r="A49" s="685"/>
      <c r="B49" s="299" t="s">
        <v>906</v>
      </c>
      <c r="C49" s="263"/>
      <c r="D49" s="211"/>
      <c r="E49" s="519"/>
      <c r="F49" s="268"/>
      <c r="G49" s="268"/>
      <c r="H49" s="268"/>
      <c r="I49" s="268"/>
      <c r="J49" s="268"/>
      <c r="K49" s="268"/>
      <c r="L49" s="268"/>
      <c r="M49" s="268"/>
      <c r="N49" s="268"/>
      <c r="O49" s="268"/>
      <c r="P49" s="268"/>
      <c r="Q49" s="268"/>
      <c r="R49" s="268"/>
      <c r="S49" s="268"/>
      <c r="T49" s="268"/>
      <c r="U49" s="268"/>
      <c r="V49" s="268"/>
      <c r="W49" s="268"/>
      <c r="X49" s="268"/>
      <c r="Y49" s="268"/>
      <c r="Z49" s="268"/>
      <c r="AA49" s="268"/>
      <c r="AB49" s="268"/>
      <c r="AC49" s="268"/>
      <c r="AD49" s="268"/>
      <c r="AF49" s="268"/>
      <c r="AG49" s="268"/>
      <c r="AH49" s="268"/>
      <c r="AI49" s="268"/>
      <c r="AJ49" s="268"/>
      <c r="AK49" s="268"/>
      <c r="AL49" s="268"/>
      <c r="AM49" s="268"/>
      <c r="AN49" s="268"/>
      <c r="AO49" s="268"/>
      <c r="AP49" s="268"/>
      <c r="AQ49" s="268"/>
      <c r="AR49" s="268"/>
      <c r="AS49" s="268"/>
      <c r="AT49" s="268"/>
      <c r="AU49" s="268"/>
      <c r="AW49" s="275"/>
      <c r="AX49" s="268"/>
      <c r="AY49" s="268"/>
      <c r="AZ49" s="268"/>
      <c r="BA49" s="268"/>
      <c r="BB49" s="268"/>
      <c r="BC49" s="268"/>
      <c r="BD49" s="268"/>
      <c r="BE49" s="268"/>
      <c r="BF49" s="268"/>
      <c r="BG49" s="268"/>
      <c r="BH49" s="268"/>
      <c r="BI49" s="268"/>
      <c r="BJ49" s="268"/>
      <c r="BK49" s="268"/>
      <c r="BL49" s="268"/>
      <c r="BM49" s="268"/>
      <c r="BN49" s="268"/>
      <c r="CE49" s="268"/>
      <c r="CF49" s="268"/>
      <c r="CL49" s="269">
        <v>3936</v>
      </c>
      <c r="CO49" s="268"/>
      <c r="DA49" s="584"/>
      <c r="EN49" s="207"/>
    </row>
    <row r="50" spans="1:144" ht="15">
      <c r="A50" s="648"/>
      <c r="B50" s="282" t="s">
        <v>879</v>
      </c>
      <c r="C50" s="560"/>
      <c r="D50" s="705">
        <v>36000</v>
      </c>
      <c r="E50" s="702"/>
      <c r="F50" s="268"/>
      <c r="G50" s="268"/>
      <c r="H50" s="268"/>
      <c r="I50" s="268"/>
      <c r="J50" s="268"/>
      <c r="K50" s="268"/>
      <c r="L50" s="268"/>
      <c r="M50" s="268"/>
      <c r="N50" s="268"/>
      <c r="O50" s="268"/>
      <c r="P50" s="268"/>
      <c r="Q50" s="268"/>
      <c r="R50" s="268"/>
      <c r="S50" s="268"/>
      <c r="T50" s="268"/>
      <c r="U50" s="268"/>
      <c r="V50" s="268"/>
      <c r="W50" s="268"/>
      <c r="X50" s="268"/>
      <c r="Y50" s="268"/>
      <c r="Z50" s="268"/>
      <c r="AA50" s="268"/>
      <c r="AB50" s="268"/>
      <c r="AC50" s="268"/>
      <c r="AD50" s="268"/>
      <c r="AE50" s="268"/>
      <c r="AF50" s="268"/>
      <c r="AG50" s="268"/>
      <c r="AH50" s="268"/>
      <c r="AI50" s="268"/>
      <c r="AJ50" s="268"/>
      <c r="AK50" s="268"/>
      <c r="AL50" s="268"/>
      <c r="AM50" s="268"/>
      <c r="AN50" s="268"/>
      <c r="AO50" s="268"/>
      <c r="AP50" s="268"/>
      <c r="AQ50" s="268"/>
      <c r="AR50" s="268"/>
      <c r="AS50" s="268"/>
      <c r="AT50" s="268"/>
      <c r="AU50" s="268"/>
      <c r="AV50" s="268"/>
      <c r="AW50" s="275"/>
      <c r="AX50" s="268"/>
      <c r="AY50" s="268"/>
      <c r="AZ50" s="268"/>
      <c r="BA50" s="268"/>
      <c r="BB50" s="268"/>
      <c r="BC50" s="268"/>
      <c r="BD50" s="268"/>
      <c r="BE50" s="268"/>
      <c r="BF50" s="268"/>
      <c r="BG50" s="268"/>
      <c r="BH50" s="268"/>
      <c r="BI50" s="268"/>
      <c r="BJ50" s="268"/>
      <c r="BK50" s="268"/>
      <c r="BL50" s="268"/>
      <c r="BM50" s="268"/>
      <c r="BN50" s="268"/>
      <c r="CO50" s="268" t="s">
        <v>0</v>
      </c>
      <c r="CP50" s="268"/>
      <c r="CQ50" s="268"/>
      <c r="CR50" s="268"/>
      <c r="CS50" s="268" t="s">
        <v>0</v>
      </c>
      <c r="CV50" s="268"/>
      <c r="CW50" s="268"/>
      <c r="CX50" s="268">
        <v>0</v>
      </c>
      <c r="CZ50" s="268"/>
      <c r="DA50" s="582"/>
      <c r="DE50" s="268"/>
      <c r="DF50" s="268"/>
      <c r="DG50" s="268"/>
      <c r="DH50" s="268">
        <v>20000</v>
      </c>
      <c r="DI50" s="268"/>
      <c r="DM50" s="268">
        <v>16000</v>
      </c>
      <c r="EN50" s="207"/>
    </row>
    <row r="51" spans="1:144" ht="15">
      <c r="A51" s="648"/>
      <c r="B51" s="299" t="s">
        <v>67</v>
      </c>
      <c r="C51" s="263"/>
      <c r="D51" s="211">
        <v>23437</v>
      </c>
      <c r="E51" s="519">
        <f>D51*0.95</f>
        <v>22265.149999999998</v>
      </c>
      <c r="F51" s="268"/>
      <c r="G51" s="268"/>
      <c r="H51" s="268"/>
      <c r="I51" s="268"/>
      <c r="J51" s="268"/>
      <c r="K51" s="268"/>
      <c r="M51" s="268"/>
      <c r="O51" s="268"/>
      <c r="P51" s="268"/>
      <c r="Q51" s="268"/>
      <c r="R51" s="268"/>
      <c r="S51" s="268"/>
      <c r="T51" s="268"/>
      <c r="U51" s="268"/>
      <c r="V51" s="268"/>
      <c r="W51" s="268"/>
      <c r="X51" s="268"/>
      <c r="Y51" s="268"/>
      <c r="Z51" s="268"/>
      <c r="AA51" s="268"/>
      <c r="AB51" s="268"/>
      <c r="AC51" s="268"/>
      <c r="AD51" s="268"/>
      <c r="AG51" s="269">
        <f>15317*0.95</f>
        <v>14551.15</v>
      </c>
      <c r="AK51" s="268"/>
      <c r="AL51" s="268"/>
      <c r="AM51" s="268"/>
      <c r="AO51" s="268"/>
      <c r="AP51" s="268"/>
      <c r="AQ51" s="268"/>
      <c r="AR51" s="268"/>
      <c r="AS51" s="268"/>
      <c r="AT51" s="268"/>
      <c r="AU51" s="268"/>
      <c r="AW51" s="310">
        <v>7743</v>
      </c>
      <c r="AX51" s="268"/>
      <c r="AY51" s="268"/>
      <c r="AZ51" s="268"/>
      <c r="BA51" s="268"/>
      <c r="BB51" s="268"/>
      <c r="BC51" s="268"/>
      <c r="BD51" s="268"/>
      <c r="BE51" s="268"/>
      <c r="BF51" s="268"/>
      <c r="BG51" s="268"/>
      <c r="BH51" s="268"/>
      <c r="BI51" s="268"/>
      <c r="BJ51" s="268"/>
      <c r="BK51" s="268"/>
      <c r="BL51" s="268"/>
      <c r="BM51" s="268"/>
      <c r="BN51" s="268"/>
      <c r="BR51" s="269">
        <v>9500</v>
      </c>
      <c r="BS51" s="268" t="s">
        <v>0</v>
      </c>
      <c r="CD51" s="268"/>
      <c r="CE51" s="268" t="s">
        <v>0</v>
      </c>
      <c r="CJ51" s="268" t="s">
        <v>0</v>
      </c>
      <c r="CM51" s="269">
        <v>908.7</v>
      </c>
      <c r="DA51" s="584"/>
      <c r="DH51" s="268">
        <v>850</v>
      </c>
      <c r="EN51" s="207"/>
    </row>
    <row r="52" spans="1:144" ht="15">
      <c r="A52" s="648"/>
      <c r="B52" s="282" t="s">
        <v>718</v>
      </c>
      <c r="C52" s="211">
        <v>100000</v>
      </c>
      <c r="D52" s="211"/>
      <c r="E52" s="519">
        <f>C52*0.95</f>
        <v>95000</v>
      </c>
      <c r="F52" s="268"/>
      <c r="G52" s="268"/>
      <c r="H52" s="268"/>
      <c r="I52" s="268"/>
      <c r="J52" s="268"/>
      <c r="K52" s="268"/>
      <c r="L52" s="268"/>
      <c r="M52" s="268"/>
      <c r="N52" s="268"/>
      <c r="O52" s="268"/>
      <c r="P52" s="268"/>
      <c r="R52" s="268"/>
      <c r="S52" s="268"/>
      <c r="T52" s="268"/>
      <c r="U52" s="268"/>
      <c r="V52" s="268"/>
      <c r="W52" s="268"/>
      <c r="X52" s="268"/>
      <c r="Y52" s="268"/>
      <c r="Z52" s="268"/>
      <c r="AA52" s="268"/>
      <c r="AB52" s="268"/>
      <c r="AC52" s="268"/>
      <c r="AD52" s="268"/>
      <c r="AE52" s="268"/>
      <c r="AG52" s="268"/>
      <c r="AH52" s="268"/>
      <c r="AI52" s="268">
        <v>0</v>
      </c>
      <c r="AJ52" s="268">
        <v>0</v>
      </c>
      <c r="AK52" s="268"/>
      <c r="AL52" s="268"/>
      <c r="AM52" s="268"/>
      <c r="AN52" s="268" t="s">
        <v>0</v>
      </c>
      <c r="AP52" s="268"/>
      <c r="AQ52" s="268"/>
      <c r="AR52" s="269">
        <f>33815*0.95</f>
        <v>32124.25</v>
      </c>
      <c r="AS52" s="268"/>
      <c r="AT52" s="268"/>
      <c r="AU52" s="268"/>
      <c r="AW52" s="310">
        <v>41110.29</v>
      </c>
      <c r="AX52" s="268"/>
      <c r="AY52" s="268"/>
      <c r="AZ52" s="268"/>
      <c r="BA52" s="269">
        <v>19657.5</v>
      </c>
      <c r="BB52" s="268" t="s">
        <v>0</v>
      </c>
      <c r="BC52" s="268"/>
      <c r="BD52" s="268"/>
      <c r="BE52" s="268"/>
      <c r="BF52" s="268"/>
      <c r="BH52" s="268"/>
      <c r="BK52" s="268"/>
      <c r="BN52" s="268"/>
      <c r="BO52" s="269">
        <v>6953.3</v>
      </c>
      <c r="CE52" s="3" t="s">
        <v>148</v>
      </c>
      <c r="DA52" s="584"/>
      <c r="EN52" s="207"/>
    </row>
    <row r="53" spans="1:144" ht="15">
      <c r="A53" s="648"/>
      <c r="B53" s="282" t="s">
        <v>982</v>
      </c>
      <c r="C53" s="211">
        <v>50000</v>
      </c>
      <c r="D53" s="211"/>
      <c r="E53" s="519"/>
      <c r="F53" s="268"/>
      <c r="G53" s="268"/>
      <c r="H53" s="268"/>
      <c r="I53" s="268"/>
      <c r="J53" s="268"/>
      <c r="K53" s="268"/>
      <c r="L53" s="268"/>
      <c r="M53" s="268"/>
      <c r="N53" s="268"/>
      <c r="O53" s="268"/>
      <c r="P53" s="268"/>
      <c r="R53" s="268"/>
      <c r="S53" s="268"/>
      <c r="T53" s="268"/>
      <c r="U53" s="268"/>
      <c r="V53" s="268"/>
      <c r="W53" s="268"/>
      <c r="X53" s="268"/>
      <c r="Y53" s="268"/>
      <c r="Z53" s="268"/>
      <c r="AA53" s="268"/>
      <c r="AB53" s="268"/>
      <c r="AC53" s="268"/>
      <c r="AD53" s="268"/>
      <c r="AE53" s="268"/>
      <c r="AG53" s="268"/>
      <c r="AH53" s="268"/>
      <c r="AI53" s="268"/>
      <c r="AJ53" s="268"/>
      <c r="AK53" s="268"/>
      <c r="AL53" s="268"/>
      <c r="AM53" s="268"/>
      <c r="AN53" s="268"/>
      <c r="AP53" s="268"/>
      <c r="AQ53" s="268"/>
      <c r="AR53" s="269"/>
      <c r="AS53" s="268"/>
      <c r="AT53" s="268"/>
      <c r="AU53" s="268"/>
      <c r="AW53" s="310"/>
      <c r="AX53" s="268"/>
      <c r="AY53" s="268"/>
      <c r="AZ53" s="268"/>
      <c r="BA53" s="269"/>
      <c r="BB53" s="268"/>
      <c r="BC53" s="268"/>
      <c r="BD53" s="268"/>
      <c r="BE53" s="268"/>
      <c r="BF53" s="268"/>
      <c r="BH53" s="268"/>
      <c r="BK53" s="268"/>
      <c r="BN53" s="268"/>
      <c r="BO53" s="269"/>
      <c r="DA53" s="584"/>
      <c r="DC53" s="268" t="s">
        <v>0</v>
      </c>
      <c r="DD53" s="268"/>
      <c r="DH53" s="268">
        <v>25000</v>
      </c>
      <c r="DI53" s="268"/>
      <c r="DM53" s="268">
        <v>25000</v>
      </c>
      <c r="EN53" s="207"/>
    </row>
    <row r="54" spans="1:144" ht="15">
      <c r="A54" s="648"/>
      <c r="B54" s="282" t="s">
        <v>979</v>
      </c>
      <c r="C54" s="211">
        <v>110000</v>
      </c>
      <c r="D54" s="211"/>
      <c r="E54" s="519"/>
      <c r="F54" s="268"/>
      <c r="G54" s="268"/>
      <c r="H54" s="268"/>
      <c r="I54" s="268"/>
      <c r="J54" s="268"/>
      <c r="K54" s="268"/>
      <c r="L54" s="268"/>
      <c r="M54" s="268"/>
      <c r="N54" s="268"/>
      <c r="O54" s="268"/>
      <c r="P54" s="268"/>
      <c r="R54" s="268"/>
      <c r="S54" s="268"/>
      <c r="T54" s="268"/>
      <c r="U54" s="268"/>
      <c r="V54" s="268"/>
      <c r="W54" s="268"/>
      <c r="X54" s="268"/>
      <c r="Y54" s="268"/>
      <c r="Z54" s="268"/>
      <c r="AA54" s="268"/>
      <c r="AB54" s="268"/>
      <c r="AC54" s="268"/>
      <c r="AD54" s="268"/>
      <c r="AE54" s="268"/>
      <c r="AG54" s="268"/>
      <c r="AH54" s="268"/>
      <c r="AI54" s="268"/>
      <c r="AJ54" s="268"/>
      <c r="AK54" s="268"/>
      <c r="AL54" s="268"/>
      <c r="AM54" s="268"/>
      <c r="AN54" s="268"/>
      <c r="AP54" s="268"/>
      <c r="AQ54" s="268"/>
      <c r="AR54" s="269"/>
      <c r="AS54" s="268"/>
      <c r="AT54" s="268"/>
      <c r="AU54" s="268"/>
      <c r="AW54" s="310"/>
      <c r="AX54" s="268"/>
      <c r="AY54" s="268"/>
      <c r="AZ54" s="268"/>
      <c r="BA54" s="269"/>
      <c r="BB54" s="268"/>
      <c r="BC54" s="268"/>
      <c r="BD54" s="268"/>
      <c r="BE54" s="268"/>
      <c r="BF54" s="268"/>
      <c r="BH54" s="268"/>
      <c r="BK54" s="268"/>
      <c r="BN54" s="268"/>
      <c r="BO54" s="269"/>
      <c r="DA54" s="584"/>
      <c r="DC54" s="268"/>
      <c r="DD54" s="268"/>
      <c r="DH54" s="268"/>
      <c r="DI54" s="268"/>
      <c r="DM54" s="268">
        <v>35000</v>
      </c>
      <c r="DN54" s="268"/>
      <c r="DO54" s="268"/>
      <c r="DP54" s="268"/>
      <c r="DQ54" s="268"/>
      <c r="DR54" s="268"/>
      <c r="DS54" s="268">
        <v>35000</v>
      </c>
      <c r="DT54" s="268"/>
      <c r="DU54" s="268"/>
      <c r="DV54" s="268"/>
      <c r="DW54" s="268"/>
      <c r="DX54" s="268">
        <v>30000</v>
      </c>
      <c r="EB54" s="268">
        <v>10000</v>
      </c>
      <c r="EN54" s="207"/>
    </row>
    <row r="55" spans="1:144">
      <c r="A55" s="648"/>
      <c r="C55" s="211"/>
      <c r="D55" s="211"/>
      <c r="E55" s="519"/>
      <c r="F55" s="268"/>
      <c r="G55" s="268"/>
      <c r="H55" s="268"/>
      <c r="I55" s="268"/>
      <c r="J55" s="268"/>
      <c r="K55" s="268"/>
      <c r="L55" s="268"/>
      <c r="M55" s="268"/>
      <c r="N55" s="268"/>
      <c r="O55" s="268"/>
      <c r="P55" s="268"/>
      <c r="R55" s="268"/>
      <c r="S55" s="268"/>
      <c r="T55" s="268"/>
      <c r="U55" s="268"/>
      <c r="V55" s="268"/>
      <c r="W55" s="268"/>
      <c r="X55" s="268"/>
      <c r="Y55" s="268"/>
      <c r="Z55" s="268"/>
      <c r="AA55" s="268"/>
      <c r="AB55" s="268"/>
      <c r="AC55" s="268"/>
      <c r="AD55" s="268"/>
      <c r="AE55" s="268"/>
      <c r="AG55" s="268"/>
      <c r="AH55" s="268"/>
      <c r="AI55" s="268"/>
      <c r="AJ55" s="268"/>
      <c r="AK55" s="268"/>
      <c r="AL55" s="268"/>
      <c r="AM55" s="268"/>
      <c r="AN55" s="268"/>
      <c r="AP55" s="268"/>
      <c r="AQ55" s="268"/>
      <c r="AR55" s="269"/>
      <c r="AS55" s="268"/>
      <c r="AT55" s="268"/>
      <c r="AU55" s="268"/>
      <c r="AW55" s="310"/>
      <c r="AX55" s="268"/>
      <c r="AY55" s="268"/>
      <c r="AZ55" s="268"/>
      <c r="BA55" s="269"/>
      <c r="BB55" s="268"/>
      <c r="BC55" s="268"/>
      <c r="BD55" s="268"/>
      <c r="BE55" s="268"/>
      <c r="BF55" s="268"/>
      <c r="BH55" s="268"/>
      <c r="BK55" s="268"/>
      <c r="BN55" s="268"/>
      <c r="BO55" s="269"/>
      <c r="DA55" s="584"/>
      <c r="DC55" s="268"/>
      <c r="DD55" s="268"/>
      <c r="DH55" s="268"/>
      <c r="DI55" s="268"/>
      <c r="DM55" s="268"/>
      <c r="DN55" s="268"/>
      <c r="DO55" s="268"/>
      <c r="DP55" s="268"/>
      <c r="DQ55" s="268"/>
      <c r="DR55" s="268"/>
      <c r="DS55" s="268"/>
      <c r="DT55" s="268"/>
      <c r="DU55" s="268"/>
      <c r="DV55" s="268"/>
      <c r="DW55" s="268"/>
      <c r="DX55" s="268"/>
      <c r="EB55" s="268"/>
      <c r="EN55" s="207"/>
    </row>
    <row r="56" spans="1:144" ht="16">
      <c r="A56" s="685" t="s">
        <v>880</v>
      </c>
      <c r="B56" s="299" t="s">
        <v>817</v>
      </c>
      <c r="C56" s="263"/>
      <c r="D56" s="211"/>
      <c r="E56" s="519"/>
      <c r="F56" s="268"/>
      <c r="G56" s="268"/>
      <c r="H56" s="268"/>
      <c r="I56" s="268"/>
      <c r="J56" s="268"/>
      <c r="K56" s="268"/>
      <c r="L56" s="268"/>
      <c r="M56" s="268"/>
      <c r="N56" s="268"/>
      <c r="O56" s="268"/>
      <c r="P56" s="268"/>
      <c r="Q56" s="268"/>
      <c r="R56" s="268"/>
      <c r="S56" s="268"/>
      <c r="T56" s="268"/>
      <c r="U56" s="268"/>
      <c r="V56" s="268"/>
      <c r="W56" s="268"/>
      <c r="X56" s="268"/>
      <c r="Y56" s="268"/>
      <c r="Z56" s="268"/>
      <c r="AA56" s="268"/>
      <c r="AB56" s="268"/>
      <c r="AC56" s="268"/>
      <c r="AD56" s="268"/>
      <c r="AF56" s="268"/>
      <c r="AG56" s="268"/>
      <c r="AH56" s="268"/>
      <c r="AI56" s="268"/>
      <c r="AJ56" s="268"/>
      <c r="AK56" s="268"/>
      <c r="AL56" s="269"/>
      <c r="AM56" s="268"/>
      <c r="AN56" s="268"/>
      <c r="AO56" s="268"/>
      <c r="AP56" s="268"/>
      <c r="AQ56" s="268"/>
      <c r="AR56" s="268"/>
      <c r="AS56" s="268"/>
      <c r="AT56" s="268"/>
      <c r="AU56" s="268"/>
      <c r="AW56" s="310"/>
      <c r="AX56" s="268"/>
      <c r="AY56" s="268"/>
      <c r="AZ56" s="268"/>
      <c r="BA56" s="268"/>
      <c r="BB56" s="268"/>
      <c r="BC56" s="268"/>
      <c r="BD56" s="268"/>
      <c r="BE56" s="268"/>
      <c r="BF56" s="268"/>
      <c r="BG56" s="268"/>
      <c r="BH56" s="268"/>
      <c r="BI56" s="268"/>
      <c r="BJ56" s="268"/>
      <c r="BK56" s="268"/>
      <c r="BL56" s="268"/>
      <c r="BM56" s="268"/>
      <c r="BN56" s="268"/>
      <c r="CF56" s="268"/>
      <c r="CL56" s="269">
        <v>8903.4599999999991</v>
      </c>
      <c r="CV56" s="269">
        <v>1850</v>
      </c>
      <c r="DA56" s="584"/>
      <c r="DT56" s="3" t="s">
        <v>0</v>
      </c>
      <c r="EN56" s="207"/>
    </row>
    <row r="57" spans="1:144" ht="16">
      <c r="A57" s="685" t="s">
        <v>874</v>
      </c>
      <c r="B57" s="282" t="s">
        <v>818</v>
      </c>
      <c r="C57" s="263" t="s">
        <v>0</v>
      </c>
      <c r="D57" s="263">
        <v>11000</v>
      </c>
      <c r="E57" s="702"/>
      <c r="F57" s="268"/>
      <c r="G57" s="268"/>
      <c r="H57" s="268"/>
      <c r="I57" s="268"/>
      <c r="J57" s="268"/>
      <c r="K57" s="268"/>
      <c r="L57" s="268"/>
      <c r="M57" s="268"/>
      <c r="N57" s="268"/>
      <c r="O57" s="268"/>
      <c r="P57" s="268"/>
      <c r="Q57" s="268"/>
      <c r="R57" s="268"/>
      <c r="S57" s="268"/>
      <c r="T57" s="268"/>
      <c r="U57" s="268"/>
      <c r="V57" s="268"/>
      <c r="W57" s="268"/>
      <c r="X57" s="268"/>
      <c r="Y57" s="268"/>
      <c r="Z57" s="268"/>
      <c r="AA57" s="268"/>
      <c r="AB57" s="268"/>
      <c r="AC57" s="268"/>
      <c r="AD57" s="268"/>
      <c r="AE57" s="268"/>
      <c r="AF57" s="268"/>
      <c r="AG57" s="268"/>
      <c r="AH57" s="268"/>
      <c r="AI57" s="268"/>
      <c r="AJ57" s="268"/>
      <c r="AK57" s="268"/>
      <c r="AL57" s="268"/>
      <c r="AM57" s="268"/>
      <c r="AN57" s="268"/>
      <c r="AO57" s="268"/>
      <c r="AP57" s="268"/>
      <c r="AQ57" s="268"/>
      <c r="AR57" s="268"/>
      <c r="AS57" s="268"/>
      <c r="AT57" s="268"/>
      <c r="AU57" s="268"/>
      <c r="AV57" s="268"/>
      <c r="AW57" s="275"/>
      <c r="AX57" s="268"/>
      <c r="AY57" s="268"/>
      <c r="AZ57" s="268"/>
      <c r="BA57" s="268"/>
      <c r="BB57" s="268"/>
      <c r="BC57" s="268"/>
      <c r="BD57" s="268"/>
      <c r="BE57" s="268"/>
      <c r="BF57" s="268"/>
      <c r="BG57" s="268"/>
      <c r="BH57" s="268"/>
      <c r="BI57" s="268"/>
      <c r="BJ57" s="268"/>
      <c r="BK57" s="268"/>
      <c r="BL57" s="268"/>
      <c r="BM57" s="268"/>
      <c r="BN57" s="268"/>
      <c r="CE57" s="268" t="s">
        <v>0</v>
      </c>
      <c r="CF57" s="269">
        <v>9922.82</v>
      </c>
      <c r="CG57" s="268"/>
      <c r="CK57" s="268" t="s">
        <v>0</v>
      </c>
      <c r="CL57" s="268"/>
      <c r="CP57" s="269">
        <v>14117.5</v>
      </c>
      <c r="CQ57" s="268"/>
      <c r="CR57" s="268"/>
      <c r="CS57" s="268"/>
      <c r="CT57" s="268"/>
      <c r="CW57" s="268"/>
      <c r="CY57" s="269">
        <v>-9922.82</v>
      </c>
      <c r="CZ57" s="268"/>
      <c r="DA57" s="582"/>
      <c r="DB57" s="268"/>
      <c r="DC57" s="268"/>
      <c r="DD57" s="268"/>
      <c r="DE57" s="268"/>
      <c r="DF57" s="268"/>
      <c r="DG57" s="268"/>
      <c r="DH57" s="268"/>
      <c r="DI57" s="268"/>
      <c r="DJ57" s="268"/>
      <c r="DK57" s="268"/>
      <c r="DL57" s="268"/>
      <c r="DM57" s="268"/>
      <c r="DN57" s="268"/>
      <c r="DO57" s="268"/>
      <c r="DP57" s="268"/>
      <c r="DQ57" s="268"/>
      <c r="DR57" s="268"/>
      <c r="DS57" s="268"/>
      <c r="DT57" s="268"/>
      <c r="DU57" s="268"/>
      <c r="DV57" s="268"/>
      <c r="DW57" s="268"/>
      <c r="DX57" s="268"/>
      <c r="DY57" s="268"/>
      <c r="DZ57" s="268"/>
      <c r="EA57" s="268"/>
      <c r="EB57" s="268"/>
      <c r="EC57" s="268"/>
      <c r="ED57" s="268"/>
      <c r="EE57" s="268"/>
      <c r="EN57" s="207"/>
    </row>
    <row r="58" spans="1:144" ht="16">
      <c r="A58" s="685" t="s">
        <v>874</v>
      </c>
      <c r="B58" s="282" t="s">
        <v>496</v>
      </c>
      <c r="C58" s="263"/>
      <c r="D58" s="263"/>
      <c r="E58" s="702"/>
      <c r="F58" s="268"/>
      <c r="G58" s="268"/>
      <c r="H58" s="268"/>
      <c r="I58" s="268"/>
      <c r="J58" s="268"/>
      <c r="K58" s="268"/>
      <c r="L58" s="268"/>
      <c r="M58" s="268"/>
      <c r="N58" s="268"/>
      <c r="O58" s="268"/>
      <c r="P58" s="268"/>
      <c r="Q58" s="268"/>
      <c r="R58" s="268"/>
      <c r="S58" s="268"/>
      <c r="T58" s="268"/>
      <c r="U58" s="268"/>
      <c r="V58" s="268"/>
      <c r="W58" s="268"/>
      <c r="X58" s="268"/>
      <c r="Y58" s="268"/>
      <c r="Z58" s="268"/>
      <c r="AA58" s="268"/>
      <c r="AB58" s="268"/>
      <c r="AC58" s="268"/>
      <c r="AD58" s="268"/>
      <c r="AE58" s="268"/>
      <c r="AF58" s="268"/>
      <c r="AG58" s="268"/>
      <c r="AH58" s="268"/>
      <c r="AI58" s="268"/>
      <c r="AJ58" s="268"/>
      <c r="AK58" s="268"/>
      <c r="AL58" s="268"/>
      <c r="AM58" s="268"/>
      <c r="AN58" s="268"/>
      <c r="AO58" s="268"/>
      <c r="AP58" s="268"/>
      <c r="AQ58" s="268"/>
      <c r="AR58" s="268"/>
      <c r="AS58" s="268"/>
      <c r="AT58" s="268"/>
      <c r="AU58" s="268"/>
      <c r="AV58" s="268"/>
      <c r="AW58" s="275"/>
      <c r="AX58" s="268"/>
      <c r="AY58" s="268"/>
      <c r="AZ58" s="268"/>
      <c r="BA58" s="268"/>
      <c r="BB58" s="268"/>
      <c r="BC58" s="268"/>
      <c r="BD58" s="268"/>
      <c r="BE58" s="268"/>
      <c r="BF58" s="268"/>
      <c r="BG58" s="268"/>
      <c r="BH58" s="268"/>
      <c r="BI58" s="268"/>
      <c r="BJ58" s="268"/>
      <c r="BK58" s="268"/>
      <c r="BL58" s="268"/>
      <c r="BM58" s="268"/>
      <c r="BN58" s="268"/>
      <c r="CG58" s="268"/>
      <c r="CK58" s="268"/>
      <c r="CL58" s="268"/>
      <c r="CN58" s="268"/>
      <c r="CP58" s="268"/>
      <c r="CQ58" s="268"/>
      <c r="CR58" s="268"/>
      <c r="CS58" s="268"/>
      <c r="CT58" s="268"/>
      <c r="CU58" s="268"/>
      <c r="CV58" s="268"/>
      <c r="CW58" s="268"/>
      <c r="CX58" s="268"/>
      <c r="CY58" s="268"/>
      <c r="CZ58" s="268"/>
      <c r="DA58" s="584"/>
      <c r="DB58" s="268"/>
      <c r="DC58" s="268"/>
      <c r="DD58" s="268"/>
      <c r="DE58" s="268"/>
      <c r="DF58" s="706" t="s">
        <v>956</v>
      </c>
      <c r="DG58" s="268"/>
      <c r="DH58" s="268"/>
      <c r="DI58" s="268"/>
      <c r="DJ58" s="268"/>
      <c r="DK58" s="268"/>
      <c r="DL58" s="268"/>
      <c r="DM58" s="268">
        <v>15000</v>
      </c>
      <c r="DN58" s="268"/>
      <c r="DO58" s="268"/>
      <c r="DP58" s="268"/>
      <c r="DQ58" s="268"/>
      <c r="DR58" s="268">
        <v>30000</v>
      </c>
      <c r="DS58" s="268"/>
      <c r="DT58" s="268"/>
      <c r="DU58" s="268"/>
      <c r="DV58" s="268"/>
      <c r="DW58" s="268">
        <v>30000</v>
      </c>
      <c r="DX58" s="268"/>
      <c r="DY58" s="268"/>
      <c r="DZ58" s="268"/>
      <c r="EA58" s="268">
        <v>30000</v>
      </c>
      <c r="EB58" s="268"/>
      <c r="EC58" s="268"/>
      <c r="ED58" s="268"/>
      <c r="EE58" s="268"/>
      <c r="EN58" s="207"/>
    </row>
    <row r="59" spans="1:144" s="211" customFormat="1" ht="16" outlineLevel="1">
      <c r="A59" s="685" t="s">
        <v>784</v>
      </c>
      <c r="B59" s="519" t="s">
        <v>908</v>
      </c>
      <c r="E59" s="519"/>
      <c r="F59" s="268"/>
      <c r="G59" s="268"/>
      <c r="H59" s="268"/>
      <c r="I59" s="268"/>
      <c r="J59" s="268"/>
      <c r="K59" s="268"/>
      <c r="L59" s="268"/>
      <c r="M59" s="268"/>
      <c r="N59" s="268"/>
      <c r="O59" s="268"/>
      <c r="P59" s="268"/>
      <c r="Q59" s="268"/>
      <c r="R59" s="268"/>
      <c r="S59" s="268"/>
      <c r="T59" s="268"/>
      <c r="U59" s="268"/>
      <c r="V59" s="268"/>
      <c r="W59" s="268"/>
      <c r="X59" s="268"/>
      <c r="Y59" s="268"/>
      <c r="Z59" s="268"/>
      <c r="AA59" s="268"/>
      <c r="AB59" s="268"/>
      <c r="AC59" s="268"/>
      <c r="AD59" s="268"/>
      <c r="AE59" s="268"/>
      <c r="AF59" s="268"/>
      <c r="AG59" s="268"/>
      <c r="AH59" s="268"/>
      <c r="AI59" s="268"/>
      <c r="AJ59" s="268"/>
      <c r="AK59" s="268"/>
      <c r="AL59" s="268"/>
      <c r="AM59" s="268"/>
      <c r="AN59" s="268"/>
      <c r="AO59" s="268"/>
      <c r="AP59" s="268"/>
      <c r="AQ59" s="268"/>
      <c r="AR59" s="268"/>
      <c r="AS59" s="268"/>
      <c r="AT59" s="268"/>
      <c r="AU59" s="268"/>
      <c r="AV59" s="268"/>
      <c r="AW59" s="275"/>
      <c r="AX59" s="268"/>
      <c r="AY59" s="268"/>
      <c r="AZ59" s="268"/>
      <c r="BA59" s="268"/>
      <c r="BB59" s="268"/>
      <c r="BC59" s="268"/>
      <c r="BD59" s="268"/>
      <c r="BE59" s="268"/>
      <c r="BF59" s="268"/>
      <c r="BG59" s="268"/>
      <c r="BH59" s="268"/>
      <c r="BI59" s="268"/>
      <c r="BJ59" s="268"/>
      <c r="BK59" s="268"/>
      <c r="BL59" s="268"/>
      <c r="BM59" s="268"/>
      <c r="BN59" s="268"/>
      <c r="CP59" s="269">
        <v>1928.63</v>
      </c>
      <c r="DA59" s="583"/>
      <c r="EN59" s="351"/>
    </row>
    <row r="60" spans="1:144" ht="16">
      <c r="A60" s="685" t="s">
        <v>953</v>
      </c>
      <c r="B60" s="282" t="s">
        <v>954</v>
      </c>
      <c r="D60" s="263"/>
      <c r="E60" s="702"/>
      <c r="F60" s="268"/>
      <c r="G60" s="268"/>
      <c r="H60" s="268"/>
      <c r="I60" s="268"/>
      <c r="J60" s="268"/>
      <c r="K60" s="268"/>
      <c r="L60" s="268"/>
      <c r="M60" s="268"/>
      <c r="N60" s="268"/>
      <c r="O60" s="268"/>
      <c r="P60" s="268"/>
      <c r="Q60" s="268"/>
      <c r="R60" s="268"/>
      <c r="S60" s="268"/>
      <c r="T60" s="268"/>
      <c r="U60" s="268"/>
      <c r="V60" s="268"/>
      <c r="W60" s="268"/>
      <c r="X60" s="268"/>
      <c r="Y60" s="268"/>
      <c r="Z60" s="268"/>
      <c r="AA60" s="268"/>
      <c r="AB60" s="268"/>
      <c r="AC60" s="268"/>
      <c r="AD60" s="268"/>
      <c r="AE60" s="268"/>
      <c r="AF60" s="268"/>
      <c r="AG60" s="268"/>
      <c r="AH60" s="268"/>
      <c r="AI60" s="268"/>
      <c r="AJ60" s="268"/>
      <c r="AK60" s="268"/>
      <c r="AL60" s="268"/>
      <c r="AM60" s="268"/>
      <c r="AN60" s="268"/>
      <c r="AO60" s="268"/>
      <c r="AP60" s="268"/>
      <c r="AQ60" s="268"/>
      <c r="AR60" s="268"/>
      <c r="AS60" s="268"/>
      <c r="AT60" s="268"/>
      <c r="AU60" s="268"/>
      <c r="AV60" s="268"/>
      <c r="AW60" s="275"/>
      <c r="AX60" s="268"/>
      <c r="AY60" s="268"/>
      <c r="AZ60" s="268"/>
      <c r="BA60" s="268"/>
      <c r="BB60" s="268"/>
      <c r="BC60" s="268"/>
      <c r="BD60" s="268"/>
      <c r="BE60" s="268"/>
      <c r="BF60" s="268"/>
      <c r="BG60" s="268"/>
      <c r="BH60" s="268"/>
      <c r="BI60" s="268"/>
      <c r="BJ60" s="268"/>
      <c r="BK60" s="268"/>
      <c r="BL60" s="268"/>
      <c r="BM60" s="268"/>
      <c r="BN60" s="268"/>
      <c r="CG60" s="268"/>
      <c r="CK60" s="268"/>
      <c r="CL60" s="268"/>
      <c r="CN60" s="269">
        <v>361.67</v>
      </c>
      <c r="CP60" s="268"/>
      <c r="CQ60" s="268"/>
      <c r="CR60" s="268"/>
      <c r="CS60" s="268"/>
      <c r="CT60" s="268"/>
      <c r="CU60" s="268"/>
      <c r="CV60" s="268"/>
      <c r="CW60" s="268"/>
      <c r="CX60" s="268"/>
      <c r="CY60" s="268"/>
      <c r="CZ60" s="268"/>
      <c r="DA60" s="582"/>
      <c r="DB60" s="268"/>
      <c r="DC60" s="268"/>
      <c r="DD60" s="268"/>
      <c r="DE60" s="268"/>
      <c r="DF60" s="268"/>
      <c r="DG60" s="268"/>
      <c r="DH60" s="268"/>
      <c r="DI60" s="268"/>
      <c r="DJ60" s="268"/>
      <c r="DK60" s="268"/>
      <c r="DL60" s="268"/>
      <c r="DM60" s="268"/>
      <c r="DN60" s="268"/>
      <c r="DO60" s="268"/>
      <c r="DP60" s="268"/>
      <c r="DQ60" s="268"/>
      <c r="DR60" s="268"/>
      <c r="DS60" s="268"/>
      <c r="DT60" s="268"/>
      <c r="DU60" s="268"/>
      <c r="DV60" s="268"/>
      <c r="DW60" s="268"/>
      <c r="DX60" s="268"/>
      <c r="DY60" s="268"/>
      <c r="DZ60" s="268"/>
      <c r="EA60" s="268"/>
      <c r="EB60" s="268"/>
      <c r="EC60" s="268"/>
      <c r="ED60" s="268"/>
      <c r="EE60" s="268"/>
      <c r="EN60" s="207"/>
    </row>
    <row r="61" spans="1:144" ht="16">
      <c r="A61" s="685" t="s">
        <v>962</v>
      </c>
      <c r="B61" s="282" t="s">
        <v>963</v>
      </c>
      <c r="C61" s="263">
        <v>40000</v>
      </c>
      <c r="D61" s="263"/>
      <c r="E61" s="702"/>
      <c r="F61" s="268"/>
      <c r="G61" s="268"/>
      <c r="H61" s="268"/>
      <c r="I61" s="268"/>
      <c r="J61" s="268"/>
      <c r="K61" s="268"/>
      <c r="L61" s="268"/>
      <c r="M61" s="268"/>
      <c r="N61" s="268"/>
      <c r="O61" s="268"/>
      <c r="P61" s="268"/>
      <c r="Q61" s="268"/>
      <c r="R61" s="268"/>
      <c r="S61" s="268"/>
      <c r="T61" s="268"/>
      <c r="U61" s="268"/>
      <c r="V61" s="268"/>
      <c r="W61" s="268"/>
      <c r="X61" s="268"/>
      <c r="Y61" s="268"/>
      <c r="Z61" s="268"/>
      <c r="AA61" s="268"/>
      <c r="AB61" s="268"/>
      <c r="AC61" s="268"/>
      <c r="AD61" s="268"/>
      <c r="AE61" s="268"/>
      <c r="AF61" s="268"/>
      <c r="AG61" s="268"/>
      <c r="AH61" s="268"/>
      <c r="AI61" s="268"/>
      <c r="AJ61" s="268"/>
      <c r="AK61" s="268"/>
      <c r="AL61" s="268"/>
      <c r="AM61" s="268"/>
      <c r="AN61" s="268"/>
      <c r="AO61" s="268"/>
      <c r="AP61" s="268"/>
      <c r="AQ61" s="268"/>
      <c r="AR61" s="268"/>
      <c r="AS61" s="268"/>
      <c r="AT61" s="268"/>
      <c r="AU61" s="268"/>
      <c r="AV61" s="268"/>
      <c r="AW61" s="275"/>
      <c r="AX61" s="268"/>
      <c r="AY61" s="268"/>
      <c r="AZ61" s="268"/>
      <c r="BA61" s="268"/>
      <c r="BB61" s="268"/>
      <c r="BC61" s="268"/>
      <c r="BD61" s="268"/>
      <c r="BE61" s="268"/>
      <c r="BF61" s="268"/>
      <c r="BG61" s="268"/>
      <c r="BH61" s="268"/>
      <c r="BI61" s="268"/>
      <c r="BJ61" s="268"/>
      <c r="BK61" s="268"/>
      <c r="BL61" s="268"/>
      <c r="BM61" s="268"/>
      <c r="BN61" s="268"/>
      <c r="CG61" s="268"/>
      <c r="CK61" s="268"/>
      <c r="CL61" s="268"/>
      <c r="CN61" s="268"/>
      <c r="CP61" s="268"/>
      <c r="CQ61" s="268"/>
      <c r="CR61" s="268"/>
      <c r="CS61" s="268"/>
      <c r="CT61" s="268"/>
      <c r="CU61" s="268"/>
      <c r="CV61" s="268"/>
      <c r="CW61" s="268"/>
      <c r="CX61" s="268"/>
      <c r="CY61" s="268"/>
      <c r="CZ61" s="268"/>
      <c r="DA61" s="584"/>
      <c r="DB61" s="268"/>
      <c r="DC61" s="268"/>
      <c r="DD61" s="268"/>
      <c r="DE61" s="268"/>
      <c r="DF61" s="268"/>
      <c r="DG61" s="268"/>
      <c r="DI61" s="268"/>
      <c r="DJ61" s="268"/>
      <c r="DK61" s="268"/>
      <c r="DL61" s="268"/>
      <c r="DM61" s="268">
        <v>25000</v>
      </c>
      <c r="DN61" s="268"/>
      <c r="DP61" s="268"/>
      <c r="DQ61" s="268"/>
      <c r="DR61" s="268"/>
      <c r="DS61" s="268">
        <v>15000</v>
      </c>
      <c r="DT61" s="268"/>
      <c r="DU61" s="268"/>
      <c r="DV61" s="268"/>
      <c r="DW61" s="268"/>
      <c r="DX61" s="268"/>
      <c r="DY61" s="268"/>
      <c r="DZ61" s="268"/>
      <c r="EA61" s="268"/>
      <c r="EB61" s="268"/>
      <c r="EC61" s="268"/>
      <c r="ED61" s="268"/>
      <c r="EE61" s="268"/>
      <c r="EN61" s="207"/>
    </row>
    <row r="62" spans="1:144" ht="16">
      <c r="A62" s="685" t="s">
        <v>967</v>
      </c>
      <c r="B62" s="282" t="s">
        <v>0</v>
      </c>
      <c r="C62" s="263"/>
      <c r="D62" s="263"/>
      <c r="E62" s="702"/>
      <c r="F62" s="268"/>
      <c r="G62" s="268"/>
      <c r="H62" s="268"/>
      <c r="I62" s="268"/>
      <c r="J62" s="268"/>
      <c r="K62" s="268"/>
      <c r="L62" s="268"/>
      <c r="M62" s="268"/>
      <c r="N62" s="268"/>
      <c r="O62" s="268"/>
      <c r="P62" s="268"/>
      <c r="Q62" s="268"/>
      <c r="R62" s="268"/>
      <c r="S62" s="268"/>
      <c r="T62" s="268"/>
      <c r="U62" s="268"/>
      <c r="V62" s="268"/>
      <c r="W62" s="268"/>
      <c r="X62" s="268"/>
      <c r="Y62" s="268"/>
      <c r="Z62" s="268"/>
      <c r="AA62" s="268"/>
      <c r="AB62" s="268"/>
      <c r="AC62" s="268"/>
      <c r="AD62" s="268"/>
      <c r="AE62" s="268"/>
      <c r="AF62" s="268"/>
      <c r="AG62" s="268"/>
      <c r="AH62" s="268"/>
      <c r="AI62" s="268"/>
      <c r="AJ62" s="268"/>
      <c r="AK62" s="268"/>
      <c r="AL62" s="268"/>
      <c r="AM62" s="268"/>
      <c r="AN62" s="268"/>
      <c r="AO62" s="268"/>
      <c r="AP62" s="268"/>
      <c r="AQ62" s="268"/>
      <c r="AR62" s="268"/>
      <c r="AS62" s="268"/>
      <c r="AT62" s="268"/>
      <c r="AU62" s="268"/>
      <c r="AV62" s="268"/>
      <c r="AW62" s="275"/>
      <c r="AX62" s="268"/>
      <c r="AY62" s="268"/>
      <c r="AZ62" s="268"/>
      <c r="BA62" s="268"/>
      <c r="BB62" s="268"/>
      <c r="BC62" s="268"/>
      <c r="BD62" s="268"/>
      <c r="BE62" s="268"/>
      <c r="BF62" s="268"/>
      <c r="BG62" s="268"/>
      <c r="BH62" s="268"/>
      <c r="BI62" s="268"/>
      <c r="BJ62" s="268"/>
      <c r="BK62" s="268"/>
      <c r="BL62" s="268"/>
      <c r="BM62" s="268"/>
      <c r="BN62" s="268"/>
      <c r="CG62" s="268"/>
      <c r="CK62" s="268"/>
      <c r="CL62" s="268"/>
      <c r="CN62" s="268"/>
      <c r="CP62" s="268"/>
      <c r="CQ62" s="268"/>
      <c r="CR62" s="268"/>
      <c r="CS62" s="268"/>
      <c r="CT62" s="268"/>
      <c r="CU62" s="269">
        <v>5431.09</v>
      </c>
      <c r="CV62" s="268"/>
      <c r="CW62" s="268"/>
      <c r="CX62" s="268"/>
      <c r="CY62" s="268"/>
      <c r="CZ62" s="268"/>
      <c r="DA62" s="584"/>
      <c r="DB62" s="268"/>
      <c r="DC62" s="268"/>
      <c r="DD62" s="268"/>
      <c r="DE62" s="268"/>
      <c r="DF62" s="268"/>
      <c r="DG62" s="268"/>
      <c r="DH62" s="268"/>
      <c r="DI62" s="268"/>
      <c r="DJ62" s="268"/>
      <c r="DK62" s="268"/>
      <c r="DL62" s="268"/>
      <c r="DM62" s="268"/>
      <c r="DN62" s="268"/>
      <c r="DO62" s="268"/>
      <c r="DP62" s="268"/>
      <c r="DQ62" s="268"/>
      <c r="DR62" s="268"/>
      <c r="DS62" s="268"/>
      <c r="DT62" s="268"/>
      <c r="DU62" s="268"/>
      <c r="DV62" s="268"/>
      <c r="DW62" s="268"/>
      <c r="DX62" s="268"/>
      <c r="DY62" s="268"/>
      <c r="DZ62" s="268"/>
      <c r="EA62" s="268"/>
      <c r="EB62" s="268"/>
      <c r="EC62" s="268"/>
      <c r="ED62" s="268"/>
      <c r="EE62" s="268"/>
      <c r="EN62" s="207"/>
    </row>
    <row r="63" spans="1:144" ht="16">
      <c r="A63" s="685" t="s">
        <v>980</v>
      </c>
      <c r="B63" s="282" t="s">
        <v>981</v>
      </c>
      <c r="C63" s="263"/>
      <c r="D63" s="263"/>
      <c r="E63" s="702"/>
      <c r="F63" s="268"/>
      <c r="G63" s="268"/>
      <c r="H63" s="268"/>
      <c r="I63" s="268"/>
      <c r="J63" s="268"/>
      <c r="K63" s="268"/>
      <c r="L63" s="268"/>
      <c r="M63" s="268"/>
      <c r="N63" s="268"/>
      <c r="O63" s="268"/>
      <c r="P63" s="268"/>
      <c r="Q63" s="268"/>
      <c r="R63" s="268"/>
      <c r="S63" s="268"/>
      <c r="T63" s="268"/>
      <c r="U63" s="268"/>
      <c r="V63" s="268"/>
      <c r="W63" s="268"/>
      <c r="X63" s="268"/>
      <c r="Y63" s="268"/>
      <c r="Z63" s="268"/>
      <c r="AA63" s="268"/>
      <c r="AB63" s="268"/>
      <c r="AC63" s="268"/>
      <c r="AD63" s="268"/>
      <c r="AE63" s="268"/>
      <c r="AF63" s="268"/>
      <c r="AG63" s="268"/>
      <c r="AH63" s="268"/>
      <c r="AI63" s="268"/>
      <c r="AJ63" s="268"/>
      <c r="AK63" s="268"/>
      <c r="AL63" s="268"/>
      <c r="AM63" s="268"/>
      <c r="AN63" s="268"/>
      <c r="AO63" s="268"/>
      <c r="AP63" s="268"/>
      <c r="AQ63" s="268"/>
      <c r="AR63" s="268"/>
      <c r="AS63" s="268"/>
      <c r="AT63" s="268"/>
      <c r="AU63" s="268"/>
      <c r="AV63" s="268"/>
      <c r="AW63" s="275"/>
      <c r="AX63" s="268"/>
      <c r="AY63" s="268"/>
      <c r="AZ63" s="268"/>
      <c r="BA63" s="268"/>
      <c r="BB63" s="268"/>
      <c r="BC63" s="268"/>
      <c r="BD63" s="268"/>
      <c r="BE63" s="268"/>
      <c r="BF63" s="268"/>
      <c r="BG63" s="268"/>
      <c r="BH63" s="268"/>
      <c r="BI63" s="268"/>
      <c r="BJ63" s="268"/>
      <c r="BK63" s="268"/>
      <c r="BL63" s="268"/>
      <c r="BM63" s="268"/>
      <c r="BN63" s="268"/>
      <c r="CG63" s="268"/>
      <c r="CK63" s="268"/>
      <c r="CL63" s="268"/>
      <c r="CN63" s="268"/>
      <c r="CP63" s="268"/>
      <c r="CQ63" s="268"/>
      <c r="CR63" s="268"/>
      <c r="CS63" s="268"/>
      <c r="CT63" s="268"/>
      <c r="CU63" s="268"/>
      <c r="CV63" s="268"/>
      <c r="CW63" s="268"/>
      <c r="CX63" s="269">
        <v>2020</v>
      </c>
      <c r="CY63" s="268"/>
      <c r="CZ63" s="268"/>
      <c r="DA63" s="584"/>
      <c r="DB63" s="268"/>
      <c r="DC63" s="268"/>
      <c r="DD63" s="268"/>
      <c r="DE63" s="268"/>
      <c r="DF63" s="706"/>
      <c r="DG63" s="268"/>
      <c r="DH63" s="268"/>
      <c r="DI63" s="268"/>
      <c r="DJ63" s="268"/>
      <c r="DK63" s="268"/>
      <c r="DL63" s="268"/>
      <c r="DM63" s="268"/>
      <c r="DN63" s="268"/>
      <c r="DO63" s="268"/>
      <c r="DP63" s="268"/>
      <c r="DQ63" s="268"/>
      <c r="DR63" s="268"/>
      <c r="DS63" s="268"/>
      <c r="DT63" s="268"/>
      <c r="DU63" s="268"/>
      <c r="DV63" s="268"/>
      <c r="DW63" s="268"/>
      <c r="DX63" s="268"/>
      <c r="DY63" s="268"/>
      <c r="DZ63" s="268"/>
      <c r="EA63" s="268"/>
      <c r="EB63" s="268"/>
      <c r="EC63" s="268"/>
      <c r="ED63" s="268"/>
      <c r="EE63" s="268"/>
      <c r="EN63" s="207"/>
    </row>
    <row r="64" spans="1:144" ht="15.5" customHeight="1" collapsed="1">
      <c r="A64" s="686" t="s">
        <v>886</v>
      </c>
      <c r="B64" s="609" t="s">
        <v>886</v>
      </c>
      <c r="C64" s="211"/>
      <c r="F64" s="268" t="s">
        <v>0</v>
      </c>
      <c r="G64" s="268"/>
      <c r="H64" s="268"/>
      <c r="I64" s="268"/>
      <c r="J64" s="268"/>
      <c r="K64" s="268"/>
      <c r="L64" s="268"/>
      <c r="M64" s="268"/>
      <c r="N64" s="268"/>
      <c r="O64" s="268" t="s">
        <v>0</v>
      </c>
      <c r="P64" s="268"/>
      <c r="Q64" s="268"/>
      <c r="R64" s="268"/>
      <c r="S64" s="268" t="s">
        <v>0</v>
      </c>
      <c r="T64" s="268"/>
      <c r="U64" s="268"/>
      <c r="V64" s="268"/>
      <c r="W64" s="268" t="s">
        <v>0</v>
      </c>
      <c r="X64" s="268"/>
      <c r="Y64" s="268"/>
      <c r="Z64" s="268"/>
      <c r="AA64" s="268"/>
      <c r="AB64" s="268" t="s">
        <v>0</v>
      </c>
      <c r="AC64" s="268"/>
      <c r="AD64" s="268"/>
      <c r="AE64" s="268"/>
      <c r="AF64" s="268" t="s">
        <v>0</v>
      </c>
      <c r="AG64" s="268"/>
      <c r="AH64" s="268"/>
      <c r="AI64" s="268"/>
      <c r="AJ64" s="268" t="s">
        <v>0</v>
      </c>
      <c r="AK64" s="268"/>
      <c r="AL64" s="268"/>
      <c r="AM64" s="268"/>
      <c r="AN64" s="268"/>
      <c r="AO64" s="268" t="s">
        <v>0</v>
      </c>
      <c r="AP64" s="268"/>
      <c r="AQ64" s="268"/>
      <c r="AR64" s="268"/>
      <c r="AS64" s="268"/>
      <c r="AT64" s="268"/>
      <c r="AU64" s="268"/>
      <c r="AV64" s="268" t="s">
        <v>0</v>
      </c>
      <c r="AW64" s="275" t="s">
        <v>0</v>
      </c>
      <c r="AX64" s="268"/>
      <c r="AY64" s="268"/>
      <c r="AZ64" s="268"/>
      <c r="BA64" s="268"/>
      <c r="BB64" s="268" t="s">
        <v>0</v>
      </c>
      <c r="BC64" s="268"/>
      <c r="BD64" s="268"/>
      <c r="BE64" s="268"/>
      <c r="BF64" s="268"/>
      <c r="BG64" s="268" t="s">
        <v>0</v>
      </c>
      <c r="BH64" s="268"/>
      <c r="BI64" s="268"/>
      <c r="BJ64" s="268"/>
      <c r="BK64" s="268"/>
      <c r="BL64" s="268"/>
      <c r="BM64" s="268"/>
      <c r="BN64" s="268"/>
      <c r="BP64" s="3" t="s">
        <v>0</v>
      </c>
      <c r="BT64" s="3" t="s">
        <v>0</v>
      </c>
      <c r="DA64" s="584"/>
      <c r="EN64" s="207"/>
    </row>
    <row r="65" spans="1:144" ht="15" outlineLevel="1">
      <c r="A65" s="648"/>
      <c r="B65" s="282" t="s">
        <v>142</v>
      </c>
      <c r="C65" s="211"/>
      <c r="F65" s="268">
        <v>-774</v>
      </c>
      <c r="G65" s="269">
        <v>-774</v>
      </c>
      <c r="H65" s="269">
        <v>-774</v>
      </c>
      <c r="I65" s="269">
        <v>-774</v>
      </c>
      <c r="J65" s="269">
        <v>-774</v>
      </c>
      <c r="K65" s="269">
        <v>-774</v>
      </c>
      <c r="L65" s="269">
        <v>-774</v>
      </c>
      <c r="M65" s="269">
        <v>-774</v>
      </c>
      <c r="N65" s="269">
        <v>-673</v>
      </c>
      <c r="O65" s="269">
        <v>-674</v>
      </c>
      <c r="P65" s="269">
        <v>-774</v>
      </c>
      <c r="Q65" s="269">
        <v>-774</v>
      </c>
      <c r="R65" s="269">
        <f>(Q65*52)/52</f>
        <v>-774</v>
      </c>
      <c r="S65" s="269">
        <v>-774</v>
      </c>
      <c r="T65" s="269">
        <f>P65</f>
        <v>-774</v>
      </c>
      <c r="U65" s="269">
        <v>-901.85</v>
      </c>
      <c r="V65" s="269">
        <v>-753</v>
      </c>
      <c r="W65" s="269">
        <v>-317</v>
      </c>
      <c r="X65" s="269">
        <f>-475.87-88</f>
        <v>-563.87</v>
      </c>
      <c r="Y65" s="269">
        <v>-835.2</v>
      </c>
      <c r="Z65" s="269">
        <v>-667.16</v>
      </c>
      <c r="AA65" s="268">
        <v>0</v>
      </c>
      <c r="AB65" s="268">
        <v>0</v>
      </c>
      <c r="AC65" s="268">
        <v>0</v>
      </c>
      <c r="AD65" s="269">
        <v>-866.43</v>
      </c>
      <c r="AE65" s="269">
        <v>-783.14</v>
      </c>
      <c r="AF65" s="269">
        <v>-788.14</v>
      </c>
      <c r="AG65" s="269">
        <v>-912.74</v>
      </c>
      <c r="AH65" s="269">
        <v>-783.14</v>
      </c>
      <c r="AI65" s="269">
        <v>-783.14</v>
      </c>
      <c r="AJ65" s="269">
        <v>-783.14</v>
      </c>
      <c r="AK65" s="269">
        <v>-783.14</v>
      </c>
      <c r="AL65" s="269">
        <v>-683.14</v>
      </c>
      <c r="AM65" s="269">
        <v>-683.14</v>
      </c>
      <c r="AN65" s="269">
        <v>-783.14</v>
      </c>
      <c r="AO65" s="269">
        <v>-783.14</v>
      </c>
      <c r="AP65" s="269">
        <v>-783.14</v>
      </c>
      <c r="AQ65" s="269">
        <v>-783.14</v>
      </c>
      <c r="AR65" s="269">
        <v>-783.14</v>
      </c>
      <c r="AS65" s="269">
        <v>-908.71</v>
      </c>
      <c r="AT65" s="269">
        <v>-679.11</v>
      </c>
      <c r="AU65" s="269">
        <v>-679.11</v>
      </c>
      <c r="AV65" s="269">
        <v>-902.44</v>
      </c>
      <c r="AW65" s="310">
        <v>-779.11</v>
      </c>
      <c r="AX65" s="269">
        <v>-779.11</v>
      </c>
      <c r="AY65" s="269">
        <v>-779.14</v>
      </c>
      <c r="AZ65" s="269">
        <v>-779.11</v>
      </c>
      <c r="BA65" s="269">
        <v>-317.06</v>
      </c>
      <c r="BB65" s="269">
        <v>-779.11</v>
      </c>
      <c r="BC65" s="269">
        <v>-779.11</v>
      </c>
      <c r="BD65" s="268"/>
      <c r="BE65" s="269">
        <v>-779.11</v>
      </c>
      <c r="BF65" s="269">
        <v>-955.64</v>
      </c>
      <c r="BG65" s="268" t="s">
        <v>0</v>
      </c>
      <c r="BH65" s="268"/>
      <c r="BI65" s="268" t="s">
        <v>0</v>
      </c>
      <c r="BJ65" s="268" t="s">
        <v>0</v>
      </c>
      <c r="BK65" s="268"/>
      <c r="BL65" s="268" t="s">
        <v>0</v>
      </c>
      <c r="BM65" s="268" t="s">
        <v>0</v>
      </c>
      <c r="BN65" s="268"/>
      <c r="BO65" s="268" t="s">
        <v>0</v>
      </c>
      <c r="BP65" s="268" t="s">
        <v>0</v>
      </c>
      <c r="BQ65" s="268"/>
      <c r="BR65" s="268" t="s">
        <v>0</v>
      </c>
      <c r="BS65" s="268" t="s">
        <v>0</v>
      </c>
      <c r="BT65" s="268" t="s">
        <v>0</v>
      </c>
      <c r="BU65" s="268"/>
      <c r="BV65" s="268" t="s">
        <v>0</v>
      </c>
      <c r="BW65" s="268"/>
      <c r="BX65" s="268" t="s">
        <v>0</v>
      </c>
      <c r="BY65" s="268"/>
      <c r="BZ65" s="268" t="s">
        <v>0</v>
      </c>
      <c r="CA65" s="268" t="s">
        <v>0</v>
      </c>
      <c r="CB65" s="268"/>
      <c r="CC65" s="268" t="s">
        <v>0</v>
      </c>
      <c r="CD65" s="268"/>
      <c r="CE65" s="268" t="s">
        <v>0</v>
      </c>
      <c r="CF65" s="268"/>
      <c r="CG65" s="268" t="s">
        <v>0</v>
      </c>
      <c r="DA65" s="584"/>
      <c r="EN65" s="207"/>
    </row>
    <row r="66" spans="1:144" ht="15" outlineLevel="1">
      <c r="A66" s="648"/>
      <c r="B66" s="282" t="s">
        <v>143</v>
      </c>
      <c r="C66" s="211"/>
      <c r="F66" s="268">
        <v>-905</v>
      </c>
      <c r="G66" s="269">
        <v>-905</v>
      </c>
      <c r="H66" s="269">
        <v>-905</v>
      </c>
      <c r="I66" s="269">
        <v>-905</v>
      </c>
      <c r="J66" s="269">
        <v>-905</v>
      </c>
      <c r="K66" s="269">
        <v>-905</v>
      </c>
      <c r="L66" s="269">
        <v>-905</v>
      </c>
      <c r="M66" s="269">
        <v>-905</v>
      </c>
      <c r="N66" s="269">
        <v>-905</v>
      </c>
      <c r="O66" s="269">
        <f>(N66*52)/52</f>
        <v>-905</v>
      </c>
      <c r="P66" s="269">
        <f>(O66*52)/52</f>
        <v>-905</v>
      </c>
      <c r="Q66" s="269">
        <v>-905</v>
      </c>
      <c r="R66" s="269">
        <f>(Q66*52)/52</f>
        <v>-905</v>
      </c>
      <c r="S66" s="269">
        <f>O66</f>
        <v>-905</v>
      </c>
      <c r="T66" s="269">
        <f>P66</f>
        <v>-905</v>
      </c>
      <c r="U66" s="269">
        <f>Q66</f>
        <v>-905</v>
      </c>
      <c r="V66" s="269">
        <v>-906</v>
      </c>
      <c r="W66" s="269">
        <v>-922</v>
      </c>
      <c r="X66" s="269">
        <v>-922</v>
      </c>
      <c r="Y66" s="269">
        <v>-922.05</v>
      </c>
      <c r="Z66" s="269">
        <v>-922.04</v>
      </c>
      <c r="AA66" s="269">
        <v>-922.02</v>
      </c>
      <c r="AB66" s="269">
        <v>-922</v>
      </c>
      <c r="AC66" s="269">
        <v>-922.05</v>
      </c>
      <c r="AD66" s="269">
        <v>-922</v>
      </c>
      <c r="AE66" s="269">
        <v>-922.02</v>
      </c>
      <c r="AF66" s="269">
        <v>-922.05</v>
      </c>
      <c r="AG66" s="269">
        <v>-922.04</v>
      </c>
      <c r="AH66" s="269">
        <v>-922.02</v>
      </c>
      <c r="AI66" s="269">
        <v>-922.03</v>
      </c>
      <c r="AJ66" s="269">
        <v>-922.03</v>
      </c>
      <c r="AK66" s="269">
        <v>-922.03</v>
      </c>
      <c r="AL66" s="269">
        <v>-922.03</v>
      </c>
      <c r="AM66" s="269">
        <v>-922.03</v>
      </c>
      <c r="AN66" s="269">
        <v>-922.04</v>
      </c>
      <c r="AO66" s="269">
        <v>-922.03</v>
      </c>
      <c r="AP66" s="269">
        <v>-922.03</v>
      </c>
      <c r="AQ66" s="269">
        <v>-922.03</v>
      </c>
      <c r="AR66" s="269">
        <v>-922.03</v>
      </c>
      <c r="AS66" s="269">
        <v>-922.03</v>
      </c>
      <c r="AT66" s="269">
        <v>-922.03</v>
      </c>
      <c r="AU66" s="269">
        <v>-922.03</v>
      </c>
      <c r="AV66" s="269">
        <v>-922.05</v>
      </c>
      <c r="AW66" s="310">
        <v>-922.03</v>
      </c>
      <c r="AX66" s="269">
        <v>-922.03</v>
      </c>
      <c r="AY66" s="269">
        <v>-922.04</v>
      </c>
      <c r="AZ66" s="269">
        <v>-922.03</v>
      </c>
      <c r="BA66" s="269">
        <v>-922.03</v>
      </c>
      <c r="BB66" s="269">
        <v>-922.02</v>
      </c>
      <c r="BC66" s="269">
        <v>-922.03</v>
      </c>
      <c r="BD66" s="268"/>
      <c r="BE66" s="269">
        <v>-922.03</v>
      </c>
      <c r="BF66" s="269">
        <v>-922.05</v>
      </c>
      <c r="BG66" s="268" t="s">
        <v>0</v>
      </c>
      <c r="BH66" s="268"/>
      <c r="BI66" s="268" t="s">
        <v>0</v>
      </c>
      <c r="BJ66" s="268" t="s">
        <v>0</v>
      </c>
      <c r="BK66" s="268"/>
      <c r="BL66" s="268" t="s">
        <v>0</v>
      </c>
      <c r="BM66" s="268" t="s">
        <v>0</v>
      </c>
      <c r="BN66" s="268"/>
      <c r="BO66" s="268" t="s">
        <v>0</v>
      </c>
      <c r="BP66" s="268" t="s">
        <v>163</v>
      </c>
      <c r="BQ66" s="268"/>
      <c r="BR66" s="268" t="s">
        <v>0</v>
      </c>
      <c r="BS66" s="268" t="s">
        <v>0</v>
      </c>
      <c r="BT66" s="268" t="s">
        <v>0</v>
      </c>
      <c r="BU66" s="268"/>
      <c r="BV66" s="268" t="s">
        <v>0</v>
      </c>
      <c r="BW66" s="268"/>
      <c r="BX66" s="268" t="s">
        <v>0</v>
      </c>
      <c r="BY66" s="268"/>
      <c r="BZ66" s="268" t="s">
        <v>0</v>
      </c>
      <c r="CA66" s="268" t="s">
        <v>0</v>
      </c>
      <c r="CB66" s="268"/>
      <c r="CC66" s="268" t="s">
        <v>0</v>
      </c>
      <c r="CD66" s="268"/>
      <c r="CE66" s="268" t="s">
        <v>0</v>
      </c>
      <c r="CF66" s="268"/>
      <c r="CG66" s="268" t="s">
        <v>0</v>
      </c>
      <c r="CQ66" s="629">
        <v>-1096.1400000000001</v>
      </c>
      <c r="DA66" s="584"/>
      <c r="EN66" s="207"/>
    </row>
    <row r="67" spans="1:144" ht="15" outlineLevel="1">
      <c r="A67" s="648"/>
      <c r="B67" s="282" t="s">
        <v>864</v>
      </c>
      <c r="C67" s="211"/>
      <c r="F67" s="268">
        <v>-7173</v>
      </c>
      <c r="G67" s="269">
        <v>-7885</v>
      </c>
      <c r="H67" s="269">
        <v>-8934</v>
      </c>
      <c r="I67" s="269">
        <v>-8315</v>
      </c>
      <c r="J67" s="269">
        <v>-8162</v>
      </c>
      <c r="K67" s="269">
        <v>-7964.08</v>
      </c>
      <c r="L67" s="269">
        <v>-7914</v>
      </c>
      <c r="M67" s="269">
        <v>-8199.5</v>
      </c>
      <c r="N67" s="269">
        <v>-7601</v>
      </c>
      <c r="O67" s="269">
        <v>-7923</v>
      </c>
      <c r="P67" s="269">
        <v>-8275</v>
      </c>
      <c r="Q67" s="269">
        <v>-7527</v>
      </c>
      <c r="R67" s="269">
        <v>-7776</v>
      </c>
      <c r="S67" s="269">
        <v>-8133.11</v>
      </c>
      <c r="T67" s="269">
        <v>-8099.74</v>
      </c>
      <c r="U67" s="269">
        <v>-8565</v>
      </c>
      <c r="V67" s="269">
        <v>-7217</v>
      </c>
      <c r="W67" s="269">
        <v>-5369.02</v>
      </c>
      <c r="X67" s="269">
        <f>-8133+1565.35</f>
        <v>-6567.65</v>
      </c>
      <c r="Y67" s="269">
        <v>-6165.05</v>
      </c>
      <c r="Z67" s="269">
        <v>-8156.97</v>
      </c>
      <c r="AA67" s="269">
        <f>-8372.68-AA66</f>
        <v>-7450.66</v>
      </c>
      <c r="AB67" s="269">
        <v>-8083.41</v>
      </c>
      <c r="AC67" s="269">
        <v>-7663.88</v>
      </c>
      <c r="AD67" s="269">
        <v>-8396.76</v>
      </c>
      <c r="AE67" s="269">
        <f>-8996.71+783.14+922.02</f>
        <v>-7291.5499999999993</v>
      </c>
      <c r="AF67" s="269">
        <v>-7184.85</v>
      </c>
      <c r="AG67" s="269">
        <v>-7739</v>
      </c>
      <c r="AH67" s="269">
        <v>-7550.23</v>
      </c>
      <c r="AI67" s="269">
        <v>-7211.22</v>
      </c>
      <c r="AJ67" s="269">
        <v>-8133</v>
      </c>
      <c r="AK67" s="269">
        <v>-9785.2999999999993</v>
      </c>
      <c r="AL67" s="269">
        <v>-9610.1</v>
      </c>
      <c r="AM67" s="269">
        <v>-9932.84</v>
      </c>
      <c r="AN67" s="269">
        <v>-9201.98</v>
      </c>
      <c r="AO67" s="269">
        <v>-9077.44</v>
      </c>
      <c r="AP67" s="269">
        <v>-9957.82</v>
      </c>
      <c r="AQ67" s="269">
        <v>-8654.94</v>
      </c>
      <c r="AR67" s="269">
        <v>-8716.86</v>
      </c>
      <c r="AS67" s="269">
        <v>-9526.0400000000009</v>
      </c>
      <c r="AT67" s="269">
        <v>-9336.32</v>
      </c>
      <c r="AU67" s="269">
        <v>-9542.24</v>
      </c>
      <c r="AV67" s="269">
        <v>-8539</v>
      </c>
      <c r="AW67" s="310">
        <v>-8189.48</v>
      </c>
      <c r="AX67" s="269">
        <v>-9663.0300000000007</v>
      </c>
      <c r="AY67" s="269">
        <f>-13625-AY65-AY66</f>
        <v>-11923.82</v>
      </c>
      <c r="AZ67" s="269">
        <v>-9895.0499999999993</v>
      </c>
      <c r="BA67" s="269">
        <v>-10172.950000000001</v>
      </c>
      <c r="BB67" s="269">
        <v>-10507.97</v>
      </c>
      <c r="BC67" s="269">
        <v>-12309.35</v>
      </c>
      <c r="BD67" s="268"/>
      <c r="BE67" s="269">
        <v>-9906.5</v>
      </c>
      <c r="BF67" s="269">
        <v>-11260.57</v>
      </c>
      <c r="BG67" s="269">
        <v>-14421.65</v>
      </c>
      <c r="BH67" s="268"/>
      <c r="BI67" s="269">
        <v>-13871.83</v>
      </c>
      <c r="BJ67" s="269">
        <v>-12851.88</v>
      </c>
      <c r="BK67" s="268"/>
      <c r="BL67" s="269">
        <v>-14065.86</v>
      </c>
      <c r="BM67" s="269">
        <v>-12755.06</v>
      </c>
      <c r="BN67" s="268"/>
      <c r="BO67" s="269">
        <v>-11757.59</v>
      </c>
      <c r="BP67" s="269">
        <v>-12164.11</v>
      </c>
      <c r="BQ67" s="268"/>
      <c r="BR67" s="269">
        <v>-10760.59</v>
      </c>
      <c r="BS67" s="269">
        <v>-10622</v>
      </c>
      <c r="BT67" s="269">
        <v>-10998.39</v>
      </c>
      <c r="BU67" s="268"/>
      <c r="BV67" s="269">
        <v>-11193.91</v>
      </c>
      <c r="BW67" s="268"/>
      <c r="BX67" s="269">
        <v>-11432.62</v>
      </c>
      <c r="BY67" s="268"/>
      <c r="BZ67" s="269">
        <v>-12911.58</v>
      </c>
      <c r="CA67" s="269">
        <v>-10552.6</v>
      </c>
      <c r="CB67" s="268">
        <v>0</v>
      </c>
      <c r="CC67" s="269">
        <v>-10762.45</v>
      </c>
      <c r="CD67" s="268"/>
      <c r="CE67" s="269">
        <v>-11371.92</v>
      </c>
      <c r="CF67" s="269">
        <v>-10284.01</v>
      </c>
      <c r="CG67" s="269">
        <v>-9022.67</v>
      </c>
      <c r="CH67" s="269">
        <v>-8084.16</v>
      </c>
      <c r="CI67" s="269">
        <v>-10151.530000000001</v>
      </c>
      <c r="CJ67" s="269">
        <v>-13622.1</v>
      </c>
      <c r="CK67" s="269">
        <v>-14166.13</v>
      </c>
      <c r="CL67" s="269">
        <v>-15073.08</v>
      </c>
      <c r="CM67" s="269">
        <v>-13789.94</v>
      </c>
      <c r="CN67" s="269">
        <v>-14169.68</v>
      </c>
      <c r="CO67" s="269">
        <v>-14324.21</v>
      </c>
      <c r="CP67" s="269">
        <v>-14488.68</v>
      </c>
      <c r="CQ67" s="269">
        <v>-13022.02</v>
      </c>
      <c r="CR67" s="269">
        <v>-13575</v>
      </c>
      <c r="CS67" s="269">
        <v>-13074.14</v>
      </c>
      <c r="CT67" s="269">
        <v>-13327.49</v>
      </c>
      <c r="CU67" s="269">
        <v>-12899.56</v>
      </c>
      <c r="CV67" s="269">
        <v>-12021.07</v>
      </c>
      <c r="CW67" s="269">
        <v>-12671.8</v>
      </c>
      <c r="CX67" s="269">
        <v>-12257</v>
      </c>
      <c r="CY67" s="269">
        <v>-11251.09</v>
      </c>
      <c r="CZ67" s="269">
        <v>-11142.38</v>
      </c>
      <c r="DA67" s="582">
        <v>-13000</v>
      </c>
      <c r="DB67" s="268">
        <v>-13000</v>
      </c>
      <c r="DC67" s="268">
        <v>-13000</v>
      </c>
      <c r="DD67" s="268"/>
      <c r="DE67" s="268">
        <v>-13000</v>
      </c>
      <c r="DF67" s="268">
        <v>-13000</v>
      </c>
      <c r="DG67" s="268">
        <v>-13000</v>
      </c>
      <c r="DH67" s="268">
        <v>-13000</v>
      </c>
      <c r="DI67" s="268"/>
      <c r="DJ67" s="268">
        <v>-13000</v>
      </c>
      <c r="DK67" s="268">
        <v>-13000</v>
      </c>
      <c r="DL67" s="268">
        <v>-13000</v>
      </c>
      <c r="DM67" s="268">
        <v>-13000</v>
      </c>
      <c r="DN67" s="268"/>
      <c r="DO67" s="268">
        <v>-13000</v>
      </c>
      <c r="DP67" s="268">
        <v>-13000</v>
      </c>
      <c r="DQ67" s="268">
        <v>-13000</v>
      </c>
      <c r="DR67" s="268">
        <v>-13000</v>
      </c>
      <c r="DS67" s="268">
        <v>-13000</v>
      </c>
      <c r="DT67" s="268">
        <v>-13000</v>
      </c>
      <c r="DU67" s="268">
        <v>-13000</v>
      </c>
      <c r="DV67" s="268">
        <v>-13000</v>
      </c>
      <c r="DW67" s="268">
        <v>-13000</v>
      </c>
      <c r="DX67" s="268">
        <v>-13000</v>
      </c>
      <c r="DY67" s="268">
        <v>-13000</v>
      </c>
      <c r="DZ67" s="268">
        <v>-13000</v>
      </c>
      <c r="EA67" s="268">
        <v>-13000</v>
      </c>
      <c r="EB67" s="268">
        <v>-13000</v>
      </c>
      <c r="EC67" s="268">
        <v>-13000</v>
      </c>
      <c r="ED67" s="268">
        <v>-13000</v>
      </c>
      <c r="EE67" s="268">
        <v>-13000</v>
      </c>
      <c r="EF67" s="268">
        <v>0</v>
      </c>
      <c r="EG67" s="268">
        <v>0</v>
      </c>
      <c r="EH67" s="268">
        <v>0</v>
      </c>
      <c r="EI67" s="268">
        <v>0</v>
      </c>
      <c r="EJ67" s="268"/>
      <c r="EN67" s="207"/>
    </row>
    <row r="68" spans="1:144" ht="15" outlineLevel="1">
      <c r="A68" s="648"/>
      <c r="B68" s="282" t="s">
        <v>145</v>
      </c>
      <c r="C68" s="211"/>
      <c r="F68" s="268"/>
      <c r="G68" s="269"/>
      <c r="H68" s="269">
        <v>-8409</v>
      </c>
      <c r="I68" s="268" t="s">
        <v>0</v>
      </c>
      <c r="J68" s="268"/>
      <c r="K68" s="268"/>
      <c r="L68" s="269">
        <f>H68</f>
        <v>-8409</v>
      </c>
      <c r="M68" s="268"/>
      <c r="N68" s="268"/>
      <c r="P68" s="269">
        <f>L68</f>
        <v>-8409</v>
      </c>
      <c r="Q68" s="268" t="s">
        <v>0</v>
      </c>
      <c r="R68" s="268" t="s">
        <v>0</v>
      </c>
      <c r="T68" s="269">
        <f>P68</f>
        <v>-8409</v>
      </c>
      <c r="U68" s="268" t="s">
        <v>0</v>
      </c>
      <c r="V68" s="268" t="s">
        <v>0</v>
      </c>
      <c r="W68" s="268" t="s">
        <v>0</v>
      </c>
      <c r="X68" s="268">
        <v>0</v>
      </c>
      <c r="Y68" s="269">
        <f>-3751.61-3799.17</f>
        <v>-7550.7800000000007</v>
      </c>
      <c r="Z68" s="268"/>
      <c r="AA68" s="268"/>
      <c r="AB68" s="269">
        <v>-10733</v>
      </c>
      <c r="AC68" s="268"/>
      <c r="AD68" s="268"/>
      <c r="AE68" s="268"/>
      <c r="AF68" s="269">
        <v>-10733.52</v>
      </c>
      <c r="AG68" s="268"/>
      <c r="AH68" s="268"/>
      <c r="AI68" s="268"/>
      <c r="AJ68" s="269">
        <f>-5319.17-5414.29</f>
        <v>-10733.46</v>
      </c>
      <c r="AK68" s="268"/>
      <c r="AL68" s="268"/>
      <c r="AM68" s="268"/>
      <c r="AN68" s="269">
        <f>-5412.62-5319.18</f>
        <v>-10731.8</v>
      </c>
      <c r="AP68" s="268"/>
      <c r="AQ68" s="268"/>
      <c r="AR68" s="269">
        <f>-5412.44-5319.19</f>
        <v>-10731.63</v>
      </c>
      <c r="AS68" s="268">
        <v>0</v>
      </c>
      <c r="AT68" s="268"/>
      <c r="AU68" s="268"/>
      <c r="AV68" s="269">
        <v>-10731.44</v>
      </c>
      <c r="AW68" s="275" t="s">
        <v>0</v>
      </c>
      <c r="AX68" s="268"/>
      <c r="AY68" s="268"/>
      <c r="AZ68" s="269">
        <v>-10731.14</v>
      </c>
      <c r="BA68" s="268"/>
      <c r="BB68" s="268" t="s">
        <v>0</v>
      </c>
      <c r="BC68" s="268"/>
      <c r="BD68" s="268"/>
      <c r="BE68" s="269">
        <v>-10730.74</v>
      </c>
      <c r="BF68" s="268"/>
      <c r="BI68" s="268"/>
      <c r="BJ68" s="269">
        <v>-10730.23</v>
      </c>
      <c r="BK68" s="268"/>
      <c r="BL68" s="268"/>
      <c r="BM68" s="268"/>
      <c r="BN68" s="268"/>
      <c r="BP68" s="269">
        <v>-10711.16</v>
      </c>
      <c r="BQ68" s="268"/>
      <c r="BR68" s="268"/>
      <c r="BS68" s="268"/>
      <c r="BV68" s="269">
        <v>-10715.32</v>
      </c>
      <c r="BW68" s="268"/>
      <c r="BX68" s="268"/>
      <c r="BY68" s="268"/>
      <c r="BZ68" s="268"/>
      <c r="CB68" s="268"/>
      <c r="CD68" s="268"/>
      <c r="CE68" s="269">
        <v>-10715.22</v>
      </c>
      <c r="CF68" s="268"/>
      <c r="CG68" s="268"/>
      <c r="CH68" s="269">
        <v>-9803.08</v>
      </c>
      <c r="CJ68" s="268"/>
      <c r="CL68" s="269">
        <v>-10897</v>
      </c>
      <c r="CM68" s="268"/>
      <c r="CO68" s="268"/>
      <c r="CQ68" s="269">
        <v>-10897.06</v>
      </c>
      <c r="CS68" s="268"/>
      <c r="CT68" s="269">
        <v>-10897.5</v>
      </c>
      <c r="CW68" s="268"/>
      <c r="CX68" s="269">
        <v>-10897.07</v>
      </c>
      <c r="CY68" s="268"/>
      <c r="CZ68" s="268"/>
      <c r="DA68" s="582"/>
      <c r="DB68" s="268">
        <v>-10733</v>
      </c>
      <c r="DE68" s="268"/>
      <c r="DF68" s="268"/>
      <c r="DG68" s="268">
        <v>-10733</v>
      </c>
      <c r="DH68" s="268"/>
      <c r="DI68" s="268"/>
      <c r="DK68" s="268"/>
      <c r="DL68" s="268">
        <v>-10733</v>
      </c>
      <c r="DM68" s="268"/>
      <c r="DN68" s="268"/>
      <c r="DP68" s="268"/>
      <c r="DQ68" s="268">
        <v>-10733</v>
      </c>
      <c r="DR68" s="268"/>
      <c r="DT68" s="268"/>
      <c r="DU68" s="268">
        <v>-10733</v>
      </c>
      <c r="DV68" s="268"/>
      <c r="DW68" s="268"/>
      <c r="DY68" s="268">
        <v>-10733</v>
      </c>
      <c r="DZ68" s="268"/>
      <c r="EA68" s="268"/>
      <c r="EB68" s="268"/>
      <c r="EC68" s="268">
        <v>-10733</v>
      </c>
      <c r="ED68" s="268"/>
      <c r="EE68" s="268"/>
      <c r="EG68" s="268">
        <v>-10733</v>
      </c>
      <c r="EH68" s="268"/>
      <c r="EJ68" s="268"/>
      <c r="EK68" s="268">
        <v>-10733</v>
      </c>
      <c r="EN68" s="207"/>
    </row>
    <row r="69" spans="1:144" ht="15" outlineLevel="1">
      <c r="A69" s="648"/>
      <c r="B69" s="282" t="s">
        <v>863</v>
      </c>
      <c r="C69" s="211"/>
      <c r="F69" s="268">
        <v>-3125</v>
      </c>
      <c r="G69" s="268">
        <v>-3175</v>
      </c>
      <c r="H69" s="268">
        <v>-3005</v>
      </c>
      <c r="I69" s="268">
        <v>-2325</v>
      </c>
      <c r="J69" s="268">
        <v>-3175</v>
      </c>
      <c r="K69" s="268">
        <v>-3175</v>
      </c>
      <c r="L69" s="268">
        <v>-4583</v>
      </c>
      <c r="M69" s="268">
        <v>-4563</v>
      </c>
      <c r="N69" s="268">
        <v>-3512</v>
      </c>
      <c r="O69" s="268">
        <v>-4350</v>
      </c>
      <c r="P69" s="268">
        <v>-5675</v>
      </c>
      <c r="Q69" s="268">
        <v>-4775</v>
      </c>
      <c r="R69" s="268">
        <v>-5655</v>
      </c>
      <c r="S69" s="268">
        <v>-5055</v>
      </c>
      <c r="T69" s="269">
        <v>-4735</v>
      </c>
      <c r="U69" s="269">
        <v>-5810</v>
      </c>
      <c r="V69" s="269">
        <v>-3740</v>
      </c>
      <c r="W69" s="268">
        <v>0</v>
      </c>
      <c r="X69" s="269">
        <v>-2500</v>
      </c>
      <c r="Y69" s="269">
        <v>-5395</v>
      </c>
      <c r="Z69" s="269">
        <v>-5355</v>
      </c>
      <c r="AA69" s="269">
        <v>-5395</v>
      </c>
      <c r="AB69" s="269">
        <v>-5395</v>
      </c>
      <c r="AC69" s="269">
        <v>-4812.5</v>
      </c>
      <c r="AD69" s="269">
        <v>-5605</v>
      </c>
      <c r="AE69" s="269">
        <v>-5220</v>
      </c>
      <c r="AF69" s="269">
        <v>-4675</v>
      </c>
      <c r="AG69" s="269">
        <v>-4875</v>
      </c>
      <c r="AH69" s="269">
        <v>-5042.5</v>
      </c>
      <c r="AI69" s="269">
        <v>-4180</v>
      </c>
      <c r="AJ69" s="269">
        <v>-5300</v>
      </c>
      <c r="AK69" s="269">
        <v>-2380</v>
      </c>
      <c r="AL69" s="269">
        <v>-1912.5</v>
      </c>
      <c r="AM69" s="269">
        <v>-3175</v>
      </c>
      <c r="AN69" s="269">
        <v>-3005</v>
      </c>
      <c r="AO69" s="269">
        <v>-2325</v>
      </c>
      <c r="AP69" s="269">
        <v>-2580</v>
      </c>
      <c r="AQ69" s="269">
        <v>-3375</v>
      </c>
      <c r="AR69" s="269">
        <v>-3175</v>
      </c>
      <c r="AS69" s="269">
        <v>-2525</v>
      </c>
      <c r="AT69" s="269">
        <v>-1050</v>
      </c>
      <c r="AU69" s="269">
        <v>-1363.5</v>
      </c>
      <c r="AV69" s="269">
        <v>-1363.5</v>
      </c>
      <c r="AW69" s="310">
        <v>-1147.5</v>
      </c>
      <c r="AX69" s="269">
        <v>-1363.5</v>
      </c>
      <c r="AY69" s="269">
        <v>-1363.5</v>
      </c>
      <c r="AZ69" s="269">
        <v>-688.5</v>
      </c>
      <c r="BA69" s="268" t="s">
        <v>0</v>
      </c>
      <c r="BB69" s="268">
        <v>0</v>
      </c>
      <c r="BC69" s="268">
        <v>0</v>
      </c>
      <c r="BD69" s="268"/>
      <c r="BE69" s="269">
        <f>-1092.16-1820-800</f>
        <v>-3712.16</v>
      </c>
      <c r="BF69" s="268">
        <v>0</v>
      </c>
      <c r="BG69" s="269">
        <v>-1193.5899999999999</v>
      </c>
      <c r="BH69" s="268"/>
      <c r="BI69" s="269">
        <f>-1363.5-648</f>
        <v>-2011.5</v>
      </c>
      <c r="BJ69" s="269">
        <v>-2214</v>
      </c>
      <c r="BK69" s="268"/>
      <c r="BL69" s="269">
        <v>-2598.5</v>
      </c>
      <c r="BM69" s="269">
        <v>-2390.5</v>
      </c>
      <c r="BN69" s="268"/>
      <c r="BO69" s="269">
        <v>-2067</v>
      </c>
      <c r="BP69" s="269">
        <v>-1489.05</v>
      </c>
      <c r="BQ69" s="268"/>
      <c r="BR69" s="269">
        <v>-1147.5</v>
      </c>
      <c r="BS69" s="268" t="s">
        <v>0</v>
      </c>
      <c r="BT69" s="269">
        <v>-1134</v>
      </c>
      <c r="BU69" s="268"/>
      <c r="BV69" s="269">
        <v>-1147.5</v>
      </c>
      <c r="BW69" s="268"/>
      <c r="BX69" s="269">
        <v>-1363.5</v>
      </c>
      <c r="BY69" s="268"/>
      <c r="BZ69" s="269">
        <v>-1363.5</v>
      </c>
      <c r="CA69" s="269">
        <v>-1215</v>
      </c>
      <c r="CB69" s="268"/>
      <c r="CC69" s="269">
        <v>-904.5</v>
      </c>
      <c r="CD69" s="268"/>
      <c r="CE69" s="269">
        <v>-1363</v>
      </c>
      <c r="CF69" s="269">
        <v>-1147.5</v>
      </c>
      <c r="CG69" s="268">
        <v>0</v>
      </c>
      <c r="CH69" s="269">
        <v>-445.5</v>
      </c>
      <c r="CI69" s="269">
        <v>-945</v>
      </c>
      <c r="CJ69" s="269">
        <v>-1363.5</v>
      </c>
      <c r="CK69" s="269">
        <v>-1134</v>
      </c>
      <c r="CL69" s="269">
        <v>-1363</v>
      </c>
      <c r="CM69" s="269">
        <v>-1134</v>
      </c>
      <c r="CN69" s="269">
        <v>-1363.5</v>
      </c>
      <c r="CO69" s="269">
        <v>-1404</v>
      </c>
      <c r="CP69" s="269">
        <v>-1363.5</v>
      </c>
      <c r="CQ69" s="269">
        <v>-1363.5</v>
      </c>
      <c r="CR69" s="269">
        <v>-1363.5</v>
      </c>
      <c r="CS69" s="269">
        <v>-1188</v>
      </c>
      <c r="CT69" s="269">
        <v>-1377</v>
      </c>
      <c r="CU69" s="269">
        <v>-1363.5</v>
      </c>
      <c r="CV69" s="269">
        <v>-1363.5</v>
      </c>
      <c r="CW69" s="269">
        <v>-1147.5</v>
      </c>
      <c r="CX69" s="269">
        <v>-1134</v>
      </c>
      <c r="CY69" s="269">
        <v>-1363.5</v>
      </c>
      <c r="CZ69" s="269">
        <v>-1134</v>
      </c>
      <c r="DA69" s="582">
        <v>-1364</v>
      </c>
      <c r="DB69" s="268">
        <v>-1364</v>
      </c>
      <c r="DC69" s="268">
        <v>-1364</v>
      </c>
      <c r="DD69" s="268" t="s">
        <v>0</v>
      </c>
      <c r="DE69" s="268">
        <v>-1364</v>
      </c>
      <c r="DF69" s="268">
        <v>-1364</v>
      </c>
      <c r="DG69" s="268">
        <v>-1364</v>
      </c>
      <c r="DH69" s="268">
        <v>-1364</v>
      </c>
      <c r="DI69" s="268" t="s">
        <v>0</v>
      </c>
      <c r="DJ69" s="268">
        <v>-1364</v>
      </c>
      <c r="DK69" s="268">
        <v>-1364</v>
      </c>
      <c r="DL69" s="268">
        <v>-1364</v>
      </c>
      <c r="DM69" s="268">
        <v>-1364</v>
      </c>
      <c r="DN69" s="268" t="s">
        <v>0</v>
      </c>
      <c r="DO69" s="268">
        <v>-1364</v>
      </c>
      <c r="DP69" s="268">
        <v>-1364</v>
      </c>
      <c r="DQ69" s="268">
        <v>-1364</v>
      </c>
      <c r="DR69" s="268">
        <v>-1364</v>
      </c>
      <c r="DS69" s="268">
        <v>-1364</v>
      </c>
      <c r="DT69" s="268">
        <v>-1364</v>
      </c>
      <c r="DU69" s="268">
        <v>-1364</v>
      </c>
      <c r="DV69" s="268">
        <v>-1364</v>
      </c>
      <c r="DW69" s="268">
        <v>-1364</v>
      </c>
      <c r="DX69" s="268">
        <v>0</v>
      </c>
      <c r="DY69" s="268">
        <v>0</v>
      </c>
      <c r="DZ69" s="268">
        <v>0</v>
      </c>
      <c r="EA69" s="268">
        <v>0</v>
      </c>
      <c r="EB69" s="268">
        <v>0</v>
      </c>
      <c r="EC69" s="268">
        <v>0</v>
      </c>
      <c r="ED69" s="268">
        <v>0</v>
      </c>
      <c r="EE69" s="268">
        <v>0</v>
      </c>
      <c r="EF69" s="268">
        <v>0</v>
      </c>
      <c r="EG69" s="268"/>
      <c r="EH69" s="268"/>
      <c r="EI69" s="268">
        <v>0</v>
      </c>
      <c r="EJ69" s="268"/>
      <c r="EN69" s="207"/>
    </row>
    <row r="70" spans="1:144" ht="21.5" customHeight="1" outlineLevel="1">
      <c r="A70" s="648" t="s">
        <v>958</v>
      </c>
      <c r="B70" s="282" t="s">
        <v>901</v>
      </c>
      <c r="C70" s="211">
        <f>520000+80000</f>
        <v>600000</v>
      </c>
      <c r="F70" s="268">
        <v>0</v>
      </c>
      <c r="G70" s="268">
        <v>-24491</v>
      </c>
      <c r="H70" s="268">
        <v>0</v>
      </c>
      <c r="I70" s="268">
        <v>-23986</v>
      </c>
      <c r="J70" s="268">
        <v>0</v>
      </c>
      <c r="K70" s="268">
        <v>-25055</v>
      </c>
      <c r="L70" s="268">
        <v>0</v>
      </c>
      <c r="M70" s="268">
        <v>-31313</v>
      </c>
      <c r="N70" s="268">
        <v>0</v>
      </c>
      <c r="O70" s="268">
        <v>-43310</v>
      </c>
      <c r="P70" s="268" t="s">
        <v>0</v>
      </c>
      <c r="Q70" s="268">
        <v>-49032</v>
      </c>
      <c r="R70" s="268">
        <v>-3120</v>
      </c>
      <c r="S70" s="268">
        <f>-43930-10941</f>
        <v>-54871</v>
      </c>
      <c r="T70" s="269">
        <v>-7888.8</v>
      </c>
      <c r="U70" s="269">
        <v>-48520</v>
      </c>
      <c r="V70" s="268" t="s">
        <v>0</v>
      </c>
      <c r="W70" s="269">
        <v>-15366.4</v>
      </c>
      <c r="X70" s="268">
        <v>0</v>
      </c>
      <c r="Y70" s="269">
        <f>-8520-3562.6</f>
        <v>-12082.6</v>
      </c>
      <c r="Z70" s="269">
        <f>-5301.6-15580</f>
        <v>-20881.599999999999</v>
      </c>
      <c r="AA70" s="269">
        <f>-41320-10622</f>
        <v>-51942</v>
      </c>
      <c r="AB70" s="268">
        <v>0</v>
      </c>
      <c r="AC70" s="269">
        <v>-55538</v>
      </c>
      <c r="AE70" s="269">
        <v>-61095</v>
      </c>
      <c r="AF70" s="268" t="s">
        <v>0</v>
      </c>
      <c r="AG70" s="269">
        <v>-60243</v>
      </c>
      <c r="AH70" s="268"/>
      <c r="AI70" s="269">
        <f>-38160-10485.6</f>
        <v>-48645.599999999999</v>
      </c>
      <c r="AJ70" s="268" t="s">
        <v>0</v>
      </c>
      <c r="AK70" s="269">
        <v>-44626.8</v>
      </c>
      <c r="AL70" s="268"/>
      <c r="AM70" s="269">
        <v>-51386.400000000001</v>
      </c>
      <c r="AN70" s="268"/>
      <c r="AO70" s="269">
        <v>-50311.199999999997</v>
      </c>
      <c r="AP70" s="268"/>
      <c r="AQ70" s="269">
        <v>-47378.2</v>
      </c>
      <c r="AR70" s="268"/>
      <c r="AS70" s="269">
        <v>-50461.4</v>
      </c>
      <c r="AT70" s="268"/>
      <c r="AU70" s="269">
        <f>-43080-3851.4</f>
        <v>-46931.4</v>
      </c>
      <c r="AV70" s="268" t="s">
        <v>0</v>
      </c>
      <c r="AW70" s="310">
        <v>-50520</v>
      </c>
      <c r="AX70" s="268"/>
      <c r="AY70" s="269">
        <v>-52281.8</v>
      </c>
      <c r="AZ70" s="268"/>
      <c r="BA70" s="269">
        <v>-50878.400000000001</v>
      </c>
      <c r="BB70" s="268" t="s">
        <v>0</v>
      </c>
      <c r="BC70" s="269">
        <v>-46635</v>
      </c>
      <c r="BD70" s="268"/>
      <c r="BE70" s="268"/>
      <c r="BF70" s="269">
        <f>-39080-5840.8</f>
        <v>-44920.800000000003</v>
      </c>
      <c r="BI70" s="269">
        <v>-40700.800000000003</v>
      </c>
      <c r="BJ70" s="268"/>
      <c r="BK70" s="268"/>
      <c r="BL70" s="269">
        <v>-50287.199999999997</v>
      </c>
      <c r="BM70" s="268"/>
      <c r="BN70" s="268"/>
      <c r="BO70" s="269">
        <v>-53412</v>
      </c>
      <c r="BP70" s="268"/>
      <c r="BQ70" s="268"/>
      <c r="BR70" s="269">
        <v>-50494.400000000001</v>
      </c>
      <c r="BS70" s="268"/>
      <c r="BT70" s="269">
        <f>-45683.2</f>
        <v>-45683.199999999997</v>
      </c>
      <c r="BU70" s="268"/>
      <c r="BX70" s="269">
        <v>-38537.199999999997</v>
      </c>
      <c r="BY70" s="268"/>
      <c r="CA70" s="269">
        <v>-30198</v>
      </c>
      <c r="CE70" s="269">
        <f>-21920-8660.75</f>
        <v>-30580.75</v>
      </c>
      <c r="CF70" s="268"/>
      <c r="CH70" s="269">
        <f>-9320-4128.25</f>
        <v>-13448.25</v>
      </c>
      <c r="CI70" s="269">
        <v>-4330</v>
      </c>
      <c r="CK70" s="269">
        <v>-8990</v>
      </c>
      <c r="CL70" s="560"/>
      <c r="CM70" s="269">
        <v>-22980</v>
      </c>
      <c r="CN70" s="268" t="s">
        <v>0</v>
      </c>
      <c r="CO70" s="269">
        <v>-32739</v>
      </c>
      <c r="CP70" s="268" t="s">
        <v>0</v>
      </c>
      <c r="CQ70" s="269">
        <v>-38400</v>
      </c>
      <c r="CR70" s="268" t="s">
        <v>0</v>
      </c>
      <c r="CS70" s="269">
        <v>-38604.800000000003</v>
      </c>
      <c r="CU70" s="269">
        <f>-12000-40000</f>
        <v>-52000</v>
      </c>
      <c r="CV70" s="268" t="s">
        <v>0</v>
      </c>
      <c r="CW70" s="269">
        <v>-40000</v>
      </c>
      <c r="CX70" s="268" t="s">
        <v>0</v>
      </c>
      <c r="CY70" s="269">
        <f>-10000-40400</f>
        <v>-50400</v>
      </c>
      <c r="CZ70" s="268"/>
      <c r="DA70" s="582">
        <v>-40000</v>
      </c>
      <c r="DB70" s="268" t="s">
        <v>0</v>
      </c>
      <c r="DD70" s="268">
        <v>-40000</v>
      </c>
      <c r="DE70" s="268"/>
      <c r="DF70" s="268">
        <v>-40000</v>
      </c>
      <c r="DG70" s="268"/>
      <c r="DI70" s="268">
        <v>-40000</v>
      </c>
      <c r="DJ70" s="268" t="s">
        <v>0</v>
      </c>
      <c r="DK70" s="268">
        <v>-25000</v>
      </c>
      <c r="DL70" s="268"/>
      <c r="DM70" s="268">
        <v>-25000</v>
      </c>
      <c r="DN70" s="268"/>
      <c r="DO70" s="268" t="s">
        <v>0</v>
      </c>
      <c r="DP70" s="268" t="s">
        <v>0</v>
      </c>
      <c r="DQ70" s="268"/>
      <c r="DR70" s="268" t="s">
        <v>0</v>
      </c>
      <c r="DS70" s="268" t="s">
        <v>0</v>
      </c>
      <c r="DT70" s="268">
        <v>0</v>
      </c>
      <c r="DU70" s="268"/>
      <c r="DV70" s="268">
        <v>0</v>
      </c>
      <c r="DW70" s="268"/>
      <c r="DX70" s="268">
        <v>0</v>
      </c>
      <c r="DY70" s="268"/>
      <c r="DZ70" s="268">
        <v>0</v>
      </c>
      <c r="EA70" s="268"/>
      <c r="EB70" s="268">
        <v>0</v>
      </c>
      <c r="EC70" s="268"/>
      <c r="ED70" s="268">
        <v>0</v>
      </c>
      <c r="EE70" s="268"/>
      <c r="EF70" s="268">
        <v>0</v>
      </c>
      <c r="EG70" s="268"/>
      <c r="EH70" s="268"/>
      <c r="EI70" s="268">
        <v>0</v>
      </c>
      <c r="EJ70" s="268"/>
      <c r="EN70" s="207"/>
    </row>
    <row r="71" spans="1:144" ht="15" outlineLevel="1">
      <c r="A71" s="648" t="s">
        <v>958</v>
      </c>
      <c r="B71" s="282" t="s">
        <v>1040</v>
      </c>
      <c r="C71" s="211"/>
      <c r="F71" s="268"/>
      <c r="G71" s="268"/>
      <c r="H71" s="268"/>
      <c r="I71" s="268"/>
      <c r="J71" s="268"/>
      <c r="K71" s="268"/>
      <c r="L71" s="268"/>
      <c r="M71" s="268"/>
      <c r="N71" s="268"/>
      <c r="O71" s="268"/>
      <c r="P71" s="268"/>
      <c r="Q71" s="268"/>
      <c r="R71" s="268"/>
      <c r="S71" s="268"/>
      <c r="T71" s="268"/>
      <c r="U71" s="268"/>
      <c r="V71" s="268"/>
      <c r="W71" s="268"/>
      <c r="X71" s="268"/>
      <c r="Y71" s="268"/>
      <c r="Z71" s="268"/>
      <c r="AA71" s="268"/>
      <c r="AB71" s="268"/>
      <c r="AC71" s="268"/>
      <c r="AE71" s="268"/>
      <c r="AF71" s="268"/>
      <c r="AG71" s="268"/>
      <c r="AH71" s="268"/>
      <c r="AI71" s="268"/>
      <c r="AJ71" s="268"/>
      <c r="AK71" s="268"/>
      <c r="AL71" s="268"/>
      <c r="AM71" s="268"/>
      <c r="AN71" s="268"/>
      <c r="AO71" s="268"/>
      <c r="AP71" s="268"/>
      <c r="AQ71" s="268"/>
      <c r="AR71" s="268"/>
      <c r="AS71" s="268"/>
      <c r="AT71" s="268"/>
      <c r="AU71" s="268"/>
      <c r="AV71" s="562" t="s">
        <v>716</v>
      </c>
      <c r="AW71" s="275"/>
      <c r="AX71" s="268">
        <v>-20000</v>
      </c>
      <c r="AY71" s="268"/>
      <c r="AZ71" s="268">
        <v>-8500</v>
      </c>
      <c r="BA71" s="268"/>
      <c r="BC71" s="268">
        <v>-17000</v>
      </c>
      <c r="BD71" s="268"/>
      <c r="BE71" s="268" t="s">
        <v>0</v>
      </c>
      <c r="BF71" s="268">
        <v>-30000</v>
      </c>
      <c r="BG71" s="268" t="s">
        <v>0</v>
      </c>
      <c r="BH71" s="268" t="s">
        <v>0</v>
      </c>
      <c r="BJ71" s="268" t="s">
        <v>0</v>
      </c>
      <c r="BL71" s="268" t="s">
        <v>0</v>
      </c>
      <c r="BM71" s="268">
        <v>-27000</v>
      </c>
      <c r="BN71" s="268"/>
      <c r="BP71" s="268">
        <v>-15000</v>
      </c>
      <c r="BQ71" s="268"/>
      <c r="BR71" s="268">
        <v>-15000</v>
      </c>
      <c r="BS71" s="268"/>
      <c r="BU71" s="268"/>
      <c r="BV71" s="269">
        <v>-27500</v>
      </c>
      <c r="CD71" s="268"/>
      <c r="CE71" s="269">
        <v>-15000</v>
      </c>
      <c r="CJ71" s="269">
        <v>-12500</v>
      </c>
      <c r="CO71" s="268" t="s">
        <v>0</v>
      </c>
      <c r="CT71" s="618" t="s">
        <v>956</v>
      </c>
      <c r="CV71" s="268" t="s">
        <v>0</v>
      </c>
      <c r="CY71" s="269">
        <v>-20000</v>
      </c>
      <c r="CZ71" s="268" t="s">
        <v>0</v>
      </c>
      <c r="DA71" s="582">
        <f>-10000-30000</f>
        <v>-40000</v>
      </c>
      <c r="DD71" s="268">
        <v>-30000</v>
      </c>
      <c r="DF71" s="268">
        <v>-30000</v>
      </c>
      <c r="DI71" s="268">
        <v>-30000</v>
      </c>
      <c r="DK71" s="268">
        <v>-30000</v>
      </c>
      <c r="DM71" s="268">
        <v>-30000</v>
      </c>
      <c r="DN71" s="268"/>
      <c r="DP71" s="268">
        <v>-30000</v>
      </c>
      <c r="DR71" s="268">
        <v>-30000</v>
      </c>
      <c r="DT71" s="268">
        <v>-30000</v>
      </c>
      <c r="DU71" s="268" t="s">
        <v>0</v>
      </c>
      <c r="DV71" s="268">
        <v>-30000</v>
      </c>
      <c r="DW71" s="268" t="s">
        <v>0</v>
      </c>
      <c r="DY71" s="268"/>
      <c r="DZ71" s="268"/>
      <c r="EA71" s="268" t="s">
        <v>0</v>
      </c>
      <c r="EB71" s="268"/>
      <c r="EC71" s="268"/>
      <c r="ED71" s="268"/>
      <c r="EE71" s="268"/>
      <c r="EN71" s="207"/>
    </row>
    <row r="72" spans="1:144" ht="24" customHeight="1" outlineLevel="1">
      <c r="A72" s="648" t="s">
        <v>958</v>
      </c>
      <c r="B72" s="282" t="s">
        <v>969</v>
      </c>
      <c r="C72" s="211"/>
      <c r="F72" s="268"/>
      <c r="G72" s="268"/>
      <c r="H72" s="268"/>
      <c r="I72" s="268"/>
      <c r="J72" s="268"/>
      <c r="K72" s="268"/>
      <c r="L72" s="268"/>
      <c r="M72" s="268"/>
      <c r="N72" s="268"/>
      <c r="O72" s="268"/>
      <c r="P72" s="268"/>
      <c r="Q72" s="268"/>
      <c r="R72" s="268"/>
      <c r="S72" s="268"/>
      <c r="T72" s="269"/>
      <c r="U72" s="269"/>
      <c r="V72" s="268"/>
      <c r="W72" s="269"/>
      <c r="X72" s="268"/>
      <c r="Y72" s="269"/>
      <c r="Z72" s="269"/>
      <c r="AA72" s="269"/>
      <c r="AB72" s="268"/>
      <c r="AC72" s="269"/>
      <c r="AE72" s="269"/>
      <c r="AF72" s="268"/>
      <c r="AG72" s="269"/>
      <c r="AH72" s="268"/>
      <c r="AI72" s="269"/>
      <c r="AJ72" s="268"/>
      <c r="AK72" s="269"/>
      <c r="AL72" s="268"/>
      <c r="AM72" s="269"/>
      <c r="AN72" s="268"/>
      <c r="AO72" s="269"/>
      <c r="AP72" s="268"/>
      <c r="AQ72" s="269"/>
      <c r="AR72" s="268"/>
      <c r="AS72" s="269"/>
      <c r="AT72" s="268"/>
      <c r="AU72" s="269"/>
      <c r="AV72" s="268"/>
      <c r="AW72" s="310"/>
      <c r="AX72" s="268"/>
      <c r="AY72" s="269"/>
      <c r="AZ72" s="268"/>
      <c r="BA72" s="269"/>
      <c r="BB72" s="268"/>
      <c r="BC72" s="269"/>
      <c r="BD72" s="268"/>
      <c r="BE72" s="268"/>
      <c r="BF72" s="269"/>
      <c r="BI72" s="269"/>
      <c r="BJ72" s="268"/>
      <c r="BK72" s="268"/>
      <c r="BL72" s="269"/>
      <c r="BM72" s="268"/>
      <c r="BN72" s="268"/>
      <c r="BO72" s="269"/>
      <c r="BP72" s="268"/>
      <c r="BQ72" s="268"/>
      <c r="BR72" s="269"/>
      <c r="BS72" s="268"/>
      <c r="BT72" s="269"/>
      <c r="BU72" s="268"/>
      <c r="BX72" s="269"/>
      <c r="BY72" s="268"/>
      <c r="CA72" s="269"/>
      <c r="CE72" s="269"/>
      <c r="CF72" s="268"/>
      <c r="CH72" s="269"/>
      <c r="CI72" s="269"/>
      <c r="CK72" s="269"/>
      <c r="CL72" s="560"/>
      <c r="CM72" s="268"/>
      <c r="CN72" s="268"/>
      <c r="CO72" s="706" t="s">
        <v>716</v>
      </c>
      <c r="CP72" s="268"/>
      <c r="CQ72" s="268"/>
      <c r="CS72" s="268" t="s">
        <v>0</v>
      </c>
      <c r="CU72" s="269">
        <f>-8000-8000</f>
        <v>-16000</v>
      </c>
      <c r="CV72" s="269">
        <f>-8000-8000</f>
        <v>-16000</v>
      </c>
      <c r="CW72" s="268"/>
      <c r="CX72" s="269">
        <v>-8000</v>
      </c>
      <c r="CY72" s="268"/>
      <c r="DA72" s="582"/>
      <c r="DB72" s="268">
        <v>0</v>
      </c>
      <c r="DC72" s="268"/>
      <c r="DD72" s="268"/>
      <c r="DE72" s="268">
        <v>0</v>
      </c>
      <c r="DF72" s="268"/>
      <c r="DG72" s="268">
        <v>0</v>
      </c>
      <c r="DH72" s="268"/>
      <c r="DI72" s="268"/>
      <c r="DJ72" s="268">
        <v>0</v>
      </c>
      <c r="DK72" s="268"/>
      <c r="DL72" s="268">
        <v>0</v>
      </c>
      <c r="DM72" s="268"/>
      <c r="DN72" s="268"/>
      <c r="DO72" s="268">
        <v>0</v>
      </c>
      <c r="DP72" s="268"/>
      <c r="DQ72" s="268">
        <v>0</v>
      </c>
      <c r="DR72" s="268"/>
      <c r="DS72" s="268">
        <v>0</v>
      </c>
      <c r="DT72" s="268"/>
      <c r="DU72" s="268"/>
      <c r="DV72" s="268"/>
      <c r="DW72" s="268"/>
      <c r="DX72" s="268"/>
      <c r="DY72" s="268"/>
      <c r="DZ72" s="268"/>
      <c r="EA72" s="268"/>
      <c r="EB72" s="268"/>
      <c r="EC72" s="268"/>
      <c r="ED72" s="268"/>
      <c r="EE72" s="268"/>
      <c r="EF72" s="268"/>
      <c r="EG72" s="268"/>
      <c r="EH72" s="268"/>
      <c r="EI72" s="268"/>
      <c r="EJ72" s="268"/>
      <c r="EN72" s="207"/>
    </row>
    <row r="73" spans="1:144" ht="18" customHeight="1" outlineLevel="1">
      <c r="A73" s="648" t="s">
        <v>958</v>
      </c>
      <c r="B73" s="282" t="s">
        <v>902</v>
      </c>
      <c r="C73" s="211"/>
      <c r="F73" s="268"/>
      <c r="G73" s="268"/>
      <c r="H73" s="268"/>
      <c r="I73" s="268"/>
      <c r="J73" s="268"/>
      <c r="K73" s="268"/>
      <c r="L73" s="268"/>
      <c r="M73" s="268"/>
      <c r="N73" s="268"/>
      <c r="O73" s="268"/>
      <c r="P73" s="268"/>
      <c r="Q73" s="268"/>
      <c r="R73" s="268"/>
      <c r="S73" s="268"/>
      <c r="T73" s="269"/>
      <c r="U73" s="269"/>
      <c r="V73" s="268"/>
      <c r="W73" s="269"/>
      <c r="X73" s="268"/>
      <c r="Y73" s="269"/>
      <c r="Z73" s="269"/>
      <c r="AA73" s="269"/>
      <c r="AB73" s="268"/>
      <c r="AC73" s="269"/>
      <c r="AE73" s="269"/>
      <c r="AF73" s="268"/>
      <c r="AG73" s="269"/>
      <c r="AH73" s="268"/>
      <c r="AI73" s="269"/>
      <c r="AJ73" s="268"/>
      <c r="AK73" s="269"/>
      <c r="AL73" s="268"/>
      <c r="AM73" s="269"/>
      <c r="AN73" s="268"/>
      <c r="AO73" s="269"/>
      <c r="AP73" s="268"/>
      <c r="AQ73" s="269"/>
      <c r="AR73" s="268"/>
      <c r="AS73" s="269"/>
      <c r="AT73" s="268"/>
      <c r="AU73" s="269"/>
      <c r="AV73" s="268"/>
      <c r="AW73" s="310"/>
      <c r="AX73" s="268"/>
      <c r="AY73" s="269"/>
      <c r="AZ73" s="268"/>
      <c r="BA73" s="269"/>
      <c r="BB73" s="268"/>
      <c r="BC73" s="269"/>
      <c r="BD73" s="268"/>
      <c r="BE73" s="268"/>
      <c r="BF73" s="269"/>
      <c r="BI73" s="269"/>
      <c r="BJ73" s="268"/>
      <c r="BK73" s="268"/>
      <c r="BL73" s="269"/>
      <c r="BM73" s="268"/>
      <c r="BN73" s="268"/>
      <c r="BO73" s="269"/>
      <c r="BP73" s="268"/>
      <c r="BQ73" s="268"/>
      <c r="BR73" s="269"/>
      <c r="BS73" s="268"/>
      <c r="BT73" s="269"/>
      <c r="BU73" s="268"/>
      <c r="BX73" s="269"/>
      <c r="BY73" s="268"/>
      <c r="CA73" s="269"/>
      <c r="CE73" s="268"/>
      <c r="CF73" s="268"/>
      <c r="CH73" s="268"/>
      <c r="CJ73" s="269">
        <v>-6186.25</v>
      </c>
      <c r="CL73" s="269">
        <v>-6798</v>
      </c>
      <c r="CN73" s="269">
        <v>-6198.5</v>
      </c>
      <c r="CP73" s="269">
        <v>-4718.7</v>
      </c>
      <c r="CR73" s="269">
        <v>-5860.04</v>
      </c>
      <c r="CT73" s="269">
        <v>-6321</v>
      </c>
      <c r="CU73" s="268"/>
      <c r="CV73" s="269">
        <v>-7565.6</v>
      </c>
      <c r="CW73" s="268"/>
      <c r="CX73" s="269">
        <v>-7310.8</v>
      </c>
      <c r="CY73" s="268"/>
      <c r="CZ73" s="269">
        <v>-9224.25</v>
      </c>
      <c r="DA73" s="582"/>
      <c r="DB73" s="268">
        <v>-8000</v>
      </c>
      <c r="DC73" s="268"/>
      <c r="DD73" s="268"/>
      <c r="DE73" s="268">
        <v>-8000</v>
      </c>
      <c r="DF73" s="268"/>
      <c r="DG73" s="268">
        <v>-8000</v>
      </c>
      <c r="DH73" s="268"/>
      <c r="DI73" s="268"/>
      <c r="DJ73" s="268">
        <v>-8000</v>
      </c>
      <c r="DK73" s="268"/>
      <c r="DL73" s="268">
        <v>-8000</v>
      </c>
      <c r="DM73" s="268"/>
      <c r="DN73" s="268"/>
      <c r="DO73" s="268"/>
      <c r="DP73" s="268"/>
      <c r="DQ73" s="268"/>
      <c r="DR73" s="268"/>
      <c r="DS73" s="268"/>
      <c r="DT73" s="268"/>
      <c r="DU73" s="268"/>
      <c r="DV73" s="268"/>
      <c r="DW73" s="268"/>
      <c r="DX73" s="268"/>
      <c r="DY73" s="268"/>
      <c r="DZ73" s="268"/>
      <c r="EA73" s="268"/>
      <c r="EB73" s="268"/>
      <c r="EC73" s="268"/>
      <c r="ED73" s="268"/>
      <c r="EE73" s="268"/>
      <c r="EF73" s="268"/>
      <c r="EG73" s="268"/>
      <c r="EH73" s="268"/>
      <c r="EI73" s="268"/>
      <c r="EJ73" s="268"/>
      <c r="EN73" s="207"/>
    </row>
    <row r="74" spans="1:144" ht="15">
      <c r="A74" s="648" t="s">
        <v>458</v>
      </c>
      <c r="B74" s="282" t="s">
        <v>1047</v>
      </c>
      <c r="C74" s="268" t="s">
        <v>0</v>
      </c>
      <c r="D74" s="211" t="s">
        <v>0</v>
      </c>
      <c r="DA74" s="725" t="s">
        <v>1046</v>
      </c>
      <c r="DE74" s="275" t="s">
        <v>0</v>
      </c>
      <c r="DF74" s="275" t="s">
        <v>0</v>
      </c>
      <c r="DH74" s="275">
        <v>-10663</v>
      </c>
      <c r="DK74" s="275">
        <v>-10663</v>
      </c>
      <c r="DM74" s="275">
        <v>-10663</v>
      </c>
      <c r="DO74" s="275" t="s">
        <v>0</v>
      </c>
      <c r="DP74" s="275">
        <f>-7108-5331</f>
        <v>-12439</v>
      </c>
      <c r="DR74" s="275">
        <v>-6000</v>
      </c>
      <c r="DT74" s="275">
        <v>-6000</v>
      </c>
      <c r="DV74" s="275">
        <v>-6000</v>
      </c>
      <c r="DX74" s="275" t="s">
        <v>0</v>
      </c>
      <c r="DZ74" s="275" t="s">
        <v>0</v>
      </c>
      <c r="EB74" s="275" t="s">
        <v>0</v>
      </c>
      <c r="ED74" s="275" t="s">
        <v>0</v>
      </c>
      <c r="EF74" s="275" t="s">
        <v>0</v>
      </c>
      <c r="EH74" s="275" t="s">
        <v>0</v>
      </c>
      <c r="EN74" s="207"/>
    </row>
    <row r="75" spans="1:144" ht="18" customHeight="1" outlineLevel="1">
      <c r="A75" s="648"/>
      <c r="B75" s="282" t="s">
        <v>976</v>
      </c>
      <c r="C75" s="211"/>
      <c r="F75" s="268"/>
      <c r="G75" s="268"/>
      <c r="H75" s="268"/>
      <c r="I75" s="268"/>
      <c r="J75" s="268"/>
      <c r="K75" s="268"/>
      <c r="L75" s="268"/>
      <c r="M75" s="268"/>
      <c r="N75" s="268"/>
      <c r="O75" s="268"/>
      <c r="P75" s="268"/>
      <c r="Q75" s="268"/>
      <c r="R75" s="268"/>
      <c r="S75" s="268"/>
      <c r="T75" s="269"/>
      <c r="U75" s="269"/>
      <c r="V75" s="268"/>
      <c r="W75" s="269"/>
      <c r="X75" s="268"/>
      <c r="Y75" s="269"/>
      <c r="Z75" s="269"/>
      <c r="AA75" s="269"/>
      <c r="AB75" s="268"/>
      <c r="AC75" s="269"/>
      <c r="AE75" s="269"/>
      <c r="AF75" s="268"/>
      <c r="AG75" s="269"/>
      <c r="AH75" s="268"/>
      <c r="AI75" s="269"/>
      <c r="AJ75" s="268"/>
      <c r="AK75" s="269"/>
      <c r="AL75" s="268"/>
      <c r="AM75" s="269"/>
      <c r="AN75" s="268"/>
      <c r="AO75" s="269"/>
      <c r="AP75" s="268"/>
      <c r="AQ75" s="269"/>
      <c r="AR75" s="268"/>
      <c r="AS75" s="269"/>
      <c r="AT75" s="268"/>
      <c r="AU75" s="269"/>
      <c r="AV75" s="268"/>
      <c r="AW75" s="310"/>
      <c r="AX75" s="268"/>
      <c r="AY75" s="269"/>
      <c r="AZ75" s="268"/>
      <c r="BA75" s="269"/>
      <c r="BB75" s="268"/>
      <c r="BC75" s="269"/>
      <c r="BD75" s="268"/>
      <c r="BE75" s="268"/>
      <c r="BF75" s="269"/>
      <c r="BI75" s="269"/>
      <c r="BJ75" s="268"/>
      <c r="BK75" s="268"/>
      <c r="BL75" s="269"/>
      <c r="BM75" s="268"/>
      <c r="BN75" s="268"/>
      <c r="BO75" s="269"/>
      <c r="BP75" s="268"/>
      <c r="BQ75" s="268"/>
      <c r="BR75" s="269"/>
      <c r="BS75" s="268"/>
      <c r="BT75" s="269"/>
      <c r="BU75" s="268"/>
      <c r="BX75" s="269"/>
      <c r="BY75" s="268"/>
      <c r="CA75" s="269"/>
      <c r="CE75" s="268"/>
      <c r="CF75" s="268"/>
      <c r="CH75" s="268"/>
      <c r="CJ75" s="269"/>
      <c r="CL75" s="269"/>
      <c r="CN75" s="269"/>
      <c r="CP75" s="269"/>
      <c r="CR75" s="269"/>
      <c r="CT75" s="269"/>
      <c r="CU75" s="268"/>
      <c r="CV75" s="269">
        <v>-3900</v>
      </c>
      <c r="CW75" s="268"/>
      <c r="CX75" s="268"/>
      <c r="CY75" s="268"/>
      <c r="CZ75" s="268"/>
      <c r="DA75" s="582"/>
      <c r="DB75" s="268"/>
      <c r="DC75" s="268"/>
      <c r="DD75" s="268"/>
      <c r="DE75" s="268"/>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68"/>
      <c r="EB75" s="268"/>
      <c r="EC75" s="268"/>
      <c r="ED75" s="268"/>
      <c r="EE75" s="268"/>
      <c r="EF75" s="268"/>
      <c r="EG75" s="268"/>
      <c r="EH75" s="268"/>
      <c r="EI75" s="268"/>
      <c r="EJ75" s="268"/>
      <c r="EN75" s="207"/>
    </row>
    <row r="76" spans="1:144" ht="15" outlineLevel="1">
      <c r="A76" s="648"/>
      <c r="B76" s="282" t="s">
        <v>865</v>
      </c>
      <c r="C76" s="211"/>
      <c r="F76" s="268"/>
      <c r="G76" s="268"/>
      <c r="H76" s="268"/>
      <c r="I76" s="268"/>
      <c r="J76" s="268"/>
      <c r="K76" s="268"/>
      <c r="L76" s="268"/>
      <c r="M76" s="268"/>
      <c r="N76" s="268"/>
      <c r="O76" s="268"/>
      <c r="P76" s="268"/>
      <c r="Q76" s="268"/>
      <c r="R76" s="268"/>
      <c r="S76" s="268"/>
      <c r="T76" s="269"/>
      <c r="U76" s="269"/>
      <c r="V76" s="268"/>
      <c r="W76" s="269"/>
      <c r="X76" s="268"/>
      <c r="Y76" s="269"/>
      <c r="Z76" s="269"/>
      <c r="AA76" s="269"/>
      <c r="AB76" s="268"/>
      <c r="AC76" s="269"/>
      <c r="AE76" s="269"/>
      <c r="AF76" s="268"/>
      <c r="AG76" s="269"/>
      <c r="AH76" s="268"/>
      <c r="AI76" s="269"/>
      <c r="AJ76" s="268"/>
      <c r="AK76" s="269"/>
      <c r="AL76" s="268"/>
      <c r="AM76" s="269"/>
      <c r="AN76" s="268"/>
      <c r="AO76" s="269"/>
      <c r="AP76" s="268"/>
      <c r="AQ76" s="269"/>
      <c r="AR76" s="268"/>
      <c r="AS76" s="269"/>
      <c r="AT76" s="268"/>
      <c r="AU76" s="269"/>
      <c r="AV76" s="268"/>
      <c r="AW76" s="310"/>
      <c r="AX76" s="268"/>
      <c r="AY76" s="269"/>
      <c r="AZ76" s="268"/>
      <c r="BA76" s="269"/>
      <c r="BB76" s="268"/>
      <c r="BC76" s="269"/>
      <c r="BD76" s="268"/>
      <c r="BE76" s="268"/>
      <c r="BF76" s="269"/>
      <c r="BI76" s="269"/>
      <c r="BJ76" s="268"/>
      <c r="BK76" s="268"/>
      <c r="BL76" s="269"/>
      <c r="BM76" s="268"/>
      <c r="BN76" s="268"/>
      <c r="BO76" s="269"/>
      <c r="BP76" s="268"/>
      <c r="BQ76" s="268"/>
      <c r="BR76" s="269"/>
      <c r="BS76" s="268"/>
      <c r="BT76" s="269"/>
      <c r="BU76" s="268"/>
      <c r="BX76" s="269"/>
      <c r="BY76" s="268"/>
      <c r="CA76" s="268"/>
      <c r="CE76" s="268"/>
      <c r="CF76" s="268"/>
      <c r="CH76" s="618" t="s">
        <v>716</v>
      </c>
      <c r="CO76" s="268" t="s">
        <v>0</v>
      </c>
      <c r="CQ76" s="268" t="s">
        <v>0</v>
      </c>
      <c r="CS76" s="268" t="s">
        <v>0</v>
      </c>
      <c r="CU76" s="268" t="s">
        <v>0</v>
      </c>
      <c r="CW76" s="268"/>
      <c r="CX76" s="268"/>
      <c r="CY76" s="268"/>
      <c r="CZ76" s="268"/>
      <c r="DA76" s="582"/>
      <c r="DB76" s="268"/>
      <c r="DC76" s="268"/>
      <c r="DD76" s="268"/>
      <c r="DE76" s="268"/>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8"/>
      <c r="EB76" s="268"/>
      <c r="EC76" s="268"/>
      <c r="ED76" s="268"/>
      <c r="EE76" s="268"/>
      <c r="EF76" s="268"/>
      <c r="EG76" s="268"/>
      <c r="EH76" s="268"/>
      <c r="EI76" s="268"/>
      <c r="EJ76" s="268"/>
      <c r="EN76" s="207"/>
    </row>
    <row r="77" spans="1:144" ht="30" outlineLevel="1">
      <c r="A77" s="648"/>
      <c r="B77" s="282" t="s">
        <v>717</v>
      </c>
      <c r="C77" s="211"/>
      <c r="F77" s="268"/>
      <c r="G77" s="268"/>
      <c r="H77" s="268"/>
      <c r="I77" s="268"/>
      <c r="J77" s="268"/>
      <c r="K77" s="268"/>
      <c r="L77" s="268"/>
      <c r="M77" s="268"/>
      <c r="N77" s="268"/>
      <c r="O77" s="268"/>
      <c r="P77" s="268"/>
      <c r="Q77" s="268"/>
      <c r="R77" s="268"/>
      <c r="S77" s="268"/>
      <c r="T77" s="268"/>
      <c r="U77" s="268"/>
      <c r="V77" s="268"/>
      <c r="W77" s="268"/>
      <c r="X77" s="268"/>
      <c r="Y77" s="268"/>
      <c r="Z77" s="268"/>
      <c r="AA77" s="268"/>
      <c r="AB77" s="268"/>
      <c r="AC77" s="268"/>
      <c r="AE77" s="268"/>
      <c r="AF77" s="268"/>
      <c r="AG77" s="268"/>
      <c r="AH77" s="268"/>
      <c r="AI77" s="268"/>
      <c r="AJ77" s="268"/>
      <c r="AK77" s="268"/>
      <c r="AL77" s="268"/>
      <c r="AM77" s="268"/>
      <c r="AN77" s="268"/>
      <c r="AO77" s="268"/>
      <c r="AP77" s="268"/>
      <c r="AQ77" s="268"/>
      <c r="AR77" s="268"/>
      <c r="AS77" s="268"/>
      <c r="AT77" s="268"/>
      <c r="AU77" s="268" t="s">
        <v>0</v>
      </c>
      <c r="AV77" s="269">
        <v>-9360</v>
      </c>
      <c r="AW77" s="275" t="s">
        <v>0</v>
      </c>
      <c r="AX77" s="269">
        <v>-8736</v>
      </c>
      <c r="AY77" s="268">
        <v>0</v>
      </c>
      <c r="AZ77" s="269">
        <v>-15392</v>
      </c>
      <c r="BA77" s="268" t="s">
        <v>0</v>
      </c>
      <c r="BB77" s="269">
        <v>-14560</v>
      </c>
      <c r="BC77" s="268" t="s">
        <v>0</v>
      </c>
      <c r="BD77" s="268"/>
      <c r="BE77" s="269">
        <f>-10360-2120</f>
        <v>-12480</v>
      </c>
      <c r="BF77" s="268" t="s">
        <v>0</v>
      </c>
      <c r="BG77" s="269">
        <v>-9276.7999999999993</v>
      </c>
      <c r="BH77" s="268"/>
      <c r="BI77" s="268"/>
      <c r="BJ77" s="269">
        <v>-12688</v>
      </c>
      <c r="BK77" s="268"/>
      <c r="BL77" s="268"/>
      <c r="BM77" s="269">
        <v>-15766.4</v>
      </c>
      <c r="BN77" s="268"/>
      <c r="BO77" s="268"/>
      <c r="BP77" s="269">
        <v>-14976</v>
      </c>
      <c r="BQ77" s="268"/>
      <c r="BR77" s="268"/>
      <c r="BS77" s="268"/>
      <c r="DA77" s="584"/>
      <c r="EN77" s="207"/>
    </row>
    <row r="78" spans="1:144" ht="15">
      <c r="A78" s="648"/>
      <c r="B78" s="282" t="s">
        <v>795</v>
      </c>
      <c r="C78" s="3" t="s">
        <v>350</v>
      </c>
      <c r="BM78" s="3" t="s">
        <v>163</v>
      </c>
      <c r="BR78" s="619" t="s">
        <v>0</v>
      </c>
      <c r="BS78" s="269">
        <v>-12896</v>
      </c>
      <c r="BV78" s="268" t="s">
        <v>0</v>
      </c>
      <c r="BW78" s="268"/>
      <c r="BX78" s="268" t="s">
        <v>0</v>
      </c>
      <c r="BY78" s="268"/>
      <c r="BZ78" s="268" t="s">
        <v>0</v>
      </c>
      <c r="CC78" s="268" t="s">
        <v>0</v>
      </c>
      <c r="CD78" s="268"/>
      <c r="CH78" s="268" t="s">
        <v>0</v>
      </c>
      <c r="CI78" s="268"/>
      <c r="CJ78" s="268"/>
      <c r="CK78" s="268" t="s">
        <v>0</v>
      </c>
      <c r="CL78" s="268"/>
      <c r="CM78" s="268"/>
      <c r="CN78" s="268"/>
      <c r="CO78" s="268"/>
      <c r="CP78" s="268" t="s">
        <v>0</v>
      </c>
      <c r="CQ78" s="268"/>
      <c r="CR78" s="268"/>
      <c r="CS78" s="268"/>
      <c r="CT78" s="268"/>
      <c r="CU78" s="268" t="s">
        <v>0</v>
      </c>
      <c r="CV78" s="268"/>
      <c r="CW78" s="268"/>
      <c r="CX78" s="268"/>
      <c r="CY78" s="268"/>
      <c r="CZ78" s="268"/>
      <c r="DA78" s="582"/>
      <c r="DB78" s="562" t="s">
        <v>952</v>
      </c>
      <c r="DC78" s="268" t="s">
        <v>0</v>
      </c>
      <c r="DD78" s="268"/>
      <c r="DE78" s="268"/>
      <c r="DF78" s="268"/>
      <c r="DG78" s="268"/>
      <c r="DH78" s="268"/>
      <c r="DI78" s="268"/>
      <c r="DJ78" s="268" t="s">
        <v>0</v>
      </c>
      <c r="DK78" s="268"/>
      <c r="DL78" s="268"/>
      <c r="DM78" s="268"/>
      <c r="DN78" s="268"/>
      <c r="EN78" s="207"/>
    </row>
    <row r="79" spans="1:144" ht="15" outlineLevel="1">
      <c r="A79" s="648"/>
      <c r="B79" s="282" t="s">
        <v>900</v>
      </c>
      <c r="C79" s="211"/>
      <c r="F79" s="268"/>
      <c r="G79" s="268"/>
      <c r="H79" s="268"/>
      <c r="I79" s="268"/>
      <c r="J79" s="268"/>
      <c r="K79" s="268"/>
      <c r="L79" s="268"/>
      <c r="M79" s="268"/>
      <c r="N79" s="268"/>
      <c r="O79" s="268"/>
      <c r="P79" s="268"/>
      <c r="Q79" s="268"/>
      <c r="R79" s="268"/>
      <c r="S79" s="268"/>
      <c r="T79" s="268"/>
      <c r="U79" s="268"/>
      <c r="V79" s="268"/>
      <c r="W79" s="268"/>
      <c r="X79" s="268"/>
      <c r="Y79" s="268"/>
      <c r="Z79" s="268"/>
      <c r="AA79" s="268"/>
      <c r="AB79" s="268"/>
      <c r="AC79" s="268"/>
      <c r="AE79" s="268"/>
      <c r="AF79" s="268"/>
      <c r="AG79" s="268"/>
      <c r="AH79" s="268"/>
      <c r="AI79" s="268"/>
      <c r="AJ79" s="268"/>
      <c r="AK79" s="268"/>
      <c r="AL79" s="268"/>
      <c r="AM79" s="268"/>
      <c r="AN79" s="268"/>
      <c r="AO79" s="268"/>
      <c r="AP79" s="268"/>
      <c r="AQ79" s="268"/>
      <c r="AR79" s="268"/>
      <c r="AS79" s="268"/>
      <c r="AT79" s="268"/>
      <c r="AU79" s="268"/>
      <c r="AV79" s="562"/>
      <c r="AW79" s="275"/>
      <c r="AX79" s="268"/>
      <c r="AY79" s="268"/>
      <c r="AZ79" s="268"/>
      <c r="BA79" s="268"/>
      <c r="BC79" s="268"/>
      <c r="BD79" s="268"/>
      <c r="BE79" s="268"/>
      <c r="BF79" s="268"/>
      <c r="BG79" s="268"/>
      <c r="BH79" s="268"/>
      <c r="BJ79" s="268"/>
      <c r="BL79" s="268"/>
      <c r="BM79" s="268"/>
      <c r="BN79" s="268"/>
      <c r="BP79" s="268"/>
      <c r="BQ79" s="268"/>
      <c r="BR79" s="268"/>
      <c r="BS79" s="268"/>
      <c r="BU79" s="268"/>
      <c r="BV79" s="269"/>
      <c r="CD79" s="268"/>
      <c r="CE79" s="269"/>
      <c r="CJ79" s="268"/>
      <c r="CL79" s="269">
        <v>-10000</v>
      </c>
      <c r="CO79" s="268"/>
      <c r="DA79" s="584"/>
      <c r="DB79" s="268"/>
      <c r="DC79" s="268"/>
      <c r="DD79" s="268"/>
      <c r="DE79" s="268"/>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68"/>
      <c r="EB79" s="268"/>
      <c r="EC79" s="268"/>
      <c r="ED79" s="268"/>
      <c r="EE79" s="268"/>
      <c r="EN79" s="207"/>
    </row>
    <row r="80" spans="1:144" ht="15" outlineLevel="1">
      <c r="A80" s="648"/>
      <c r="B80" s="282" t="s">
        <v>955</v>
      </c>
      <c r="C80" s="211"/>
      <c r="F80" s="268"/>
      <c r="G80" s="268"/>
      <c r="H80" s="268"/>
      <c r="I80" s="268"/>
      <c r="J80" s="268"/>
      <c r="K80" s="268"/>
      <c r="L80" s="268"/>
      <c r="M80" s="268"/>
      <c r="N80" s="268"/>
      <c r="O80" s="268"/>
      <c r="P80" s="268"/>
      <c r="Q80" s="268"/>
      <c r="R80" s="268"/>
      <c r="S80" s="268"/>
      <c r="T80" s="268"/>
      <c r="U80" s="268"/>
      <c r="V80" s="268"/>
      <c r="W80" s="268"/>
      <c r="X80" s="268"/>
      <c r="Y80" s="268"/>
      <c r="Z80" s="268"/>
      <c r="AA80" s="268"/>
      <c r="AB80" s="268"/>
      <c r="AC80" s="268"/>
      <c r="AE80" s="268"/>
      <c r="AF80" s="268"/>
      <c r="AG80" s="268"/>
      <c r="AH80" s="268"/>
      <c r="AI80" s="268"/>
      <c r="AJ80" s="268"/>
      <c r="AK80" s="268"/>
      <c r="AL80" s="268"/>
      <c r="AM80" s="268"/>
      <c r="AN80" s="268"/>
      <c r="AO80" s="268"/>
      <c r="AP80" s="268"/>
      <c r="AQ80" s="268"/>
      <c r="AR80" s="268"/>
      <c r="AS80" s="268"/>
      <c r="AT80" s="268"/>
      <c r="AU80" s="268"/>
      <c r="AV80" s="562"/>
      <c r="AW80" s="275"/>
      <c r="AX80" s="268"/>
      <c r="AY80" s="268"/>
      <c r="AZ80" s="268"/>
      <c r="BA80" s="268"/>
      <c r="BC80" s="268"/>
      <c r="BD80" s="268"/>
      <c r="BE80" s="268"/>
      <c r="BF80" s="268"/>
      <c r="BG80" s="268"/>
      <c r="BH80" s="268"/>
      <c r="BJ80" s="268"/>
      <c r="BL80" s="268"/>
      <c r="BM80" s="268"/>
      <c r="BN80" s="268"/>
      <c r="BP80" s="268"/>
      <c r="BQ80" s="268"/>
      <c r="BR80" s="268"/>
      <c r="BS80" s="268"/>
      <c r="BU80" s="268"/>
      <c r="BV80" s="269"/>
      <c r="CD80" s="268"/>
      <c r="CE80" s="269"/>
      <c r="CJ80" s="268"/>
      <c r="CK80" s="11" t="s">
        <v>716</v>
      </c>
      <c r="CN80" s="269">
        <f>-13459*0.8</f>
        <v>-10767.2</v>
      </c>
      <c r="CO80" s="268" t="s">
        <v>0</v>
      </c>
      <c r="CQ80" s="269">
        <v>-10032.799999999999</v>
      </c>
      <c r="DA80" s="584"/>
      <c r="DB80" s="268"/>
      <c r="DC80" s="268"/>
      <c r="DD80" s="268"/>
      <c r="DE80" s="268"/>
      <c r="DF80" s="268"/>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268"/>
      <c r="EC80" s="268"/>
      <c r="ED80" s="268"/>
      <c r="EE80" s="268"/>
      <c r="EN80" s="207"/>
    </row>
    <row r="81" spans="1:144" s="518" customFormat="1" ht="12" customHeight="1" outlineLevel="1">
      <c r="A81" s="649"/>
      <c r="B81" s="621" t="s">
        <v>161</v>
      </c>
      <c r="C81" s="614"/>
      <c r="E81" s="594"/>
      <c r="F81" s="557"/>
      <c r="G81" s="557"/>
      <c r="H81" s="557"/>
      <c r="I81" s="557"/>
      <c r="J81" s="269">
        <v>-4920</v>
      </c>
      <c r="K81" s="557"/>
      <c r="L81" s="557"/>
      <c r="M81" s="557"/>
      <c r="N81" s="557"/>
      <c r="O81" s="557"/>
      <c r="P81" s="557"/>
      <c r="Q81" s="557"/>
      <c r="S81" s="557"/>
      <c r="T81" s="557"/>
      <c r="U81" s="268"/>
      <c r="V81" s="269">
        <v>-4920</v>
      </c>
      <c r="W81" s="268"/>
      <c r="X81" s="268"/>
      <c r="Z81" s="268">
        <v>0</v>
      </c>
      <c r="AA81" s="268">
        <v>0</v>
      </c>
      <c r="AB81" s="310">
        <v>-14760</v>
      </c>
      <c r="AC81" s="275" t="s">
        <v>0</v>
      </c>
      <c r="AD81" s="310">
        <v>-4920</v>
      </c>
      <c r="AE81" s="275">
        <v>0</v>
      </c>
      <c r="AF81" s="275" t="s">
        <v>0</v>
      </c>
      <c r="AG81" s="275"/>
      <c r="AH81" s="310">
        <v>-4920</v>
      </c>
      <c r="AI81" s="275"/>
      <c r="AJ81" s="275" t="s">
        <v>0</v>
      </c>
      <c r="AK81" s="275"/>
      <c r="AL81" s="310">
        <v>-4920</v>
      </c>
      <c r="AM81" s="275" t="s">
        <v>0</v>
      </c>
      <c r="AN81" s="275"/>
      <c r="AQ81" s="310">
        <v>-4920</v>
      </c>
      <c r="AR81" s="275"/>
      <c r="AS81" s="275"/>
      <c r="AU81" s="310">
        <v>-4920</v>
      </c>
      <c r="AV81" s="268"/>
      <c r="AW81" s="595"/>
      <c r="AX81" s="275"/>
      <c r="AY81" s="310">
        <v>-4920</v>
      </c>
      <c r="AZ81" s="275"/>
      <c r="BA81" s="275"/>
      <c r="BB81" s="275" t="s">
        <v>0</v>
      </c>
      <c r="BC81" s="310">
        <v>-4920</v>
      </c>
      <c r="BD81" s="275"/>
      <c r="BE81" s="275"/>
      <c r="BF81" s="275"/>
      <c r="BI81" s="275"/>
      <c r="BJ81" s="310">
        <v>-4920</v>
      </c>
      <c r="BK81" s="275"/>
      <c r="BL81" s="275"/>
      <c r="BM81" s="275"/>
      <c r="BN81" s="275"/>
      <c r="BP81" s="275" t="s">
        <v>0</v>
      </c>
      <c r="BQ81" s="275"/>
      <c r="BR81" s="310">
        <v>-4920</v>
      </c>
      <c r="BS81" s="275"/>
      <c r="BT81" s="275" t="s">
        <v>0</v>
      </c>
      <c r="BV81" s="275" t="s">
        <v>0</v>
      </c>
      <c r="BW81" s="275"/>
      <c r="BZ81" s="310">
        <v>-4920</v>
      </c>
      <c r="CA81" s="275" t="s">
        <v>0</v>
      </c>
      <c r="CB81" s="275"/>
      <c r="CC81" s="275"/>
      <c r="CD81" s="275"/>
      <c r="CE81" s="310">
        <v>-4920</v>
      </c>
      <c r="CF81" s="275"/>
      <c r="CG81" s="275"/>
      <c r="CI81" s="310">
        <v>-4920</v>
      </c>
      <c r="CN81" s="310">
        <v>-4920</v>
      </c>
      <c r="CR81" s="310">
        <v>-4920</v>
      </c>
      <c r="CW81" s="597"/>
      <c r="CX81" s="310">
        <v>-4920</v>
      </c>
      <c r="CY81" s="275"/>
      <c r="DA81" s="592">
        <v>-4920</v>
      </c>
      <c r="DE81" s="275"/>
      <c r="DF81" s="275">
        <v>-4920</v>
      </c>
      <c r="DG81" s="275"/>
      <c r="DH81" s="275"/>
      <c r="DI81" s="275"/>
      <c r="DK81" s="275">
        <v>-4920</v>
      </c>
      <c r="DL81" s="275"/>
      <c r="DM81" s="275"/>
      <c r="DN81" s="275"/>
      <c r="DP81" s="275">
        <v>-4920</v>
      </c>
      <c r="DQ81" s="275"/>
      <c r="DR81" s="275"/>
      <c r="DT81" s="275"/>
      <c r="DU81" s="275">
        <v>-4920</v>
      </c>
      <c r="DV81" s="275"/>
      <c r="DW81" s="275"/>
      <c r="DY81" s="275">
        <v>-4920</v>
      </c>
      <c r="DZ81" s="275"/>
      <c r="EA81" s="275"/>
      <c r="EB81" s="275"/>
      <c r="EC81" s="275"/>
      <c r="ED81" s="275">
        <v>-4920</v>
      </c>
      <c r="EE81" s="275"/>
      <c r="EG81" s="275"/>
      <c r="EH81" s="275">
        <v>-4920</v>
      </c>
      <c r="EJ81" s="275"/>
      <c r="EN81" s="547"/>
    </row>
    <row r="82" spans="1:144" s="518" customFormat="1" ht="12" customHeight="1" outlineLevel="1">
      <c r="A82" s="649"/>
      <c r="B82" s="623" t="s">
        <v>158</v>
      </c>
      <c r="C82" s="614"/>
      <c r="E82" s="594"/>
      <c r="F82" s="557"/>
      <c r="G82" s="557"/>
      <c r="H82" s="557"/>
      <c r="I82" s="557"/>
      <c r="J82" s="557"/>
      <c r="K82" s="557"/>
      <c r="L82" s="557"/>
      <c r="M82" s="557"/>
      <c r="N82" s="557"/>
      <c r="O82" s="557"/>
      <c r="P82" s="557"/>
      <c r="Q82" s="557" t="s">
        <v>0</v>
      </c>
      <c r="S82" s="557"/>
      <c r="T82" s="557"/>
      <c r="U82" s="557">
        <v>0</v>
      </c>
      <c r="V82" s="269">
        <v>-24707.8</v>
      </c>
      <c r="W82" s="268">
        <v>0</v>
      </c>
      <c r="X82" s="268">
        <v>0</v>
      </c>
      <c r="Y82" s="268">
        <v>0</v>
      </c>
      <c r="AA82" s="269">
        <v>-32683</v>
      </c>
      <c r="AC82" s="268"/>
      <c r="AE82" s="269">
        <f>-14159.65-100</f>
        <v>-14259.65</v>
      </c>
      <c r="AF82" s="268" t="s">
        <v>0</v>
      </c>
      <c r="AG82" s="268"/>
      <c r="AH82" s="268"/>
      <c r="AI82" s="269">
        <v>-34310</v>
      </c>
      <c r="AK82" s="268"/>
      <c r="AL82" s="268"/>
      <c r="AM82" s="269">
        <v>-53616</v>
      </c>
      <c r="AN82" s="268"/>
      <c r="AP82" s="268"/>
      <c r="AR82" s="269">
        <v>-27254.799999999999</v>
      </c>
      <c r="AS82" s="268"/>
      <c r="AT82" s="268"/>
      <c r="AU82" s="268"/>
      <c r="AX82" s="310">
        <v>-25245</v>
      </c>
      <c r="AY82" s="268"/>
      <c r="BA82" s="624">
        <v>-28241.5</v>
      </c>
      <c r="BB82" s="268"/>
      <c r="BC82" s="268"/>
      <c r="BD82" s="268"/>
      <c r="BF82" s="624">
        <v>-31732.5</v>
      </c>
      <c r="BI82" s="268"/>
      <c r="BJ82" s="268"/>
      <c r="BK82" s="268"/>
      <c r="BL82" s="625">
        <v>-42368.6</v>
      </c>
      <c r="BN82" s="557"/>
      <c r="BP82" s="557"/>
      <c r="BQ82" s="557"/>
      <c r="BX82" s="625">
        <v>-28238</v>
      </c>
      <c r="BY82" s="557"/>
      <c r="CA82" s="624">
        <v>-33662</v>
      </c>
      <c r="CF82" s="625">
        <v>-24279</v>
      </c>
      <c r="CK82" s="625">
        <v>-10555</v>
      </c>
      <c r="CP82" s="597"/>
      <c r="CQ82" s="269">
        <v>-5760</v>
      </c>
      <c r="CU82" s="607">
        <v>-17861.3</v>
      </c>
      <c r="CV82" s="268"/>
      <c r="CW82" s="3"/>
      <c r="CY82" s="707">
        <v>-25115.4</v>
      </c>
      <c r="CZ82" s="268"/>
      <c r="DA82" s="586"/>
      <c r="DC82" s="277">
        <v>-30000</v>
      </c>
      <c r="DE82" s="557"/>
      <c r="DF82" s="557"/>
      <c r="DG82" s="557">
        <v>-40000</v>
      </c>
      <c r="DI82" s="557"/>
      <c r="DK82" s="557"/>
      <c r="DL82" s="557">
        <v>-40000</v>
      </c>
      <c r="DM82" s="557"/>
      <c r="DN82" s="557"/>
      <c r="DO82" s="557" t="s">
        <v>0</v>
      </c>
      <c r="DP82" s="557"/>
      <c r="DQ82" s="557"/>
      <c r="DR82" s="557">
        <v>-25000</v>
      </c>
      <c r="DT82" s="557"/>
      <c r="DU82" s="557"/>
      <c r="DV82" s="557">
        <v>-12000</v>
      </c>
      <c r="DW82" s="557"/>
      <c r="DY82" s="557"/>
      <c r="DZ82" s="557">
        <v>-12000</v>
      </c>
      <c r="EA82" s="557"/>
      <c r="EB82" s="557"/>
      <c r="EC82" s="557"/>
      <c r="ED82" s="557"/>
      <c r="EE82" s="557">
        <v>0</v>
      </c>
      <c r="EG82" s="557"/>
      <c r="EH82" s="557"/>
      <c r="EI82" s="557">
        <v>0</v>
      </c>
      <c r="EJ82" s="557"/>
      <c r="EN82" s="547"/>
    </row>
    <row r="83" spans="1:144" s="518" customFormat="1" ht="12" customHeight="1" outlineLevel="1">
      <c r="A83" s="649"/>
      <c r="B83" s="623" t="s">
        <v>159</v>
      </c>
      <c r="C83" s="614" t="s">
        <v>0</v>
      </c>
      <c r="E83" s="594"/>
      <c r="F83" s="557"/>
      <c r="G83" s="557"/>
      <c r="H83" s="557"/>
      <c r="I83" s="557"/>
      <c r="J83" s="557"/>
      <c r="K83" s="557"/>
      <c r="L83" s="557"/>
      <c r="M83" s="557"/>
      <c r="N83" s="557"/>
      <c r="O83" s="557"/>
      <c r="P83" s="557"/>
      <c r="Q83" s="557"/>
      <c r="S83" s="557"/>
      <c r="T83" s="557"/>
      <c r="U83" s="557"/>
      <c r="V83" s="268"/>
      <c r="W83" s="268"/>
      <c r="Y83" s="268">
        <v>0</v>
      </c>
      <c r="Z83" s="268">
        <v>0</v>
      </c>
      <c r="AB83" s="269">
        <v>-17452.650000000001</v>
      </c>
      <c r="AC83" s="268"/>
      <c r="AE83" s="269">
        <v>-14483.91</v>
      </c>
      <c r="AG83" s="268" t="s">
        <v>0</v>
      </c>
      <c r="AI83" s="269">
        <v>-22165</v>
      </c>
      <c r="AK83" s="268"/>
      <c r="AL83" s="268"/>
      <c r="AM83" s="269">
        <v>-25046.68</v>
      </c>
      <c r="AN83" s="268"/>
      <c r="AP83" s="268"/>
      <c r="AR83" s="269">
        <v>-21576.71</v>
      </c>
      <c r="AS83" s="268"/>
      <c r="AT83" s="268"/>
      <c r="AU83" s="268"/>
      <c r="AX83" s="310">
        <v>-30532.7</v>
      </c>
      <c r="AY83" s="268"/>
      <c r="BA83" s="624">
        <v>-20558</v>
      </c>
      <c r="BB83" s="268"/>
      <c r="BC83" s="268"/>
      <c r="BD83" s="268"/>
      <c r="BF83" s="624">
        <v>-21697.31</v>
      </c>
      <c r="BI83" s="268"/>
      <c r="BJ83" s="268"/>
      <c r="BK83" s="268"/>
      <c r="BL83" s="557"/>
      <c r="BN83" s="557"/>
      <c r="BO83" s="625">
        <v>-29385.48</v>
      </c>
      <c r="BP83" s="557"/>
      <c r="BQ83" s="557"/>
      <c r="BT83" s="310">
        <v>-185.19</v>
      </c>
      <c r="BX83" s="625">
        <f>-26363.83-100</f>
        <v>-26463.83</v>
      </c>
      <c r="BY83" s="557"/>
      <c r="CA83" s="624">
        <v>-25230.05</v>
      </c>
      <c r="CF83" s="625">
        <v>-18137.240000000002</v>
      </c>
      <c r="CK83" s="625">
        <v>-20793.43</v>
      </c>
      <c r="CP83" s="269">
        <v>-25124.62</v>
      </c>
      <c r="CQ83" s="597"/>
      <c r="CU83" s="607">
        <v>-27962.29</v>
      </c>
      <c r="CV83" s="3"/>
      <c r="CW83" s="3"/>
      <c r="CY83" s="708">
        <v>-26837.3</v>
      </c>
      <c r="CZ83" s="268"/>
      <c r="DA83" s="586"/>
      <c r="DC83" s="277">
        <v>-23000</v>
      </c>
      <c r="DE83" s="557"/>
      <c r="DF83" s="557"/>
      <c r="DG83" s="557">
        <v>-23000</v>
      </c>
      <c r="DI83" s="557"/>
      <c r="DK83" s="557"/>
      <c r="DL83" s="557">
        <v>-23000</v>
      </c>
      <c r="DM83" s="557"/>
      <c r="DN83" s="557"/>
      <c r="DO83" s="557" t="s">
        <v>0</v>
      </c>
      <c r="DP83" s="557"/>
      <c r="DQ83" s="557"/>
      <c r="DR83" s="557">
        <v>-23000</v>
      </c>
      <c r="DT83" s="557"/>
      <c r="DU83" s="557"/>
      <c r="DV83" s="557">
        <v>-23000</v>
      </c>
      <c r="DW83" s="557"/>
      <c r="DY83" s="557"/>
      <c r="DZ83" s="557">
        <v>-4000</v>
      </c>
      <c r="EA83" s="557"/>
      <c r="EB83" s="557"/>
      <c r="EC83" s="557"/>
      <c r="ED83" s="557"/>
      <c r="EE83" s="557">
        <v>0</v>
      </c>
      <c r="EG83" s="557"/>
      <c r="EH83" s="557"/>
      <c r="EI83" s="557">
        <v>0</v>
      </c>
      <c r="EJ83" s="557"/>
      <c r="EN83" s="547"/>
    </row>
    <row r="84" spans="1:144" s="518" customFormat="1" ht="12" customHeight="1" outlineLevel="1">
      <c r="A84" s="649"/>
      <c r="B84" s="623" t="s">
        <v>820</v>
      </c>
      <c r="C84" s="614"/>
      <c r="E84" s="594"/>
      <c r="F84" s="557"/>
      <c r="G84" s="557"/>
      <c r="H84" s="557"/>
      <c r="I84" s="557"/>
      <c r="J84" s="557"/>
      <c r="K84" s="557"/>
      <c r="L84" s="557"/>
      <c r="M84" s="557"/>
      <c r="N84" s="557"/>
      <c r="O84" s="557"/>
      <c r="P84" s="557"/>
      <c r="Q84" s="557"/>
      <c r="S84" s="557"/>
      <c r="T84" s="557"/>
      <c r="U84" s="557"/>
      <c r="V84" s="268"/>
      <c r="W84" s="268"/>
      <c r="Y84" s="268"/>
      <c r="Z84" s="268"/>
      <c r="AB84" s="269"/>
      <c r="AC84" s="268"/>
      <c r="AE84" s="269"/>
      <c r="AG84" s="268"/>
      <c r="AI84" s="269"/>
      <c r="AK84" s="268"/>
      <c r="AL84" s="268"/>
      <c r="AM84" s="269"/>
      <c r="AN84" s="268"/>
      <c r="AP84" s="268"/>
      <c r="AR84" s="269"/>
      <c r="AS84" s="268"/>
      <c r="AT84" s="268"/>
      <c r="AU84" s="268"/>
      <c r="AX84" s="310"/>
      <c r="AY84" s="268"/>
      <c r="BA84" s="624"/>
      <c r="BB84" s="268"/>
      <c r="BC84" s="268"/>
      <c r="BD84" s="268"/>
      <c r="BF84" s="624"/>
      <c r="BI84" s="268"/>
      <c r="BJ84" s="268"/>
      <c r="BK84" s="268"/>
      <c r="BL84" s="557"/>
      <c r="BN84" s="557"/>
      <c r="BO84" s="625"/>
      <c r="BP84" s="557"/>
      <c r="BQ84" s="557"/>
      <c r="BT84" s="310"/>
      <c r="BV84" s="625"/>
      <c r="CA84" s="624">
        <f>15024.63+3428.05-216.91</f>
        <v>18235.77</v>
      </c>
      <c r="CF84" s="557"/>
      <c r="CJ84" s="557"/>
      <c r="CO84" s="557"/>
      <c r="CS84" s="557"/>
      <c r="CU84" s="557"/>
      <c r="CV84" s="557"/>
      <c r="CW84" s="277"/>
      <c r="CX84" s="557"/>
      <c r="CY84" s="557"/>
      <c r="CZ84" s="557"/>
      <c r="DA84" s="688"/>
      <c r="DB84" s="557"/>
      <c r="DC84" s="557"/>
      <c r="DD84" s="557"/>
      <c r="DE84" s="557"/>
      <c r="DF84" s="557"/>
      <c r="DG84" s="557"/>
      <c r="DH84" s="557"/>
      <c r="DI84" s="557"/>
      <c r="DJ84" s="557"/>
      <c r="DK84" s="557"/>
      <c r="DL84" s="557"/>
      <c r="DM84" s="557"/>
      <c r="DN84" s="557"/>
      <c r="DO84" s="557"/>
      <c r="DP84" s="557"/>
      <c r="DQ84" s="557"/>
      <c r="DR84" s="557"/>
      <c r="DS84" s="557"/>
      <c r="DT84" s="557"/>
      <c r="DU84" s="557"/>
      <c r="DV84" s="557"/>
      <c r="DW84" s="557"/>
      <c r="DX84" s="557"/>
      <c r="DY84" s="557"/>
      <c r="DZ84" s="557"/>
      <c r="EA84" s="557"/>
      <c r="EB84" s="557"/>
      <c r="EC84" s="557"/>
      <c r="ED84" s="557"/>
      <c r="EE84" s="557"/>
      <c r="EF84" s="557"/>
      <c r="EG84" s="557"/>
      <c r="EH84" s="557"/>
      <c r="EI84" s="557"/>
      <c r="EJ84" s="557"/>
      <c r="EN84" s="547"/>
    </row>
    <row r="85" spans="1:144" s="518" customFormat="1" ht="12" customHeight="1" outlineLevel="1">
      <c r="A85" s="649"/>
      <c r="B85" s="623" t="s">
        <v>892</v>
      </c>
      <c r="C85" s="614"/>
      <c r="E85" s="594"/>
      <c r="F85" s="557"/>
      <c r="G85" s="557"/>
      <c r="H85" s="557"/>
      <c r="I85" s="557"/>
      <c r="J85" s="557"/>
      <c r="K85" s="557"/>
      <c r="L85" s="557"/>
      <c r="M85" s="557"/>
      <c r="N85" s="557"/>
      <c r="O85" s="557"/>
      <c r="P85" s="557"/>
      <c r="Q85" s="557"/>
      <c r="S85" s="557"/>
      <c r="T85" s="557"/>
      <c r="U85" s="557"/>
      <c r="V85" s="268"/>
      <c r="W85" s="268"/>
      <c r="Y85" s="268"/>
      <c r="Z85" s="268"/>
      <c r="AB85" s="269"/>
      <c r="AC85" s="268"/>
      <c r="AE85" s="269"/>
      <c r="AG85" s="268"/>
      <c r="AI85" s="269"/>
      <c r="AK85" s="268"/>
      <c r="AL85" s="268"/>
      <c r="AM85" s="269"/>
      <c r="AN85" s="268"/>
      <c r="AP85" s="268"/>
      <c r="AR85" s="269"/>
      <c r="AS85" s="268"/>
      <c r="AT85" s="268"/>
      <c r="AU85" s="268"/>
      <c r="AX85" s="310"/>
      <c r="AY85" s="268"/>
      <c r="BA85" s="624"/>
      <c r="BB85" s="268"/>
      <c r="BC85" s="268"/>
      <c r="BD85" s="268"/>
      <c r="BF85" s="624"/>
      <c r="BI85" s="268"/>
      <c r="BJ85" s="268"/>
      <c r="BK85" s="268"/>
      <c r="BL85" s="557"/>
      <c r="BN85" s="557"/>
      <c r="BO85" s="625"/>
      <c r="BP85" s="557"/>
      <c r="BQ85" s="557"/>
      <c r="BT85" s="310"/>
      <c r="BV85" s="625"/>
      <c r="CA85" s="624"/>
      <c r="CF85" s="625">
        <v>-232.94</v>
      </c>
      <c r="CJ85" s="557"/>
      <c r="CK85" s="709">
        <v>101.59</v>
      </c>
      <c r="CO85" s="557"/>
      <c r="CS85" s="557"/>
      <c r="CU85" s="557"/>
      <c r="CV85" s="557"/>
      <c r="CW85" s="277"/>
      <c r="CX85" s="557"/>
      <c r="CY85" s="557"/>
      <c r="CZ85" s="557"/>
      <c r="DA85" s="688"/>
      <c r="DB85" s="557"/>
      <c r="DC85" s="557"/>
      <c r="DD85" s="557"/>
      <c r="DE85" s="557"/>
      <c r="DF85" s="557"/>
      <c r="DG85" s="557"/>
      <c r="DH85" s="557"/>
      <c r="DI85" s="557"/>
      <c r="DJ85" s="557"/>
      <c r="DK85" s="557"/>
      <c r="DL85" s="557"/>
      <c r="DM85" s="557"/>
      <c r="DN85" s="557"/>
      <c r="DO85" s="557"/>
      <c r="DP85" s="557"/>
      <c r="DQ85" s="557"/>
      <c r="DR85" s="557"/>
      <c r="DS85" s="557"/>
      <c r="DT85" s="557"/>
      <c r="DU85" s="557"/>
      <c r="DV85" s="557"/>
      <c r="DW85" s="557"/>
      <c r="DX85" s="557"/>
      <c r="DY85" s="557"/>
      <c r="DZ85" s="557"/>
      <c r="EA85" s="557"/>
      <c r="EB85" s="557"/>
      <c r="EC85" s="557"/>
      <c r="ED85" s="557"/>
      <c r="EE85" s="557"/>
      <c r="EF85" s="557"/>
      <c r="EG85" s="557"/>
      <c r="EH85" s="557"/>
      <c r="EI85" s="557"/>
      <c r="EJ85" s="557"/>
      <c r="EN85" s="547"/>
    </row>
    <row r="86" spans="1:144" s="518" customFormat="1" ht="12" customHeight="1" outlineLevel="1">
      <c r="A86" s="686" t="s">
        <v>887</v>
      </c>
      <c r="B86" s="609" t="s">
        <v>887</v>
      </c>
      <c r="C86" s="614"/>
      <c r="E86" s="594"/>
      <c r="F86" s="557"/>
      <c r="G86" s="557"/>
      <c r="H86" s="557"/>
      <c r="I86" s="557"/>
      <c r="J86" s="557"/>
      <c r="K86" s="557"/>
      <c r="L86" s="557"/>
      <c r="M86" s="557"/>
      <c r="N86" s="557"/>
      <c r="O86" s="557"/>
      <c r="P86" s="557"/>
      <c r="Q86" s="557"/>
      <c r="S86" s="557"/>
      <c r="T86" s="557"/>
      <c r="U86" s="557"/>
      <c r="V86" s="268"/>
      <c r="W86" s="268"/>
      <c r="Y86" s="268"/>
      <c r="Z86" s="268"/>
      <c r="AB86" s="269"/>
      <c r="AC86" s="268"/>
      <c r="AE86" s="269"/>
      <c r="AG86" s="268"/>
      <c r="AI86" s="269"/>
      <c r="AK86" s="268"/>
      <c r="AL86" s="268"/>
      <c r="AM86" s="269"/>
      <c r="AN86" s="268"/>
      <c r="AP86" s="268"/>
      <c r="AR86" s="269"/>
      <c r="AS86" s="268"/>
      <c r="AT86" s="268"/>
      <c r="AU86" s="268"/>
      <c r="AX86" s="310"/>
      <c r="AY86" s="268"/>
      <c r="BA86" s="624"/>
      <c r="BB86" s="268"/>
      <c r="BC86" s="268"/>
      <c r="BD86" s="268"/>
      <c r="BF86" s="624"/>
      <c r="BI86" s="268"/>
      <c r="BJ86" s="268"/>
      <c r="BK86" s="268"/>
      <c r="BL86" s="557"/>
      <c r="BN86" s="557"/>
      <c r="BO86" s="625"/>
      <c r="BP86" s="557"/>
      <c r="BQ86" s="557"/>
      <c r="BT86" s="310"/>
      <c r="BV86" s="625"/>
      <c r="CA86" s="624"/>
      <c r="CF86" s="557"/>
      <c r="CJ86" s="557"/>
      <c r="CO86" s="557"/>
      <c r="CS86" s="557"/>
      <c r="CU86" s="557"/>
      <c r="CV86" s="557"/>
      <c r="CW86" s="277"/>
      <c r="CX86" s="557"/>
      <c r="CY86" s="557"/>
      <c r="CZ86" s="557"/>
      <c r="DA86" s="688"/>
      <c r="DB86" s="557"/>
      <c r="DC86" s="557"/>
      <c r="DD86" s="557"/>
      <c r="DE86" s="557"/>
      <c r="DF86" s="557"/>
      <c r="DG86" s="557"/>
      <c r="DH86" s="557"/>
      <c r="DI86" s="557"/>
      <c r="DJ86" s="557"/>
      <c r="DK86" s="557"/>
      <c r="DL86" s="557"/>
      <c r="DM86" s="557"/>
      <c r="DN86" s="557"/>
      <c r="DO86" s="557"/>
      <c r="DP86" s="557"/>
      <c r="DQ86" s="557"/>
      <c r="DR86" s="557"/>
      <c r="DS86" s="557"/>
      <c r="DT86" s="557"/>
      <c r="DU86" s="557"/>
      <c r="DV86" s="557"/>
      <c r="DW86" s="557"/>
      <c r="DX86" s="557"/>
      <c r="DY86" s="557"/>
      <c r="DZ86" s="557"/>
      <c r="EA86" s="557"/>
      <c r="EB86" s="557"/>
      <c r="EC86" s="557"/>
      <c r="ED86" s="557"/>
      <c r="EE86" s="557"/>
      <c r="EF86" s="557"/>
      <c r="EG86" s="557"/>
      <c r="EH86" s="557"/>
      <c r="EI86" s="557"/>
      <c r="EJ86" s="557"/>
      <c r="EN86" s="547"/>
    </row>
    <row r="87" spans="1:144" s="518" customFormat="1" ht="12" customHeight="1" outlineLevel="1">
      <c r="A87" s="649"/>
      <c r="B87" s="621" t="s">
        <v>160</v>
      </c>
      <c r="C87" s="614"/>
      <c r="E87" s="594"/>
      <c r="F87" s="557"/>
      <c r="G87" s="557"/>
      <c r="H87" s="557"/>
      <c r="I87" s="557"/>
      <c r="J87" s="557"/>
      <c r="K87" s="557"/>
      <c r="L87" s="557"/>
      <c r="M87" s="557"/>
      <c r="N87" s="557"/>
      <c r="O87" s="557"/>
      <c r="P87" s="557"/>
      <c r="Q87" s="557"/>
      <c r="S87" s="557"/>
      <c r="T87" s="557"/>
      <c r="U87" s="268">
        <v>0</v>
      </c>
      <c r="V87" s="268"/>
      <c r="W87" s="269">
        <v>-2012</v>
      </c>
      <c r="X87" s="268"/>
      <c r="Y87" s="268">
        <v>0</v>
      </c>
      <c r="Z87" s="268"/>
      <c r="AA87" s="268"/>
      <c r="AB87" s="268"/>
      <c r="AC87" s="268"/>
      <c r="AD87" s="268"/>
      <c r="AE87" s="268"/>
      <c r="AF87" s="268"/>
      <c r="AG87" s="268"/>
      <c r="AH87" s="268"/>
      <c r="AI87" s="268"/>
      <c r="AJ87" s="268"/>
      <c r="AK87" s="268"/>
      <c r="AL87" s="268"/>
      <c r="AM87" s="268"/>
      <c r="AN87" s="268"/>
      <c r="AO87" s="268"/>
      <c r="AP87" s="268"/>
      <c r="AQ87" s="268"/>
      <c r="AR87" s="268"/>
      <c r="AS87" s="268"/>
      <c r="AT87" s="268"/>
      <c r="AU87" s="268"/>
      <c r="AW87" s="275"/>
      <c r="AX87" s="268"/>
      <c r="AY87" s="268"/>
      <c r="AZ87" s="268"/>
      <c r="BA87" s="268"/>
      <c r="BB87" s="268"/>
      <c r="BC87" s="268"/>
      <c r="BD87" s="268"/>
      <c r="BE87" s="268"/>
      <c r="BF87" s="268"/>
      <c r="BG87" s="268"/>
      <c r="BH87" s="268"/>
      <c r="BI87" s="268"/>
      <c r="BJ87" s="268"/>
      <c r="BK87" s="268"/>
      <c r="BL87" s="268"/>
      <c r="BM87" s="268"/>
      <c r="BN87" s="268"/>
      <c r="BU87" s="275"/>
      <c r="CE87" s="310">
        <v>-1007.38</v>
      </c>
      <c r="CW87" s="597"/>
      <c r="DA87" s="586"/>
      <c r="EN87" s="547"/>
    </row>
    <row r="88" spans="1:144" ht="15" outlineLevel="1">
      <c r="A88" s="648"/>
      <c r="B88" s="282" t="s">
        <v>162</v>
      </c>
      <c r="C88" s="211"/>
      <c r="F88" s="268"/>
      <c r="G88" s="268"/>
      <c r="H88" s="268"/>
      <c r="I88" s="268"/>
      <c r="J88" s="268"/>
      <c r="K88" s="268"/>
      <c r="L88" s="268"/>
      <c r="M88" s="268" t="s">
        <v>0</v>
      </c>
      <c r="N88" s="268" t="s">
        <v>0</v>
      </c>
      <c r="O88" s="275" t="s">
        <v>0</v>
      </c>
      <c r="P88" s="275"/>
      <c r="Q88" s="275"/>
      <c r="R88" s="275"/>
      <c r="S88" s="275" t="str">
        <f>O88</f>
        <v xml:space="preserve"> </v>
      </c>
      <c r="T88" s="275" t="s">
        <v>163</v>
      </c>
      <c r="U88" s="310">
        <v>-300</v>
      </c>
      <c r="V88" s="275">
        <v>0</v>
      </c>
      <c r="W88" s="275" t="s">
        <v>0</v>
      </c>
      <c r="X88" s="275"/>
      <c r="Y88" s="275">
        <v>0</v>
      </c>
      <c r="Z88" s="275"/>
      <c r="AA88" s="275"/>
      <c r="AV88" s="518"/>
      <c r="AW88" s="561"/>
      <c r="DA88" s="584"/>
      <c r="EN88" s="207"/>
    </row>
    <row r="89" spans="1:144" s="211" customFormat="1" ht="15" outlineLevel="1">
      <c r="A89" s="323"/>
      <c r="B89" s="519" t="s">
        <v>164</v>
      </c>
      <c r="E89" s="519"/>
      <c r="F89" s="268">
        <v>-1752</v>
      </c>
      <c r="G89" s="268"/>
      <c r="H89" s="268"/>
      <c r="I89" s="268"/>
      <c r="J89" s="269">
        <v>-1752</v>
      </c>
      <c r="K89" s="268"/>
      <c r="L89" s="268"/>
      <c r="M89" s="268"/>
      <c r="N89" s="269">
        <v>-1752</v>
      </c>
      <c r="P89" s="275"/>
      <c r="Q89" s="275"/>
      <c r="R89" s="310">
        <v>-1752</v>
      </c>
      <c r="S89" s="275" t="s">
        <v>0</v>
      </c>
      <c r="T89" s="275"/>
      <c r="U89" s="275"/>
      <c r="V89" s="275"/>
      <c r="W89" s="310">
        <f>-892-860</f>
        <v>-1752</v>
      </c>
      <c r="X89" s="275"/>
      <c r="Y89" s="275"/>
      <c r="Z89" s="275"/>
      <c r="AA89" s="310">
        <f>-892-860</f>
        <v>-1752</v>
      </c>
      <c r="AB89" s="275" t="s">
        <v>0</v>
      </c>
      <c r="AC89" s="275"/>
      <c r="AD89" s="275"/>
      <c r="AE89" s="310">
        <f>-892-860</f>
        <v>-1752</v>
      </c>
      <c r="AG89" s="275"/>
      <c r="AH89" s="275"/>
      <c r="AJ89" s="310">
        <f>-892-860</f>
        <v>-1752</v>
      </c>
      <c r="AK89" s="275"/>
      <c r="AL89" s="275"/>
      <c r="AM89" s="275" t="s">
        <v>0</v>
      </c>
      <c r="AN89" s="310">
        <f>-892-860</f>
        <v>-1752</v>
      </c>
      <c r="AP89" s="275"/>
      <c r="AQ89" s="275"/>
      <c r="AR89" s="275"/>
      <c r="AS89" s="310">
        <f>-892-860</f>
        <v>-1752</v>
      </c>
      <c r="AT89" s="275"/>
      <c r="AU89" s="275"/>
      <c r="AV89" s="275" t="s">
        <v>0</v>
      </c>
      <c r="AW89" s="310">
        <f>-892-860</f>
        <v>-1752</v>
      </c>
      <c r="AX89" s="275"/>
      <c r="AY89" s="275"/>
      <c r="AZ89" s="275"/>
      <c r="BA89" s="310">
        <f>-892-860</f>
        <v>-1752</v>
      </c>
      <c r="BC89" s="275"/>
      <c r="BD89" s="275"/>
      <c r="BE89" s="275"/>
      <c r="BG89" s="310">
        <f>$J89</f>
        <v>-1752</v>
      </c>
      <c r="BH89" s="275"/>
      <c r="BI89" s="275"/>
      <c r="BJ89" s="275"/>
      <c r="BK89" s="275"/>
      <c r="BL89" s="275"/>
      <c r="BM89" s="310">
        <f>$J89</f>
        <v>-1752</v>
      </c>
      <c r="BN89" s="275"/>
      <c r="BP89" s="275"/>
      <c r="BQ89" s="275"/>
      <c r="BR89" s="275"/>
      <c r="BS89" s="310">
        <f>$J89</f>
        <v>-1752</v>
      </c>
      <c r="BU89" s="275"/>
      <c r="BV89" s="275"/>
      <c r="BW89" s="275"/>
      <c r="BX89" s="275"/>
      <c r="BY89" s="275"/>
      <c r="BZ89" s="275"/>
      <c r="CA89" s="310">
        <f>$J89</f>
        <v>-1752</v>
      </c>
      <c r="CB89" s="275"/>
      <c r="CC89" s="275"/>
      <c r="CD89" s="275"/>
      <c r="CE89" s="275"/>
      <c r="CF89" s="275"/>
      <c r="CG89" s="310">
        <f>$J89</f>
        <v>-1752</v>
      </c>
      <c r="CL89" s="310">
        <f>$J89</f>
        <v>-1752</v>
      </c>
      <c r="CP89" s="310">
        <f>$J89</f>
        <v>-1752</v>
      </c>
      <c r="CT89" s="310">
        <f>$J89</f>
        <v>-1752</v>
      </c>
      <c r="CV89" s="275"/>
      <c r="CW89" s="275"/>
      <c r="CX89" s="310">
        <v>-1752</v>
      </c>
      <c r="CY89" s="275"/>
      <c r="CZ89" s="275"/>
      <c r="DA89" s="585"/>
      <c r="DB89" s="275">
        <f>$J89</f>
        <v>-1752</v>
      </c>
      <c r="DC89" s="275">
        <f>$J89</f>
        <v>-1752</v>
      </c>
      <c r="DD89" s="275"/>
      <c r="DE89" s="275"/>
      <c r="DF89" s="275"/>
      <c r="DG89" s="275"/>
      <c r="DH89" s="275"/>
      <c r="DI89" s="275"/>
      <c r="DJ89" s="275">
        <f>$J89</f>
        <v>-1752</v>
      </c>
      <c r="DK89" s="275"/>
      <c r="DL89" s="275"/>
      <c r="DM89" s="275"/>
      <c r="DN89" s="275"/>
      <c r="DO89" s="275">
        <f>$J89</f>
        <v>-1752</v>
      </c>
      <c r="DP89" s="275"/>
      <c r="DQ89" s="275"/>
      <c r="DR89" s="275"/>
      <c r="DS89" s="275">
        <f>$J89</f>
        <v>-1752</v>
      </c>
      <c r="DT89" s="275"/>
      <c r="DU89" s="275"/>
      <c r="DV89" s="275"/>
      <c r="DW89" s="275"/>
      <c r="DX89" s="275">
        <f>$J89</f>
        <v>-1752</v>
      </c>
      <c r="DY89" s="275"/>
      <c r="DZ89" s="275"/>
      <c r="EA89" s="275"/>
      <c r="EB89" s="275"/>
      <c r="EC89" s="275"/>
      <c r="ED89" s="275"/>
      <c r="EE89" s="275"/>
      <c r="EF89" s="275">
        <f>$J89</f>
        <v>-1752</v>
      </c>
      <c r="EG89" s="275"/>
      <c r="EH89" s="275"/>
      <c r="EI89" s="275">
        <f>$J89</f>
        <v>-1752</v>
      </c>
      <c r="EJ89" s="275"/>
      <c r="EN89" s="351"/>
    </row>
    <row r="90" spans="1:144" s="211" customFormat="1" ht="15" outlineLevel="1">
      <c r="A90" s="323"/>
      <c r="B90" s="519" t="s">
        <v>165</v>
      </c>
      <c r="E90" s="519"/>
      <c r="F90" s="268"/>
      <c r="G90" s="268"/>
      <c r="H90" s="269">
        <f>-719.85-798.2</f>
        <v>-1518.0500000000002</v>
      </c>
      <c r="I90" s="268" t="s">
        <v>0</v>
      </c>
      <c r="J90" s="268"/>
      <c r="K90" s="268"/>
      <c r="L90" s="269">
        <f>H90</f>
        <v>-1518.0500000000002</v>
      </c>
      <c r="M90" s="268"/>
      <c r="N90" s="268"/>
      <c r="O90" s="268" t="s">
        <v>0</v>
      </c>
      <c r="P90" s="275">
        <v>0</v>
      </c>
      <c r="Q90" s="310">
        <v>-1518</v>
      </c>
      <c r="R90" s="275"/>
      <c r="S90" s="275" t="s">
        <v>0</v>
      </c>
      <c r="T90" s="275" t="s">
        <v>0</v>
      </c>
      <c r="U90" s="310">
        <v>-1518</v>
      </c>
      <c r="V90" s="275"/>
      <c r="W90" s="275" t="s">
        <v>0</v>
      </c>
      <c r="X90" s="275">
        <v>0</v>
      </c>
      <c r="Y90" s="310">
        <v>-1668</v>
      </c>
      <c r="Z90" s="275"/>
      <c r="AA90" s="275"/>
      <c r="AB90" s="275">
        <v>0</v>
      </c>
      <c r="AC90" s="275"/>
      <c r="AD90" s="275"/>
      <c r="AE90" s="275"/>
      <c r="AF90" s="275" t="s">
        <v>0</v>
      </c>
      <c r="AG90" s="275"/>
      <c r="AH90" s="275"/>
      <c r="AI90" s="275"/>
      <c r="AJ90" s="275">
        <v>0</v>
      </c>
      <c r="AK90" s="275"/>
      <c r="AL90" s="275"/>
      <c r="AM90" s="275"/>
      <c r="AN90" s="275"/>
      <c r="AO90" s="275">
        <v>0</v>
      </c>
      <c r="AP90" s="275"/>
      <c r="AQ90" s="275"/>
      <c r="AR90" s="275"/>
      <c r="AS90" s="275" t="s">
        <v>0</v>
      </c>
      <c r="AT90" s="275"/>
      <c r="AU90" s="275"/>
      <c r="AW90" s="275" t="s">
        <v>0</v>
      </c>
      <c r="AX90" s="275"/>
      <c r="AY90" s="275"/>
      <c r="AZ90" s="275"/>
      <c r="BA90" s="275"/>
      <c r="BB90" s="275">
        <v>0</v>
      </c>
      <c r="BC90" s="275"/>
      <c r="BD90" s="275"/>
      <c r="BE90" s="275"/>
      <c r="BF90" s="275"/>
      <c r="BG90" s="275" t="s">
        <v>0</v>
      </c>
      <c r="BH90" s="275"/>
      <c r="BI90" s="275"/>
      <c r="BJ90" s="275"/>
      <c r="BK90" s="275"/>
      <c r="BL90" s="275"/>
      <c r="BM90" s="275"/>
      <c r="BN90" s="275"/>
      <c r="BO90" s="275">
        <v>0</v>
      </c>
      <c r="BP90" s="275"/>
      <c r="BQ90" s="275"/>
      <c r="BR90" s="275"/>
      <c r="BS90" s="275"/>
      <c r="BT90" s="275">
        <v>0</v>
      </c>
      <c r="BU90" s="275"/>
      <c r="BV90" s="275"/>
      <c r="BW90" s="275"/>
      <c r="BX90" s="275"/>
      <c r="BY90" s="275"/>
      <c r="BZ90" s="275"/>
      <c r="CA90" s="275">
        <v>0</v>
      </c>
      <c r="CB90" s="275"/>
      <c r="CC90" s="275"/>
      <c r="CD90" s="275"/>
      <c r="CE90" s="275"/>
      <c r="CF90" s="275"/>
      <c r="CG90" s="275"/>
      <c r="DA90" s="583"/>
      <c r="EN90" s="351"/>
    </row>
    <row r="91" spans="1:144" s="211" customFormat="1" ht="15" outlineLevel="1">
      <c r="A91" s="323"/>
      <c r="B91" s="519" t="s">
        <v>768</v>
      </c>
      <c r="E91" s="519"/>
      <c r="F91" s="269">
        <v>-866</v>
      </c>
      <c r="G91" s="269">
        <v>-543</v>
      </c>
      <c r="H91" s="269">
        <f>-(778.37+24.6+17.71)</f>
        <v>-820.68000000000006</v>
      </c>
      <c r="I91" s="269">
        <f>-470-200-803</f>
        <v>-1473</v>
      </c>
      <c r="J91" s="269">
        <v>-803.12</v>
      </c>
      <c r="K91" s="269">
        <f>-713</f>
        <v>-713</v>
      </c>
      <c r="L91" s="269">
        <f>-812.29-17.71-24.6</f>
        <v>-854.6</v>
      </c>
      <c r="M91" s="269">
        <v>-708.95</v>
      </c>
      <c r="N91" s="269">
        <v>-1075</v>
      </c>
      <c r="O91" s="269">
        <v>-576</v>
      </c>
      <c r="P91" s="269">
        <v>-661.75</v>
      </c>
      <c r="Q91" s="269">
        <f>-642.24-18.77-24.6</f>
        <v>-685.61</v>
      </c>
      <c r="R91" s="269">
        <v>-578.61</v>
      </c>
      <c r="S91" s="310">
        <v>-706</v>
      </c>
      <c r="T91" s="310">
        <v>-596</v>
      </c>
      <c r="U91" s="310">
        <f>-18.77-773-24.6</f>
        <v>-816.37</v>
      </c>
      <c r="V91" s="310">
        <v>-676</v>
      </c>
      <c r="W91" s="310">
        <v>-755.21</v>
      </c>
      <c r="X91" s="310">
        <f>-653.36</f>
        <v>-653.36</v>
      </c>
      <c r="Y91" s="310">
        <v>-395.06</v>
      </c>
      <c r="Z91" s="310">
        <f>-12.3-18.77-550.62</f>
        <v>-581.69000000000005</v>
      </c>
      <c r="AA91" s="310">
        <v>-650.19000000000005</v>
      </c>
      <c r="AB91" s="310">
        <v>-622.75</v>
      </c>
      <c r="AC91" s="310">
        <v>-689.96</v>
      </c>
      <c r="AD91" s="310">
        <f>-505.47-12.3-18.77</f>
        <v>-536.54</v>
      </c>
      <c r="AE91" s="310">
        <v>-477.47</v>
      </c>
      <c r="AF91" s="310">
        <v>-770.21</v>
      </c>
      <c r="AG91" s="310">
        <v>-814.15</v>
      </c>
      <c r="AH91" s="310">
        <f>-965.55-18.77-12.3</f>
        <v>-996.61999999999989</v>
      </c>
      <c r="AI91" s="310">
        <v>-459.87</v>
      </c>
      <c r="AJ91" s="310">
        <v>-1073.26</v>
      </c>
      <c r="AK91" s="310">
        <f>-873.7</f>
        <v>-873.7</v>
      </c>
      <c r="AL91" s="310">
        <v>-671.31</v>
      </c>
      <c r="AM91" s="310">
        <f>-1035.08-12.3-18.77</f>
        <v>-1066.1499999999999</v>
      </c>
      <c r="AN91" s="310">
        <f>-914.09</f>
        <v>-914.09</v>
      </c>
      <c r="AO91" s="310">
        <f>-623.56</f>
        <v>-623.55999999999995</v>
      </c>
      <c r="AP91" s="310">
        <v>-1188.48</v>
      </c>
      <c r="AQ91" s="310">
        <f>-614.86-19.07-12.3</f>
        <v>-646.23</v>
      </c>
      <c r="AR91" s="310">
        <v>-905.59</v>
      </c>
      <c r="AS91" s="310">
        <v>-893.88</v>
      </c>
      <c r="AT91" s="310">
        <v>-1056.55</v>
      </c>
      <c r="AU91" s="310">
        <f>-12.3-19.07-728.73</f>
        <v>-760.1</v>
      </c>
      <c r="AV91" s="310">
        <v>-961.03</v>
      </c>
      <c r="AW91" s="310">
        <v>-371.92</v>
      </c>
      <c r="AX91" s="310">
        <v>-489.92</v>
      </c>
      <c r="AY91" s="310">
        <v>-693.94</v>
      </c>
      <c r="AZ91" s="310">
        <f>-903.31-19.07-18.45</f>
        <v>-940.83</v>
      </c>
      <c r="BA91" s="310">
        <v>-704.11</v>
      </c>
      <c r="BB91" s="310">
        <v>-795.03</v>
      </c>
      <c r="BC91" s="310">
        <f>-778.19</f>
        <v>-778.19</v>
      </c>
      <c r="BD91" s="275"/>
      <c r="BE91" s="310">
        <f>-544.69-19.07-18.45</f>
        <v>-582.21000000000015</v>
      </c>
      <c r="BF91" s="310">
        <f>-649.71</f>
        <v>-649.71</v>
      </c>
      <c r="BG91" s="310">
        <f>-569.48</f>
        <v>-569.48</v>
      </c>
      <c r="BH91" s="275"/>
      <c r="BI91" s="310">
        <v>-641.04</v>
      </c>
      <c r="BJ91" s="626">
        <v>-547.4</v>
      </c>
      <c r="BK91" s="275"/>
      <c r="BL91" s="310">
        <f>-457.83</f>
        <v>-457.83</v>
      </c>
      <c r="BM91" s="310">
        <v>-339.01</v>
      </c>
      <c r="BN91" s="275"/>
      <c r="BO91" s="310">
        <f>-559</f>
        <v>-559</v>
      </c>
      <c r="BP91" s="310">
        <v>-474.41</v>
      </c>
      <c r="BQ91" s="275"/>
      <c r="BR91" s="310">
        <f>-18.45-19.07-585.72</f>
        <v>-623.24</v>
      </c>
      <c r="BS91" s="310">
        <f>-771.22</f>
        <v>-771.22</v>
      </c>
      <c r="BT91" s="310">
        <v>-510.58</v>
      </c>
      <c r="BU91" s="275"/>
      <c r="BV91" s="310">
        <f>-672.35</f>
        <v>-672.35</v>
      </c>
      <c r="BW91" s="275"/>
      <c r="BX91" s="627">
        <f>-578.01-19.07-18.45</f>
        <v>-615.53000000000009</v>
      </c>
      <c r="BY91" s="627">
        <v>-389.08</v>
      </c>
      <c r="BZ91" s="275">
        <v>0</v>
      </c>
      <c r="CA91" s="310">
        <v>-523.84</v>
      </c>
      <c r="CB91" s="275"/>
      <c r="CC91" s="310">
        <v>-798.64</v>
      </c>
      <c r="CD91" s="275"/>
      <c r="CE91" s="310">
        <v>-455.05</v>
      </c>
      <c r="CF91" s="310">
        <f>-811.5-516.89</f>
        <v>-1328.3899999999999</v>
      </c>
      <c r="CG91" s="275" t="s">
        <v>0</v>
      </c>
      <c r="CH91" s="310">
        <v>-766.93</v>
      </c>
      <c r="CI91" s="310">
        <v>-477.62</v>
      </c>
      <c r="CJ91" s="310">
        <f>-704.01-19.07-18.45</f>
        <v>-741.53000000000009</v>
      </c>
      <c r="CK91" s="310">
        <v>-588.21</v>
      </c>
      <c r="CL91" s="310">
        <v>-804.24</v>
      </c>
      <c r="CM91" s="310">
        <v>-703.2</v>
      </c>
      <c r="CN91" s="310">
        <v>-812.43</v>
      </c>
      <c r="CO91" s="310">
        <v>-1052.96</v>
      </c>
      <c r="CP91" s="310">
        <v>-729.99</v>
      </c>
      <c r="CQ91" s="310">
        <v>-1155.8800000000001</v>
      </c>
      <c r="CR91" s="310">
        <f>-834.7-19.07-18.45</f>
        <v>-872.22000000000014</v>
      </c>
      <c r="CS91" s="310">
        <v>-1026.32</v>
      </c>
      <c r="CT91" s="310">
        <f>-1009.1</f>
        <v>-1009.1</v>
      </c>
      <c r="CU91" s="310">
        <v>-902.67</v>
      </c>
      <c r="CV91" s="310">
        <v>-830.65</v>
      </c>
      <c r="CW91" s="310">
        <f>-18.45-19.07-715</f>
        <v>-752.52</v>
      </c>
      <c r="CX91" s="310">
        <v>-834.18</v>
      </c>
      <c r="CY91" s="310">
        <v>-1025.26</v>
      </c>
      <c r="CZ91" s="310">
        <v>-527.79999999999995</v>
      </c>
      <c r="DA91" s="592">
        <f>-18.45-19.07-601.43</f>
        <v>-638.94999999999993</v>
      </c>
      <c r="DB91" s="275">
        <v>-1000</v>
      </c>
      <c r="DC91" s="275">
        <v>-1000</v>
      </c>
      <c r="DD91" s="275"/>
      <c r="DE91" s="275">
        <v>-1000</v>
      </c>
      <c r="DF91" s="275">
        <v>-1000</v>
      </c>
      <c r="DG91" s="275">
        <v>-1000</v>
      </c>
      <c r="DH91" s="275">
        <v>-1000</v>
      </c>
      <c r="DI91" s="275"/>
      <c r="DJ91" s="275">
        <v>-1000</v>
      </c>
      <c r="DK91" s="275">
        <v>-1000</v>
      </c>
      <c r="DL91" s="275">
        <v>-1000</v>
      </c>
      <c r="DM91" s="275">
        <v>-1000</v>
      </c>
      <c r="DN91" s="275"/>
      <c r="DO91" s="275">
        <v>-1000</v>
      </c>
      <c r="DP91" s="275">
        <v>-1000</v>
      </c>
      <c r="DQ91" s="275">
        <v>-1000</v>
      </c>
      <c r="DR91" s="275">
        <v>-1000</v>
      </c>
      <c r="DS91" s="275">
        <v>-1000</v>
      </c>
      <c r="DT91" s="275">
        <v>-1000</v>
      </c>
      <c r="DU91" s="275">
        <v>-1000</v>
      </c>
      <c r="DV91" s="275">
        <v>-1000</v>
      </c>
      <c r="DW91" s="275">
        <v>-1000</v>
      </c>
      <c r="DX91" s="275">
        <v>-1000</v>
      </c>
      <c r="DY91" s="275">
        <v>-1000</v>
      </c>
      <c r="DZ91" s="275">
        <v>-1000</v>
      </c>
      <c r="EA91" s="275">
        <v>-1000</v>
      </c>
      <c r="EB91" s="275">
        <v>-1000</v>
      </c>
      <c r="EC91" s="275">
        <v>-1000</v>
      </c>
      <c r="ED91" s="275">
        <v>-1000</v>
      </c>
      <c r="EE91" s="275">
        <v>-1000</v>
      </c>
      <c r="EF91" s="275">
        <v>-1000</v>
      </c>
      <c r="EG91" s="275">
        <v>-1000</v>
      </c>
      <c r="EH91" s="275">
        <v>-1000</v>
      </c>
      <c r="EI91" s="275">
        <v>-1000</v>
      </c>
      <c r="EJ91" s="275">
        <v>-1000</v>
      </c>
      <c r="EK91" s="275">
        <v>-1000</v>
      </c>
      <c r="EN91" s="351"/>
    </row>
    <row r="92" spans="1:144" s="211" customFormat="1" ht="15" outlineLevel="1">
      <c r="A92" s="323"/>
      <c r="B92" s="519" t="s">
        <v>167</v>
      </c>
      <c r="E92" s="519"/>
      <c r="F92" s="268"/>
      <c r="G92" s="268"/>
      <c r="H92" s="268"/>
      <c r="I92" s="268"/>
      <c r="J92" s="269">
        <v>-200</v>
      </c>
      <c r="K92" s="268"/>
      <c r="L92" s="269">
        <v>-200</v>
      </c>
      <c r="M92" s="269">
        <v>-200</v>
      </c>
      <c r="N92" s="268"/>
      <c r="O92" s="269">
        <f>-205.82-200</f>
        <v>-405.82</v>
      </c>
      <c r="P92" s="275"/>
      <c r="Q92" s="310">
        <v>-200</v>
      </c>
      <c r="R92" s="310">
        <v>-400</v>
      </c>
      <c r="S92" s="275"/>
      <c r="T92" s="310">
        <v>-200</v>
      </c>
      <c r="U92" s="310">
        <v>-200</v>
      </c>
      <c r="V92" s="275"/>
      <c r="W92" s="275"/>
      <c r="X92" s="310">
        <v>-200</v>
      </c>
      <c r="Y92" s="310">
        <v>-200</v>
      </c>
      <c r="Z92" s="310">
        <f>-200-200</f>
        <v>-400</v>
      </c>
      <c r="AA92" s="310">
        <v>-200</v>
      </c>
      <c r="AB92" s="275">
        <v>0</v>
      </c>
      <c r="AC92" s="275">
        <v>-200</v>
      </c>
      <c r="AD92" s="310">
        <v>-200</v>
      </c>
      <c r="AE92" s="310">
        <v>-200</v>
      </c>
      <c r="AF92" s="310">
        <v>-200</v>
      </c>
      <c r="AG92" s="310">
        <v>-200</v>
      </c>
      <c r="AH92" s="275" t="s">
        <v>0</v>
      </c>
      <c r="AI92" s="310">
        <v>-200</v>
      </c>
      <c r="AJ92" s="310">
        <v>-200</v>
      </c>
      <c r="AK92" s="310">
        <v>-200</v>
      </c>
      <c r="AM92" s="310">
        <v>-200</v>
      </c>
      <c r="AN92" s="310">
        <v>-200</v>
      </c>
      <c r="AO92" s="310">
        <v>-200</v>
      </c>
      <c r="AP92" s="310">
        <v>-200</v>
      </c>
      <c r="AQ92" s="275" t="s">
        <v>0</v>
      </c>
      <c r="AR92" s="310">
        <v>-200</v>
      </c>
      <c r="AS92" s="275">
        <v>0</v>
      </c>
      <c r="AT92" s="310">
        <v>-200</v>
      </c>
      <c r="AU92" s="275" t="s">
        <v>0</v>
      </c>
      <c r="AV92" s="310">
        <v>-200</v>
      </c>
      <c r="AW92" s="275">
        <v>0</v>
      </c>
      <c r="AX92" s="310">
        <v>-200</v>
      </c>
      <c r="AY92" s="310">
        <v>-200</v>
      </c>
      <c r="AZ92" s="275" t="s">
        <v>0</v>
      </c>
      <c r="BA92" s="310">
        <v>-200</v>
      </c>
      <c r="BB92" s="275">
        <v>0</v>
      </c>
      <c r="BC92" s="310">
        <v>-200</v>
      </c>
      <c r="BD92" s="275"/>
      <c r="BE92" s="275" t="s">
        <v>0</v>
      </c>
      <c r="BF92" s="310">
        <v>-200</v>
      </c>
      <c r="BG92" s="275" t="s">
        <v>0</v>
      </c>
      <c r="BH92" s="275"/>
      <c r="BI92" s="310">
        <v>-200</v>
      </c>
      <c r="BK92" s="275"/>
      <c r="BL92" s="310">
        <v>-200</v>
      </c>
      <c r="BN92" s="275"/>
      <c r="BO92" s="275" t="s">
        <v>0</v>
      </c>
      <c r="BP92" s="310">
        <v>-200</v>
      </c>
      <c r="BQ92" s="275"/>
      <c r="BR92" s="275">
        <v>0</v>
      </c>
      <c r="BS92" s="310">
        <v>-200</v>
      </c>
      <c r="BU92" s="275"/>
      <c r="BV92" s="310">
        <v>-200</v>
      </c>
      <c r="BW92" s="275"/>
      <c r="BX92" s="275" t="s">
        <v>0</v>
      </c>
      <c r="BY92" s="275"/>
      <c r="BZ92" s="310">
        <v>-200</v>
      </c>
      <c r="CA92" s="275" t="s">
        <v>0</v>
      </c>
      <c r="CB92" s="275"/>
      <c r="CC92" s="310">
        <v>-200</v>
      </c>
      <c r="CD92" s="275"/>
      <c r="CE92" s="310">
        <v>-200</v>
      </c>
      <c r="CF92" s="275" t="s">
        <v>0</v>
      </c>
      <c r="CG92" s="275" t="s">
        <v>0</v>
      </c>
      <c r="CH92" s="310">
        <v>-200</v>
      </c>
      <c r="CI92" s="275" t="s">
        <v>0</v>
      </c>
      <c r="CJ92" s="310">
        <v>-200</v>
      </c>
      <c r="CK92" s="275" t="s">
        <v>0</v>
      </c>
      <c r="CL92" s="310">
        <v>-200</v>
      </c>
      <c r="CM92" s="275" t="s">
        <v>0</v>
      </c>
      <c r="CN92" s="310">
        <v>-200</v>
      </c>
      <c r="CO92" s="275" t="s">
        <v>0</v>
      </c>
      <c r="CP92" s="310">
        <v>-200</v>
      </c>
      <c r="CQ92" s="310">
        <v>-200</v>
      </c>
      <c r="CS92" s="310">
        <v>-200</v>
      </c>
      <c r="CU92" s="310">
        <v>-200</v>
      </c>
      <c r="CW92" s="275" t="s">
        <v>0</v>
      </c>
      <c r="CX92" s="310">
        <v>-200</v>
      </c>
      <c r="CY92" s="275"/>
      <c r="CZ92" s="275" t="s">
        <v>0</v>
      </c>
      <c r="DA92" s="585">
        <v>-200</v>
      </c>
      <c r="DB92" s="275">
        <v>-200</v>
      </c>
      <c r="DC92" s="268" t="s">
        <v>0</v>
      </c>
      <c r="DD92" s="268"/>
      <c r="DE92" s="275">
        <v>-200</v>
      </c>
      <c r="DF92" s="268"/>
      <c r="DG92" s="275">
        <v>-200</v>
      </c>
      <c r="DH92" s="268"/>
      <c r="DI92" s="268"/>
      <c r="DJ92" s="275">
        <v>-200</v>
      </c>
      <c r="DK92" s="268"/>
      <c r="DL92" s="275">
        <v>-200</v>
      </c>
      <c r="DM92" s="268"/>
      <c r="DN92" s="268"/>
      <c r="DO92" s="275">
        <v>-200</v>
      </c>
      <c r="DP92" s="268"/>
      <c r="DQ92" s="275">
        <v>-200</v>
      </c>
      <c r="DR92" s="268"/>
      <c r="DS92" s="275">
        <v>-200</v>
      </c>
      <c r="DT92" s="268"/>
      <c r="DU92" s="275">
        <v>-200</v>
      </c>
      <c r="DV92" s="268"/>
      <c r="DW92" s="275">
        <v>-200</v>
      </c>
      <c r="DX92" s="268" t="s">
        <v>0</v>
      </c>
      <c r="DY92" s="275">
        <v>-200</v>
      </c>
      <c r="DZ92" s="268"/>
      <c r="EA92" s="275">
        <v>-200</v>
      </c>
      <c r="EB92" s="268"/>
      <c r="EC92" s="275">
        <v>-200</v>
      </c>
      <c r="ED92" s="268"/>
      <c r="EE92" s="275">
        <v>-200</v>
      </c>
      <c r="EF92" s="268" t="s">
        <v>0</v>
      </c>
      <c r="EG92" s="275">
        <v>-200</v>
      </c>
      <c r="EH92" s="268"/>
      <c r="EI92" s="275">
        <v>-200</v>
      </c>
      <c r="EJ92" s="268"/>
      <c r="EK92" s="275">
        <v>-200</v>
      </c>
      <c r="EN92" s="351"/>
    </row>
    <row r="93" spans="1:144" s="211" customFormat="1" ht="15" outlineLevel="1">
      <c r="A93" s="323"/>
      <c r="B93" s="519" t="s">
        <v>168</v>
      </c>
      <c r="E93" s="519"/>
      <c r="F93" s="268"/>
      <c r="G93" s="269">
        <v>-240</v>
      </c>
      <c r="H93" s="268"/>
      <c r="I93" s="268"/>
      <c r="J93" s="269">
        <v>-240</v>
      </c>
      <c r="L93" s="268"/>
      <c r="M93" s="268"/>
      <c r="N93" s="268"/>
      <c r="O93" s="269">
        <v>-256.64</v>
      </c>
      <c r="P93" s="275"/>
      <c r="Q93" s="275"/>
      <c r="R93" s="275"/>
      <c r="S93" s="310">
        <v>-256.64</v>
      </c>
      <c r="T93" s="275"/>
      <c r="U93" s="275"/>
      <c r="V93" s="275"/>
      <c r="W93" s="275">
        <v>0</v>
      </c>
      <c r="X93" s="310">
        <v>-256.64</v>
      </c>
      <c r="Y93" s="275"/>
      <c r="Z93" s="275"/>
      <c r="AA93" s="275"/>
      <c r="AB93" s="310">
        <v>-256.64</v>
      </c>
      <c r="AC93" s="275"/>
      <c r="AD93" s="275"/>
      <c r="AE93" s="275"/>
      <c r="AF93" s="310">
        <v>-256.64</v>
      </c>
      <c r="AG93" s="275"/>
      <c r="AH93" s="275"/>
      <c r="AI93" s="275"/>
      <c r="AK93" s="310">
        <v>-256.64</v>
      </c>
      <c r="AL93" s="275"/>
      <c r="AM93" s="275"/>
      <c r="AN93" s="275"/>
      <c r="AO93" s="310">
        <v>-256.64</v>
      </c>
      <c r="AP93" s="275"/>
      <c r="AQ93" s="275"/>
      <c r="AR93" s="275"/>
      <c r="AS93" s="310">
        <v>-256.64</v>
      </c>
      <c r="AT93" s="275"/>
      <c r="AU93" s="275"/>
      <c r="AV93" s="275" t="s">
        <v>0</v>
      </c>
      <c r="AW93" s="275">
        <v>0</v>
      </c>
      <c r="AX93" s="310">
        <v>-256.64</v>
      </c>
      <c r="AY93" s="275"/>
      <c r="AZ93" s="275"/>
      <c r="BA93" s="275"/>
      <c r="BB93" s="310">
        <v>-256.64</v>
      </c>
      <c r="BC93" s="275"/>
      <c r="BD93" s="275"/>
      <c r="BE93" s="275"/>
      <c r="BF93" s="275"/>
      <c r="BG93" s="310">
        <v>-256.64</v>
      </c>
      <c r="BH93" s="275"/>
      <c r="BI93" s="275"/>
      <c r="BJ93" s="275"/>
      <c r="BK93" s="275"/>
      <c r="BL93" s="275"/>
      <c r="BM93" s="275"/>
      <c r="BN93" s="275"/>
      <c r="BO93" s="310">
        <v>-256.64</v>
      </c>
      <c r="BP93" s="275"/>
      <c r="BQ93" s="275"/>
      <c r="BR93" s="275"/>
      <c r="BS93" s="275"/>
      <c r="BT93" s="310">
        <v>-256.64</v>
      </c>
      <c r="BU93" s="275"/>
      <c r="BV93" s="275"/>
      <c r="BW93" s="275"/>
      <c r="BX93" s="275"/>
      <c r="BY93" s="275"/>
      <c r="BZ93" s="275"/>
      <c r="CA93" s="310">
        <v>-256.64</v>
      </c>
      <c r="CB93" s="275"/>
      <c r="CC93" s="275"/>
      <c r="CD93" s="275"/>
      <c r="CE93" s="275"/>
      <c r="CF93" s="275"/>
      <c r="CG93" s="275"/>
      <c r="CH93" s="310">
        <v>-256.64</v>
      </c>
      <c r="CL93" s="310">
        <v>-256.64</v>
      </c>
      <c r="CN93" s="607"/>
      <c r="CP93" s="310">
        <v>-256.64</v>
      </c>
      <c r="CU93" s="310">
        <v>-256.64</v>
      </c>
      <c r="CV93" s="275"/>
      <c r="CW93" s="275"/>
      <c r="CX93" s="275"/>
      <c r="CY93" s="310">
        <v>-256.64</v>
      </c>
      <c r="CZ93" s="275"/>
      <c r="DA93" s="585"/>
      <c r="DC93" s="275">
        <v>-256.64</v>
      </c>
      <c r="DD93" s="275"/>
      <c r="DE93" s="275"/>
      <c r="DF93" s="275"/>
      <c r="DG93" s="275"/>
      <c r="DH93" s="275"/>
      <c r="DI93" s="275"/>
      <c r="DJ93" s="275">
        <v>-256.64</v>
      </c>
      <c r="DK93" s="275"/>
      <c r="DL93" s="275"/>
      <c r="DM93" s="275"/>
      <c r="DN93" s="275"/>
      <c r="DO93" s="275">
        <v>-256.64</v>
      </c>
      <c r="DP93" s="275"/>
      <c r="DQ93" s="275"/>
      <c r="DR93" s="275"/>
      <c r="DS93" s="275">
        <v>-256.64</v>
      </c>
      <c r="DT93" s="275"/>
      <c r="DU93" s="275"/>
      <c r="DV93" s="275"/>
      <c r="DW93" s="275"/>
      <c r="DX93" s="275">
        <v>-256.64</v>
      </c>
      <c r="DY93" s="275"/>
      <c r="DZ93" s="275"/>
      <c r="EA93" s="275"/>
      <c r="EB93" s="275">
        <v>-256.64</v>
      </c>
      <c r="EC93" s="275"/>
      <c r="ED93" s="275"/>
      <c r="EE93" s="275"/>
      <c r="EF93" s="275">
        <v>-256.64</v>
      </c>
      <c r="EG93" s="275"/>
      <c r="EH93" s="275"/>
      <c r="EJ93" s="275"/>
      <c r="EK93" s="275">
        <v>-256.64</v>
      </c>
      <c r="EN93" s="351"/>
    </row>
    <row r="94" spans="1:144" s="211" customFormat="1" ht="15" outlineLevel="1">
      <c r="A94" s="323"/>
      <c r="B94" s="519" t="s">
        <v>170</v>
      </c>
      <c r="E94" s="519"/>
      <c r="F94" s="268"/>
      <c r="G94" s="268"/>
      <c r="H94" s="269">
        <v>-513</v>
      </c>
      <c r="I94" s="268"/>
      <c r="J94" s="268"/>
      <c r="K94" s="268"/>
      <c r="L94" s="269">
        <v>-513</v>
      </c>
      <c r="M94" s="268"/>
      <c r="N94" s="268"/>
      <c r="O94" s="268" t="s">
        <v>0</v>
      </c>
      <c r="P94" s="310">
        <v>-513</v>
      </c>
      <c r="Q94" s="275"/>
      <c r="R94" s="275"/>
      <c r="S94" s="275" t="s">
        <v>0</v>
      </c>
      <c r="T94" s="275">
        <v>0</v>
      </c>
      <c r="U94" s="310">
        <v>-513</v>
      </c>
      <c r="V94" s="275"/>
      <c r="W94" s="275" t="s">
        <v>0</v>
      </c>
      <c r="Y94" s="310">
        <v>-513</v>
      </c>
      <c r="Z94" s="275"/>
      <c r="AA94" s="275"/>
      <c r="AC94" s="310">
        <v>-513</v>
      </c>
      <c r="AD94" s="275"/>
      <c r="AE94" s="310">
        <v>-174</v>
      </c>
      <c r="AH94" s="310">
        <v>-600</v>
      </c>
      <c r="AI94" s="275"/>
      <c r="AK94" s="275"/>
      <c r="AL94" s="310">
        <v>-600</v>
      </c>
      <c r="AM94" s="275"/>
      <c r="AN94" s="275"/>
      <c r="AP94" s="310">
        <v>-600</v>
      </c>
      <c r="AQ94" s="275"/>
      <c r="AR94" s="275"/>
      <c r="AS94" s="275"/>
      <c r="AT94" s="275"/>
      <c r="AU94" s="310">
        <v>-600</v>
      </c>
      <c r="AW94" s="569"/>
      <c r="AX94" s="275"/>
      <c r="AY94" s="310">
        <v>-600</v>
      </c>
      <c r="AZ94" s="275"/>
      <c r="BA94" s="275"/>
      <c r="BB94" s="275" t="s">
        <v>0</v>
      </c>
      <c r="BC94" s="310">
        <v>-600</v>
      </c>
      <c r="BD94" s="275"/>
      <c r="BE94" s="275"/>
      <c r="BF94" s="275"/>
      <c r="BH94" s="275"/>
      <c r="BJ94" s="310">
        <v>-600</v>
      </c>
      <c r="BK94" s="275"/>
      <c r="BL94" s="275"/>
      <c r="BM94" s="275"/>
      <c r="BN94" s="275"/>
      <c r="BP94" s="310">
        <v>-600</v>
      </c>
      <c r="BQ94" s="275"/>
      <c r="BR94" s="275"/>
      <c r="BS94" s="275"/>
      <c r="BU94" s="275"/>
      <c r="BX94" s="310">
        <v>-600</v>
      </c>
      <c r="BY94" s="275"/>
      <c r="BZ94" s="275"/>
      <c r="CB94" s="275"/>
      <c r="CD94" s="275"/>
      <c r="CE94" s="310">
        <v>-600</v>
      </c>
      <c r="CF94" s="275"/>
      <c r="CG94" s="275"/>
      <c r="CI94" s="607">
        <v>-600</v>
      </c>
      <c r="CN94" s="269">
        <v>-600</v>
      </c>
      <c r="CR94" s="607">
        <v>-600</v>
      </c>
      <c r="CV94" s="607">
        <v>-600</v>
      </c>
      <c r="CZ94" s="269">
        <v>-600</v>
      </c>
      <c r="DA94" s="583"/>
      <c r="DC94" s="211">
        <v>-600</v>
      </c>
      <c r="DJ94" s="211">
        <v>-600</v>
      </c>
      <c r="DO94" s="211">
        <v>-600</v>
      </c>
      <c r="DS94" s="211">
        <v>-600</v>
      </c>
      <c r="DX94" s="211">
        <v>-600</v>
      </c>
      <c r="EB94" s="211">
        <v>-600</v>
      </c>
      <c r="EF94" s="211">
        <v>-600</v>
      </c>
      <c r="EK94" s="211">
        <v>-600</v>
      </c>
      <c r="EN94" s="351"/>
    </row>
    <row r="95" spans="1:144" s="211" customFormat="1" ht="15" outlineLevel="1">
      <c r="A95" s="323"/>
      <c r="B95" s="519" t="s">
        <v>171</v>
      </c>
      <c r="E95" s="519"/>
      <c r="F95" s="268"/>
      <c r="G95" s="268"/>
      <c r="H95" s="269"/>
      <c r="I95" s="268"/>
      <c r="J95" s="268"/>
      <c r="K95" s="268"/>
      <c r="L95" s="269"/>
      <c r="M95" s="268"/>
      <c r="N95" s="268"/>
      <c r="O95" s="268"/>
      <c r="P95" s="310"/>
      <c r="Q95" s="275"/>
      <c r="R95" s="275"/>
      <c r="S95" s="275"/>
      <c r="T95" s="310">
        <v>-2214</v>
      </c>
      <c r="U95" s="275"/>
      <c r="V95" s="275"/>
      <c r="W95" s="275"/>
      <c r="X95" s="275"/>
      <c r="Y95" s="275"/>
      <c r="Z95" s="275"/>
      <c r="AA95" s="275"/>
      <c r="AB95" s="275"/>
      <c r="AC95" s="275"/>
      <c r="AD95" s="275"/>
      <c r="AF95" s="275"/>
      <c r="AH95" s="310">
        <v>-200</v>
      </c>
      <c r="AI95" s="275"/>
      <c r="AK95" s="275"/>
      <c r="AL95" s="310">
        <v>-200</v>
      </c>
      <c r="AM95" s="275"/>
      <c r="AN95" s="275"/>
      <c r="AP95" s="310">
        <v>-200</v>
      </c>
      <c r="AQ95" s="275"/>
      <c r="AR95" s="275"/>
      <c r="AS95" s="275"/>
      <c r="AT95" s="275"/>
      <c r="AU95" s="310">
        <v>-200</v>
      </c>
      <c r="AW95" s="569"/>
      <c r="AX95" s="275"/>
      <c r="AY95" s="310">
        <v>-200</v>
      </c>
      <c r="AZ95" s="275"/>
      <c r="BA95" s="275"/>
      <c r="BB95" s="275" t="s">
        <v>0</v>
      </c>
      <c r="BC95" s="310">
        <v>-200</v>
      </c>
      <c r="BD95" s="275"/>
      <c r="BE95" s="275"/>
      <c r="BF95" s="275"/>
      <c r="BH95" s="275"/>
      <c r="BJ95" s="310">
        <v>-200</v>
      </c>
      <c r="BK95" s="275"/>
      <c r="BL95" s="275"/>
      <c r="BM95" s="275"/>
      <c r="BN95" s="275"/>
      <c r="BP95" s="310">
        <v>-200</v>
      </c>
      <c r="BQ95" s="275"/>
      <c r="BR95" s="275"/>
      <c r="BS95" s="275"/>
      <c r="BU95" s="275"/>
      <c r="BX95" s="310">
        <v>-200</v>
      </c>
      <c r="BY95" s="275"/>
      <c r="BZ95" s="275"/>
      <c r="CB95" s="275"/>
      <c r="CD95" s="275"/>
      <c r="CE95" s="310">
        <v>-200</v>
      </c>
      <c r="CF95" s="275"/>
      <c r="CG95" s="275"/>
      <c r="CI95" s="607">
        <v>-200</v>
      </c>
      <c r="CN95" s="269">
        <v>-200</v>
      </c>
      <c r="CR95" s="607">
        <v>-200</v>
      </c>
      <c r="CV95" s="607">
        <v>-200</v>
      </c>
      <c r="CZ95" s="269">
        <v>-200</v>
      </c>
      <c r="DA95" s="583"/>
      <c r="DC95" s="211">
        <v>-200</v>
      </c>
      <c r="DJ95" s="211">
        <v>-200</v>
      </c>
      <c r="DO95" s="211">
        <v>-200</v>
      </c>
      <c r="DS95" s="211">
        <v>-200</v>
      </c>
      <c r="DX95" s="211">
        <v>-200</v>
      </c>
      <c r="EB95" s="211">
        <v>-200</v>
      </c>
      <c r="EF95" s="211">
        <v>-200</v>
      </c>
      <c r="EK95" s="211">
        <v>-200</v>
      </c>
      <c r="EN95" s="351"/>
    </row>
    <row r="96" spans="1:144" s="211" customFormat="1" ht="12" customHeight="1" outlineLevel="1">
      <c r="A96" s="323"/>
      <c r="B96" s="519" t="s">
        <v>172</v>
      </c>
      <c r="E96" s="519"/>
      <c r="F96" s="268"/>
      <c r="G96" s="268"/>
      <c r="H96" s="269">
        <v>-2194</v>
      </c>
      <c r="I96" s="268"/>
      <c r="J96" s="268"/>
      <c r="K96" s="268"/>
      <c r="L96" s="269">
        <f>H96</f>
        <v>-2194</v>
      </c>
      <c r="M96" s="268"/>
      <c r="N96" s="268"/>
      <c r="O96" s="211" t="s">
        <v>0</v>
      </c>
      <c r="P96" s="269">
        <f>L96</f>
        <v>-2194</v>
      </c>
      <c r="Q96" s="275"/>
      <c r="R96" s="275"/>
      <c r="U96" s="310">
        <f>P96</f>
        <v>-2194</v>
      </c>
      <c r="V96" s="275"/>
      <c r="W96" s="275" t="s">
        <v>0</v>
      </c>
      <c r="X96" s="275"/>
      <c r="Y96" s="310">
        <v>-2194</v>
      </c>
      <c r="Z96" s="275"/>
      <c r="AA96" s="275"/>
      <c r="AC96" s="310">
        <f>P96</f>
        <v>-2194</v>
      </c>
      <c r="AD96" s="275"/>
      <c r="AE96" s="275"/>
      <c r="AF96" s="275" t="s">
        <v>0</v>
      </c>
      <c r="AH96" s="275" t="s">
        <v>0</v>
      </c>
      <c r="AL96" s="275" t="s">
        <v>0</v>
      </c>
      <c r="AM96" s="275"/>
      <c r="AN96" s="275" t="s">
        <v>0</v>
      </c>
      <c r="AP96" s="275"/>
      <c r="AQ96" s="275"/>
      <c r="AS96" s="275"/>
      <c r="AT96" s="310">
        <v>-1829.35</v>
      </c>
      <c r="AU96" s="310">
        <v>-1799.38</v>
      </c>
      <c r="AV96" s="275" t="s">
        <v>0</v>
      </c>
      <c r="AW96" s="569"/>
      <c r="AX96" s="275"/>
      <c r="AY96" s="310">
        <v>-1799.35</v>
      </c>
      <c r="AZ96" s="275" t="s">
        <v>0</v>
      </c>
      <c r="BA96" s="275"/>
      <c r="BC96" s="310">
        <v>-1920.11</v>
      </c>
      <c r="BD96" s="275"/>
      <c r="BE96" s="275" t="s">
        <v>0</v>
      </c>
      <c r="BF96" s="275"/>
      <c r="BJ96" s="310">
        <v>-1920.06</v>
      </c>
      <c r="BK96" s="275"/>
      <c r="BL96" s="275"/>
      <c r="BM96" s="275"/>
      <c r="BN96" s="275"/>
      <c r="BP96" s="310">
        <v>-1920.06</v>
      </c>
      <c r="BQ96" s="275"/>
      <c r="BR96" s="275"/>
      <c r="BS96" s="275"/>
      <c r="BU96" s="275"/>
      <c r="BX96" s="310">
        <v>-1920</v>
      </c>
      <c r="BY96" s="275"/>
      <c r="BZ96" s="275"/>
      <c r="CB96" s="275"/>
      <c r="CD96" s="275"/>
      <c r="CE96" s="310">
        <v>-1920.06</v>
      </c>
      <c r="CF96" s="275"/>
      <c r="CG96" s="275"/>
      <c r="CI96" s="310">
        <v>-1920.06</v>
      </c>
      <c r="CN96" s="310">
        <v>-1920.06</v>
      </c>
      <c r="CS96" s="275" t="s">
        <v>0</v>
      </c>
      <c r="CV96" s="275" t="s">
        <v>0</v>
      </c>
      <c r="CW96" s="275"/>
      <c r="CX96" s="275"/>
      <c r="DA96" s="585">
        <v>-1920</v>
      </c>
      <c r="DC96" s="275">
        <v>-1920</v>
      </c>
      <c r="DD96" s="275"/>
      <c r="DE96" s="275"/>
      <c r="DF96" s="275"/>
      <c r="DG96" s="275"/>
      <c r="DH96" s="275"/>
      <c r="DI96" s="275"/>
      <c r="DJ96" s="275">
        <v>-1920</v>
      </c>
      <c r="DK96" s="275"/>
      <c r="DL96" s="275"/>
      <c r="DM96" s="275"/>
      <c r="DN96" s="275"/>
      <c r="DO96" s="275">
        <v>-1920</v>
      </c>
      <c r="DP96" s="275"/>
      <c r="DQ96" s="275"/>
      <c r="DR96" s="275"/>
      <c r="DS96" s="275">
        <v>-1920</v>
      </c>
      <c r="DT96" s="275"/>
      <c r="DU96" s="275"/>
      <c r="DV96" s="275"/>
      <c r="DW96" s="275"/>
      <c r="DX96" s="275">
        <v>-1920</v>
      </c>
      <c r="DY96" s="275"/>
      <c r="DZ96" s="275"/>
      <c r="EA96" s="275"/>
      <c r="EB96" s="275">
        <v>-1920</v>
      </c>
      <c r="EC96" s="275"/>
      <c r="ED96" s="275"/>
      <c r="EE96" s="275"/>
      <c r="EF96" s="275">
        <v>-1920</v>
      </c>
      <c r="EG96" s="275"/>
      <c r="EH96" s="275"/>
      <c r="EJ96" s="275"/>
      <c r="EK96" s="275">
        <v>-1920</v>
      </c>
      <c r="EN96" s="351"/>
    </row>
    <row r="97" spans="1:144" ht="15" outlineLevel="1">
      <c r="A97" s="648"/>
      <c r="B97" s="282" t="s">
        <v>706</v>
      </c>
      <c r="C97" s="211"/>
      <c r="F97" s="268">
        <v>-2600</v>
      </c>
      <c r="G97" s="268"/>
      <c r="H97" s="269">
        <v>-2287.56</v>
      </c>
      <c r="I97" s="268" t="s">
        <v>0</v>
      </c>
      <c r="J97" s="269">
        <v>-2807.46</v>
      </c>
      <c r="K97" s="268"/>
      <c r="L97" s="268"/>
      <c r="O97" s="268">
        <v>0</v>
      </c>
      <c r="P97" s="310">
        <v>-2235</v>
      </c>
      <c r="Q97" s="268" t="s">
        <v>0</v>
      </c>
      <c r="R97" s="275" t="s">
        <v>0</v>
      </c>
      <c r="S97" s="310">
        <v>-2131.59</v>
      </c>
      <c r="T97" s="275"/>
      <c r="U97" s="275"/>
      <c r="V97" s="275"/>
      <c r="W97" s="275">
        <v>0</v>
      </c>
      <c r="X97" s="275">
        <v>0</v>
      </c>
      <c r="Y97" s="275">
        <v>0</v>
      </c>
      <c r="Z97" s="275">
        <v>0</v>
      </c>
      <c r="AA97" s="275">
        <v>0</v>
      </c>
      <c r="AB97" s="275">
        <v>0</v>
      </c>
      <c r="AC97" s="310">
        <f>-2599.5-2079.6</f>
        <v>-4679.1000000000004</v>
      </c>
      <c r="AD97" s="275">
        <v>0</v>
      </c>
      <c r="AE97" s="275"/>
      <c r="AH97" s="310">
        <v>-1767.66</v>
      </c>
      <c r="AI97" s="275"/>
      <c r="AJ97" s="310">
        <v>-2339.5500000000002</v>
      </c>
      <c r="AK97" s="275"/>
      <c r="AM97" s="275"/>
      <c r="AN97" s="275"/>
      <c r="AO97" s="275" t="s">
        <v>0</v>
      </c>
      <c r="AP97" s="275">
        <v>0</v>
      </c>
      <c r="AQ97" s="275" t="s">
        <v>0</v>
      </c>
      <c r="AT97" s="310">
        <f>-2506.23-2495.52</f>
        <v>-5001.75</v>
      </c>
      <c r="AU97" s="275"/>
      <c r="AY97" s="310">
        <v>-2963.95</v>
      </c>
      <c r="AZ97" s="275"/>
      <c r="BA97" s="275"/>
      <c r="BB97" s="310">
        <v>-2425.0500000000002</v>
      </c>
      <c r="BC97" s="275"/>
      <c r="BD97" s="275"/>
      <c r="BE97" s="275"/>
      <c r="BF97" s="275"/>
      <c r="BH97" s="275"/>
      <c r="BK97" s="275"/>
      <c r="BL97" s="310">
        <v>-2155.6</v>
      </c>
      <c r="BM97" s="275"/>
      <c r="BN97" s="275"/>
      <c r="BQ97" s="275"/>
      <c r="BS97" s="275" t="s">
        <v>0</v>
      </c>
      <c r="BT97" s="310">
        <v>-2748.39</v>
      </c>
      <c r="BU97" s="275"/>
      <c r="BZ97" s="310">
        <v>-2371</v>
      </c>
      <c r="CB97" s="275"/>
      <c r="CD97" s="275"/>
      <c r="CE97" s="275" t="s">
        <v>0</v>
      </c>
      <c r="CF97" s="275"/>
      <c r="CG97" s="275"/>
      <c r="CI97" s="627">
        <f>-2963.95-2317.27</f>
        <v>-5281.2199999999993</v>
      </c>
      <c r="CJ97" s="275"/>
      <c r="CO97" s="275" t="s">
        <v>0</v>
      </c>
      <c r="CQ97" s="310">
        <f>-2155.6-2805.19</f>
        <v>-4960.79</v>
      </c>
      <c r="CX97" s="310">
        <v>-2484.7600000000002</v>
      </c>
      <c r="CZ97" s="310">
        <v>-3105.95</v>
      </c>
      <c r="DA97" s="585"/>
      <c r="DC97" s="275">
        <v>-2600</v>
      </c>
      <c r="DD97" s="275"/>
      <c r="DE97" s="275"/>
      <c r="DF97" s="275"/>
      <c r="DG97" s="275"/>
      <c r="DH97" s="275"/>
      <c r="DI97" s="275"/>
      <c r="DJ97" s="275">
        <v>-2600</v>
      </c>
      <c r="DK97" s="275"/>
      <c r="DL97" s="275"/>
      <c r="DM97" s="275"/>
      <c r="DN97" s="275"/>
      <c r="DO97" s="275">
        <v>-2600</v>
      </c>
      <c r="DP97" s="275"/>
      <c r="DQ97" s="275"/>
      <c r="DR97" s="275"/>
      <c r="DS97" s="275">
        <v>-2600</v>
      </c>
      <c r="DT97" s="275"/>
      <c r="DU97" s="275"/>
      <c r="DV97" s="275"/>
      <c r="DW97" s="275"/>
      <c r="DX97" s="275">
        <v>-2600</v>
      </c>
      <c r="DY97" s="275"/>
      <c r="DZ97" s="275"/>
      <c r="EA97" s="275"/>
      <c r="EB97" s="275">
        <v>-2600</v>
      </c>
      <c r="EC97" s="275"/>
      <c r="ED97" s="275"/>
      <c r="EE97" s="275"/>
      <c r="EF97" s="275">
        <v>-2600</v>
      </c>
      <c r="EG97" s="275"/>
      <c r="EH97" s="275"/>
      <c r="EJ97" s="275"/>
      <c r="EK97" s="275">
        <v>-2600</v>
      </c>
      <c r="EN97" s="207"/>
    </row>
    <row r="98" spans="1:144" s="211" customFormat="1" ht="15" outlineLevel="1">
      <c r="A98" s="323"/>
      <c r="B98" s="519" t="s">
        <v>173</v>
      </c>
      <c r="C98" s="211">
        <f>-8659-(1082*3)</f>
        <v>-11905</v>
      </c>
      <c r="E98" s="519"/>
      <c r="F98" s="268"/>
      <c r="G98" s="268"/>
      <c r="H98" s="268"/>
      <c r="I98" s="268"/>
      <c r="J98" s="269">
        <f>-1082.4*2</f>
        <v>-2164.8000000000002</v>
      </c>
      <c r="K98" s="268"/>
      <c r="L98" s="268"/>
      <c r="M98" s="268"/>
      <c r="N98" s="269">
        <f>J98</f>
        <v>-2164.8000000000002</v>
      </c>
      <c r="P98" s="275"/>
      <c r="Q98" s="275"/>
      <c r="R98" s="269">
        <v>-2165</v>
      </c>
      <c r="S98" s="275" t="s">
        <v>0</v>
      </c>
      <c r="T98" s="275"/>
      <c r="U98" s="275"/>
      <c r="V98" s="275">
        <v>0</v>
      </c>
      <c r="W98" s="275">
        <v>0</v>
      </c>
      <c r="X98" s="275">
        <v>0</v>
      </c>
      <c r="Y98" s="310">
        <v>-2165</v>
      </c>
      <c r="Z98" s="275"/>
      <c r="AA98" s="275"/>
      <c r="AB98" s="269">
        <v>-2165</v>
      </c>
      <c r="AC98" s="275">
        <v>0</v>
      </c>
      <c r="AD98" s="275"/>
      <c r="AE98" s="275"/>
      <c r="AG98" s="275" t="s">
        <v>0</v>
      </c>
      <c r="AH98" s="310">
        <v>-2164.8000000000002</v>
      </c>
      <c r="AI98" s="275"/>
      <c r="AK98" s="275" t="s">
        <v>0</v>
      </c>
      <c r="AM98" s="275" t="s">
        <v>0</v>
      </c>
      <c r="AN98" s="310">
        <v>-1082.4000000000001</v>
      </c>
      <c r="AO98" s="211" t="s">
        <v>0</v>
      </c>
      <c r="AP98" s="275"/>
      <c r="AQ98" s="275" t="s">
        <v>0</v>
      </c>
      <c r="AT98" s="310">
        <v>-4000</v>
      </c>
      <c r="AU98" s="275"/>
      <c r="AV98" s="275" t="s">
        <v>0</v>
      </c>
      <c r="AW98" s="310">
        <v>0</v>
      </c>
      <c r="AX98" s="310">
        <f>-1082.4-3576</f>
        <v>-4658.3999999999996</v>
      </c>
      <c r="AY98" s="275" t="s">
        <v>0</v>
      </c>
      <c r="AZ98" s="275"/>
      <c r="BA98" s="275"/>
      <c r="BB98" s="310">
        <v>-1082.4000000000001</v>
      </c>
      <c r="BC98" s="275"/>
      <c r="BD98" s="275"/>
      <c r="BE98" s="275"/>
      <c r="BF98" s="275"/>
      <c r="BG98" s="310">
        <v>-1082.4000000000001</v>
      </c>
      <c r="BH98" s="275"/>
      <c r="BI98" s="275"/>
      <c r="BJ98" s="275"/>
      <c r="BK98" s="275"/>
      <c r="BL98" s="275"/>
      <c r="BM98" s="275"/>
      <c r="BN98" s="275"/>
      <c r="BQ98" s="275"/>
      <c r="BR98" s="310">
        <v>-1082.4000000000001</v>
      </c>
      <c r="BS98" s="275"/>
      <c r="BV98" s="275"/>
      <c r="BW98" s="275"/>
      <c r="BX98" s="275"/>
      <c r="BY98" s="275"/>
      <c r="BZ98" s="310">
        <v>-1082.4000000000001</v>
      </c>
      <c r="CB98" s="275"/>
      <c r="CD98" s="275"/>
      <c r="CE98" s="275" t="s">
        <v>0</v>
      </c>
      <c r="CF98" s="275"/>
      <c r="CG98" s="275"/>
      <c r="CI98" s="310">
        <v>-1082.4000000000001</v>
      </c>
      <c r="CJ98" s="275"/>
      <c r="CL98" s="310">
        <v>-1082.4000000000001</v>
      </c>
      <c r="CM98" s="275"/>
      <c r="CN98" s="275"/>
      <c r="CO98" s="275"/>
      <c r="CR98" s="310">
        <v>-1082.4000000000001</v>
      </c>
      <c r="CZ98" s="627">
        <f>-1082.4-1082.4</f>
        <v>-2164.8000000000002</v>
      </c>
      <c r="DA98" s="585"/>
      <c r="DC98" s="275">
        <v>-1082.4000000000001</v>
      </c>
      <c r="DD98" s="275"/>
      <c r="DE98" s="275"/>
      <c r="DF98" s="275"/>
      <c r="DG98" s="275"/>
      <c r="DH98" s="275"/>
      <c r="DI98" s="275"/>
      <c r="DJ98" s="275">
        <v>-1082.4000000000001</v>
      </c>
      <c r="DK98" s="275"/>
      <c r="DL98" s="275"/>
      <c r="DM98" s="275"/>
      <c r="DN98" s="275"/>
      <c r="DO98" s="275">
        <v>-1082.4000000000001</v>
      </c>
      <c r="DP98" s="275"/>
      <c r="DQ98" s="275"/>
      <c r="DR98" s="275"/>
      <c r="DS98" s="275">
        <v>-1082.4000000000001</v>
      </c>
      <c r="DT98" s="275"/>
      <c r="DU98" s="275"/>
      <c r="DV98" s="275"/>
      <c r="DW98" s="275"/>
      <c r="DX98" s="275">
        <v>-1082.4000000000001</v>
      </c>
      <c r="DY98" s="275"/>
      <c r="DZ98" s="275"/>
      <c r="EA98" s="275"/>
      <c r="EB98" s="275">
        <v>-1082.4000000000001</v>
      </c>
      <c r="EC98" s="275"/>
      <c r="ED98" s="275"/>
      <c r="EE98" s="275"/>
      <c r="EF98" s="275">
        <v>-1082.4000000000001</v>
      </c>
      <c r="EG98" s="275"/>
      <c r="EH98" s="275"/>
      <c r="EJ98" s="275"/>
      <c r="EK98" s="275">
        <v>-1082.4000000000001</v>
      </c>
      <c r="EN98" s="351"/>
    </row>
    <row r="99" spans="1:144" s="211" customFormat="1" ht="15" outlineLevel="1">
      <c r="A99" s="323"/>
      <c r="B99" s="519" t="s">
        <v>174</v>
      </c>
      <c r="E99" s="519"/>
      <c r="F99" s="268"/>
      <c r="G99" s="269">
        <v>-500</v>
      </c>
      <c r="H99" s="268" t="s">
        <v>0</v>
      </c>
      <c r="I99" s="268" t="s">
        <v>0</v>
      </c>
      <c r="J99" s="268"/>
      <c r="K99" s="268"/>
      <c r="L99" s="268"/>
      <c r="M99" s="268"/>
      <c r="N99" s="268" t="s">
        <v>0</v>
      </c>
      <c r="O99" s="268" t="s">
        <v>0</v>
      </c>
      <c r="P99" s="310">
        <v>-500</v>
      </c>
      <c r="Q99" s="275"/>
      <c r="R99" s="275"/>
      <c r="S99" s="275">
        <v>0</v>
      </c>
      <c r="T99" s="275">
        <v>0</v>
      </c>
      <c r="U99" s="275" t="s">
        <v>0</v>
      </c>
      <c r="V99" s="275"/>
      <c r="W99" s="275">
        <v>0</v>
      </c>
      <c r="X99" s="275">
        <v>0</v>
      </c>
      <c r="Y99" s="310">
        <v>-560</v>
      </c>
      <c r="Z99" s="275"/>
      <c r="AA99" s="275"/>
      <c r="AC99" s="275">
        <v>0</v>
      </c>
      <c r="AD99" s="275">
        <v>0</v>
      </c>
      <c r="AE99" s="275" t="s">
        <v>0</v>
      </c>
      <c r="AF99" s="310">
        <v>-640</v>
      </c>
      <c r="AG99" s="275">
        <v>0</v>
      </c>
      <c r="AH99" s="310">
        <v>-400</v>
      </c>
      <c r="AI99" s="275"/>
      <c r="AJ99" s="275" t="s">
        <v>0</v>
      </c>
      <c r="AK99" s="275" t="s">
        <v>0</v>
      </c>
      <c r="AM99" s="275" t="s">
        <v>0</v>
      </c>
      <c r="AN99" s="275"/>
      <c r="AO99" s="310">
        <v>-540</v>
      </c>
      <c r="AP99" s="275"/>
      <c r="AQ99" s="275"/>
      <c r="AR99" s="275"/>
      <c r="AS99" s="275"/>
      <c r="AT99" s="275" t="s">
        <v>0</v>
      </c>
      <c r="AU99" s="275"/>
      <c r="AW99" s="275">
        <v>0</v>
      </c>
      <c r="AX99" s="310">
        <v>-520</v>
      </c>
      <c r="AY99" s="275" t="s">
        <v>0</v>
      </c>
      <c r="AZ99" s="275"/>
      <c r="BA99" s="275"/>
      <c r="BD99" s="275"/>
      <c r="BG99" s="275" t="s">
        <v>0</v>
      </c>
      <c r="BI99" s="310">
        <v>-520</v>
      </c>
      <c r="BJ99" s="275"/>
      <c r="BK99" s="275"/>
      <c r="BL99" s="275"/>
      <c r="BM99" s="275"/>
      <c r="BN99" s="275"/>
      <c r="BQ99" s="275"/>
      <c r="BS99" s="275" t="s">
        <v>0</v>
      </c>
      <c r="BU99" s="275"/>
      <c r="BV99" s="310">
        <v>-540</v>
      </c>
      <c r="BW99" s="275"/>
      <c r="BX99" s="275"/>
      <c r="BY99" s="275"/>
      <c r="BZ99" s="275"/>
      <c r="CA99" s="275" t="s">
        <v>0</v>
      </c>
      <c r="CB99" s="275"/>
      <c r="CD99" s="275"/>
      <c r="CE99" s="275" t="s">
        <v>0</v>
      </c>
      <c r="CF99" s="275"/>
      <c r="CG99" s="275"/>
      <c r="CI99" s="310">
        <v>-540</v>
      </c>
      <c r="CJ99" s="275"/>
      <c r="CO99" s="275" t="s">
        <v>0</v>
      </c>
      <c r="CQ99" s="310">
        <v>-540</v>
      </c>
      <c r="CZ99" s="310">
        <v>-580</v>
      </c>
      <c r="DA99" s="585"/>
      <c r="DC99" s="275">
        <v>-250</v>
      </c>
      <c r="DD99" s="275"/>
      <c r="DE99" s="275"/>
      <c r="DF99" s="275"/>
      <c r="DG99" s="275"/>
      <c r="DH99" s="275"/>
      <c r="DI99" s="275"/>
      <c r="DJ99" s="275">
        <v>-250</v>
      </c>
      <c r="DK99" s="275"/>
      <c r="DL99" s="275"/>
      <c r="DM99" s="275"/>
      <c r="DN99" s="275"/>
      <c r="DO99" s="275">
        <v>-250</v>
      </c>
      <c r="DP99" s="275"/>
      <c r="DQ99" s="275"/>
      <c r="DR99" s="275"/>
      <c r="DS99" s="275">
        <v>-250</v>
      </c>
      <c r="DT99" s="275"/>
      <c r="DU99" s="275"/>
      <c r="DV99" s="275"/>
      <c r="DW99" s="275"/>
      <c r="DX99" s="275">
        <v>-250</v>
      </c>
      <c r="DY99" s="275"/>
      <c r="DZ99" s="275"/>
      <c r="EA99" s="275"/>
      <c r="EB99" s="275">
        <v>-250</v>
      </c>
      <c r="EC99" s="275"/>
      <c r="ED99" s="275"/>
      <c r="EE99" s="275"/>
      <c r="EF99" s="275">
        <v>-250</v>
      </c>
      <c r="EG99" s="275"/>
      <c r="EH99" s="275"/>
      <c r="EJ99" s="275"/>
      <c r="EK99" s="275">
        <v>-250</v>
      </c>
      <c r="EN99" s="351"/>
    </row>
    <row r="100" spans="1:144" s="211" customFormat="1" ht="15" outlineLevel="1">
      <c r="A100" s="323"/>
      <c r="B100" s="519" t="s">
        <v>175</v>
      </c>
      <c r="E100" s="519"/>
      <c r="F100" s="268"/>
      <c r="G100" s="269"/>
      <c r="H100" s="268"/>
      <c r="I100" s="268"/>
      <c r="J100" s="268"/>
      <c r="K100" s="268"/>
      <c r="L100" s="268"/>
      <c r="M100" s="268"/>
      <c r="N100" s="268"/>
      <c r="O100" s="268"/>
      <c r="P100" s="310"/>
      <c r="Q100" s="275"/>
      <c r="R100" s="275"/>
      <c r="S100" s="275"/>
      <c r="T100" s="275"/>
      <c r="U100" s="275"/>
      <c r="V100" s="275"/>
      <c r="W100" s="275"/>
      <c r="X100" s="275"/>
      <c r="Y100" s="275"/>
      <c r="Z100" s="275"/>
      <c r="AA100" s="310">
        <f>-312.91-324.66</f>
        <v>-637.57000000000005</v>
      </c>
      <c r="AC100" s="275"/>
      <c r="AD100" s="275"/>
      <c r="AE100" s="310">
        <f>-324.66-312.91</f>
        <v>-637.57000000000005</v>
      </c>
      <c r="AF100" s="275" t="s">
        <v>0</v>
      </c>
      <c r="AG100" s="275"/>
      <c r="AH100" s="275"/>
      <c r="AI100" s="310">
        <v>-638</v>
      </c>
      <c r="AK100" s="275"/>
      <c r="AL100" s="275"/>
      <c r="AN100" s="310">
        <v>-637.57000000000005</v>
      </c>
      <c r="AO100" s="275" t="s">
        <v>163</v>
      </c>
      <c r="AP100" s="275"/>
      <c r="AR100" s="310">
        <v>-637.57000000000005</v>
      </c>
      <c r="AS100" s="275"/>
      <c r="AT100" s="275" t="s">
        <v>0</v>
      </c>
      <c r="AV100" s="310">
        <v>-637.57000000000005</v>
      </c>
      <c r="AW100" s="569"/>
      <c r="AX100" s="275"/>
      <c r="AY100" s="275"/>
      <c r="BA100" s="310">
        <v>-638</v>
      </c>
      <c r="BC100" s="275"/>
      <c r="BD100" s="275"/>
      <c r="BG100" s="310">
        <v>-638</v>
      </c>
      <c r="BI100" s="275"/>
      <c r="BK100" s="275"/>
      <c r="BL100" s="275"/>
      <c r="BM100" s="310">
        <v>-638</v>
      </c>
      <c r="BN100" s="275"/>
      <c r="BQ100" s="275"/>
      <c r="BS100" s="275" t="s">
        <v>0</v>
      </c>
      <c r="BT100" s="275">
        <v>0</v>
      </c>
      <c r="BU100" s="275"/>
      <c r="BV100" s="275"/>
      <c r="BW100" s="275"/>
      <c r="BX100" s="275"/>
      <c r="BY100" s="275"/>
      <c r="BZ100" s="275"/>
      <c r="CB100" s="275"/>
      <c r="CC100" s="275"/>
      <c r="CD100" s="275"/>
      <c r="CE100" s="275"/>
      <c r="CF100" s="310">
        <v>-654.54999999999995</v>
      </c>
      <c r="CI100" s="275"/>
      <c r="CK100" s="310">
        <v>-654.54999999999995</v>
      </c>
      <c r="CN100" s="275"/>
      <c r="CO100" s="310">
        <v>-654.54999999999995</v>
      </c>
      <c r="CP100" s="275" t="s">
        <v>0</v>
      </c>
      <c r="CS100" s="310">
        <v>-654.54999999999995</v>
      </c>
      <c r="CV100" s="275"/>
      <c r="CW100" s="275"/>
      <c r="CX100" s="310">
        <v>-654.54999999999995</v>
      </c>
      <c r="DA100" s="585"/>
      <c r="DB100" s="275">
        <v>-654.54999999999995</v>
      </c>
      <c r="DE100" s="275"/>
      <c r="DF100" s="275"/>
      <c r="DG100" s="275"/>
      <c r="DH100" s="275">
        <v>-654.54999999999995</v>
      </c>
      <c r="DI100" s="275"/>
      <c r="DK100" s="275"/>
      <c r="DL100" s="275"/>
      <c r="DM100" s="275">
        <v>-654.54999999999995</v>
      </c>
      <c r="DN100" s="275"/>
      <c r="DP100" s="275"/>
      <c r="DQ100" s="275"/>
      <c r="DR100" s="275">
        <v>-654.54999999999995</v>
      </c>
      <c r="DT100" s="275"/>
      <c r="DU100" s="275"/>
      <c r="DV100" s="275"/>
      <c r="DW100" s="275">
        <v>-654.54999999999995</v>
      </c>
      <c r="DY100" s="275"/>
      <c r="DZ100" s="275"/>
      <c r="EA100" s="275">
        <v>-654.54999999999995</v>
      </c>
      <c r="EC100" s="275"/>
      <c r="ED100" s="275"/>
      <c r="EE100" s="275">
        <v>-654.54999999999995</v>
      </c>
      <c r="EG100" s="275"/>
      <c r="EH100" s="275"/>
      <c r="EJ100" s="275"/>
      <c r="EK100" s="275">
        <v>-654.54999999999995</v>
      </c>
      <c r="EN100" s="351"/>
    </row>
    <row r="101" spans="1:144" s="211" customFormat="1" ht="15" outlineLevel="1">
      <c r="A101" s="323"/>
      <c r="B101" s="519" t="s">
        <v>176</v>
      </c>
      <c r="E101" s="519"/>
      <c r="F101" s="268"/>
      <c r="G101" s="268">
        <v>-3550</v>
      </c>
      <c r="H101" s="268"/>
      <c r="I101" s="268"/>
      <c r="J101" s="268"/>
      <c r="K101" s="268">
        <v>-2706.99</v>
      </c>
      <c r="L101" s="268"/>
      <c r="M101" s="268"/>
      <c r="N101" s="268"/>
      <c r="O101" s="269">
        <v>-6016</v>
      </c>
      <c r="P101" s="275"/>
      <c r="Q101" s="275"/>
      <c r="R101" s="275"/>
      <c r="S101" s="275"/>
      <c r="T101" s="275">
        <v>0</v>
      </c>
      <c r="U101" s="275" t="s">
        <v>0</v>
      </c>
      <c r="V101" s="275"/>
      <c r="W101" s="275">
        <v>0</v>
      </c>
      <c r="X101" s="310">
        <v>-4910.4799999999996</v>
      </c>
      <c r="Y101" s="275"/>
      <c r="Z101" s="275"/>
      <c r="AA101" s="275"/>
      <c r="AB101" s="310">
        <v>-914.92</v>
      </c>
      <c r="AC101" s="275"/>
      <c r="AD101" s="275"/>
      <c r="AE101" s="275"/>
      <c r="AG101" s="310">
        <v>-3508.82</v>
      </c>
      <c r="AH101" s="275"/>
      <c r="AI101" s="275"/>
      <c r="AK101" s="310">
        <v>-5165</v>
      </c>
      <c r="AL101" s="275" t="s">
        <v>0</v>
      </c>
      <c r="AM101" s="275"/>
      <c r="AN101" s="275"/>
      <c r="AP101" s="269">
        <v>-3293.06</v>
      </c>
      <c r="AQ101" s="275"/>
      <c r="AR101" s="275"/>
      <c r="AS101" s="275"/>
      <c r="AT101" s="310">
        <v>-726.27</v>
      </c>
      <c r="AU101" s="275">
        <v>0</v>
      </c>
      <c r="AW101" s="569"/>
      <c r="AX101" s="310">
        <v>-2780.92</v>
      </c>
      <c r="AY101" s="275" t="s">
        <v>0</v>
      </c>
      <c r="AZ101" s="275"/>
      <c r="BA101" s="275"/>
      <c r="BB101" s="269">
        <f>-1000-6167.81</f>
        <v>-7167.81</v>
      </c>
      <c r="BC101" s="275" t="s">
        <v>0</v>
      </c>
      <c r="BD101" s="275"/>
      <c r="BE101" s="275"/>
      <c r="BF101" s="275"/>
      <c r="BI101" s="310">
        <v>-3557.4</v>
      </c>
      <c r="BJ101" s="275" t="s">
        <v>0</v>
      </c>
      <c r="BK101" s="275"/>
      <c r="BL101" s="275"/>
      <c r="BM101" s="275"/>
      <c r="BN101" s="275"/>
      <c r="BO101" s="310">
        <v>-3984.3</v>
      </c>
      <c r="BQ101" s="275"/>
      <c r="BR101" s="275"/>
      <c r="BS101" s="275"/>
      <c r="BU101" s="275"/>
      <c r="BV101" s="310">
        <v>-3171.06</v>
      </c>
      <c r="BW101" s="275"/>
      <c r="BX101" s="275"/>
      <c r="BY101" s="275"/>
      <c r="BZ101" s="275"/>
      <c r="CB101" s="275"/>
      <c r="CC101" s="310">
        <v>-3361.62</v>
      </c>
      <c r="CD101" s="275"/>
      <c r="CE101" s="275"/>
      <c r="CF101" s="275"/>
      <c r="CG101" s="275"/>
      <c r="CH101" s="310">
        <v>-3445.47</v>
      </c>
      <c r="CI101" s="275"/>
      <c r="CJ101" s="275"/>
      <c r="CM101" s="310">
        <v>-4562.09</v>
      </c>
      <c r="CN101" s="275"/>
      <c r="CO101" s="275"/>
      <c r="CQ101" s="310">
        <v>-5282.47</v>
      </c>
      <c r="CU101" s="310">
        <v>-3920.7</v>
      </c>
      <c r="CV101" s="275"/>
      <c r="CW101" s="275"/>
      <c r="CX101" s="275"/>
      <c r="CZ101" s="310">
        <v>-3084.62</v>
      </c>
      <c r="DA101" s="585"/>
      <c r="DC101" s="275">
        <v>-3000</v>
      </c>
      <c r="DD101" s="275"/>
      <c r="DE101" s="275"/>
      <c r="DF101" s="275"/>
      <c r="DG101" s="275"/>
      <c r="DH101" s="275"/>
      <c r="DI101" s="275"/>
      <c r="DJ101" s="275">
        <v>-3000</v>
      </c>
      <c r="DK101" s="275"/>
      <c r="DL101" s="275"/>
      <c r="DM101" s="275"/>
      <c r="DN101" s="275"/>
      <c r="DO101" s="275">
        <v>-3000</v>
      </c>
      <c r="DP101" s="275"/>
      <c r="DQ101" s="275"/>
      <c r="DR101" s="275"/>
      <c r="DS101" s="275">
        <v>-3000</v>
      </c>
      <c r="DT101" s="275"/>
      <c r="DU101" s="275"/>
      <c r="DV101" s="275"/>
      <c r="DW101" s="275"/>
      <c r="DX101" s="275">
        <v>-3000</v>
      </c>
      <c r="DY101" s="275"/>
      <c r="DZ101" s="275"/>
      <c r="EA101" s="275"/>
      <c r="EB101" s="275">
        <v>-3000</v>
      </c>
      <c r="EC101" s="275"/>
      <c r="ED101" s="275"/>
      <c r="EE101" s="275"/>
      <c r="EF101" s="275">
        <v>-3000</v>
      </c>
      <c r="EG101" s="275"/>
      <c r="EH101" s="275"/>
      <c r="EJ101" s="275"/>
      <c r="EK101" s="275">
        <v>-3000</v>
      </c>
      <c r="EN101" s="351"/>
    </row>
    <row r="102" spans="1:144" s="211" customFormat="1" ht="15" outlineLevel="1">
      <c r="A102" s="323"/>
      <c r="B102" s="519" t="s">
        <v>177</v>
      </c>
      <c r="E102" s="519"/>
      <c r="F102" s="268"/>
      <c r="G102" s="268"/>
      <c r="H102" s="268">
        <v>-2563</v>
      </c>
      <c r="I102" s="268"/>
      <c r="J102" s="268"/>
      <c r="K102" s="268"/>
      <c r="L102" s="268"/>
      <c r="M102" s="268"/>
      <c r="N102" s="268"/>
      <c r="O102" s="268"/>
      <c r="P102" s="275"/>
      <c r="Q102" s="275"/>
      <c r="R102" s="275"/>
      <c r="S102" s="275"/>
      <c r="T102" s="310">
        <v>-2265</v>
      </c>
      <c r="U102" s="310">
        <v>-1818.98</v>
      </c>
      <c r="V102" s="275"/>
      <c r="W102" s="275"/>
      <c r="X102" s="275">
        <v>0</v>
      </c>
      <c r="Z102" s="275">
        <v>0</v>
      </c>
      <c r="AA102" s="275">
        <v>0</v>
      </c>
      <c r="AB102" s="275">
        <v>0</v>
      </c>
      <c r="AC102" s="275">
        <v>0</v>
      </c>
      <c r="AD102" s="275">
        <v>0</v>
      </c>
      <c r="AE102" s="275" t="s">
        <v>0</v>
      </c>
      <c r="AG102" s="275" t="s">
        <v>0</v>
      </c>
      <c r="AH102" s="310">
        <v>-2206.1</v>
      </c>
      <c r="AI102" s="275"/>
      <c r="AJ102" s="275" t="s">
        <v>0</v>
      </c>
      <c r="AK102" s="275"/>
      <c r="AL102" s="275"/>
      <c r="AM102" s="275"/>
      <c r="AN102" s="275"/>
      <c r="AO102" s="275">
        <v>0</v>
      </c>
      <c r="AP102" s="275"/>
      <c r="AQ102" s="275"/>
      <c r="AR102" s="275"/>
      <c r="AS102" s="275"/>
      <c r="AT102" s="275"/>
      <c r="AU102" s="310">
        <v>-1388.34</v>
      </c>
      <c r="AV102" s="275">
        <v>0</v>
      </c>
      <c r="AW102" s="275"/>
      <c r="AX102" s="275"/>
      <c r="AY102" s="275"/>
      <c r="AZ102" s="275"/>
      <c r="BA102" s="275"/>
      <c r="BB102" s="275"/>
      <c r="BC102" s="275"/>
      <c r="BD102" s="275"/>
      <c r="BE102" s="275"/>
      <c r="BF102" s="275"/>
      <c r="BH102" s="275"/>
      <c r="BJ102" s="310">
        <v>-2218.7199999999998</v>
      </c>
      <c r="BK102" s="275"/>
      <c r="BL102" s="275"/>
      <c r="BM102" s="275"/>
      <c r="BN102" s="275"/>
      <c r="BO102" s="310">
        <v>19.940000000000001</v>
      </c>
      <c r="BQ102" s="275"/>
      <c r="BR102" s="275"/>
      <c r="BS102" s="275"/>
      <c r="BT102" s="275" t="s">
        <v>163</v>
      </c>
      <c r="BU102" s="275"/>
      <c r="BV102" s="275"/>
      <c r="BW102" s="275"/>
      <c r="BX102" s="275"/>
      <c r="BY102" s="275"/>
      <c r="BZ102" s="275"/>
      <c r="CB102" s="275"/>
      <c r="CD102" s="275"/>
      <c r="CE102" s="310">
        <v>-1670.22</v>
      </c>
      <c r="CF102" s="275"/>
      <c r="CG102" s="275"/>
      <c r="CI102" s="275" t="s">
        <v>0</v>
      </c>
      <c r="CJ102" s="275"/>
      <c r="CM102" s="275" t="s">
        <v>0</v>
      </c>
      <c r="CN102" s="275"/>
      <c r="CO102" s="275"/>
      <c r="CR102" s="310">
        <v>-2664.52</v>
      </c>
      <c r="CT102" s="275" t="s">
        <v>0</v>
      </c>
      <c r="CV102" s="275"/>
      <c r="CW102" s="275"/>
      <c r="CX102" s="275"/>
      <c r="CZ102" s="275" t="s">
        <v>0</v>
      </c>
      <c r="DA102" s="585"/>
      <c r="DC102" s="275">
        <v>-2000</v>
      </c>
      <c r="DD102" s="275"/>
      <c r="DE102" s="275"/>
      <c r="DF102" s="275"/>
      <c r="DG102" s="275"/>
      <c r="DH102" s="275"/>
      <c r="DI102" s="275"/>
      <c r="DJ102" s="275" t="s">
        <v>0</v>
      </c>
      <c r="DK102" s="275"/>
      <c r="DL102" s="275"/>
      <c r="DM102" s="275"/>
      <c r="DN102" s="275"/>
      <c r="DO102" s="275" t="s">
        <v>0</v>
      </c>
      <c r="DP102" s="275"/>
      <c r="DQ102" s="275"/>
      <c r="DR102" s="275"/>
      <c r="DS102" s="275">
        <v>-2000</v>
      </c>
      <c r="DT102" s="275"/>
      <c r="DU102" s="275"/>
      <c r="DV102" s="275"/>
      <c r="DW102" s="275"/>
      <c r="DX102" s="275" t="s">
        <v>0</v>
      </c>
      <c r="DY102" s="275"/>
      <c r="DZ102" s="275"/>
      <c r="EA102" s="275"/>
      <c r="EB102" s="275" t="s">
        <v>0</v>
      </c>
      <c r="EC102" s="275"/>
      <c r="ED102" s="275"/>
      <c r="EE102" s="275"/>
      <c r="EF102" s="275">
        <v>-2000</v>
      </c>
      <c r="EG102" s="275"/>
      <c r="EH102" s="275"/>
      <c r="EJ102" s="275"/>
      <c r="EK102" s="275">
        <v>-2000</v>
      </c>
      <c r="EN102" s="351"/>
    </row>
    <row r="103" spans="1:144" s="211" customFormat="1" ht="15" outlineLevel="1">
      <c r="A103" s="323"/>
      <c r="B103" s="519" t="s">
        <v>178</v>
      </c>
      <c r="E103" s="519"/>
      <c r="F103" s="268"/>
      <c r="G103" s="268"/>
      <c r="H103" s="268"/>
      <c r="I103" s="268"/>
      <c r="J103" s="269">
        <f>-62.5-33.26</f>
        <v>-95.759999999999991</v>
      </c>
      <c r="K103" s="268"/>
      <c r="L103" s="268"/>
      <c r="M103" s="268"/>
      <c r="N103" s="269">
        <v>-32.32</v>
      </c>
      <c r="O103" s="268"/>
      <c r="P103" s="275"/>
      <c r="Q103" s="275"/>
      <c r="R103" s="310">
        <v>-31.38</v>
      </c>
      <c r="S103" s="275"/>
      <c r="T103" s="275"/>
      <c r="U103" s="275"/>
      <c r="V103" s="310">
        <v>-86.29</v>
      </c>
      <c r="W103" s="310">
        <f>-62.5-30.93</f>
        <v>-93.43</v>
      </c>
      <c r="X103" s="275"/>
      <c r="Y103" s="275"/>
      <c r="Z103" s="275"/>
      <c r="AA103" s="310">
        <v>-29.99</v>
      </c>
      <c r="AB103" s="310">
        <v>-12.7</v>
      </c>
      <c r="AC103" s="275"/>
      <c r="AD103" s="275"/>
      <c r="AE103" s="310">
        <v>-29.05</v>
      </c>
      <c r="AF103" s="275"/>
      <c r="AG103" s="275"/>
      <c r="AH103" s="275"/>
      <c r="AI103" s="310">
        <v>-87.1</v>
      </c>
      <c r="AJ103" s="310">
        <f>-28.52-62.5</f>
        <v>-91.02</v>
      </c>
      <c r="AK103" s="275"/>
      <c r="AL103" s="275"/>
      <c r="AM103" s="275"/>
      <c r="AN103" s="310">
        <v>-27.58</v>
      </c>
      <c r="AO103" s="275"/>
      <c r="AP103" s="275"/>
      <c r="AQ103" s="275"/>
      <c r="AR103" s="310">
        <v>-26.64</v>
      </c>
      <c r="AS103" s="275"/>
      <c r="AT103" s="275"/>
      <c r="AU103" s="275"/>
      <c r="AV103" s="607">
        <v>-93.05</v>
      </c>
      <c r="AW103" s="310">
        <f>-26.07-62.5</f>
        <v>-88.57</v>
      </c>
      <c r="AX103" s="275"/>
      <c r="AY103" s="275"/>
      <c r="AZ103" s="275"/>
      <c r="BA103" s="607">
        <v>-25.13</v>
      </c>
      <c r="BB103" s="275" t="s">
        <v>0</v>
      </c>
      <c r="BC103" s="275"/>
      <c r="BD103" s="275"/>
      <c r="BE103" s="275"/>
      <c r="BF103" s="310">
        <v>-24.19</v>
      </c>
      <c r="BI103" s="275"/>
      <c r="BJ103" s="275"/>
      <c r="BK103" s="275"/>
      <c r="BL103" s="275"/>
      <c r="BM103" s="310">
        <f>-79.5-23.57-62.5</f>
        <v>-165.57</v>
      </c>
      <c r="BN103" s="275"/>
      <c r="BQ103" s="275"/>
      <c r="BS103" s="310">
        <v>-20.8</v>
      </c>
      <c r="BU103" s="275"/>
      <c r="BX103" s="275" t="s">
        <v>0</v>
      </c>
      <c r="BY103" s="275"/>
      <c r="BZ103" s="275"/>
      <c r="CA103" s="310">
        <v>-19.86</v>
      </c>
      <c r="CB103" s="275"/>
      <c r="CD103" s="275"/>
      <c r="CE103" s="275"/>
      <c r="CF103" s="310">
        <f>-75.5-19.07</f>
        <v>-94.57</v>
      </c>
      <c r="CG103" s="310">
        <v>-62.5</v>
      </c>
      <c r="CJ103" s="275" t="s">
        <v>0</v>
      </c>
      <c r="CK103" s="607">
        <v>-18.13</v>
      </c>
      <c r="CO103" s="310">
        <v>-17.190000000000001</v>
      </c>
      <c r="CS103" s="310">
        <v>-72.3</v>
      </c>
      <c r="CT103" s="310">
        <f>-16.37-62.5</f>
        <v>-78.87</v>
      </c>
      <c r="CV103" s="275"/>
      <c r="CW103" s="275"/>
      <c r="CX103" s="310">
        <v>-15.43</v>
      </c>
      <c r="DA103" s="585">
        <v>-100</v>
      </c>
      <c r="DC103" s="275">
        <v>-100</v>
      </c>
      <c r="DD103" s="275"/>
      <c r="DE103" s="275"/>
      <c r="DF103" s="275"/>
      <c r="DG103" s="275"/>
      <c r="DH103" s="275"/>
      <c r="DI103" s="275"/>
      <c r="DJ103" s="275">
        <v>-100</v>
      </c>
      <c r="DK103" s="275"/>
      <c r="DL103" s="275"/>
      <c r="DM103" s="275"/>
      <c r="DN103" s="275"/>
      <c r="DO103" s="275">
        <v>-100</v>
      </c>
      <c r="DP103" s="275"/>
      <c r="DQ103" s="275"/>
      <c r="DR103" s="275"/>
      <c r="DS103" s="275">
        <v>-100</v>
      </c>
      <c r="DT103" s="275"/>
      <c r="DU103" s="275"/>
      <c r="DV103" s="275"/>
      <c r="DW103" s="275"/>
      <c r="DX103" s="275">
        <v>-100</v>
      </c>
      <c r="DY103" s="275"/>
      <c r="DZ103" s="275"/>
      <c r="EA103" s="275"/>
      <c r="EB103" s="275">
        <v>-100</v>
      </c>
      <c r="EC103" s="275"/>
      <c r="ED103" s="275"/>
      <c r="EE103" s="275"/>
      <c r="EF103" s="275">
        <v>-100</v>
      </c>
      <c r="EG103" s="275"/>
      <c r="EH103" s="275"/>
      <c r="EJ103" s="275"/>
      <c r="EK103" s="275">
        <v>-100</v>
      </c>
      <c r="EN103" s="351"/>
    </row>
    <row r="104" spans="1:144" s="211" customFormat="1" ht="15" outlineLevel="1">
      <c r="A104" s="323"/>
      <c r="B104" s="519" t="s">
        <v>756</v>
      </c>
      <c r="E104" s="519"/>
      <c r="F104" s="268"/>
      <c r="G104" s="268"/>
      <c r="H104" s="268"/>
      <c r="I104" s="268"/>
      <c r="J104" s="268"/>
      <c r="K104" s="268"/>
      <c r="L104" s="268"/>
      <c r="M104" s="268"/>
      <c r="N104" s="268"/>
      <c r="O104" s="268"/>
      <c r="P104" s="275"/>
      <c r="Q104" s="275"/>
      <c r="R104" s="275"/>
      <c r="S104" s="275"/>
      <c r="T104" s="275"/>
      <c r="U104" s="275"/>
      <c r="V104" s="275"/>
      <c r="W104" s="275"/>
      <c r="X104" s="275"/>
      <c r="Y104" s="275"/>
      <c r="Z104" s="275"/>
      <c r="AA104" s="275"/>
      <c r="AB104" s="275"/>
      <c r="AC104" s="275"/>
      <c r="AD104" s="275"/>
      <c r="AE104" s="275"/>
      <c r="AF104" s="275"/>
      <c r="AG104" s="275"/>
      <c r="AH104" s="275"/>
      <c r="AI104" s="275"/>
      <c r="AJ104" s="275"/>
      <c r="AK104" s="275"/>
      <c r="AL104" s="275"/>
      <c r="AM104" s="275"/>
      <c r="AN104" s="275"/>
      <c r="AO104" s="275"/>
      <c r="AP104" s="275"/>
      <c r="AQ104" s="275"/>
      <c r="AR104" s="275"/>
      <c r="AS104" s="275"/>
      <c r="AT104" s="275"/>
      <c r="AU104" s="275"/>
      <c r="AW104" s="275"/>
      <c r="AX104" s="275"/>
      <c r="AY104" s="275"/>
      <c r="AZ104" s="275"/>
      <c r="BB104" s="310">
        <v>-214.5</v>
      </c>
      <c r="BC104" s="275"/>
      <c r="BD104" s="275"/>
      <c r="BE104" s="275"/>
      <c r="BF104" s="275"/>
      <c r="BG104" s="268" t="s">
        <v>0</v>
      </c>
      <c r="BJ104" s="275" t="s">
        <v>0</v>
      </c>
      <c r="BK104" s="275"/>
      <c r="BL104" s="275"/>
      <c r="BM104" s="275"/>
      <c r="BN104" s="275"/>
      <c r="BQ104" s="275"/>
      <c r="BS104" s="275" t="s">
        <v>0</v>
      </c>
      <c r="BU104" s="275"/>
      <c r="BX104" s="275" t="s">
        <v>0</v>
      </c>
      <c r="BY104" s="275"/>
      <c r="BZ104" s="275"/>
      <c r="CB104" s="275"/>
      <c r="CD104" s="275"/>
      <c r="CE104" s="275" t="s">
        <v>0</v>
      </c>
      <c r="CF104" s="275"/>
      <c r="CG104" s="275"/>
      <c r="CJ104" s="211" t="s">
        <v>0</v>
      </c>
      <c r="CO104" s="268" t="s">
        <v>0</v>
      </c>
      <c r="CS104" s="211" t="s">
        <v>0</v>
      </c>
      <c r="CT104" s="211" t="s">
        <v>0</v>
      </c>
      <c r="DA104" s="582">
        <v>-60</v>
      </c>
      <c r="DC104" s="211">
        <v>-60</v>
      </c>
      <c r="DJ104" s="211">
        <v>-60</v>
      </c>
      <c r="DO104" s="211">
        <v>-60</v>
      </c>
      <c r="DS104" s="211">
        <v>-60</v>
      </c>
      <c r="DX104" s="211">
        <v>-60</v>
      </c>
      <c r="EB104" s="211">
        <v>-60</v>
      </c>
      <c r="EF104" s="211">
        <v>-60</v>
      </c>
      <c r="EK104" s="211">
        <v>-60</v>
      </c>
      <c r="EN104" s="351"/>
    </row>
    <row r="105" spans="1:144" s="211" customFormat="1" ht="15" outlineLevel="1">
      <c r="A105" s="323"/>
      <c r="B105" s="519" t="s">
        <v>179</v>
      </c>
      <c r="E105" s="519"/>
      <c r="F105" s="268"/>
      <c r="G105" s="268"/>
      <c r="H105" s="269">
        <v>-186</v>
      </c>
      <c r="I105" s="268"/>
      <c r="J105" s="268"/>
      <c r="K105" s="268"/>
      <c r="L105" s="269">
        <f>H105</f>
        <v>-186</v>
      </c>
      <c r="M105" s="268"/>
      <c r="N105" s="268"/>
      <c r="O105" s="268" t="s">
        <v>0</v>
      </c>
      <c r="P105" s="275" t="s">
        <v>0</v>
      </c>
      <c r="Q105" s="310">
        <v>-186</v>
      </c>
      <c r="R105" s="275"/>
      <c r="S105" s="275" t="str">
        <f>O105</f>
        <v xml:space="preserve"> </v>
      </c>
      <c r="T105" s="275"/>
      <c r="U105" s="310">
        <v>-186</v>
      </c>
      <c r="V105" s="275"/>
      <c r="W105" s="275" t="str">
        <f>S105</f>
        <v xml:space="preserve"> </v>
      </c>
      <c r="X105" s="275"/>
      <c r="Y105" s="275"/>
      <c r="Z105" s="310">
        <v>-186.17</v>
      </c>
      <c r="AA105" s="275"/>
      <c r="AB105" s="275" t="str">
        <f>O105</f>
        <v xml:space="preserve"> </v>
      </c>
      <c r="AC105" s="275"/>
      <c r="AD105" s="310">
        <v>-186.26</v>
      </c>
      <c r="AE105" s="275"/>
      <c r="AF105" s="275" t="str">
        <f>S105</f>
        <v xml:space="preserve"> </v>
      </c>
      <c r="AG105" s="275"/>
      <c r="AH105" s="310">
        <v>-186.17</v>
      </c>
      <c r="AI105" s="275" t="s">
        <v>0</v>
      </c>
      <c r="AK105" s="275"/>
      <c r="AM105" s="310">
        <v>-200.01</v>
      </c>
      <c r="AN105" s="275"/>
      <c r="AO105" s="275">
        <v>0</v>
      </c>
      <c r="AP105" s="275" t="s">
        <v>0</v>
      </c>
      <c r="AQ105" s="310">
        <v>-102.72</v>
      </c>
      <c r="AR105" s="275"/>
      <c r="AS105" s="275"/>
      <c r="AU105" s="310">
        <v>-127.96</v>
      </c>
      <c r="AV105" s="275" t="s">
        <v>0</v>
      </c>
      <c r="AW105" s="569"/>
      <c r="AX105" s="275"/>
      <c r="AZ105" s="310">
        <v>-127.87</v>
      </c>
      <c r="BA105" s="275"/>
      <c r="BB105" s="275" t="s">
        <v>0</v>
      </c>
      <c r="BE105" s="310">
        <v>-127.87</v>
      </c>
      <c r="BF105" s="275" t="s">
        <v>0</v>
      </c>
      <c r="BI105" s="275"/>
      <c r="BJ105" s="310">
        <v>-127.87</v>
      </c>
      <c r="BK105" s="275"/>
      <c r="BL105" s="275"/>
      <c r="BM105" s="275"/>
      <c r="BN105" s="275"/>
      <c r="BQ105" s="275"/>
      <c r="BR105" s="310">
        <v>-130.47</v>
      </c>
      <c r="BS105" s="275"/>
      <c r="BU105" s="275"/>
      <c r="BX105" s="310">
        <v>-127.87</v>
      </c>
      <c r="BY105" s="275"/>
      <c r="BZ105" s="275"/>
      <c r="CB105" s="275"/>
      <c r="CD105" s="275"/>
      <c r="CE105" s="310">
        <v>-127.87</v>
      </c>
      <c r="CF105" s="275"/>
      <c r="CG105" s="275"/>
      <c r="CJ105" s="310">
        <v>-130.47</v>
      </c>
      <c r="CN105" s="310">
        <v>-127.87</v>
      </c>
      <c r="CO105" s="275"/>
      <c r="CR105" s="310">
        <v>-127.87</v>
      </c>
      <c r="CW105" s="310">
        <v>-151.91999999999999</v>
      </c>
      <c r="CX105" s="275"/>
      <c r="DA105" s="727">
        <v>-167.85</v>
      </c>
      <c r="DC105" s="275">
        <v>-186</v>
      </c>
      <c r="DD105" s="275"/>
      <c r="DE105" s="275"/>
      <c r="DF105" s="275"/>
      <c r="DG105" s="275"/>
      <c r="DH105" s="275"/>
      <c r="DI105" s="275"/>
      <c r="DJ105" s="275">
        <v>-186</v>
      </c>
      <c r="DK105" s="275"/>
      <c r="DL105" s="275"/>
      <c r="DM105" s="275"/>
      <c r="DN105" s="275"/>
      <c r="DO105" s="275">
        <v>-186</v>
      </c>
      <c r="DP105" s="275"/>
      <c r="DQ105" s="275"/>
      <c r="DR105" s="275"/>
      <c r="DS105" s="275">
        <v>-186</v>
      </c>
      <c r="DT105" s="275"/>
      <c r="DU105" s="275"/>
      <c r="DV105" s="275"/>
      <c r="DW105" s="275"/>
      <c r="DX105" s="275">
        <v>-186</v>
      </c>
      <c r="DY105" s="275"/>
      <c r="DZ105" s="275"/>
      <c r="EA105" s="275"/>
      <c r="EB105" s="275">
        <v>-186</v>
      </c>
      <c r="EC105" s="275"/>
      <c r="ED105" s="275"/>
      <c r="EE105" s="275"/>
      <c r="EF105" s="275">
        <v>-186</v>
      </c>
      <c r="EG105" s="275"/>
      <c r="EH105" s="275"/>
      <c r="EJ105" s="275"/>
      <c r="EK105" s="275">
        <v>-186</v>
      </c>
      <c r="EN105" s="351"/>
    </row>
    <row r="106" spans="1:144" s="211" customFormat="1" ht="15" outlineLevel="1">
      <c r="A106" s="323"/>
      <c r="B106" s="519" t="s">
        <v>180</v>
      </c>
      <c r="E106" s="519"/>
      <c r="F106" s="268"/>
      <c r="G106" s="268"/>
      <c r="H106" s="268"/>
      <c r="I106" s="268"/>
      <c r="J106" s="268"/>
      <c r="K106" s="268"/>
      <c r="L106" s="269">
        <v>-35.67</v>
      </c>
      <c r="M106" s="268"/>
      <c r="N106" s="268"/>
      <c r="O106" s="268"/>
      <c r="P106" s="310">
        <v>-36</v>
      </c>
      <c r="Q106" s="275"/>
      <c r="R106" s="275"/>
      <c r="S106" s="275"/>
      <c r="T106" s="310">
        <v>-35.67</v>
      </c>
      <c r="U106" s="275"/>
      <c r="V106" s="275"/>
      <c r="W106" s="275"/>
      <c r="X106" s="275"/>
      <c r="Y106" s="310">
        <v>-35.67</v>
      </c>
      <c r="Z106" s="275"/>
      <c r="AA106" s="275"/>
      <c r="AB106" s="275"/>
      <c r="AC106" s="310">
        <v>-35.67</v>
      </c>
      <c r="AD106" s="275"/>
      <c r="AE106" s="275"/>
      <c r="AF106" s="275"/>
      <c r="AG106" s="310">
        <v>-35.67</v>
      </c>
      <c r="AH106" s="275" t="s">
        <v>0</v>
      </c>
      <c r="AI106" s="275"/>
      <c r="AJ106" s="275"/>
      <c r="AK106" s="275">
        <v>0</v>
      </c>
      <c r="AL106" s="310">
        <v>-35.67</v>
      </c>
      <c r="AM106" s="275"/>
      <c r="AN106" s="275"/>
      <c r="AO106" s="275">
        <v>0</v>
      </c>
      <c r="AP106" s="310">
        <v>-35.67</v>
      </c>
      <c r="AQ106" s="275"/>
      <c r="AR106" s="275"/>
      <c r="AS106" s="275"/>
      <c r="AU106" s="310">
        <v>-35.67</v>
      </c>
      <c r="AV106" s="275" t="s">
        <v>0</v>
      </c>
      <c r="AW106" s="275" t="s">
        <v>0</v>
      </c>
      <c r="AX106" s="275"/>
      <c r="AY106" s="310">
        <v>-35.67</v>
      </c>
      <c r="AZ106" s="275"/>
      <c r="BA106" s="275"/>
      <c r="BC106" s="310">
        <v>-38.130000000000003</v>
      </c>
      <c r="BE106" s="275"/>
      <c r="BF106" s="275"/>
      <c r="BJ106" s="310">
        <v>-38.130000000000003</v>
      </c>
      <c r="BK106" s="275"/>
      <c r="BL106" s="275"/>
      <c r="BM106" s="275"/>
      <c r="BN106" s="275"/>
      <c r="BP106" s="627">
        <v>-38.130000000000003</v>
      </c>
      <c r="BQ106" s="275"/>
      <c r="BR106" s="275"/>
      <c r="BS106" s="275"/>
      <c r="BU106" s="275"/>
      <c r="BV106" s="310">
        <v>-38.130000000000003</v>
      </c>
      <c r="BW106" s="275"/>
      <c r="BX106" s="275"/>
      <c r="BY106" s="275"/>
      <c r="BZ106" s="275"/>
      <c r="CB106" s="275"/>
      <c r="CD106" s="275"/>
      <c r="CE106" s="310">
        <v>-38.130000000000003</v>
      </c>
      <c r="CF106" s="275"/>
      <c r="CG106" s="275"/>
      <c r="CI106" s="310">
        <v>-38.130000000000003</v>
      </c>
      <c r="CM106" s="310">
        <v>-38.130000000000003</v>
      </c>
      <c r="CN106" s="275"/>
      <c r="CO106" s="275"/>
      <c r="CQ106" s="310">
        <v>-38.130000000000003</v>
      </c>
      <c r="CV106" s="310">
        <v>-38.130000000000003</v>
      </c>
      <c r="CW106" s="275"/>
      <c r="CX106" s="275"/>
      <c r="CZ106" s="310">
        <v>-38.130000000000003</v>
      </c>
      <c r="DA106" s="585"/>
      <c r="DC106" s="275">
        <v>-38.130000000000003</v>
      </c>
      <c r="DD106" s="275"/>
      <c r="DE106" s="275"/>
      <c r="DF106" s="275"/>
      <c r="DG106" s="275"/>
      <c r="DH106" s="275"/>
      <c r="DI106" s="275"/>
      <c r="DJ106" s="275">
        <v>-38.130000000000003</v>
      </c>
      <c r="DK106" s="275"/>
      <c r="DL106" s="275"/>
      <c r="DM106" s="275"/>
      <c r="DN106" s="275"/>
      <c r="DO106" s="275">
        <v>-38.130000000000003</v>
      </c>
      <c r="DP106" s="275"/>
      <c r="DQ106" s="275"/>
      <c r="DR106" s="275"/>
      <c r="DS106" s="275">
        <v>-38.130000000000003</v>
      </c>
      <c r="DT106" s="275"/>
      <c r="DU106" s="275"/>
      <c r="DV106" s="275"/>
      <c r="DW106" s="275"/>
      <c r="DX106" s="275">
        <v>-38.130000000000003</v>
      </c>
      <c r="DY106" s="275"/>
      <c r="DZ106" s="275"/>
      <c r="EA106" s="275"/>
      <c r="EB106" s="275">
        <v>-38.130000000000003</v>
      </c>
      <c r="EC106" s="275"/>
      <c r="ED106" s="275"/>
      <c r="EE106" s="275"/>
      <c r="EF106" s="275">
        <v>-38.130000000000003</v>
      </c>
      <c r="EG106" s="275"/>
      <c r="EH106" s="275"/>
      <c r="EJ106" s="275"/>
      <c r="EK106" s="275">
        <v>-38.130000000000003</v>
      </c>
      <c r="EN106" s="351"/>
    </row>
    <row r="107" spans="1:144" s="211" customFormat="1" ht="15" outlineLevel="1">
      <c r="A107" s="323"/>
      <c r="B107" s="519" t="s">
        <v>181</v>
      </c>
      <c r="E107" s="519"/>
      <c r="F107" s="268"/>
      <c r="G107" s="268"/>
      <c r="H107" s="268"/>
      <c r="I107" s="268"/>
      <c r="J107" s="268"/>
      <c r="K107" s="268"/>
      <c r="L107" s="268"/>
      <c r="M107" s="269">
        <v>-20</v>
      </c>
      <c r="N107" s="268"/>
      <c r="O107" s="268"/>
      <c r="P107" s="275"/>
      <c r="Q107" s="275"/>
      <c r="R107" s="310">
        <v>-20</v>
      </c>
      <c r="S107" s="275"/>
      <c r="T107" s="275"/>
      <c r="U107" s="275"/>
      <c r="V107" s="310">
        <v>-20</v>
      </c>
      <c r="W107" s="275"/>
      <c r="X107" s="275"/>
      <c r="Y107" s="275"/>
      <c r="Z107" s="310">
        <v>-20</v>
      </c>
      <c r="AA107" s="275"/>
      <c r="AB107" s="275"/>
      <c r="AC107" s="275"/>
      <c r="AD107" s="275"/>
      <c r="AE107" s="310">
        <v>-20</v>
      </c>
      <c r="AF107" s="275"/>
      <c r="AG107" s="275"/>
      <c r="AH107" s="275"/>
      <c r="AI107" s="310">
        <v>-20</v>
      </c>
      <c r="AJ107" s="275"/>
      <c r="AK107" s="275"/>
      <c r="AL107" s="275"/>
      <c r="AM107" s="310">
        <v>-20</v>
      </c>
      <c r="AN107" s="275"/>
      <c r="AO107" s="275"/>
      <c r="AP107" s="275"/>
      <c r="AQ107" s="275"/>
      <c r="AR107" s="310">
        <v>-20</v>
      </c>
      <c r="AS107" s="275"/>
      <c r="AT107" s="275"/>
      <c r="AU107" s="275"/>
      <c r="AW107" s="275">
        <v>0</v>
      </c>
      <c r="AX107" s="275">
        <v>0</v>
      </c>
      <c r="AY107" s="275"/>
      <c r="BE107" s="275" t="s">
        <v>0</v>
      </c>
      <c r="BG107" s="275" t="s">
        <v>0</v>
      </c>
      <c r="BK107" s="275"/>
      <c r="BL107" s="275" t="s">
        <v>0</v>
      </c>
      <c r="BM107" s="275" t="s">
        <v>0</v>
      </c>
      <c r="BN107" s="275"/>
      <c r="BQ107" s="275"/>
      <c r="BR107" s="275" t="s">
        <v>0</v>
      </c>
      <c r="BS107" s="275" t="s">
        <v>0</v>
      </c>
      <c r="BU107" s="275"/>
      <c r="BX107" s="275" t="s">
        <v>0</v>
      </c>
      <c r="BY107" s="275"/>
      <c r="BZ107" s="275"/>
      <c r="CB107" s="275"/>
      <c r="CD107" s="275"/>
      <c r="CE107" s="275" t="s">
        <v>0</v>
      </c>
      <c r="CF107" s="275"/>
      <c r="CG107" s="275"/>
      <c r="CJ107" s="275" t="s">
        <v>0</v>
      </c>
      <c r="CO107" s="275" t="s">
        <v>0</v>
      </c>
      <c r="CS107" s="275" t="s">
        <v>0</v>
      </c>
      <c r="CW107" s="275" t="s">
        <v>0</v>
      </c>
      <c r="CX107" s="275" t="s">
        <v>0</v>
      </c>
      <c r="CZ107" s="275" t="s">
        <v>0</v>
      </c>
      <c r="DA107" s="585">
        <v>-20</v>
      </c>
      <c r="DC107" s="275">
        <v>-20</v>
      </c>
      <c r="DD107" s="275"/>
      <c r="DE107" s="275"/>
      <c r="DF107" s="275"/>
      <c r="DG107" s="275"/>
      <c r="DH107" s="275"/>
      <c r="DI107" s="275"/>
      <c r="DJ107" s="275">
        <v>-20</v>
      </c>
      <c r="DK107" s="275"/>
      <c r="DL107" s="275"/>
      <c r="DM107" s="275"/>
      <c r="DN107" s="275"/>
      <c r="DO107" s="275">
        <v>-20</v>
      </c>
      <c r="DP107" s="275"/>
      <c r="DQ107" s="275"/>
      <c r="DR107" s="275"/>
      <c r="DS107" s="275">
        <v>-20</v>
      </c>
      <c r="DT107" s="275"/>
      <c r="DU107" s="275"/>
      <c r="DV107" s="275"/>
      <c r="DW107" s="275"/>
      <c r="DX107" s="275">
        <v>-20</v>
      </c>
      <c r="DY107" s="275"/>
      <c r="DZ107" s="275"/>
      <c r="EA107" s="275"/>
      <c r="EB107" s="275">
        <v>-20</v>
      </c>
      <c r="EC107" s="275"/>
      <c r="ED107" s="275"/>
      <c r="EE107" s="275"/>
      <c r="EF107" s="275">
        <v>-20</v>
      </c>
      <c r="EG107" s="275"/>
      <c r="EH107" s="275"/>
      <c r="EJ107" s="275"/>
      <c r="EK107" s="275">
        <v>-20</v>
      </c>
      <c r="EN107" s="351"/>
    </row>
    <row r="108" spans="1:144" s="211" customFormat="1" ht="15" outlineLevel="1">
      <c r="A108" s="323"/>
      <c r="B108" s="519" t="s">
        <v>182</v>
      </c>
      <c r="E108" s="519"/>
      <c r="F108" s="268"/>
      <c r="G108" s="268"/>
      <c r="H108" s="268"/>
      <c r="I108" s="268"/>
      <c r="J108" s="268"/>
      <c r="K108" s="268"/>
      <c r="L108" s="268"/>
      <c r="M108" s="268"/>
      <c r="N108" s="269">
        <v>-28</v>
      </c>
      <c r="O108" s="269">
        <v>-30.05</v>
      </c>
      <c r="P108" s="275" t="s">
        <v>0</v>
      </c>
      <c r="Q108" s="310">
        <v>-17</v>
      </c>
      <c r="R108" s="310">
        <f>-6.8-9-19.9</f>
        <v>-35.700000000000003</v>
      </c>
      <c r="S108" s="275"/>
      <c r="T108" s="310">
        <f>-11.39-6.8-10.7</f>
        <v>-28.89</v>
      </c>
      <c r="U108" s="275"/>
      <c r="V108" s="275"/>
      <c r="W108" s="275"/>
      <c r="X108" s="310">
        <v>-17</v>
      </c>
      <c r="Y108" s="310">
        <f>-39.5-11.2-2</f>
        <v>-52.7</v>
      </c>
      <c r="Z108" s="310">
        <f>-13.5-33.6-0.48</f>
        <v>-47.58</v>
      </c>
      <c r="AA108" s="310">
        <v>-12</v>
      </c>
      <c r="AB108" s="275"/>
      <c r="AC108" s="310">
        <f>-9-13.5</f>
        <v>-22.5</v>
      </c>
      <c r="AD108" s="310">
        <v>-16.100000000000001</v>
      </c>
      <c r="AE108" s="310">
        <v>-13.5</v>
      </c>
      <c r="AF108" s="275"/>
      <c r="AG108" s="275"/>
      <c r="AH108" s="310">
        <f>-160-1-52.66</f>
        <v>-213.66</v>
      </c>
      <c r="AI108" s="310">
        <f>-5-57.6</f>
        <v>-62.6</v>
      </c>
      <c r="AJ108" s="310">
        <f>-3.4-21.25-3.4-27.96</f>
        <v>-56.01</v>
      </c>
      <c r="AK108" s="275"/>
      <c r="AL108" s="310">
        <v>-55.27</v>
      </c>
      <c r="AM108" s="310">
        <v>-250</v>
      </c>
      <c r="AN108" s="310">
        <f>250-101.34</f>
        <v>148.66</v>
      </c>
      <c r="AO108" s="275"/>
      <c r="AP108" s="275"/>
      <c r="AQ108" s="275"/>
      <c r="AR108" s="310">
        <v>-101.34</v>
      </c>
      <c r="AS108" s="275"/>
      <c r="AT108" s="275"/>
      <c r="AU108" s="275"/>
      <c r="AV108" s="310">
        <v>-26.35</v>
      </c>
      <c r="AW108" s="275"/>
      <c r="AX108" s="275"/>
      <c r="AZ108" s="310">
        <f>-12.5-6.99</f>
        <v>-19.490000000000002</v>
      </c>
      <c r="BA108" s="310">
        <f>-1.9</f>
        <v>-1.9</v>
      </c>
      <c r="BB108" s="310">
        <f>-16.5-74</f>
        <v>-90.5</v>
      </c>
      <c r="BE108" s="275"/>
      <c r="BF108" s="275"/>
      <c r="BG108" s="275"/>
      <c r="BH108" s="275"/>
      <c r="BI108" s="275"/>
      <c r="BJ108" s="310">
        <v>-12.25</v>
      </c>
      <c r="BK108" s="275"/>
      <c r="BL108" s="310">
        <v>-188.93</v>
      </c>
      <c r="BM108" s="275"/>
      <c r="BN108" s="275"/>
      <c r="BO108" s="607">
        <v>-8.99</v>
      </c>
      <c r="BP108" s="607">
        <v>-13.65</v>
      </c>
      <c r="CC108" s="607">
        <v>-6.15</v>
      </c>
      <c r="CL108" s="607">
        <v>-2</v>
      </c>
      <c r="CM108" s="607">
        <v>-4.3</v>
      </c>
      <c r="CN108" s="607">
        <v>-30.2</v>
      </c>
      <c r="CO108" s="607">
        <v>-4.2</v>
      </c>
      <c r="CP108" s="607">
        <v>-12.4</v>
      </c>
      <c r="CR108" s="607">
        <v>-0.97</v>
      </c>
      <c r="CS108" s="211" t="s">
        <v>0</v>
      </c>
      <c r="CY108" s="607">
        <v>-13</v>
      </c>
      <c r="CZ108" s="269">
        <v>-255</v>
      </c>
      <c r="DA108" s="583"/>
      <c r="EN108" s="351"/>
    </row>
    <row r="109" spans="1:144" s="211" customFormat="1" ht="15" outlineLevel="1">
      <c r="A109" s="323"/>
      <c r="B109" s="519" t="s">
        <v>183</v>
      </c>
      <c r="E109" s="519"/>
      <c r="F109" s="268"/>
      <c r="G109" s="268"/>
      <c r="H109" s="268"/>
      <c r="I109" s="268"/>
      <c r="J109" s="268"/>
      <c r="K109" s="268"/>
      <c r="L109" s="268"/>
      <c r="M109" s="268"/>
      <c r="N109" s="269">
        <v>-425</v>
      </c>
      <c r="O109" s="268"/>
      <c r="P109" s="275"/>
      <c r="Q109" s="310">
        <v>-553</v>
      </c>
      <c r="R109" s="275"/>
      <c r="S109" s="275"/>
      <c r="T109" s="275"/>
      <c r="U109" s="275"/>
      <c r="V109" s="275"/>
      <c r="W109" s="275"/>
      <c r="X109" s="275"/>
      <c r="Y109" s="275"/>
      <c r="Z109" s="275"/>
      <c r="AA109" s="275"/>
      <c r="AB109" s="275"/>
      <c r="AC109" s="275"/>
      <c r="AD109" s="275"/>
      <c r="AE109" s="275"/>
      <c r="AF109" s="275"/>
      <c r="AG109" s="275"/>
      <c r="AH109" s="275"/>
      <c r="AI109" s="275"/>
      <c r="AJ109" s="275"/>
      <c r="AK109" s="275"/>
      <c r="AL109" s="275"/>
      <c r="AM109" s="275"/>
      <c r="AN109" s="275"/>
      <c r="AO109" s="275"/>
      <c r="AP109" s="275"/>
      <c r="AQ109" s="275"/>
      <c r="AR109" s="275"/>
      <c r="AS109" s="275"/>
      <c r="AT109" s="275"/>
      <c r="AU109" s="275"/>
      <c r="AV109" s="275"/>
      <c r="AW109" s="275"/>
      <c r="AX109" s="275"/>
      <c r="AY109" s="275"/>
      <c r="AZ109" s="275"/>
      <c r="BA109" s="275"/>
      <c r="BC109" s="275"/>
      <c r="BE109" s="275"/>
      <c r="BF109" s="275"/>
      <c r="BG109" s="275"/>
      <c r="BH109" s="275"/>
      <c r="BK109" s="275"/>
      <c r="BL109" s="275" t="s">
        <v>0</v>
      </c>
      <c r="BM109" s="275"/>
      <c r="BN109" s="275" t="s">
        <v>0</v>
      </c>
      <c r="BR109" s="211" t="s">
        <v>0</v>
      </c>
      <c r="CA109" s="211" t="s">
        <v>0</v>
      </c>
      <c r="CN109" s="607">
        <f>-460.02-260</f>
        <v>-720.02</v>
      </c>
      <c r="DA109" s="583"/>
      <c r="EN109" s="351"/>
    </row>
    <row r="110" spans="1:144" s="211" customFormat="1" ht="15" outlineLevel="1">
      <c r="A110" s="323"/>
      <c r="B110" s="519" t="s">
        <v>184</v>
      </c>
      <c r="E110" s="519"/>
      <c r="F110" s="268"/>
      <c r="G110" s="268"/>
      <c r="H110" s="268"/>
      <c r="I110" s="268"/>
      <c r="J110" s="268"/>
      <c r="K110" s="268"/>
      <c r="L110" s="268"/>
      <c r="M110" s="268"/>
      <c r="N110" s="269"/>
      <c r="O110" s="268"/>
      <c r="P110" s="310">
        <v>-617</v>
      </c>
      <c r="Q110" s="275"/>
      <c r="R110" s="275"/>
      <c r="S110" s="275"/>
      <c r="T110" s="275"/>
      <c r="U110" s="275"/>
      <c r="V110" s="275"/>
      <c r="W110" s="275"/>
      <c r="X110" s="275"/>
      <c r="Y110" s="275"/>
      <c r="Z110" s="275"/>
      <c r="AA110" s="275"/>
      <c r="AB110" s="275"/>
      <c r="AC110" s="275"/>
      <c r="AD110" s="275"/>
      <c r="AE110" s="275"/>
      <c r="AF110" s="275"/>
      <c r="AG110" s="275"/>
      <c r="AH110" s="275"/>
      <c r="AI110" s="275"/>
      <c r="AJ110" s="275"/>
      <c r="AK110" s="275"/>
      <c r="AL110" s="275"/>
      <c r="AM110" s="275"/>
      <c r="AN110" s="275"/>
      <c r="AO110" s="275"/>
      <c r="AP110" s="275"/>
      <c r="AQ110" s="275"/>
      <c r="AR110" s="275"/>
      <c r="AS110" s="275"/>
      <c r="AT110" s="275"/>
      <c r="AU110" s="275"/>
      <c r="AV110" s="275"/>
      <c r="AW110" s="275"/>
      <c r="AX110" s="275"/>
      <c r="AY110" s="275"/>
      <c r="AZ110" s="275"/>
      <c r="BA110" s="275"/>
      <c r="BC110" s="275"/>
      <c r="BE110" s="275"/>
      <c r="BF110" s="275"/>
      <c r="BG110" s="275"/>
      <c r="BH110" s="275"/>
      <c r="BI110" s="275"/>
      <c r="BJ110" s="275"/>
      <c r="BK110" s="275"/>
      <c r="BL110" s="275"/>
      <c r="BM110" s="275"/>
      <c r="BN110" s="275"/>
      <c r="BT110" s="211" t="s">
        <v>0</v>
      </c>
      <c r="DA110" s="583"/>
      <c r="EN110" s="351"/>
    </row>
    <row r="111" spans="1:144" ht="12.75" customHeight="1" outlineLevel="1">
      <c r="A111" s="648"/>
      <c r="B111" s="628" t="s">
        <v>185</v>
      </c>
      <c r="C111" s="263"/>
      <c r="D111" s="211"/>
      <c r="E111" s="519"/>
      <c r="F111" s="268"/>
      <c r="G111" s="268"/>
      <c r="H111" s="268"/>
      <c r="I111" s="268"/>
      <c r="J111" s="268"/>
      <c r="K111" s="326"/>
      <c r="L111" s="268"/>
      <c r="M111" s="337"/>
      <c r="N111" s="268"/>
      <c r="O111" s="268"/>
      <c r="P111" s="629">
        <f>-4556-15</f>
        <v>-4571</v>
      </c>
      <c r="Q111" s="268"/>
      <c r="R111" s="268"/>
      <c r="S111" s="268"/>
      <c r="T111" s="268"/>
      <c r="U111" s="268"/>
      <c r="V111" s="268"/>
      <c r="W111" s="268"/>
      <c r="X111" s="268"/>
      <c r="Y111" s="268"/>
      <c r="Z111" s="268"/>
      <c r="AA111" s="268"/>
      <c r="AB111" s="268"/>
      <c r="AC111" s="268"/>
      <c r="AD111" s="268"/>
      <c r="AE111" s="268"/>
      <c r="AF111" s="268"/>
      <c r="AG111" s="268"/>
      <c r="AH111" s="268"/>
      <c r="AI111" s="268"/>
      <c r="AJ111" s="268"/>
      <c r="AK111" s="268"/>
      <c r="AL111" s="268"/>
      <c r="AM111" s="268"/>
      <c r="AN111" s="268"/>
      <c r="AV111" s="268"/>
      <c r="AW111" s="275"/>
      <c r="AX111" s="268"/>
      <c r="AY111" s="268"/>
      <c r="AZ111" s="268"/>
      <c r="BA111" s="268"/>
      <c r="BC111" s="268"/>
      <c r="BE111" s="268"/>
      <c r="BF111" s="268"/>
      <c r="BG111" s="268"/>
      <c r="BH111" s="268"/>
      <c r="BI111" s="268"/>
      <c r="BJ111" s="268"/>
      <c r="BK111" s="268"/>
      <c r="BL111" s="268"/>
      <c r="BM111" s="268"/>
      <c r="BN111" s="268"/>
      <c r="BO111" s="268"/>
      <c r="BQ111" s="268"/>
      <c r="BR111" s="268"/>
      <c r="BS111" s="268"/>
      <c r="DA111" s="584"/>
      <c r="EN111" s="207"/>
    </row>
    <row r="112" spans="1:144" s="211" customFormat="1" ht="15" outlineLevel="1">
      <c r="A112" s="323"/>
      <c r="B112" s="519" t="s">
        <v>186</v>
      </c>
      <c r="E112" s="519"/>
      <c r="F112" s="268"/>
      <c r="G112" s="268"/>
      <c r="H112" s="268"/>
      <c r="I112" s="268"/>
      <c r="J112" s="268"/>
      <c r="K112" s="268"/>
      <c r="L112" s="268"/>
      <c r="M112" s="268"/>
      <c r="N112" s="268"/>
      <c r="O112" s="268"/>
      <c r="P112" s="275"/>
      <c r="Q112" s="275"/>
      <c r="R112" s="310">
        <v>-1000</v>
      </c>
      <c r="S112" s="275"/>
      <c r="T112" s="275"/>
      <c r="U112" s="310">
        <v>-1000</v>
      </c>
      <c r="V112" s="275"/>
      <c r="W112" s="275" t="s">
        <v>0</v>
      </c>
      <c r="X112" s="275"/>
      <c r="Y112" s="275">
        <v>0</v>
      </c>
      <c r="Z112" s="275"/>
      <c r="AA112" s="275">
        <v>0</v>
      </c>
      <c r="AB112" s="269">
        <v>-1000</v>
      </c>
      <c r="AC112" s="275"/>
      <c r="AD112" s="275"/>
      <c r="AE112" s="275">
        <v>0</v>
      </c>
      <c r="AG112" s="275" t="s">
        <v>0</v>
      </c>
      <c r="AH112" s="310">
        <v>-909.6</v>
      </c>
      <c r="AK112" s="275">
        <v>0</v>
      </c>
      <c r="AM112" s="275" t="s">
        <v>0</v>
      </c>
      <c r="AN112" s="275" t="s">
        <v>0</v>
      </c>
      <c r="AO112" s="310">
        <v>-693</v>
      </c>
      <c r="AP112" s="275"/>
      <c r="AQ112" s="275"/>
      <c r="AR112" s="275"/>
      <c r="AT112" s="310">
        <v>-198</v>
      </c>
      <c r="AU112" s="275">
        <v>0</v>
      </c>
      <c r="AV112" s="275" t="s">
        <v>0</v>
      </c>
      <c r="AW112" s="275">
        <v>0</v>
      </c>
      <c r="AX112" s="310">
        <v>-176</v>
      </c>
      <c r="AY112" s="275"/>
      <c r="AZ112" s="275"/>
      <c r="BA112" s="275"/>
      <c r="BF112" s="275" t="s">
        <v>0</v>
      </c>
      <c r="BG112" s="310">
        <v>-396</v>
      </c>
      <c r="BH112" s="275"/>
      <c r="BI112" s="275"/>
      <c r="BJ112" s="275"/>
      <c r="BK112" s="275"/>
      <c r="BL112" s="275"/>
      <c r="BM112" s="275"/>
      <c r="BN112" s="275"/>
      <c r="BQ112" s="275"/>
      <c r="BR112" s="275" t="s">
        <v>0</v>
      </c>
      <c r="BS112" s="275" t="s">
        <v>0</v>
      </c>
      <c r="BT112" s="310">
        <v>-396</v>
      </c>
      <c r="BU112" s="275"/>
      <c r="BV112" s="275"/>
      <c r="BW112" s="275"/>
      <c r="BX112" s="275"/>
      <c r="BY112" s="275"/>
      <c r="BZ112" s="275"/>
      <c r="CA112" s="269">
        <v>-176</v>
      </c>
      <c r="CC112" s="275"/>
      <c r="CD112" s="275"/>
      <c r="CE112" s="275"/>
      <c r="CF112" s="275"/>
      <c r="CG112" s="275"/>
      <c r="CI112" s="310">
        <v>-176</v>
      </c>
      <c r="CJ112" s="275"/>
      <c r="CL112" s="310">
        <v>-182.4</v>
      </c>
      <c r="CM112" s="275"/>
      <c r="CN112" s="275"/>
      <c r="CO112" s="275"/>
      <c r="CR112" s="310">
        <v>-182.4</v>
      </c>
      <c r="CW112" s="275" t="s">
        <v>0</v>
      </c>
      <c r="CZ112" s="310">
        <v>-456</v>
      </c>
      <c r="DA112" s="585"/>
      <c r="DB112" s="275" t="s">
        <v>0</v>
      </c>
      <c r="DC112" s="275">
        <v>-250</v>
      </c>
      <c r="DD112" s="275"/>
      <c r="DE112" s="275"/>
      <c r="DF112" s="275"/>
      <c r="DG112" s="275"/>
      <c r="DH112" s="275"/>
      <c r="DI112" s="275"/>
      <c r="DJ112" s="275">
        <v>-250</v>
      </c>
      <c r="DK112" s="275"/>
      <c r="DL112" s="275"/>
      <c r="DM112" s="275"/>
      <c r="DN112" s="275"/>
      <c r="DO112" s="275">
        <v>-250</v>
      </c>
      <c r="DP112" s="275"/>
      <c r="DQ112" s="275"/>
      <c r="DR112" s="275"/>
      <c r="DS112" s="275">
        <v>-250</v>
      </c>
      <c r="DT112" s="275"/>
      <c r="DU112" s="275"/>
      <c r="DV112" s="275"/>
      <c r="DW112" s="275"/>
      <c r="DX112" s="275">
        <v>-250</v>
      </c>
      <c r="DY112" s="275"/>
      <c r="DZ112" s="275"/>
      <c r="EA112" s="275"/>
      <c r="EB112" s="275"/>
      <c r="EC112" s="275"/>
      <c r="ED112" s="275"/>
      <c r="EE112" s="275"/>
      <c r="EF112" s="275">
        <v>-250</v>
      </c>
      <c r="EG112" s="275"/>
      <c r="EH112" s="275"/>
      <c r="EI112" s="275">
        <v>-250</v>
      </c>
      <c r="EJ112" s="275"/>
      <c r="EN112" s="351"/>
    </row>
    <row r="113" spans="1:144" s="211" customFormat="1" ht="15" outlineLevel="1">
      <c r="A113" s="323"/>
      <c r="B113" s="519" t="s">
        <v>613</v>
      </c>
      <c r="E113" s="519"/>
      <c r="F113" s="268"/>
      <c r="G113" s="268"/>
      <c r="H113" s="268"/>
      <c r="I113" s="268"/>
      <c r="J113" s="268"/>
      <c r="K113" s="268"/>
      <c r="L113" s="268"/>
      <c r="M113" s="268"/>
      <c r="N113" s="268"/>
      <c r="O113" s="268"/>
      <c r="P113" s="275"/>
      <c r="Q113" s="275"/>
      <c r="R113" s="310"/>
      <c r="S113" s="275"/>
      <c r="T113" s="275"/>
      <c r="U113" s="310"/>
      <c r="V113" s="275"/>
      <c r="W113" s="275"/>
      <c r="X113" s="275"/>
      <c r="Y113" s="275"/>
      <c r="Z113" s="275"/>
      <c r="AA113" s="275"/>
      <c r="AB113" s="269"/>
      <c r="AC113" s="275"/>
      <c r="AD113" s="275"/>
      <c r="AE113" s="275"/>
      <c r="AG113" s="275"/>
      <c r="AH113" s="310"/>
      <c r="AK113" s="275"/>
      <c r="AM113" s="275"/>
      <c r="AN113" s="275"/>
      <c r="AO113" s="310"/>
      <c r="AP113" s="275"/>
      <c r="AQ113" s="275"/>
      <c r="AR113" s="275"/>
      <c r="AT113" s="310"/>
      <c r="AU113" s="275"/>
      <c r="AV113" s="275"/>
      <c r="AW113" s="275"/>
      <c r="AX113" s="310"/>
      <c r="AY113" s="275"/>
      <c r="AZ113" s="275"/>
      <c r="BA113" s="275"/>
      <c r="BF113" s="275"/>
      <c r="BG113" s="310"/>
      <c r="BH113" s="275"/>
      <c r="BI113" s="275"/>
      <c r="BJ113" s="275"/>
      <c r="BK113" s="275"/>
      <c r="BL113" s="275"/>
      <c r="BM113" s="275"/>
      <c r="BN113" s="275"/>
      <c r="BQ113" s="275"/>
      <c r="BR113" s="275"/>
      <c r="BS113" s="275"/>
      <c r="BT113" s="310"/>
      <c r="BU113" s="275"/>
      <c r="BV113" s="275"/>
      <c r="BW113" s="275"/>
      <c r="BX113" s="275"/>
      <c r="BY113" s="275"/>
      <c r="BZ113" s="275"/>
      <c r="CA113" s="269"/>
      <c r="CC113" s="275"/>
      <c r="CD113" s="275"/>
      <c r="CE113" s="275"/>
      <c r="CF113" s="275"/>
      <c r="CG113" s="275"/>
      <c r="CI113" s="310"/>
      <c r="CJ113" s="275"/>
      <c r="CL113" s="310"/>
      <c r="CM113" s="310">
        <v>-413.96</v>
      </c>
      <c r="CN113" s="275"/>
      <c r="CO113" s="275"/>
      <c r="CP113" s="275"/>
      <c r="CU113" s="275"/>
      <c r="CV113" s="275"/>
      <c r="CW113" s="275"/>
      <c r="CX113" s="275"/>
      <c r="CY113" s="275"/>
      <c r="CZ113" s="275"/>
      <c r="DA113" s="585"/>
      <c r="DB113" s="275"/>
      <c r="DC113" s="275"/>
      <c r="DD113" s="275"/>
      <c r="DE113" s="275"/>
      <c r="DF113" s="275"/>
      <c r="DG113" s="275"/>
      <c r="DH113" s="275"/>
      <c r="DI113" s="275"/>
      <c r="DJ113" s="275"/>
      <c r="DK113" s="275"/>
      <c r="DL113" s="275"/>
      <c r="DM113" s="275"/>
      <c r="DN113" s="275"/>
      <c r="DO113" s="275"/>
      <c r="DP113" s="275"/>
      <c r="DQ113" s="275"/>
      <c r="DR113" s="275"/>
      <c r="DS113" s="275"/>
      <c r="DT113" s="275"/>
      <c r="DU113" s="275"/>
      <c r="DV113" s="275"/>
      <c r="DW113" s="275"/>
      <c r="DX113" s="275"/>
      <c r="DY113" s="275"/>
      <c r="DZ113" s="275"/>
      <c r="EA113" s="275"/>
      <c r="EB113" s="275"/>
      <c r="EC113" s="275"/>
      <c r="ED113" s="275"/>
      <c r="EE113" s="275"/>
      <c r="EF113" s="275"/>
      <c r="EG113" s="275"/>
      <c r="EH113" s="275"/>
      <c r="EI113" s="275"/>
      <c r="EJ113" s="275"/>
      <c r="EN113" s="351"/>
    </row>
    <row r="114" spans="1:144" s="211" customFormat="1" ht="15" outlineLevel="1">
      <c r="A114" s="323"/>
      <c r="B114" s="519" t="s">
        <v>187</v>
      </c>
      <c r="E114" s="519"/>
      <c r="F114" s="268"/>
      <c r="G114" s="268"/>
      <c r="H114" s="268"/>
      <c r="I114" s="268"/>
      <c r="J114" s="268"/>
      <c r="K114" s="268"/>
      <c r="L114" s="268"/>
      <c r="M114" s="268"/>
      <c r="N114" s="268"/>
      <c r="O114" s="268"/>
      <c r="P114" s="275"/>
      <c r="Q114" s="275"/>
      <c r="R114" s="310">
        <v>-289</v>
      </c>
      <c r="S114" s="275"/>
      <c r="T114" s="275"/>
      <c r="U114" s="275"/>
      <c r="V114" s="275"/>
      <c r="W114" s="275"/>
      <c r="X114" s="275"/>
      <c r="Y114" s="275"/>
      <c r="Z114" s="275"/>
      <c r="AA114" s="275"/>
      <c r="AB114" s="275"/>
      <c r="AC114" s="275"/>
      <c r="AD114" s="275"/>
      <c r="AE114" s="275"/>
      <c r="AF114" s="275"/>
      <c r="AG114" s="275"/>
      <c r="AH114" s="275"/>
      <c r="AI114" s="275"/>
      <c r="AJ114" s="275"/>
      <c r="AK114" s="275"/>
      <c r="AL114" s="275"/>
      <c r="AM114" s="275"/>
      <c r="AN114" s="275"/>
      <c r="AO114" s="275"/>
      <c r="AP114" s="275"/>
      <c r="AQ114" s="275"/>
      <c r="AR114" s="275"/>
      <c r="AS114" s="275"/>
      <c r="AT114" s="275"/>
      <c r="AU114" s="275"/>
      <c r="AV114" s="275"/>
      <c r="AX114" s="310">
        <v>-4755</v>
      </c>
      <c r="AY114" s="275"/>
      <c r="AZ114" s="275"/>
      <c r="BA114" s="275"/>
      <c r="BB114" s="275"/>
      <c r="BC114" s="275"/>
      <c r="BD114" s="275"/>
      <c r="BE114" s="275"/>
      <c r="BF114" s="275"/>
      <c r="BG114" s="275"/>
      <c r="BH114" s="275"/>
      <c r="BI114" s="275"/>
      <c r="BJ114" s="275"/>
      <c r="BK114" s="275"/>
      <c r="BL114" s="275"/>
      <c r="BM114" s="275"/>
      <c r="BN114" s="275"/>
      <c r="DA114" s="583"/>
      <c r="EN114" s="351"/>
    </row>
    <row r="115" spans="1:144" s="211" customFormat="1" ht="15" outlineLevel="1">
      <c r="A115" s="323"/>
      <c r="B115" s="519" t="s">
        <v>188</v>
      </c>
      <c r="E115" s="519"/>
      <c r="F115" s="268"/>
      <c r="G115" s="268"/>
      <c r="H115" s="268"/>
      <c r="I115" s="268"/>
      <c r="J115" s="268"/>
      <c r="K115" s="268"/>
      <c r="L115" s="268"/>
      <c r="M115" s="268"/>
      <c r="N115" s="268"/>
      <c r="O115" s="268"/>
      <c r="P115" s="275"/>
      <c r="Q115" s="275"/>
      <c r="R115" s="275"/>
      <c r="S115" s="310">
        <f>-23.9-7</f>
        <v>-30.9</v>
      </c>
      <c r="T115" s="275"/>
      <c r="U115" s="275"/>
      <c r="V115" s="275"/>
      <c r="W115" s="275"/>
      <c r="X115" s="275"/>
      <c r="Y115" s="275"/>
      <c r="Z115" s="275"/>
      <c r="AA115" s="275"/>
      <c r="AB115" s="275"/>
      <c r="AC115" s="275"/>
      <c r="AD115" s="275"/>
      <c r="AE115" s="275"/>
      <c r="AF115" s="275"/>
      <c r="AG115" s="275"/>
      <c r="AH115" s="275"/>
      <c r="AI115" s="275"/>
      <c r="AJ115" s="275"/>
      <c r="AK115" s="275"/>
      <c r="AL115" s="275"/>
      <c r="AM115" s="275"/>
      <c r="AN115" s="275"/>
      <c r="AO115" s="275"/>
      <c r="AP115" s="275"/>
      <c r="AQ115" s="275"/>
      <c r="AR115" s="275"/>
      <c r="AS115" s="275"/>
      <c r="AT115" s="275"/>
      <c r="AU115" s="275"/>
      <c r="AV115" s="275"/>
      <c r="AW115" s="275"/>
      <c r="AX115" s="275"/>
      <c r="AY115" s="275"/>
      <c r="AZ115" s="275"/>
      <c r="BA115" s="275"/>
      <c r="BB115" s="275"/>
      <c r="BC115" s="275"/>
      <c r="BD115" s="275"/>
      <c r="BE115" s="275"/>
      <c r="BF115" s="275"/>
      <c r="BG115" s="275"/>
      <c r="BH115" s="275"/>
      <c r="BI115" s="275"/>
      <c r="BJ115" s="275"/>
      <c r="BK115" s="275"/>
      <c r="BL115" s="275"/>
      <c r="BM115" s="275"/>
      <c r="BN115" s="275"/>
      <c r="DA115" s="583"/>
      <c r="EN115" s="351"/>
    </row>
    <row r="116" spans="1:144" s="211" customFormat="1" ht="15" outlineLevel="1">
      <c r="A116" s="323"/>
      <c r="B116" s="519" t="s">
        <v>189</v>
      </c>
      <c r="E116" s="519"/>
      <c r="F116" s="268"/>
      <c r="G116" s="268"/>
      <c r="H116" s="268"/>
      <c r="I116" s="268"/>
      <c r="J116" s="268"/>
      <c r="K116" s="268"/>
      <c r="L116" s="268"/>
      <c r="M116" s="268"/>
      <c r="N116" s="268"/>
      <c r="O116" s="268"/>
      <c r="P116" s="275"/>
      <c r="Q116" s="275"/>
      <c r="R116" s="275"/>
      <c r="S116" s="275"/>
      <c r="T116" s="310">
        <v>-3075</v>
      </c>
      <c r="U116" s="275"/>
      <c r="V116" s="275"/>
      <c r="W116" s="275"/>
      <c r="X116" s="275"/>
      <c r="Y116" s="275"/>
      <c r="Z116" s="275"/>
      <c r="AA116" s="275"/>
      <c r="AB116" s="275"/>
      <c r="AC116" s="275"/>
      <c r="AD116" s="275"/>
      <c r="AE116" s="275"/>
      <c r="AF116" s="275"/>
      <c r="AG116" s="275"/>
      <c r="AH116" s="275"/>
      <c r="AI116" s="275"/>
      <c r="AJ116" s="275"/>
      <c r="AK116" s="275"/>
      <c r="AL116" s="275"/>
      <c r="AM116" s="275"/>
      <c r="AN116" s="275"/>
      <c r="AO116" s="275"/>
      <c r="AP116" s="275"/>
      <c r="AQ116" s="275"/>
      <c r="AR116" s="275"/>
      <c r="AS116" s="275"/>
      <c r="AT116" s="275"/>
      <c r="AU116" s="275"/>
      <c r="AV116" s="275"/>
      <c r="AW116" s="275"/>
      <c r="AX116" s="275"/>
      <c r="AY116" s="275"/>
      <c r="AZ116" s="275"/>
      <c r="BA116" s="275"/>
      <c r="BB116" s="275"/>
      <c r="BC116" s="275"/>
      <c r="BD116" s="275"/>
      <c r="BE116" s="275"/>
      <c r="BF116" s="275"/>
      <c r="BG116" s="275"/>
      <c r="BH116" s="275"/>
      <c r="BI116" s="275"/>
      <c r="BJ116" s="275"/>
      <c r="BK116" s="275"/>
      <c r="BL116" s="275"/>
      <c r="BM116" s="275"/>
      <c r="BN116" s="275"/>
      <c r="DA116" s="583"/>
      <c r="EN116" s="351"/>
    </row>
    <row r="117" spans="1:144" s="211" customFormat="1" ht="15" outlineLevel="1">
      <c r="A117" s="323"/>
      <c r="B117" s="519" t="s">
        <v>190</v>
      </c>
      <c r="E117" s="519"/>
      <c r="F117" s="268"/>
      <c r="G117" s="268"/>
      <c r="H117" s="268"/>
      <c r="I117" s="268"/>
      <c r="J117" s="268"/>
      <c r="K117" s="268"/>
      <c r="L117" s="268"/>
      <c r="M117" s="268"/>
      <c r="N117" s="268"/>
      <c r="O117" s="268"/>
      <c r="P117" s="275"/>
      <c r="Q117" s="275"/>
      <c r="R117" s="275"/>
      <c r="S117" s="275"/>
      <c r="T117" s="310">
        <v>-600</v>
      </c>
      <c r="U117" s="275"/>
      <c r="V117" s="275"/>
      <c r="W117" s="275"/>
      <c r="X117" s="275"/>
      <c r="Y117" s="275"/>
      <c r="Z117" s="275"/>
      <c r="AA117" s="275"/>
      <c r="AB117" s="275"/>
      <c r="AC117" s="275"/>
      <c r="AD117" s="275"/>
      <c r="AE117" s="275"/>
      <c r="AF117" s="275"/>
      <c r="AG117" s="275"/>
      <c r="AH117" s="275"/>
      <c r="AI117" s="275"/>
      <c r="AJ117" s="275"/>
      <c r="AK117" s="275"/>
      <c r="AL117" s="275"/>
      <c r="AM117" s="275"/>
      <c r="AN117" s="275"/>
      <c r="AO117" s="275"/>
      <c r="AP117" s="275"/>
      <c r="AQ117" s="275"/>
      <c r="AR117" s="275"/>
      <c r="AS117" s="275"/>
      <c r="AT117" s="275"/>
      <c r="AU117" s="275"/>
      <c r="AV117" s="275"/>
      <c r="AW117" s="275"/>
      <c r="AX117" s="275"/>
      <c r="AY117" s="275"/>
      <c r="AZ117" s="275"/>
      <c r="BA117" s="275"/>
      <c r="BB117" s="275"/>
      <c r="BC117" s="275"/>
      <c r="BD117" s="275"/>
      <c r="BE117" s="275"/>
      <c r="BF117" s="275"/>
      <c r="BG117" s="275"/>
      <c r="BH117" s="275"/>
      <c r="BI117" s="275"/>
      <c r="BJ117" s="275"/>
      <c r="BK117" s="275"/>
      <c r="BL117" s="275"/>
      <c r="BM117" s="275"/>
      <c r="BN117" s="275"/>
      <c r="DA117" s="583"/>
      <c r="EN117" s="351"/>
    </row>
    <row r="118" spans="1:144" s="211" customFormat="1" ht="15" outlineLevel="1">
      <c r="A118" s="323"/>
      <c r="B118" s="519" t="s">
        <v>191</v>
      </c>
      <c r="E118" s="519"/>
      <c r="F118" s="268"/>
      <c r="G118" s="268"/>
      <c r="H118" s="268"/>
      <c r="I118" s="268"/>
      <c r="J118" s="268"/>
      <c r="K118" s="268"/>
      <c r="L118" s="268"/>
      <c r="M118" s="268"/>
      <c r="N118" s="268"/>
      <c r="O118" s="268"/>
      <c r="P118" s="275"/>
      <c r="Q118" s="275"/>
      <c r="R118" s="275"/>
      <c r="S118" s="275"/>
      <c r="T118" s="310"/>
      <c r="U118" s="275"/>
      <c r="V118" s="275"/>
      <c r="W118" s="310">
        <v>-488.06</v>
      </c>
      <c r="X118" s="275">
        <v>0</v>
      </c>
      <c r="Y118" s="275"/>
      <c r="Z118" s="275"/>
      <c r="AA118" s="275"/>
      <c r="AB118" s="275"/>
      <c r="AC118" s="275"/>
      <c r="AD118" s="275"/>
      <c r="AE118" s="275"/>
      <c r="AF118" s="275"/>
      <c r="AG118" s="275"/>
      <c r="AH118" s="275"/>
      <c r="AI118" s="275"/>
      <c r="AJ118" s="275"/>
      <c r="AK118" s="275"/>
      <c r="AL118" s="275"/>
      <c r="AM118" s="275"/>
      <c r="AN118" s="275"/>
      <c r="AO118" s="275"/>
      <c r="AP118" s="275"/>
      <c r="AQ118" s="275"/>
      <c r="AR118" s="275"/>
      <c r="AS118" s="275"/>
      <c r="AT118" s="275"/>
      <c r="AU118" s="275"/>
      <c r="AV118" s="275"/>
      <c r="AW118" s="275"/>
      <c r="AX118" s="275"/>
      <c r="AY118" s="275"/>
      <c r="AZ118" s="275"/>
      <c r="BA118" s="275"/>
      <c r="BB118" s="275"/>
      <c r="BC118" s="275"/>
      <c r="BD118" s="275"/>
      <c r="BE118" s="275"/>
      <c r="BF118" s="275"/>
      <c r="BG118" s="275"/>
      <c r="BH118" s="275"/>
      <c r="BI118" s="275"/>
      <c r="BJ118" s="275"/>
      <c r="BK118" s="275"/>
      <c r="BL118" s="275"/>
      <c r="BM118" s="275"/>
      <c r="BN118" s="275"/>
      <c r="DA118" s="583"/>
      <c r="EN118" s="351"/>
    </row>
    <row r="119" spans="1:144" s="211" customFormat="1" ht="15" outlineLevel="1">
      <c r="A119" s="323"/>
      <c r="B119" s="519" t="s">
        <v>192</v>
      </c>
      <c r="E119" s="519"/>
      <c r="F119" s="268"/>
      <c r="G119" s="268"/>
      <c r="H119" s="268"/>
      <c r="I119" s="268"/>
      <c r="J119" s="268"/>
      <c r="K119" s="268"/>
      <c r="L119" s="268"/>
      <c r="M119" s="268"/>
      <c r="N119" s="268"/>
      <c r="O119" s="268"/>
      <c r="P119" s="275"/>
      <c r="Q119" s="275"/>
      <c r="R119" s="275"/>
      <c r="S119" s="275"/>
      <c r="T119" s="310"/>
      <c r="U119" s="275"/>
      <c r="V119" s="275"/>
      <c r="W119" s="310"/>
      <c r="X119" s="275"/>
      <c r="Y119" s="275"/>
      <c r="Z119" s="275"/>
      <c r="AA119" s="275"/>
      <c r="AB119" s="275"/>
      <c r="AC119" s="310">
        <v>-284</v>
      </c>
      <c r="AD119" s="275"/>
      <c r="AE119" s="275"/>
      <c r="AF119" s="275"/>
      <c r="AG119" s="275"/>
      <c r="AH119" s="310">
        <v>-232.5</v>
      </c>
      <c r="AI119" s="275"/>
      <c r="AJ119" s="275"/>
      <c r="AK119" s="275"/>
      <c r="AL119" s="275"/>
      <c r="AM119" s="275"/>
      <c r="AN119" s="310">
        <v>-297</v>
      </c>
      <c r="AO119" s="275"/>
      <c r="AP119" s="275"/>
      <c r="AQ119" s="275"/>
      <c r="AR119" s="275"/>
      <c r="AS119" s="275"/>
      <c r="AT119" s="275"/>
      <c r="AU119" s="310">
        <v>-262.5</v>
      </c>
      <c r="AV119" s="275"/>
      <c r="AW119" s="275"/>
      <c r="AX119" s="275"/>
      <c r="AY119" s="275"/>
      <c r="BA119" s="310">
        <v>-462.5</v>
      </c>
      <c r="BB119" s="275"/>
      <c r="BC119" s="275"/>
      <c r="BD119" s="275"/>
      <c r="BE119" s="275"/>
      <c r="BF119" s="275"/>
      <c r="BG119" s="275"/>
      <c r="BH119" s="275"/>
      <c r="BI119" s="275"/>
      <c r="BJ119" s="275"/>
      <c r="BK119" s="275"/>
      <c r="BL119" s="275"/>
      <c r="BM119" s="275"/>
      <c r="BN119" s="275"/>
      <c r="DA119" s="583"/>
      <c r="EN119" s="351"/>
    </row>
    <row r="120" spans="1:144" s="211" customFormat="1" ht="15" outlineLevel="1">
      <c r="A120" s="323"/>
      <c r="B120" s="519" t="s">
        <v>193</v>
      </c>
      <c r="E120" s="519"/>
      <c r="F120" s="268"/>
      <c r="G120" s="268"/>
      <c r="H120" s="268"/>
      <c r="I120" s="268"/>
      <c r="J120" s="268"/>
      <c r="K120" s="268"/>
      <c r="L120" s="268"/>
      <c r="M120" s="268"/>
      <c r="N120" s="268"/>
      <c r="O120" s="268"/>
      <c r="P120" s="275"/>
      <c r="Q120" s="275"/>
      <c r="R120" s="275"/>
      <c r="S120" s="275"/>
      <c r="T120" s="310"/>
      <c r="U120" s="275"/>
      <c r="V120" s="275"/>
      <c r="W120" s="310"/>
      <c r="X120" s="275"/>
      <c r="Y120" s="275"/>
      <c r="Z120" s="275"/>
      <c r="AA120" s="275"/>
      <c r="AB120" s="275"/>
      <c r="AC120" s="275"/>
      <c r="AD120" s="310">
        <v>-2452.0500000000002</v>
      </c>
      <c r="AE120" s="275"/>
      <c r="AF120" s="275"/>
      <c r="AG120" s="275"/>
      <c r="AH120" s="275"/>
      <c r="AI120" s="275"/>
      <c r="AJ120" s="275"/>
      <c r="AK120" s="275"/>
      <c r="AL120" s="275"/>
      <c r="AM120" s="275"/>
      <c r="AN120" s="275"/>
      <c r="AO120" s="275"/>
      <c r="AP120" s="275"/>
      <c r="AQ120" s="275"/>
      <c r="AR120" s="275"/>
      <c r="AS120" s="275"/>
      <c r="AT120" s="275"/>
      <c r="AU120" s="275"/>
      <c r="AV120" s="275"/>
      <c r="AW120" s="275"/>
      <c r="AX120" s="275"/>
      <c r="AY120" s="275"/>
      <c r="AZ120" s="275"/>
      <c r="BA120" s="275"/>
      <c r="BB120" s="275"/>
      <c r="BC120" s="275"/>
      <c r="BD120" s="275"/>
      <c r="BE120" s="275"/>
      <c r="BF120" s="275"/>
      <c r="BG120" s="275"/>
      <c r="BH120" s="275"/>
      <c r="BI120" s="275"/>
      <c r="BJ120" s="275"/>
      <c r="BK120" s="275"/>
      <c r="BL120" s="275"/>
      <c r="BM120" s="275"/>
      <c r="BN120" s="275"/>
      <c r="DA120" s="583"/>
      <c r="EN120" s="351"/>
    </row>
    <row r="121" spans="1:144" s="211" customFormat="1" ht="15" outlineLevel="1">
      <c r="A121" s="323"/>
      <c r="B121" s="519" t="s">
        <v>720</v>
      </c>
      <c r="E121" s="519"/>
      <c r="F121" s="268"/>
      <c r="G121" s="268"/>
      <c r="H121" s="268"/>
      <c r="I121" s="268"/>
      <c r="J121" s="268"/>
      <c r="K121" s="268"/>
      <c r="L121" s="268"/>
      <c r="M121" s="268"/>
      <c r="N121" s="268"/>
      <c r="O121" s="268"/>
      <c r="P121" s="275"/>
      <c r="Q121" s="275"/>
      <c r="R121" s="275"/>
      <c r="S121" s="275"/>
      <c r="T121" s="310"/>
      <c r="U121" s="275"/>
      <c r="V121" s="275"/>
      <c r="W121" s="310"/>
      <c r="X121" s="275"/>
      <c r="Y121" s="275"/>
      <c r="Z121" s="275"/>
      <c r="AA121" s="275"/>
      <c r="AB121" s="275"/>
      <c r="AC121" s="275"/>
      <c r="AD121" s="310"/>
      <c r="AE121" s="275"/>
      <c r="AF121" s="275"/>
      <c r="AG121" s="275"/>
      <c r="AH121" s="275"/>
      <c r="AI121" s="275"/>
      <c r="AJ121" s="275"/>
      <c r="AK121" s="275"/>
      <c r="AL121" s="275"/>
      <c r="AM121" s="275"/>
      <c r="AN121" s="275"/>
      <c r="AO121" s="275"/>
      <c r="AP121" s="275"/>
      <c r="AQ121" s="275"/>
      <c r="AR121" s="275"/>
      <c r="AS121" s="275"/>
      <c r="AT121" s="275"/>
      <c r="AU121" s="275"/>
      <c r="AV121" s="275"/>
      <c r="AX121" s="310">
        <v>-728.74</v>
      </c>
      <c r="AY121" s="275"/>
      <c r="AZ121" s="275"/>
      <c r="BA121" s="275"/>
      <c r="BB121" s="310">
        <v>-428.8</v>
      </c>
      <c r="BC121" s="275"/>
      <c r="BD121" s="275"/>
      <c r="BE121" s="275"/>
      <c r="BF121" s="275"/>
      <c r="BG121" s="275"/>
      <c r="BH121" s="275"/>
      <c r="BI121" s="275"/>
      <c r="BJ121" s="275"/>
      <c r="BK121" s="275"/>
      <c r="BL121" s="275"/>
      <c r="BM121" s="275"/>
      <c r="BN121" s="275"/>
      <c r="DA121" s="583"/>
      <c r="EN121" s="351"/>
    </row>
    <row r="122" spans="1:144" s="211" customFormat="1" ht="15" outlineLevel="1">
      <c r="A122" s="323"/>
      <c r="B122" s="519" t="s">
        <v>742</v>
      </c>
      <c r="E122" s="519"/>
      <c r="F122" s="268"/>
      <c r="G122" s="268"/>
      <c r="H122" s="268"/>
      <c r="I122" s="268"/>
      <c r="J122" s="268"/>
      <c r="K122" s="268"/>
      <c r="L122" s="268"/>
      <c r="M122" s="268"/>
      <c r="N122" s="268"/>
      <c r="O122" s="268"/>
      <c r="P122" s="275"/>
      <c r="Q122" s="275"/>
      <c r="R122" s="275"/>
      <c r="S122" s="275"/>
      <c r="T122" s="310"/>
      <c r="U122" s="275"/>
      <c r="V122" s="275"/>
      <c r="W122" s="310"/>
      <c r="X122" s="275"/>
      <c r="Y122" s="275"/>
      <c r="Z122" s="275"/>
      <c r="AA122" s="275"/>
      <c r="AB122" s="275"/>
      <c r="AC122" s="275"/>
      <c r="AD122" s="310"/>
      <c r="AE122" s="275"/>
      <c r="AF122" s="275"/>
      <c r="AG122" s="275"/>
      <c r="AH122" s="275"/>
      <c r="AI122" s="275"/>
      <c r="AJ122" s="275"/>
      <c r="AK122" s="275"/>
      <c r="AL122" s="275"/>
      <c r="AM122" s="275"/>
      <c r="AN122" s="275"/>
      <c r="AO122" s="275"/>
      <c r="AP122" s="275"/>
      <c r="AQ122" s="275"/>
      <c r="AR122" s="275"/>
      <c r="AS122" s="275"/>
      <c r="AT122" s="275"/>
      <c r="AU122" s="275"/>
      <c r="AV122" s="275"/>
      <c r="AX122" s="275"/>
      <c r="AY122" s="275"/>
      <c r="AZ122" s="275"/>
      <c r="BA122" s="275"/>
      <c r="BB122" s="310">
        <v>-545</v>
      </c>
      <c r="BC122" s="275"/>
      <c r="BD122" s="275"/>
      <c r="BE122" s="275"/>
      <c r="BF122" s="275"/>
      <c r="BG122" s="275"/>
      <c r="BH122" s="275"/>
      <c r="BI122" s="275"/>
      <c r="BJ122" s="275"/>
      <c r="BK122" s="275"/>
      <c r="BL122" s="275"/>
      <c r="BM122" s="275"/>
      <c r="BN122" s="275"/>
      <c r="DA122" s="583"/>
      <c r="EN122" s="351"/>
    </row>
    <row r="123" spans="1:144" s="211" customFormat="1" ht="15" outlineLevel="1">
      <c r="A123" s="323"/>
      <c r="B123" s="519" t="s">
        <v>905</v>
      </c>
      <c r="E123" s="519"/>
      <c r="F123" s="268"/>
      <c r="G123" s="268"/>
      <c r="H123" s="268"/>
      <c r="I123" s="268"/>
      <c r="J123" s="268"/>
      <c r="K123" s="268"/>
      <c r="L123" s="268"/>
      <c r="M123" s="268"/>
      <c r="N123" s="268"/>
      <c r="O123" s="268"/>
      <c r="P123" s="275"/>
      <c r="Q123" s="275"/>
      <c r="R123" s="275"/>
      <c r="S123" s="275"/>
      <c r="T123" s="310"/>
      <c r="U123" s="275"/>
      <c r="V123" s="275"/>
      <c r="W123" s="310"/>
      <c r="X123" s="275"/>
      <c r="Y123" s="275"/>
      <c r="Z123" s="275"/>
      <c r="AA123" s="275"/>
      <c r="AB123" s="275"/>
      <c r="AC123" s="275"/>
      <c r="AD123" s="310"/>
      <c r="AE123" s="275"/>
      <c r="AF123" s="275"/>
      <c r="AG123" s="275"/>
      <c r="AH123" s="275"/>
      <c r="AI123" s="275"/>
      <c r="AJ123" s="275"/>
      <c r="AK123" s="275"/>
      <c r="AL123" s="275"/>
      <c r="AM123" s="275"/>
      <c r="AN123" s="275"/>
      <c r="AO123" s="275"/>
      <c r="AP123" s="275"/>
      <c r="AQ123" s="275"/>
      <c r="AR123" s="275"/>
      <c r="AS123" s="275"/>
      <c r="AT123" s="275"/>
      <c r="AU123" s="275"/>
      <c r="AV123" s="275"/>
      <c r="AX123" s="275"/>
      <c r="AY123" s="275"/>
      <c r="AZ123" s="275"/>
      <c r="BA123" s="275"/>
      <c r="BB123" s="310"/>
      <c r="BC123" s="275"/>
      <c r="BD123" s="275"/>
      <c r="BE123" s="275"/>
      <c r="BF123" s="275"/>
      <c r="BG123" s="275"/>
      <c r="BH123" s="275"/>
      <c r="BI123" s="275"/>
      <c r="BJ123" s="275"/>
      <c r="BK123" s="275"/>
      <c r="BL123" s="275"/>
      <c r="BM123" s="275"/>
      <c r="BN123" s="275"/>
      <c r="DA123" s="583">
        <v>-1732</v>
      </c>
      <c r="EN123" s="351"/>
    </row>
    <row r="124" spans="1:144" s="211" customFormat="1" ht="15" outlineLevel="1">
      <c r="A124" s="323"/>
      <c r="B124" s="519" t="s">
        <v>973</v>
      </c>
      <c r="E124" s="519"/>
      <c r="F124" s="268"/>
      <c r="G124" s="268"/>
      <c r="H124" s="268"/>
      <c r="I124" s="268"/>
      <c r="J124" s="268"/>
      <c r="K124" s="268"/>
      <c r="L124" s="268"/>
      <c r="M124" s="268"/>
      <c r="N124" s="268"/>
      <c r="O124" s="268"/>
      <c r="P124" s="275"/>
      <c r="Q124" s="275"/>
      <c r="R124" s="275"/>
      <c r="S124" s="275"/>
      <c r="T124" s="310"/>
      <c r="U124" s="275"/>
      <c r="V124" s="275"/>
      <c r="W124" s="310"/>
      <c r="X124" s="275"/>
      <c r="Y124" s="275"/>
      <c r="Z124" s="275"/>
      <c r="AA124" s="275"/>
      <c r="AB124" s="275"/>
      <c r="AC124" s="275"/>
      <c r="AD124" s="310"/>
      <c r="AE124" s="275"/>
      <c r="AF124" s="275"/>
      <c r="AG124" s="275"/>
      <c r="AH124" s="275"/>
      <c r="AI124" s="275"/>
      <c r="AJ124" s="275"/>
      <c r="AK124" s="275"/>
      <c r="AL124" s="275"/>
      <c r="AM124" s="275"/>
      <c r="AN124" s="275"/>
      <c r="AO124" s="275"/>
      <c r="AP124" s="275"/>
      <c r="AQ124" s="275"/>
      <c r="AR124" s="275"/>
      <c r="AS124" s="275"/>
      <c r="AT124" s="275"/>
      <c r="AU124" s="275"/>
      <c r="AV124" s="275"/>
      <c r="AX124" s="275"/>
      <c r="AY124" s="275"/>
      <c r="AZ124" s="275"/>
      <c r="BA124" s="275"/>
      <c r="BB124" s="310"/>
      <c r="BC124" s="275"/>
      <c r="BD124" s="275"/>
      <c r="BE124" s="275"/>
      <c r="BF124" s="275"/>
      <c r="BG124" s="275"/>
      <c r="BH124" s="275"/>
      <c r="BI124" s="275"/>
      <c r="BJ124" s="275"/>
      <c r="BK124" s="275"/>
      <c r="BL124" s="275"/>
      <c r="BM124" s="275"/>
      <c r="BN124" s="275"/>
      <c r="CV124" s="607">
        <v>-338.67</v>
      </c>
      <c r="DA124" s="583"/>
      <c r="EN124" s="351"/>
    </row>
    <row r="125" spans="1:144" s="211" customFormat="1" ht="12.5" customHeight="1">
      <c r="A125" s="686" t="s">
        <v>197</v>
      </c>
      <c r="B125" s="609" t="s">
        <v>197</v>
      </c>
      <c r="E125" s="519"/>
      <c r="F125" s="268"/>
      <c r="G125" s="268"/>
      <c r="H125" s="268"/>
      <c r="I125" s="268"/>
      <c r="J125" s="268"/>
      <c r="K125" s="268"/>
      <c r="L125" s="268"/>
      <c r="M125" s="268"/>
      <c r="N125" s="268"/>
      <c r="O125" s="268"/>
      <c r="P125" s="275" t="s">
        <v>0</v>
      </c>
      <c r="Q125" s="275"/>
      <c r="R125" s="275"/>
      <c r="S125" s="275"/>
      <c r="T125" s="275"/>
      <c r="U125" s="275"/>
      <c r="V125" s="275"/>
      <c r="W125" s="275"/>
      <c r="X125" s="275"/>
      <c r="Y125" s="275"/>
      <c r="Z125" s="275"/>
      <c r="AA125" s="275"/>
      <c r="AB125" s="275"/>
      <c r="AC125" s="275"/>
      <c r="AD125" s="275"/>
      <c r="AE125" s="275"/>
      <c r="AF125" s="275"/>
      <c r="AG125" s="275"/>
      <c r="AH125" s="275"/>
      <c r="AI125" s="275"/>
      <c r="AJ125" s="275"/>
      <c r="AK125" s="275"/>
      <c r="AL125" s="275"/>
      <c r="AM125" s="275"/>
      <c r="AN125" s="275"/>
      <c r="AO125" s="275"/>
      <c r="AP125" s="275"/>
      <c r="AQ125" s="275"/>
      <c r="AR125" s="275"/>
      <c r="AS125" s="275"/>
      <c r="AT125" s="275"/>
      <c r="AU125" s="275"/>
      <c r="AV125" s="275"/>
      <c r="AW125" s="275"/>
      <c r="AX125" s="275"/>
      <c r="AY125" s="275"/>
      <c r="AZ125" s="275"/>
      <c r="BA125" s="275"/>
      <c r="BB125" s="275"/>
      <c r="BC125" s="275"/>
      <c r="BD125" s="275"/>
      <c r="BE125" s="275"/>
      <c r="BF125" s="275"/>
      <c r="BG125" s="275"/>
      <c r="BH125" s="275"/>
      <c r="BI125" s="275"/>
      <c r="BJ125" s="275"/>
      <c r="BK125" s="275"/>
      <c r="BL125" s="275"/>
      <c r="BM125" s="275"/>
      <c r="BN125" s="275"/>
      <c r="CP125" s="211" t="s">
        <v>0</v>
      </c>
      <c r="DA125" s="583"/>
      <c r="EN125" s="351"/>
    </row>
    <row r="126" spans="1:144" s="211" customFormat="1" ht="12.75" customHeight="1">
      <c r="A126" s="323"/>
      <c r="B126" s="631" t="s">
        <v>881</v>
      </c>
      <c r="E126" s="519"/>
      <c r="F126" s="268"/>
      <c r="G126" s="268"/>
      <c r="H126" s="268"/>
      <c r="I126" s="268"/>
      <c r="J126" s="268"/>
      <c r="K126" s="268"/>
      <c r="L126" s="268"/>
      <c r="M126" s="268"/>
      <c r="N126" s="268"/>
      <c r="O126" s="268"/>
      <c r="P126" s="275"/>
      <c r="Q126" s="275"/>
      <c r="R126" s="275"/>
      <c r="S126" s="275"/>
      <c r="T126" s="275"/>
      <c r="U126" s="275"/>
      <c r="V126" s="275"/>
      <c r="W126" s="275"/>
      <c r="X126" s="275"/>
      <c r="Y126" s="275"/>
      <c r="Z126" s="275"/>
      <c r="AA126" s="275"/>
      <c r="AB126" s="275"/>
      <c r="AC126" s="275"/>
      <c r="AD126" s="275"/>
      <c r="AE126" s="275"/>
      <c r="AF126" s="275"/>
      <c r="AG126" s="275"/>
      <c r="AH126" s="275"/>
      <c r="AI126" s="275"/>
      <c r="AJ126" s="275"/>
      <c r="AK126" s="275"/>
      <c r="AL126" s="275"/>
      <c r="AM126" s="275"/>
      <c r="AN126" s="275"/>
      <c r="AO126" s="275"/>
      <c r="AP126" s="275"/>
      <c r="AQ126" s="275"/>
      <c r="AR126" s="275"/>
      <c r="AS126" s="275"/>
      <c r="AT126" s="275"/>
      <c r="AU126" s="275"/>
      <c r="AV126" s="275"/>
      <c r="AW126" s="275"/>
      <c r="AX126" s="275"/>
      <c r="AY126" s="275"/>
      <c r="AZ126" s="275"/>
      <c r="BA126" s="275"/>
      <c r="BB126" s="275"/>
      <c r="BC126" s="275"/>
      <c r="BD126" s="275"/>
      <c r="BE126" s="607">
        <v>-3599.87</v>
      </c>
      <c r="BF126" s="275" t="s">
        <v>0</v>
      </c>
      <c r="BG126" s="275"/>
      <c r="BH126" s="275"/>
      <c r="BI126" s="275"/>
      <c r="BJ126" s="310">
        <v>-3599.87</v>
      </c>
      <c r="BK126" s="275"/>
      <c r="BL126" s="275" t="s">
        <v>0</v>
      </c>
      <c r="BM126" s="275"/>
      <c r="BN126" s="275"/>
      <c r="BO126" s="211" t="s">
        <v>0</v>
      </c>
      <c r="BR126" s="607">
        <v>-3599.87</v>
      </c>
      <c r="BT126" s="211" t="s">
        <v>0</v>
      </c>
      <c r="BX126" s="607">
        <v>-3599.87</v>
      </c>
      <c r="CE126" s="607">
        <v>-3599.87</v>
      </c>
      <c r="CJ126" s="607">
        <v>-3599.87</v>
      </c>
      <c r="CN126" s="607">
        <v>-3599.87</v>
      </c>
      <c r="CR126" s="607">
        <v>-3599.87</v>
      </c>
      <c r="CW126" s="607">
        <v>-3599.87</v>
      </c>
      <c r="DA126" s="654">
        <v>-3599.87</v>
      </c>
      <c r="DF126" s="211">
        <v>-3599.87</v>
      </c>
      <c r="DK126" s="211">
        <v>-3599.87</v>
      </c>
      <c r="DQ126" s="211">
        <v>-3599.87</v>
      </c>
      <c r="DU126" s="211">
        <v>-3599.87</v>
      </c>
      <c r="DY126" s="211">
        <v>-3599.87</v>
      </c>
      <c r="ED126" s="211">
        <v>-3599.87</v>
      </c>
      <c r="EH126" s="211">
        <v>-3599.87</v>
      </c>
      <c r="EN126" s="351"/>
    </row>
    <row r="127" spans="1:144" s="211" customFormat="1" ht="12.75" customHeight="1">
      <c r="A127" s="323"/>
      <c r="B127" s="631" t="s">
        <v>983</v>
      </c>
      <c r="E127" s="519"/>
      <c r="F127" s="268"/>
      <c r="G127" s="268"/>
      <c r="H127" s="268"/>
      <c r="I127" s="268"/>
      <c r="J127" s="268"/>
      <c r="K127" s="268"/>
      <c r="L127" s="268"/>
      <c r="M127" s="268"/>
      <c r="N127" s="268"/>
      <c r="O127" s="268"/>
      <c r="P127" s="275"/>
      <c r="Q127" s="275"/>
      <c r="R127" s="275"/>
      <c r="S127" s="275"/>
      <c r="T127" s="275"/>
      <c r="U127" s="275"/>
      <c r="V127" s="275"/>
      <c r="W127" s="275"/>
      <c r="X127" s="275"/>
      <c r="Y127" s="275"/>
      <c r="Z127" s="275"/>
      <c r="AA127" s="275"/>
      <c r="AB127" s="275"/>
      <c r="AC127" s="275"/>
      <c r="AD127" s="275"/>
      <c r="AE127" s="275"/>
      <c r="AF127" s="275"/>
      <c r="AG127" s="275"/>
      <c r="AH127" s="275"/>
      <c r="AI127" s="275"/>
      <c r="AJ127" s="275"/>
      <c r="AK127" s="275"/>
      <c r="AL127" s="275"/>
      <c r="AM127" s="275"/>
      <c r="AN127" s="275"/>
      <c r="AO127" s="275"/>
      <c r="AP127" s="275"/>
      <c r="AQ127" s="275"/>
      <c r="AR127" s="275"/>
      <c r="AS127" s="275"/>
      <c r="AT127" s="275"/>
      <c r="AU127" s="275"/>
      <c r="AV127" s="275"/>
      <c r="AW127" s="275"/>
      <c r="AX127" s="275"/>
      <c r="AY127" s="275"/>
      <c r="AZ127" s="275"/>
      <c r="BA127" s="275"/>
      <c r="BB127" s="275"/>
      <c r="BC127" s="275"/>
      <c r="BD127" s="275"/>
      <c r="BE127" s="607"/>
      <c r="BF127" s="275"/>
      <c r="BG127" s="275"/>
      <c r="BH127" s="275"/>
      <c r="BI127" s="275"/>
      <c r="BJ127" s="310"/>
      <c r="BK127" s="275"/>
      <c r="BL127" s="275"/>
      <c r="BM127" s="275"/>
      <c r="BN127" s="275"/>
      <c r="BR127" s="607"/>
      <c r="BX127" s="607"/>
      <c r="CE127" s="607"/>
      <c r="CJ127" s="607"/>
      <c r="CN127" s="607"/>
      <c r="CR127" s="607"/>
      <c r="CW127" s="607"/>
      <c r="DA127" s="583"/>
      <c r="EB127" s="710">
        <v>-155677.73000000001</v>
      </c>
      <c r="EN127" s="351"/>
    </row>
    <row r="128" spans="1:144" s="211" customFormat="1" ht="12.75" customHeight="1">
      <c r="A128" s="323"/>
      <c r="B128" s="631" t="s">
        <v>736</v>
      </c>
      <c r="D128" s="211" t="s">
        <v>0</v>
      </c>
      <c r="E128" s="519"/>
      <c r="F128" s="268"/>
      <c r="G128" s="268"/>
      <c r="H128" s="268"/>
      <c r="I128" s="268"/>
      <c r="J128" s="268"/>
      <c r="K128" s="268"/>
      <c r="L128" s="268"/>
      <c r="M128" s="268"/>
      <c r="N128" s="268"/>
      <c r="O128" s="268"/>
      <c r="P128" s="275"/>
      <c r="Q128" s="275"/>
      <c r="R128" s="275"/>
      <c r="S128" s="275"/>
      <c r="T128" s="275"/>
      <c r="U128" s="275"/>
      <c r="V128" s="275"/>
      <c r="W128" s="275"/>
      <c r="X128" s="275"/>
      <c r="Y128" s="275"/>
      <c r="Z128" s="275"/>
      <c r="AA128" s="275"/>
      <c r="AB128" s="275"/>
      <c r="AC128" s="275"/>
      <c r="AD128" s="275"/>
      <c r="AE128" s="275"/>
      <c r="AF128" s="275"/>
      <c r="AG128" s="275"/>
      <c r="AH128" s="275"/>
      <c r="AI128" s="275"/>
      <c r="AJ128" s="275"/>
      <c r="AK128" s="275"/>
      <c r="AL128" s="275"/>
      <c r="AM128" s="275"/>
      <c r="AN128" s="275"/>
      <c r="AO128" s="275"/>
      <c r="AP128" s="275"/>
      <c r="AQ128" s="275"/>
      <c r="AR128" s="275"/>
      <c r="AS128" s="275"/>
      <c r="AT128" s="275"/>
      <c r="AU128" s="275"/>
      <c r="AV128" s="275"/>
      <c r="AW128" s="275"/>
      <c r="AX128" s="275"/>
      <c r="AY128" s="275"/>
      <c r="AZ128" s="310">
        <v>20000</v>
      </c>
      <c r="BA128" s="310">
        <f>20000+20000+30000</f>
        <v>70000</v>
      </c>
      <c r="BB128" s="275"/>
      <c r="BC128" s="275"/>
      <c r="BD128" s="275"/>
      <c r="BE128" s="275"/>
      <c r="BF128" s="275"/>
      <c r="BG128" s="275"/>
      <c r="BH128" s="275"/>
      <c r="BI128" s="275"/>
      <c r="BJ128" s="275"/>
      <c r="BK128" s="275"/>
      <c r="BL128" s="310">
        <v>157000</v>
      </c>
      <c r="BM128" s="275"/>
      <c r="BN128" s="275"/>
      <c r="CW128" s="268">
        <v>0</v>
      </c>
      <c r="CX128" s="607">
        <v>150000</v>
      </c>
      <c r="DA128" s="583"/>
      <c r="EN128" s="351"/>
    </row>
    <row r="129" spans="1:144" s="211" customFormat="1" ht="12.75" customHeight="1">
      <c r="A129" s="323"/>
      <c r="B129" s="519" t="s">
        <v>893</v>
      </c>
      <c r="E129" s="519"/>
      <c r="F129" s="268"/>
      <c r="G129" s="268"/>
      <c r="H129" s="268"/>
      <c r="I129" s="268"/>
      <c r="J129" s="268"/>
      <c r="K129" s="268"/>
      <c r="L129" s="268"/>
      <c r="M129" s="268"/>
      <c r="N129" s="268"/>
      <c r="O129" s="268"/>
      <c r="P129" s="275"/>
      <c r="Q129" s="275"/>
      <c r="R129" s="275"/>
      <c r="S129" s="275"/>
      <c r="T129" s="275"/>
      <c r="U129" s="275"/>
      <c r="V129" s="275"/>
      <c r="W129" s="275"/>
      <c r="X129" s="275"/>
      <c r="Y129" s="275"/>
      <c r="Z129" s="275"/>
      <c r="AA129" s="275"/>
      <c r="AB129" s="275"/>
      <c r="AC129" s="275"/>
      <c r="AD129" s="275"/>
      <c r="AE129" s="275"/>
      <c r="AF129" s="275"/>
      <c r="AG129" s="275"/>
      <c r="AH129" s="275"/>
      <c r="AI129" s="275"/>
      <c r="AJ129" s="275"/>
      <c r="AK129" s="275"/>
      <c r="AL129" s="275"/>
      <c r="AM129" s="275"/>
      <c r="AN129" s="275"/>
      <c r="AO129" s="275"/>
      <c r="AP129" s="275" t="s">
        <v>0</v>
      </c>
      <c r="AQ129" s="310">
        <v>-2696</v>
      </c>
      <c r="AR129" s="275"/>
      <c r="AS129" s="275"/>
      <c r="AT129" s="310">
        <v>-3031.4</v>
      </c>
      <c r="AU129" s="275"/>
      <c r="AV129" s="275"/>
      <c r="AW129" s="569"/>
      <c r="AX129" s="310">
        <v>-3031.4</v>
      </c>
      <c r="AZ129" s="275"/>
      <c r="BA129" s="275"/>
      <c r="BC129" s="310">
        <v>-3031.4</v>
      </c>
      <c r="BD129" s="275"/>
      <c r="BE129" s="275"/>
      <c r="BF129" s="275"/>
      <c r="BI129" s="310">
        <v>-3031.4</v>
      </c>
      <c r="BL129" s="275"/>
      <c r="BM129" s="275"/>
      <c r="BN129" s="275"/>
      <c r="BP129" s="607">
        <v>-3031.4</v>
      </c>
      <c r="BT129" s="211">
        <v>0</v>
      </c>
      <c r="BV129" s="607">
        <v>-3031.4</v>
      </c>
      <c r="CJ129" s="607">
        <v>-332.94</v>
      </c>
      <c r="CP129" s="211" t="s">
        <v>0</v>
      </c>
      <c r="DA129" s="583"/>
      <c r="EN129" s="351"/>
    </row>
    <row r="130" spans="1:144" s="211" customFormat="1" ht="15">
      <c r="A130" s="323"/>
      <c r="B130" s="282" t="s">
        <v>904</v>
      </c>
      <c r="E130" s="519"/>
      <c r="F130" s="268"/>
      <c r="G130" s="268"/>
      <c r="H130" s="268"/>
      <c r="I130" s="268"/>
      <c r="J130" s="269">
        <v>-1658</v>
      </c>
      <c r="K130" s="268"/>
      <c r="L130" s="268"/>
      <c r="M130" s="268"/>
      <c r="N130" s="269">
        <f>J130</f>
        <v>-1658</v>
      </c>
      <c r="O130" s="268" t="s">
        <v>0</v>
      </c>
      <c r="P130" s="275"/>
      <c r="Q130" s="275"/>
      <c r="R130" s="310">
        <v>-1658</v>
      </c>
      <c r="T130" s="275"/>
      <c r="U130" s="275"/>
      <c r="V130" s="275">
        <v>0</v>
      </c>
      <c r="W130" s="269">
        <v>-1658.6</v>
      </c>
      <c r="X130" s="268"/>
      <c r="Y130" s="268"/>
      <c r="Z130" s="268">
        <v>0</v>
      </c>
      <c r="AA130" s="269">
        <v>-1658</v>
      </c>
      <c r="AC130" s="275"/>
      <c r="AD130" s="275">
        <v>0</v>
      </c>
      <c r="AE130" s="310">
        <v>-1658.6</v>
      </c>
      <c r="AF130" s="275" t="s">
        <v>0</v>
      </c>
      <c r="AG130" s="275"/>
      <c r="AH130" s="275"/>
      <c r="AJ130" s="310">
        <v>-1658</v>
      </c>
      <c r="AK130" s="275"/>
      <c r="AL130" s="275"/>
      <c r="AM130" s="275"/>
      <c r="AN130" s="310">
        <v>-1658</v>
      </c>
      <c r="AO130" s="275" t="s">
        <v>0</v>
      </c>
      <c r="AP130" s="275"/>
      <c r="AQ130" s="275"/>
      <c r="AR130" s="310">
        <v>-1658</v>
      </c>
      <c r="AT130" s="275"/>
      <c r="AU130" s="275"/>
      <c r="AV130" s="275" t="s">
        <v>0</v>
      </c>
      <c r="AW130" s="310">
        <v>-1658</v>
      </c>
      <c r="AX130" s="275"/>
      <c r="AY130" s="275"/>
      <c r="AZ130" s="275"/>
      <c r="BA130" s="310">
        <v>-1658</v>
      </c>
      <c r="BC130" s="275"/>
      <c r="BD130" s="275"/>
      <c r="BE130" s="275"/>
      <c r="BF130" s="310">
        <v>-1658</v>
      </c>
      <c r="BH130" s="275"/>
      <c r="BI130" s="275"/>
      <c r="BJ130" s="275"/>
      <c r="BK130" s="275"/>
      <c r="BL130" s="275"/>
      <c r="BM130" s="310">
        <v>-1658</v>
      </c>
      <c r="BN130" s="275"/>
      <c r="BP130" s="275"/>
      <c r="BQ130" s="275"/>
      <c r="BR130" s="275"/>
      <c r="BS130" s="310">
        <v>-1658</v>
      </c>
      <c r="BU130" s="275"/>
      <c r="BV130" s="275"/>
      <c r="BW130" s="275"/>
      <c r="BX130" s="275"/>
      <c r="BY130" s="275"/>
      <c r="BZ130" s="275"/>
      <c r="CA130" s="310">
        <v>-1658.6</v>
      </c>
      <c r="CB130" s="275"/>
      <c r="CC130" s="275"/>
      <c r="CD130" s="275"/>
      <c r="CE130" s="275"/>
      <c r="CF130" s="310">
        <v>-1658</v>
      </c>
      <c r="CG130" s="275"/>
      <c r="CI130" s="275"/>
      <c r="CJ130" s="275"/>
      <c r="CK130" s="310">
        <v>-1658.6</v>
      </c>
      <c r="CL130" s="275"/>
      <c r="CM130" s="275"/>
      <c r="CN130" s="275"/>
      <c r="CO130" s="310">
        <v>-1658</v>
      </c>
      <c r="CT130" s="310">
        <v>-1658</v>
      </c>
      <c r="CV130" s="275"/>
      <c r="CX130" s="310">
        <v>-1658.6</v>
      </c>
      <c r="CZ130" s="275"/>
      <c r="DA130" s="585"/>
      <c r="DB130" s="275" t="s">
        <v>0</v>
      </c>
      <c r="DC130" s="275">
        <v>-1658</v>
      </c>
      <c r="DD130" s="275"/>
      <c r="DE130" s="275"/>
      <c r="DF130" s="275"/>
      <c r="DG130" s="275"/>
      <c r="DH130" s="275">
        <v>-1658</v>
      </c>
      <c r="DI130" s="275"/>
      <c r="DK130" s="275"/>
      <c r="DL130" s="275"/>
      <c r="DM130" s="275">
        <v>-1658</v>
      </c>
      <c r="DN130" s="275"/>
      <c r="DP130" s="275"/>
      <c r="DQ130" s="275"/>
      <c r="DR130" s="275"/>
      <c r="DS130" s="275">
        <v>-1658</v>
      </c>
      <c r="DT130" s="275"/>
      <c r="DU130" s="275"/>
      <c r="DV130" s="275"/>
      <c r="DW130" s="275"/>
      <c r="DX130" s="275">
        <v>-1658</v>
      </c>
      <c r="DY130" s="275"/>
      <c r="DZ130" s="275"/>
      <c r="EA130" s="275"/>
      <c r="EB130" s="275"/>
      <c r="EC130" s="275"/>
      <c r="ED130" s="275"/>
      <c r="EE130" s="275"/>
      <c r="EF130" s="275">
        <v>-1658</v>
      </c>
      <c r="EG130" s="275"/>
      <c r="EH130" s="275"/>
      <c r="EI130" s="275">
        <v>-1658</v>
      </c>
      <c r="EJ130" s="275"/>
      <c r="EN130" s="351"/>
    </row>
    <row r="131" spans="1:144" s="211" customFormat="1" ht="15">
      <c r="A131" s="323"/>
      <c r="B131" s="282" t="s">
        <v>200</v>
      </c>
      <c r="E131" s="519"/>
      <c r="F131" s="268"/>
      <c r="G131" s="268"/>
      <c r="H131" s="268"/>
      <c r="I131" s="269">
        <v>-7004</v>
      </c>
      <c r="J131" s="268"/>
      <c r="K131" s="268"/>
      <c r="L131" s="268"/>
      <c r="M131" s="268"/>
      <c r="N131" s="269">
        <f>I131</f>
        <v>-7004</v>
      </c>
      <c r="O131" s="268" t="s">
        <v>0</v>
      </c>
      <c r="P131" s="275"/>
      <c r="Q131" s="275"/>
      <c r="R131" s="310">
        <v>-7004</v>
      </c>
      <c r="T131" s="275"/>
      <c r="U131" s="275"/>
      <c r="V131" s="310">
        <v>-6987.46</v>
      </c>
      <c r="W131" s="268" t="s">
        <v>0</v>
      </c>
      <c r="X131" s="268"/>
      <c r="Y131" s="268"/>
      <c r="Z131" s="268">
        <v>0</v>
      </c>
      <c r="AA131" s="269">
        <v>-7012.42</v>
      </c>
      <c r="AC131" s="275"/>
      <c r="AD131" s="275">
        <v>0</v>
      </c>
      <c r="AE131" s="310">
        <v>-7004.93</v>
      </c>
      <c r="AF131" s="275" t="s">
        <v>0</v>
      </c>
      <c r="AG131" s="275"/>
      <c r="AH131" s="275"/>
      <c r="AJ131" s="310">
        <v>-7004.93</v>
      </c>
      <c r="AK131" s="275"/>
      <c r="AL131" s="275"/>
      <c r="AM131" s="275"/>
      <c r="AN131" s="310">
        <v>-7004.93</v>
      </c>
      <c r="AO131" s="275" t="s">
        <v>0</v>
      </c>
      <c r="AP131" s="275"/>
      <c r="AQ131" s="275"/>
      <c r="AR131" s="310">
        <v>-7004.93</v>
      </c>
      <c r="AS131" s="275" t="s">
        <v>0</v>
      </c>
      <c r="AT131" s="275"/>
      <c r="AU131" s="275"/>
      <c r="AV131" s="310">
        <v>-7369.22</v>
      </c>
      <c r="AW131" s="275" t="s">
        <v>0</v>
      </c>
      <c r="AX131" s="275"/>
      <c r="AY131" s="275"/>
      <c r="AZ131" s="275"/>
      <c r="BA131" s="275"/>
      <c r="BB131" s="275" t="s">
        <v>0</v>
      </c>
      <c r="BC131" s="275"/>
      <c r="BD131" s="275"/>
      <c r="BE131" s="275"/>
      <c r="BF131" s="275"/>
      <c r="BG131" s="275" t="s">
        <v>0</v>
      </c>
      <c r="BH131" s="275"/>
      <c r="BI131" s="275"/>
      <c r="BJ131" s="275"/>
      <c r="BK131" s="275"/>
      <c r="BL131" s="275"/>
      <c r="BM131" s="275"/>
      <c r="BN131" s="275"/>
      <c r="DA131" s="583"/>
      <c r="EN131" s="351"/>
    </row>
    <row r="132" spans="1:144" s="211" customFormat="1" ht="15">
      <c r="A132" s="323"/>
      <c r="B132" s="282" t="s">
        <v>201</v>
      </c>
      <c r="E132" s="519"/>
      <c r="F132" s="268"/>
      <c r="G132" s="268"/>
      <c r="H132" s="269">
        <v>-4371</v>
      </c>
      <c r="I132" s="268" t="s">
        <v>0</v>
      </c>
      <c r="J132" s="268"/>
      <c r="K132" s="268"/>
      <c r="L132" s="269">
        <v>-4371</v>
      </c>
      <c r="M132" s="268"/>
      <c r="P132" s="269">
        <v>-4371</v>
      </c>
      <c r="Q132" s="275"/>
      <c r="R132" s="275"/>
      <c r="S132" s="275" t="s">
        <v>0</v>
      </c>
      <c r="T132" s="275">
        <v>0</v>
      </c>
      <c r="U132" s="310">
        <v>-4371</v>
      </c>
      <c r="V132" s="275"/>
      <c r="W132" s="275" t="s">
        <v>0</v>
      </c>
      <c r="X132" s="275"/>
      <c r="Y132" s="310">
        <v>-4371</v>
      </c>
      <c r="Z132" s="275"/>
      <c r="AA132" s="275"/>
      <c r="AC132" s="275" t="s">
        <v>0</v>
      </c>
      <c r="AD132" s="310">
        <v>-4371</v>
      </c>
      <c r="AE132" s="275"/>
      <c r="AF132" s="275"/>
      <c r="AG132" s="275"/>
      <c r="AH132" s="275"/>
      <c r="AI132" s="275"/>
      <c r="AJ132" s="275"/>
      <c r="AK132" s="275"/>
      <c r="AL132" s="275"/>
      <c r="AM132" s="275"/>
      <c r="AN132" s="275"/>
      <c r="AO132" s="275"/>
      <c r="AP132" s="275"/>
      <c r="AQ132" s="275"/>
      <c r="AR132" s="275"/>
      <c r="AS132" s="275"/>
      <c r="AT132" s="275"/>
      <c r="AU132" s="275"/>
      <c r="AV132" s="275"/>
      <c r="AW132" s="275"/>
      <c r="AX132" s="275"/>
      <c r="AY132" s="275"/>
      <c r="AZ132" s="275"/>
      <c r="BA132" s="275"/>
      <c r="BB132" s="275"/>
      <c r="BC132" s="275"/>
      <c r="BD132" s="275"/>
      <c r="BE132" s="275"/>
      <c r="BF132" s="275"/>
      <c r="BG132" s="275"/>
      <c r="BH132" s="275"/>
      <c r="BI132" s="275"/>
      <c r="BJ132" s="275"/>
      <c r="BK132" s="275"/>
      <c r="BL132" s="275"/>
      <c r="BM132" s="275"/>
      <c r="BN132" s="275"/>
      <c r="DA132" s="583"/>
      <c r="EN132" s="351"/>
    </row>
    <row r="133" spans="1:144" ht="15">
      <c r="A133" s="648"/>
      <c r="B133" s="282" t="s">
        <v>202</v>
      </c>
      <c r="C133" s="263"/>
      <c r="D133" s="211"/>
      <c r="E133" s="519"/>
      <c r="F133" s="268"/>
      <c r="G133" s="268"/>
      <c r="H133" s="268"/>
      <c r="I133" s="268"/>
      <c r="J133" s="268"/>
      <c r="K133" s="268"/>
      <c r="L133" s="268"/>
      <c r="M133" s="268"/>
      <c r="N133" s="268"/>
      <c r="O133" s="276">
        <v>100000</v>
      </c>
      <c r="P133" s="268" t="s">
        <v>0</v>
      </c>
      <c r="R133" s="268"/>
      <c r="S133" s="268"/>
      <c r="T133" s="268"/>
      <c r="U133" s="268"/>
      <c r="V133" s="268"/>
      <c r="W133" s="268"/>
      <c r="X133" s="268"/>
      <c r="Y133" s="268"/>
      <c r="Z133" s="268"/>
      <c r="AA133" s="276">
        <v>80000</v>
      </c>
      <c r="AB133" s="276">
        <v>20000</v>
      </c>
      <c r="AC133" s="276">
        <f>30000+50000</f>
        <v>80000</v>
      </c>
      <c r="AE133" s="633">
        <f>50000+30000</f>
        <v>80000</v>
      </c>
      <c r="AF133" s="268"/>
      <c r="AG133" s="268"/>
      <c r="AH133" s="268"/>
      <c r="AI133" s="268"/>
      <c r="AJ133" s="268"/>
      <c r="AK133" s="268"/>
      <c r="AL133" s="276">
        <v>40000</v>
      </c>
      <c r="AN133" s="268"/>
      <c r="AO133" s="268"/>
      <c r="AP133" s="268"/>
      <c r="AQ133" s="268"/>
      <c r="AR133" s="268"/>
      <c r="AS133" s="268"/>
      <c r="AT133" s="268"/>
      <c r="AU133" s="268"/>
      <c r="AV133" s="268" t="s">
        <v>0</v>
      </c>
      <c r="AW133" s="275"/>
      <c r="AX133" s="268"/>
      <c r="AY133" s="268"/>
      <c r="AZ133" s="268"/>
      <c r="BA133" s="268"/>
      <c r="BB133" s="268"/>
      <c r="BC133" s="268"/>
      <c r="BD133" s="268"/>
      <c r="BE133" s="268"/>
      <c r="BF133" s="268"/>
      <c r="BG133" s="268"/>
      <c r="BH133" s="268"/>
      <c r="BI133" s="268"/>
      <c r="BJ133" s="268"/>
      <c r="BK133" s="268"/>
      <c r="BL133" s="268"/>
      <c r="BM133" s="268"/>
      <c r="BN133" s="268"/>
      <c r="BT133" s="3" t="s">
        <v>0</v>
      </c>
      <c r="DA133" s="584"/>
      <c r="EN133" s="207"/>
    </row>
    <row r="134" spans="1:144" s="211" customFormat="1" ht="15">
      <c r="A134" s="323"/>
      <c r="B134" s="282" t="s">
        <v>203</v>
      </c>
      <c r="E134" s="519"/>
      <c r="F134" s="268"/>
      <c r="G134" s="268"/>
      <c r="H134" s="268"/>
      <c r="I134" s="268"/>
      <c r="J134" s="268"/>
      <c r="K134" s="268"/>
      <c r="L134" s="268"/>
      <c r="M134" s="268"/>
      <c r="P134" s="268"/>
      <c r="Q134" s="275"/>
      <c r="R134" s="275"/>
      <c r="S134" s="275"/>
      <c r="T134" s="275"/>
      <c r="U134" s="275"/>
      <c r="V134" s="275"/>
      <c r="W134" s="275"/>
      <c r="X134" s="275"/>
      <c r="Y134" s="275"/>
      <c r="Z134" s="275"/>
      <c r="AA134" s="275"/>
      <c r="AC134" s="275"/>
      <c r="AE134" s="633">
        <v>-25000</v>
      </c>
      <c r="AF134" s="211" t="s">
        <v>0</v>
      </c>
      <c r="AJ134" s="275"/>
      <c r="AK134" s="275"/>
      <c r="AL134" s="275"/>
      <c r="AM134" s="275"/>
      <c r="AN134" s="275"/>
      <c r="AP134" s="275"/>
      <c r="AQ134" s="275"/>
      <c r="AR134" s="633">
        <v>0</v>
      </c>
      <c r="AS134" s="275"/>
      <c r="AT134" s="275"/>
      <c r="AU134" s="275"/>
      <c r="AV134" s="634">
        <v>0</v>
      </c>
      <c r="AW134" s="569"/>
      <c r="AX134" s="275"/>
      <c r="AY134" s="275"/>
      <c r="AZ134" s="275"/>
      <c r="BA134" s="275"/>
      <c r="BB134" s="634">
        <v>-25000</v>
      </c>
      <c r="BC134" s="275"/>
      <c r="BD134" s="275"/>
      <c r="BE134" s="275"/>
      <c r="BI134" s="268"/>
      <c r="BJ134" s="268"/>
      <c r="BK134" s="268"/>
      <c r="BL134" s="268"/>
      <c r="BT134" s="711">
        <v>-75000</v>
      </c>
      <c r="CC134" s="211" t="s">
        <v>0</v>
      </c>
      <c r="CG134" s="211" t="s">
        <v>0</v>
      </c>
      <c r="CH134" s="211" t="s">
        <v>0</v>
      </c>
      <c r="CK134" s="211" t="s">
        <v>0</v>
      </c>
      <c r="CP134" s="211" t="s">
        <v>0</v>
      </c>
      <c r="CT134" s="211" t="s">
        <v>0</v>
      </c>
      <c r="CU134" s="268" t="s">
        <v>0</v>
      </c>
      <c r="CV134" s="268"/>
      <c r="CW134" s="268"/>
      <c r="CX134" s="268" t="s">
        <v>0</v>
      </c>
      <c r="CY134" s="268"/>
      <c r="CZ134" s="268"/>
      <c r="DA134" s="582"/>
      <c r="DC134" s="268" t="s">
        <v>0</v>
      </c>
      <c r="DD134" s="268"/>
      <c r="DE134" s="268"/>
      <c r="DF134" s="268"/>
      <c r="DG134" s="268"/>
      <c r="DH134" s="268"/>
      <c r="DI134" s="268"/>
      <c r="DJ134" s="268" t="s">
        <v>0</v>
      </c>
      <c r="DK134" s="268"/>
      <c r="DL134" s="268"/>
      <c r="DM134" s="268"/>
      <c r="DN134" s="268"/>
      <c r="DO134" s="268" t="s">
        <v>0</v>
      </c>
      <c r="DP134" s="268" t="s">
        <v>0</v>
      </c>
      <c r="DQ134" s="268"/>
      <c r="DR134" s="268"/>
      <c r="DS134" s="211" t="s">
        <v>0</v>
      </c>
      <c r="DX134" s="268" t="s">
        <v>0</v>
      </c>
      <c r="DY134" s="268"/>
      <c r="DZ134" s="268"/>
      <c r="EA134" s="268"/>
      <c r="EB134" s="268"/>
      <c r="EC134" s="268"/>
      <c r="ED134" s="268"/>
      <c r="EE134" s="268"/>
      <c r="EF134" s="268" t="s">
        <v>0</v>
      </c>
      <c r="EG134" s="268"/>
      <c r="EH134" s="268"/>
      <c r="EI134" s="268" t="s">
        <v>0</v>
      </c>
      <c r="EJ134" s="268"/>
      <c r="EN134" s="351"/>
    </row>
    <row r="135" spans="1:144" s="211" customFormat="1" ht="16" customHeight="1">
      <c r="A135" s="323"/>
      <c r="B135" s="282" t="s">
        <v>204</v>
      </c>
      <c r="E135" s="519"/>
      <c r="F135" s="268"/>
      <c r="G135" s="268"/>
      <c r="H135" s="268"/>
      <c r="I135" s="268"/>
      <c r="J135" s="268"/>
      <c r="K135" s="268"/>
      <c r="L135" s="268"/>
      <c r="M135" s="268"/>
      <c r="P135" s="268"/>
      <c r="Q135" s="275"/>
      <c r="R135" s="275"/>
      <c r="S135" s="275"/>
      <c r="T135" s="275"/>
      <c r="U135" s="275"/>
      <c r="V135" s="275"/>
      <c r="W135" s="275"/>
      <c r="X135" s="275"/>
      <c r="Y135" s="275"/>
      <c r="Z135" s="275"/>
      <c r="AA135" s="275"/>
      <c r="AB135" s="275"/>
      <c r="AC135" s="275"/>
      <c r="AD135" s="275"/>
      <c r="AE135" s="275"/>
      <c r="AF135" s="275"/>
      <c r="AG135" s="275"/>
      <c r="AH135" s="633">
        <v>-30000</v>
      </c>
      <c r="AI135" s="275"/>
      <c r="AJ135" s="275"/>
      <c r="AK135" s="275"/>
      <c r="AL135" s="275"/>
      <c r="AM135" s="275"/>
      <c r="AN135" s="275"/>
      <c r="AO135" s="275"/>
      <c r="AP135" s="275"/>
      <c r="AQ135" s="275"/>
      <c r="AR135" s="275"/>
      <c r="AS135" s="633">
        <v>29900</v>
      </c>
      <c r="AU135" s="275"/>
      <c r="AV135" s="275"/>
      <c r="AW135" s="275"/>
      <c r="AX135" s="275"/>
      <c r="AY135" s="275"/>
      <c r="AZ135" s="275"/>
      <c r="BA135" s="275"/>
      <c r="BB135" s="275"/>
      <c r="BC135" s="275"/>
      <c r="BD135" s="275"/>
      <c r="BE135" s="275"/>
      <c r="BF135" s="275"/>
      <c r="BG135" s="275"/>
      <c r="BH135" s="275"/>
      <c r="BI135" s="275"/>
      <c r="BJ135" s="275"/>
      <c r="BK135" s="275"/>
      <c r="BL135" s="275"/>
      <c r="BM135" s="275"/>
      <c r="BN135" s="275"/>
      <c r="DA135" s="583"/>
      <c r="EN135" s="351"/>
    </row>
    <row r="136" spans="1:144" s="211" customFormat="1" ht="16" customHeight="1">
      <c r="A136" s="323"/>
      <c r="B136" s="282" t="s">
        <v>966</v>
      </c>
      <c r="E136" s="519"/>
      <c r="F136" s="268"/>
      <c r="G136" s="268"/>
      <c r="H136" s="268"/>
      <c r="I136" s="268"/>
      <c r="J136" s="268"/>
      <c r="K136" s="268"/>
      <c r="L136" s="268"/>
      <c r="M136" s="268"/>
      <c r="P136" s="268"/>
      <c r="Q136" s="275"/>
      <c r="R136" s="275"/>
      <c r="S136" s="275"/>
      <c r="T136" s="275"/>
      <c r="U136" s="275"/>
      <c r="V136" s="275"/>
      <c r="W136" s="275"/>
      <c r="X136" s="275"/>
      <c r="Y136" s="275"/>
      <c r="Z136" s="275"/>
      <c r="AA136" s="275"/>
      <c r="AB136" s="275"/>
      <c r="AC136" s="275"/>
      <c r="AD136" s="275"/>
      <c r="AE136" s="275"/>
      <c r="AF136" s="275"/>
      <c r="AG136" s="275"/>
      <c r="AH136" s="633"/>
      <c r="AI136" s="275"/>
      <c r="AJ136" s="275"/>
      <c r="AK136" s="275"/>
      <c r="AL136" s="275"/>
      <c r="AM136" s="275"/>
      <c r="AN136" s="275"/>
      <c r="AO136" s="275"/>
      <c r="AP136" s="275"/>
      <c r="AQ136" s="275"/>
      <c r="AR136" s="275"/>
      <c r="AS136" s="633"/>
      <c r="AU136" s="275"/>
      <c r="AV136" s="275"/>
      <c r="AW136" s="275"/>
      <c r="AX136" s="275"/>
      <c r="AY136" s="275"/>
      <c r="AZ136" s="275"/>
      <c r="BA136" s="275"/>
      <c r="BB136" s="275"/>
      <c r="BC136" s="275"/>
      <c r="BD136" s="275"/>
      <c r="BE136" s="275"/>
      <c r="BF136" s="275"/>
      <c r="BG136" s="275"/>
      <c r="BH136" s="275"/>
      <c r="BI136" s="275"/>
      <c r="BJ136" s="275"/>
      <c r="BK136" s="275"/>
      <c r="BL136" s="275"/>
      <c r="BM136" s="275"/>
      <c r="BN136" s="275"/>
      <c r="CS136" s="607">
        <v>-1500</v>
      </c>
      <c r="CX136" s="607">
        <v>-1500</v>
      </c>
      <c r="DA136" s="583"/>
      <c r="EN136" s="351"/>
    </row>
    <row r="137" spans="1:144" s="211" customFormat="1" ht="16" customHeight="1">
      <c r="A137" s="323"/>
      <c r="B137" s="282" t="s">
        <v>977</v>
      </c>
      <c r="E137" s="519"/>
      <c r="F137" s="268"/>
      <c r="G137" s="268"/>
      <c r="H137" s="268"/>
      <c r="I137" s="268"/>
      <c r="J137" s="268"/>
      <c r="K137" s="268"/>
      <c r="L137" s="268"/>
      <c r="M137" s="268"/>
      <c r="P137" s="268"/>
      <c r="Q137" s="275"/>
      <c r="R137" s="275"/>
      <c r="S137" s="275"/>
      <c r="T137" s="275"/>
      <c r="U137" s="275"/>
      <c r="V137" s="275"/>
      <c r="W137" s="275"/>
      <c r="X137" s="275"/>
      <c r="Y137" s="275"/>
      <c r="Z137" s="275"/>
      <c r="AA137" s="275"/>
      <c r="AB137" s="275"/>
      <c r="AC137" s="275"/>
      <c r="AD137" s="275"/>
      <c r="AE137" s="275"/>
      <c r="AF137" s="275"/>
      <c r="AG137" s="275"/>
      <c r="AH137" s="633"/>
      <c r="AI137" s="275"/>
      <c r="AJ137" s="275"/>
      <c r="AK137" s="275"/>
      <c r="AL137" s="275"/>
      <c r="AM137" s="275"/>
      <c r="AN137" s="275"/>
      <c r="AO137" s="275"/>
      <c r="AP137" s="275"/>
      <c r="AQ137" s="275"/>
      <c r="AR137" s="275"/>
      <c r="AS137" s="633"/>
      <c r="AU137" s="275"/>
      <c r="AV137" s="275"/>
      <c r="AW137" s="275"/>
      <c r="AX137" s="275"/>
      <c r="AY137" s="275"/>
      <c r="AZ137" s="275"/>
      <c r="BA137" s="275"/>
      <c r="BB137" s="275"/>
      <c r="BC137" s="275"/>
      <c r="BD137" s="275"/>
      <c r="BE137" s="275"/>
      <c r="BF137" s="275"/>
      <c r="BG137" s="275"/>
      <c r="BH137" s="275"/>
      <c r="BI137" s="275"/>
      <c r="BJ137" s="275"/>
      <c r="BK137" s="275"/>
      <c r="BL137" s="275"/>
      <c r="BM137" s="275"/>
      <c r="BN137" s="275"/>
      <c r="CW137" s="607">
        <f>8000+8000</f>
        <v>16000</v>
      </c>
      <c r="CX137" s="607">
        <v>-16000</v>
      </c>
      <c r="DA137" s="583"/>
      <c r="EN137" s="351"/>
    </row>
    <row r="138" spans="1:144" ht="15">
      <c r="A138" s="686" t="s">
        <v>205</v>
      </c>
      <c r="B138" s="609" t="s">
        <v>205</v>
      </c>
      <c r="C138" s="211"/>
      <c r="F138" s="268"/>
      <c r="G138" s="268"/>
      <c r="H138" s="268"/>
      <c r="I138" s="268"/>
      <c r="J138" s="268"/>
      <c r="K138" s="268"/>
      <c r="L138" s="268"/>
      <c r="M138" s="268"/>
      <c r="N138" s="268"/>
      <c r="O138" s="277"/>
      <c r="P138" s="275"/>
      <c r="Q138" s="275"/>
      <c r="R138" s="275"/>
      <c r="S138" s="275"/>
      <c r="T138" s="275"/>
      <c r="U138" s="275"/>
      <c r="V138" s="275"/>
      <c r="W138" s="275"/>
      <c r="X138" s="275"/>
      <c r="Y138" s="275"/>
      <c r="Z138" s="275"/>
      <c r="AA138" s="275"/>
      <c r="AB138" s="275"/>
      <c r="AC138" s="275"/>
      <c r="AD138" s="275"/>
      <c r="AE138" s="275"/>
      <c r="AF138" s="275"/>
      <c r="AG138" s="275"/>
      <c r="AH138" s="275"/>
      <c r="AI138" s="275"/>
      <c r="AJ138" s="275"/>
      <c r="AK138" s="275"/>
      <c r="AL138" s="275"/>
      <c r="AM138" s="275"/>
      <c r="AN138" s="275"/>
      <c r="AO138" s="275"/>
      <c r="AP138" s="275"/>
      <c r="AQ138" s="275"/>
      <c r="AR138" s="275"/>
      <c r="AS138" s="275"/>
      <c r="AT138" s="275"/>
      <c r="AU138" s="275"/>
      <c r="AV138" s="275"/>
      <c r="AW138" s="275"/>
      <c r="AX138" s="275"/>
      <c r="AY138" s="275"/>
      <c r="AZ138" s="275"/>
      <c r="BA138" s="275"/>
      <c r="BB138" s="275"/>
      <c r="BC138" s="275"/>
      <c r="BD138" s="275"/>
      <c r="BE138" s="275"/>
      <c r="BF138" s="275"/>
      <c r="BG138" s="275"/>
      <c r="BH138" s="275"/>
      <c r="BI138" s="275"/>
      <c r="BJ138" s="275"/>
      <c r="BK138" s="275"/>
      <c r="BL138" s="275"/>
      <c r="BM138" s="275"/>
      <c r="BN138" s="275"/>
      <c r="CQ138" s="275"/>
      <c r="DA138" s="584"/>
      <c r="DB138" s="211" t="s">
        <v>0</v>
      </c>
      <c r="EN138" s="207"/>
    </row>
    <row r="139" spans="1:144" ht="15">
      <c r="A139" s="648"/>
      <c r="B139" s="282" t="s">
        <v>724</v>
      </c>
      <c r="C139" s="211">
        <v>0</v>
      </c>
      <c r="F139" s="268"/>
      <c r="G139" s="275">
        <v>-2600</v>
      </c>
      <c r="H139" s="268"/>
      <c r="I139" s="268"/>
      <c r="J139" s="268">
        <f>-(10383+387)-G139</f>
        <v>-8170</v>
      </c>
      <c r="K139" s="268"/>
      <c r="L139" s="268"/>
      <c r="M139" s="268"/>
      <c r="O139" s="268" t="s">
        <v>0</v>
      </c>
      <c r="P139" s="277"/>
      <c r="Q139" s="277"/>
      <c r="R139" s="275">
        <v>-7079</v>
      </c>
      <c r="S139" s="275"/>
      <c r="T139" s="275"/>
      <c r="U139" s="275">
        <v>-3456</v>
      </c>
      <c r="V139" s="275">
        <v>0</v>
      </c>
      <c r="W139" s="275" t="s">
        <v>0</v>
      </c>
      <c r="X139" s="275"/>
      <c r="Y139" s="275"/>
      <c r="Z139" s="275" t="s">
        <v>0</v>
      </c>
      <c r="AA139" s="275">
        <v>-14446.67</v>
      </c>
      <c r="AC139" s="275"/>
      <c r="AD139" s="275"/>
      <c r="AE139" s="275">
        <v>0</v>
      </c>
      <c r="AF139" s="275">
        <v>-12994.42</v>
      </c>
      <c r="AG139" s="275"/>
      <c r="AH139" s="275"/>
      <c r="AI139" s="275"/>
      <c r="AJ139" s="275">
        <v>-26684.37</v>
      </c>
      <c r="AK139" s="275"/>
      <c r="AL139" s="275"/>
      <c r="AM139" s="275"/>
      <c r="AO139" s="275">
        <v>-39783.410000000003</v>
      </c>
      <c r="AP139" s="275"/>
      <c r="AQ139" s="275" t="s">
        <v>0</v>
      </c>
      <c r="AR139" s="275"/>
      <c r="AT139" s="275">
        <v>-23659.119999999999</v>
      </c>
      <c r="AU139" s="275"/>
      <c r="AV139" s="275">
        <v>-10000</v>
      </c>
      <c r="AX139" s="275">
        <f>-37375.73+10000</f>
        <v>-27375.730000000003</v>
      </c>
      <c r="AY139" s="275"/>
      <c r="AZ139" s="275">
        <v>-20000</v>
      </c>
      <c r="BA139" s="569">
        <f>-29754.23-AZ139</f>
        <v>-9754.23</v>
      </c>
      <c r="BC139" s="275"/>
      <c r="BD139" s="275"/>
      <c r="BE139" s="275">
        <v>-10000</v>
      </c>
      <c r="BF139" s="275">
        <f>-3000-5000</f>
        <v>-8000</v>
      </c>
      <c r="BH139" s="569">
        <f>-71369.13-BE139-BF139</f>
        <v>-53369.130000000005</v>
      </c>
      <c r="BI139" s="275"/>
      <c r="BJ139" s="275"/>
      <c r="BK139" s="275"/>
      <c r="BL139" s="275"/>
      <c r="BM139" s="275"/>
      <c r="BN139" s="275"/>
      <c r="BO139" s="275">
        <v>-64849.9</v>
      </c>
      <c r="BP139" s="275"/>
      <c r="BQ139" s="275"/>
      <c r="BR139" s="275"/>
      <c r="BS139" s="275"/>
      <c r="BW139" s="275"/>
      <c r="CA139" s="275">
        <v>0</v>
      </c>
      <c r="CE139" s="310">
        <f>-10678.69-26635.75</f>
        <v>-37314.44</v>
      </c>
      <c r="CF139" s="275"/>
      <c r="CG139" s="275"/>
      <c r="CI139" s="569" t="s">
        <v>0</v>
      </c>
      <c r="CJ139" s="627">
        <v>-20000</v>
      </c>
      <c r="CM139" s="569" t="s">
        <v>0</v>
      </c>
      <c r="CQ139" s="627">
        <f>-54778.93-CJ139</f>
        <v>-34778.93</v>
      </c>
      <c r="CT139" s="627">
        <v>-21714.37</v>
      </c>
      <c r="CU139" s="627">
        <v>-7518.31</v>
      </c>
      <c r="CY139" s="627">
        <v>-4130.37</v>
      </c>
      <c r="CZ139" s="569"/>
      <c r="DA139" s="699"/>
      <c r="DC139" s="569">
        <v>-2603.91</v>
      </c>
      <c r="DI139" s="275">
        <v>-34416.47</v>
      </c>
      <c r="DN139" s="275">
        <v>-50000</v>
      </c>
      <c r="EN139" s="207"/>
    </row>
    <row r="140" spans="1:144" ht="30">
      <c r="A140" s="648"/>
      <c r="B140" s="282" t="s">
        <v>769</v>
      </c>
      <c r="C140" s="211"/>
      <c r="F140" s="268"/>
      <c r="G140" s="268"/>
      <c r="H140" s="268"/>
      <c r="I140" s="268"/>
      <c r="J140" s="268"/>
      <c r="K140" s="268"/>
      <c r="L140" s="268">
        <v>-30000</v>
      </c>
      <c r="M140" s="275">
        <f>-44439-L140</f>
        <v>-14439</v>
      </c>
      <c r="N140" s="268"/>
      <c r="O140" s="268">
        <v>-5000</v>
      </c>
      <c r="P140" s="268">
        <v>-5000</v>
      </c>
      <c r="Q140" s="268">
        <f>-5000-10000</f>
        <v>-15000</v>
      </c>
      <c r="R140" s="275">
        <v>-5000</v>
      </c>
      <c r="S140" s="275">
        <f>-78782+5000+5000+5000+10000+5000</f>
        <v>-48782</v>
      </c>
      <c r="T140" s="275"/>
      <c r="U140" s="275"/>
      <c r="W140" s="275" t="s">
        <v>0</v>
      </c>
      <c r="X140" s="275">
        <v>-43765</v>
      </c>
      <c r="Y140" s="275"/>
      <c r="Z140" s="275"/>
      <c r="AA140" s="275">
        <v>-25117</v>
      </c>
      <c r="AC140" s="275"/>
      <c r="AD140" s="275"/>
      <c r="AE140" s="275">
        <v>0</v>
      </c>
      <c r="AF140" s="275">
        <v>-33511.980000000003</v>
      </c>
      <c r="AG140" s="275"/>
      <c r="AH140" s="275"/>
      <c r="AJ140" s="275">
        <v>-39612.93</v>
      </c>
      <c r="AK140" s="275"/>
      <c r="AL140" s="275"/>
      <c r="AM140" s="275"/>
      <c r="AO140" s="275">
        <v>-41886</v>
      </c>
      <c r="AP140" s="275"/>
      <c r="AQ140" s="275"/>
      <c r="AR140" s="275"/>
      <c r="AT140" s="275"/>
      <c r="AU140" s="275"/>
      <c r="AV140" s="275" t="s">
        <v>0</v>
      </c>
      <c r="AW140" s="275">
        <v>-10000</v>
      </c>
      <c r="AX140" s="275">
        <v>-36935.1</v>
      </c>
      <c r="AY140" s="275"/>
      <c r="AZ140" s="275"/>
      <c r="BB140" s="569">
        <f>-70013.4+10000</f>
        <v>-60013.399999999994</v>
      </c>
      <c r="BC140" s="275"/>
      <c r="BD140" s="275"/>
      <c r="BE140" s="275"/>
      <c r="BF140" s="275"/>
      <c r="BH140" s="275">
        <v>-40247.26</v>
      </c>
      <c r="BI140" s="275"/>
      <c r="BJ140" s="275"/>
      <c r="BK140" s="275"/>
      <c r="BL140" s="275"/>
      <c r="BM140" s="275"/>
      <c r="BN140" s="275"/>
      <c r="BO140" s="275">
        <v>-34711.230000000003</v>
      </c>
      <c r="BP140" s="275"/>
      <c r="BQ140" s="275"/>
      <c r="BR140" s="275"/>
      <c r="BS140" s="275"/>
      <c r="BY140" s="310">
        <f>-80574.71</f>
        <v>-80574.710000000006</v>
      </c>
      <c r="BZ140" s="275" t="s">
        <v>0</v>
      </c>
      <c r="CE140" s="310">
        <f>-64212.47</f>
        <v>-64212.47</v>
      </c>
      <c r="CL140" s="569" t="s">
        <v>0</v>
      </c>
      <c r="CO140" s="569" t="s">
        <v>0</v>
      </c>
      <c r="CQ140" s="627">
        <v>-36972.42</v>
      </c>
      <c r="CT140" s="627">
        <v>-38175.26</v>
      </c>
      <c r="CU140" s="627">
        <v>-51053.46</v>
      </c>
      <c r="CY140" s="310">
        <v>-71680</v>
      </c>
      <c r="CZ140" s="310">
        <v>-68423.62</v>
      </c>
      <c r="DA140" s="584"/>
      <c r="DD140" s="569">
        <v>-95825.94</v>
      </c>
      <c r="DI140" s="569">
        <f>-197247.9+95825.94</f>
        <v>-101421.95999999999</v>
      </c>
      <c r="DN140" s="569">
        <v>-131344.04999999999</v>
      </c>
      <c r="EN140" s="207"/>
    </row>
    <row r="141" spans="1:144" ht="15">
      <c r="A141" s="648"/>
      <c r="B141" s="282" t="s">
        <v>841</v>
      </c>
      <c r="C141" s="211"/>
      <c r="F141" s="268"/>
      <c r="G141" s="268"/>
      <c r="H141" s="268"/>
      <c r="I141" s="268"/>
      <c r="J141" s="268"/>
      <c r="K141" s="268"/>
      <c r="L141" s="268"/>
      <c r="M141" s="275"/>
      <c r="N141" s="268"/>
      <c r="O141" s="268"/>
      <c r="P141" s="268"/>
      <c r="Q141" s="268"/>
      <c r="R141" s="275"/>
      <c r="S141" s="275"/>
      <c r="T141" s="275"/>
      <c r="U141" s="275"/>
      <c r="W141" s="275"/>
      <c r="X141" s="275"/>
      <c r="Y141" s="275"/>
      <c r="Z141" s="275"/>
      <c r="AA141" s="275"/>
      <c r="AC141" s="275"/>
      <c r="AD141" s="275"/>
      <c r="AE141" s="275"/>
      <c r="AF141" s="275"/>
      <c r="AG141" s="275"/>
      <c r="AH141" s="275"/>
      <c r="AJ141" s="275"/>
      <c r="AK141" s="275"/>
      <c r="AL141" s="275"/>
      <c r="AM141" s="275"/>
      <c r="AO141" s="275"/>
      <c r="AP141" s="275"/>
      <c r="AQ141" s="275"/>
      <c r="AR141" s="275"/>
      <c r="AT141" s="275"/>
      <c r="AU141" s="275"/>
      <c r="AV141" s="275"/>
      <c r="AW141" s="275"/>
      <c r="AX141" s="275"/>
      <c r="AY141" s="275"/>
      <c r="AZ141" s="275"/>
      <c r="BB141" s="569"/>
      <c r="BC141" s="275"/>
      <c r="BD141" s="275"/>
      <c r="BE141" s="275"/>
      <c r="BF141" s="275"/>
      <c r="BH141" s="275"/>
      <c r="BI141" s="275"/>
      <c r="BJ141" s="275"/>
      <c r="BK141" s="275"/>
      <c r="BL141" s="275"/>
      <c r="BM141" s="275"/>
      <c r="BN141" s="275"/>
      <c r="BO141" s="275"/>
      <c r="BP141" s="275"/>
      <c r="BQ141" s="275"/>
      <c r="BR141" s="275"/>
      <c r="BS141" s="275"/>
      <c r="BX141" s="275"/>
      <c r="BY141" s="275"/>
      <c r="CE141" s="275"/>
      <c r="CH141" s="275"/>
      <c r="CP141" s="275">
        <v>0</v>
      </c>
      <c r="CV141" s="275"/>
      <c r="CW141" s="275"/>
      <c r="CX141" s="275"/>
      <c r="CY141" s="275"/>
      <c r="CZ141" s="275"/>
      <c r="DA141" s="585"/>
      <c r="DE141" s="275"/>
      <c r="DF141" s="275"/>
      <c r="DG141" s="275"/>
      <c r="DK141" s="275"/>
      <c r="DL141" s="275"/>
      <c r="DN141" s="275">
        <v>0</v>
      </c>
      <c r="DP141" s="275"/>
      <c r="DQ141" s="275"/>
      <c r="DR141" s="275"/>
      <c r="DS141" s="275">
        <v>-120000</v>
      </c>
      <c r="DT141" s="275"/>
      <c r="DU141" s="275"/>
      <c r="DV141" s="275"/>
      <c r="DW141" s="275" t="s">
        <v>0</v>
      </c>
      <c r="DY141" s="275"/>
      <c r="DZ141" s="275"/>
      <c r="EA141" s="275" t="s">
        <v>0</v>
      </c>
      <c r="EB141" s="275"/>
      <c r="EC141" s="275"/>
      <c r="ED141" s="275"/>
      <c r="EE141" s="275"/>
      <c r="EF141" s="275" t="s">
        <v>0</v>
      </c>
      <c r="EG141" s="275"/>
      <c r="EH141" s="275"/>
      <c r="EI141" s="275" t="s">
        <v>0</v>
      </c>
      <c r="EJ141" s="275"/>
      <c r="EK141" s="275" t="s">
        <v>0</v>
      </c>
      <c r="EN141" s="207"/>
    </row>
    <row r="142" spans="1:144" ht="30">
      <c r="A142" s="648"/>
      <c r="B142" s="282" t="s">
        <v>964</v>
      </c>
      <c r="C142" s="211">
        <v>-14884</v>
      </c>
      <c r="F142" s="268"/>
      <c r="G142" s="269">
        <v>-1576</v>
      </c>
      <c r="H142" s="268"/>
      <c r="I142" s="268"/>
      <c r="J142" s="269">
        <f>(C142-G142)/2</f>
        <v>-6654</v>
      </c>
      <c r="K142" s="268"/>
      <c r="L142" s="269">
        <f>J142</f>
        <v>-6654</v>
      </c>
      <c r="M142" s="268"/>
      <c r="N142" s="269">
        <v>-2300</v>
      </c>
      <c r="O142" s="211"/>
      <c r="P142" s="277"/>
      <c r="Q142" s="607">
        <v>-3000</v>
      </c>
      <c r="R142" s="310">
        <f>-8443-Q142</f>
        <v>-5443</v>
      </c>
      <c r="S142" s="275"/>
      <c r="T142" s="275"/>
      <c r="U142" s="310">
        <f>-5900-3668.94</f>
        <v>-9568.94</v>
      </c>
      <c r="V142" s="275">
        <v>0</v>
      </c>
      <c r="W142" s="275"/>
      <c r="X142" s="275"/>
      <c r="Y142" s="275"/>
      <c r="Z142" s="275"/>
      <c r="AA142" s="275"/>
      <c r="AB142" s="275"/>
      <c r="AC142" s="275"/>
      <c r="AD142" s="310">
        <v>-7695.49</v>
      </c>
      <c r="AE142" s="569" t="s">
        <v>0</v>
      </c>
      <c r="AF142" s="310">
        <v>-13986.67</v>
      </c>
      <c r="AH142" s="310">
        <v>13986.67</v>
      </c>
      <c r="AJ142" s="310">
        <v>-10540</v>
      </c>
      <c r="AK142" s="275"/>
      <c r="AL142" s="275"/>
      <c r="AM142" s="275"/>
      <c r="AQ142" s="310">
        <v>-5706.06</v>
      </c>
      <c r="AR142" s="275"/>
      <c r="AU142" s="310">
        <v>-6230.59</v>
      </c>
      <c r="AV142" s="275" t="s">
        <v>0</v>
      </c>
      <c r="AW142" s="310">
        <v>-17401</v>
      </c>
      <c r="AX142" s="275"/>
      <c r="AY142" s="275"/>
      <c r="AZ142" s="275"/>
      <c r="BB142" s="627">
        <v>-5958.91</v>
      </c>
      <c r="BC142" s="310">
        <v>-5000</v>
      </c>
      <c r="BF142" s="275">
        <v>0</v>
      </c>
      <c r="BH142" s="310">
        <f>-43385.99-BC142</f>
        <v>-38385.99</v>
      </c>
      <c r="BI142" s="275"/>
      <c r="BJ142" s="275"/>
      <c r="BK142" s="275"/>
      <c r="BL142" s="275"/>
      <c r="BM142" s="275"/>
      <c r="BO142" s="310">
        <v>-19602.04</v>
      </c>
      <c r="BP142" s="275"/>
      <c r="BQ142" s="275"/>
      <c r="BR142" s="275"/>
      <c r="BS142" s="275"/>
      <c r="CE142" s="310">
        <v>-2177.37</v>
      </c>
      <c r="CF142" s="275"/>
      <c r="CJ142" s="310">
        <v>-10609.12</v>
      </c>
      <c r="CN142" s="310">
        <v>-4622.88</v>
      </c>
      <c r="CR142" s="310">
        <v>-2635</v>
      </c>
      <c r="CU142" s="627">
        <v>-28392.51</v>
      </c>
      <c r="CY142" s="310">
        <v>-21164.37</v>
      </c>
      <c r="DA142" s="584"/>
      <c r="DD142" s="569">
        <v>-13991.14</v>
      </c>
      <c r="DI142" s="275">
        <v>-5000</v>
      </c>
      <c r="EN142" s="207"/>
    </row>
    <row r="143" spans="1:144" ht="15">
      <c r="A143" s="648"/>
      <c r="B143" s="282" t="s">
        <v>899</v>
      </c>
      <c r="C143" s="211"/>
      <c r="F143" s="268"/>
      <c r="G143" s="269"/>
      <c r="H143" s="268"/>
      <c r="I143" s="268"/>
      <c r="J143" s="269"/>
      <c r="K143" s="268"/>
      <c r="L143" s="269"/>
      <c r="M143" s="268"/>
      <c r="N143" s="269"/>
      <c r="O143" s="211"/>
      <c r="P143" s="277"/>
      <c r="Q143" s="607"/>
      <c r="R143" s="310"/>
      <c r="S143" s="275"/>
      <c r="T143" s="275"/>
      <c r="U143" s="310"/>
      <c r="V143" s="275"/>
      <c r="W143" s="275"/>
      <c r="X143" s="275"/>
      <c r="Y143" s="275"/>
      <c r="Z143" s="275"/>
      <c r="AA143" s="275"/>
      <c r="AB143" s="275"/>
      <c r="AC143" s="275"/>
      <c r="AD143" s="310"/>
      <c r="AE143" s="569"/>
      <c r="AF143" s="310"/>
      <c r="AH143" s="310"/>
      <c r="AJ143" s="310"/>
      <c r="AK143" s="275"/>
      <c r="AL143" s="275"/>
      <c r="AM143" s="275"/>
      <c r="AQ143" s="310"/>
      <c r="AR143" s="275"/>
      <c r="AU143" s="310"/>
      <c r="AV143" s="275"/>
      <c r="AW143" s="310"/>
      <c r="AX143" s="275"/>
      <c r="AY143" s="275"/>
      <c r="AZ143" s="275"/>
      <c r="BB143" s="627"/>
      <c r="BC143" s="310"/>
      <c r="BF143" s="275"/>
      <c r="BH143" s="310"/>
      <c r="BI143" s="275"/>
      <c r="BJ143" s="275"/>
      <c r="BK143" s="275"/>
      <c r="BL143" s="275"/>
      <c r="BM143" s="275"/>
      <c r="BO143" s="310"/>
      <c r="BP143" s="275"/>
      <c r="BQ143" s="275"/>
      <c r="BR143" s="275"/>
      <c r="BS143" s="275"/>
      <c r="CE143" s="310"/>
      <c r="CF143" s="275"/>
      <c r="CJ143" s="310">
        <v>-9933.5300000000007</v>
      </c>
      <c r="CL143" s="275"/>
      <c r="DA143" s="584"/>
      <c r="EN143" s="207"/>
    </row>
    <row r="144" spans="1:144" ht="15">
      <c r="A144" s="648"/>
      <c r="B144" s="282" t="s">
        <v>770</v>
      </c>
      <c r="C144" s="211"/>
      <c r="F144" s="269">
        <v>-4140</v>
      </c>
      <c r="G144" s="268"/>
      <c r="H144" s="268"/>
      <c r="I144" s="268" t="s">
        <v>0</v>
      </c>
      <c r="J144" s="269">
        <v>-4140</v>
      </c>
      <c r="K144" s="268" t="s">
        <v>0</v>
      </c>
      <c r="L144" s="268"/>
      <c r="M144" s="268"/>
      <c r="N144" s="268" t="s">
        <v>0</v>
      </c>
      <c r="Q144" s="275"/>
      <c r="R144" s="275"/>
      <c r="S144" s="269">
        <v>-3000</v>
      </c>
      <c r="T144" s="275" t="s">
        <v>0</v>
      </c>
      <c r="U144" s="269">
        <f>-8280*2-S144</f>
        <v>-13560</v>
      </c>
      <c r="V144" s="275"/>
      <c r="W144" s="275" t="s">
        <v>0</v>
      </c>
      <c r="X144" s="275">
        <v>0</v>
      </c>
      <c r="Z144" s="275">
        <v>0</v>
      </c>
      <c r="AA144" s="310">
        <f>-8613-3522.4</f>
        <v>-12135.4</v>
      </c>
      <c r="AB144" s="275"/>
      <c r="AC144" s="275"/>
      <c r="AD144" s="275"/>
      <c r="AE144" s="275"/>
      <c r="AF144" s="310">
        <v>-18653.25</v>
      </c>
      <c r="AG144" s="275"/>
      <c r="AH144" s="275"/>
      <c r="AI144" s="275"/>
      <c r="AJ144" s="310">
        <v>-20136.32</v>
      </c>
      <c r="AK144" s="275"/>
      <c r="AL144" s="275"/>
      <c r="AM144" s="275"/>
      <c r="AQ144" s="310">
        <v>-17321.580000000002</v>
      </c>
      <c r="AR144" s="275"/>
      <c r="AV144" s="310">
        <v>-10679</v>
      </c>
      <c r="AY144" s="627">
        <v>-10505.72</v>
      </c>
      <c r="AZ144" s="275"/>
      <c r="BB144" s="627">
        <v>-8881.33</v>
      </c>
      <c r="BC144" s="275"/>
      <c r="BD144" s="275"/>
      <c r="BE144" s="275"/>
      <c r="BF144" s="275"/>
      <c r="BH144" s="626">
        <v>-15947</v>
      </c>
      <c r="BI144" s="275"/>
      <c r="BJ144" s="275"/>
      <c r="BK144" s="275"/>
      <c r="BL144" s="275"/>
      <c r="BM144" s="275"/>
      <c r="BN144" s="275"/>
      <c r="BO144" s="627">
        <f>-5522.04+0.9</f>
        <v>-5521.14</v>
      </c>
      <c r="BP144" s="275"/>
      <c r="BQ144" s="275"/>
      <c r="BR144" s="275"/>
      <c r="BS144" s="275"/>
      <c r="BX144" s="275" t="s">
        <v>0</v>
      </c>
      <c r="BY144" s="275"/>
      <c r="CE144" s="627">
        <f>-6490.77-3608.54</f>
        <v>-10099.310000000001</v>
      </c>
      <c r="CN144" s="310">
        <v>-4623.1899999999996</v>
      </c>
      <c r="CT144" s="569" t="s">
        <v>0</v>
      </c>
      <c r="CU144" s="627">
        <f>-5354.99</f>
        <v>-5354.99</v>
      </c>
      <c r="CY144" s="627">
        <v>-9830.3700000000008</v>
      </c>
      <c r="DA144" s="699">
        <v>-6936.91</v>
      </c>
      <c r="DD144" s="569">
        <v>-6022.59</v>
      </c>
      <c r="EL144" s="3">
        <f>355/4</f>
        <v>88.75</v>
      </c>
      <c r="EN144" s="207"/>
    </row>
    <row r="145" spans="1:144" ht="15.5" customHeight="1">
      <c r="A145" s="648"/>
      <c r="B145" s="282" t="s">
        <v>211</v>
      </c>
      <c r="C145" s="211"/>
      <c r="F145" s="269">
        <v>-5285</v>
      </c>
      <c r="G145" s="269">
        <v>-5379</v>
      </c>
      <c r="H145" s="268"/>
      <c r="I145" s="268"/>
      <c r="J145" s="269">
        <v>-6700</v>
      </c>
      <c r="K145" s="269">
        <f>-7200-G145</f>
        <v>-1821</v>
      </c>
      <c r="L145" s="268"/>
      <c r="M145" s="268"/>
      <c r="N145" s="268"/>
      <c r="O145" s="275" t="s">
        <v>0</v>
      </c>
      <c r="P145" s="310">
        <v>-7200</v>
      </c>
      <c r="Q145" s="277"/>
      <c r="R145" s="269">
        <v>-8000</v>
      </c>
      <c r="S145" s="275" t="s">
        <v>0</v>
      </c>
      <c r="T145" s="275" t="s">
        <v>0</v>
      </c>
      <c r="U145" s="310">
        <f>-7246.66-8801.36</f>
        <v>-16048.02</v>
      </c>
      <c r="V145" s="275"/>
      <c r="W145" s="275"/>
      <c r="X145" s="275"/>
      <c r="Y145" s="275"/>
      <c r="Z145" s="275" t="s">
        <v>0</v>
      </c>
      <c r="AA145" s="275">
        <v>0</v>
      </c>
      <c r="AB145" s="636">
        <v>-14774.13</v>
      </c>
      <c r="AC145" s="275"/>
      <c r="AD145" s="275"/>
      <c r="AE145" s="275"/>
      <c r="AF145" s="310">
        <v>-13986.67</v>
      </c>
      <c r="AG145" s="275"/>
      <c r="AH145" s="275"/>
      <c r="AI145" s="275"/>
      <c r="AJ145" s="275"/>
      <c r="AK145" s="310">
        <v>-1146.57</v>
      </c>
      <c r="AL145" s="275"/>
      <c r="AM145" s="275"/>
      <c r="AN145" s="310">
        <v>-6312.41</v>
      </c>
      <c r="AP145" s="275"/>
      <c r="AQ145" s="275"/>
      <c r="AR145" s="275"/>
      <c r="AS145" s="275"/>
      <c r="AT145" s="275"/>
      <c r="AU145" s="275"/>
      <c r="AW145" s="569" t="s">
        <v>0</v>
      </c>
      <c r="AX145" s="627">
        <v>-8115.31</v>
      </c>
      <c r="AY145" s="627">
        <v>-7279.02</v>
      </c>
      <c r="AZ145" s="569"/>
      <c r="BA145" s="310">
        <v>-2645.07</v>
      </c>
      <c r="BC145" s="275"/>
      <c r="BD145" s="275"/>
      <c r="BE145" s="275"/>
      <c r="BF145" s="275"/>
      <c r="BH145" s="310">
        <v>-1860.43</v>
      </c>
      <c r="BI145" s="275"/>
      <c r="BJ145" s="275"/>
      <c r="BK145" s="275"/>
      <c r="BL145" s="275"/>
      <c r="BM145" s="275"/>
      <c r="BN145" s="275"/>
      <c r="BO145" s="627">
        <v>-11083.25</v>
      </c>
      <c r="BP145" s="275"/>
      <c r="BQ145" s="275"/>
      <c r="BR145" s="275"/>
      <c r="BS145" s="275"/>
      <c r="BZ145" s="310">
        <f>-28718.72</f>
        <v>-28718.720000000001</v>
      </c>
      <c r="CE145" s="310">
        <f>-14072.04</f>
        <v>-14072.04</v>
      </c>
      <c r="CF145" s="275"/>
      <c r="CG145" s="275"/>
      <c r="CJ145" s="310">
        <v>-5889.96</v>
      </c>
      <c r="CN145" s="627">
        <f>-11249.54-CJ145</f>
        <v>-5359.5800000000008</v>
      </c>
      <c r="CT145" s="569" t="s">
        <v>0</v>
      </c>
      <c r="CU145" s="627">
        <f>-11087.68</f>
        <v>-11087.68</v>
      </c>
      <c r="CX145" s="627">
        <v>-12043.82</v>
      </c>
      <c r="CY145" s="627">
        <v>-14093.99</v>
      </c>
      <c r="DA145" s="584"/>
      <c r="EN145" s="207"/>
    </row>
    <row r="146" spans="1:144" ht="24.5" customHeight="1">
      <c r="A146" s="648"/>
      <c r="B146" s="282" t="s">
        <v>978</v>
      </c>
      <c r="C146" s="232"/>
      <c r="F146" s="268"/>
      <c r="G146" s="268"/>
      <c r="H146" s="268"/>
      <c r="I146" s="268"/>
      <c r="J146" s="268"/>
      <c r="K146" s="268"/>
      <c r="L146" s="268"/>
      <c r="M146" s="268"/>
      <c r="N146" s="268"/>
      <c r="O146" s="275"/>
      <c r="P146" s="277"/>
      <c r="Q146" s="277"/>
      <c r="R146" s="277"/>
      <c r="S146" s="275"/>
      <c r="T146" s="275"/>
      <c r="U146" s="275"/>
      <c r="W146" s="275"/>
      <c r="X146" s="275"/>
      <c r="Y146" s="275"/>
      <c r="AB146" s="275"/>
      <c r="AC146" s="310"/>
      <c r="AD146" s="275"/>
      <c r="AE146" s="275"/>
      <c r="AF146" s="275"/>
      <c r="AG146" s="275"/>
      <c r="AH146" s="275"/>
      <c r="AI146" s="275"/>
      <c r="AJ146" s="275"/>
      <c r="AK146" s="275"/>
      <c r="AL146" s="275"/>
      <c r="AM146" s="275"/>
      <c r="AN146" s="275"/>
      <c r="AO146" s="275"/>
      <c r="AP146" s="275"/>
      <c r="AQ146" s="275"/>
      <c r="AR146" s="275"/>
      <c r="AS146" s="275"/>
      <c r="AT146" s="275"/>
      <c r="AU146" s="275"/>
      <c r="AV146" s="275"/>
      <c r="AW146" s="275"/>
      <c r="AX146" s="627">
        <v>-2867.13</v>
      </c>
      <c r="AY146" s="275"/>
      <c r="AZ146" s="275"/>
      <c r="BA146" s="310">
        <v>-4773.63</v>
      </c>
      <c r="BC146" s="275"/>
      <c r="BD146" s="275"/>
      <c r="BE146" s="275"/>
      <c r="BF146" s="275"/>
      <c r="BH146" s="310">
        <v>-8919.9599999999991</v>
      </c>
      <c r="BI146" s="275"/>
      <c r="BJ146" s="275"/>
      <c r="BK146" s="275"/>
      <c r="BL146" s="275"/>
      <c r="BM146" s="275"/>
      <c r="BN146" s="275"/>
      <c r="BO146" s="627">
        <f>-18882.96-BH146</f>
        <v>-9963</v>
      </c>
      <c r="CA146" s="310">
        <f>-1162.23+1162.23</f>
        <v>0</v>
      </c>
      <c r="CE146" s="310">
        <v>-2049.1799999999998</v>
      </c>
      <c r="CJ146" s="627">
        <v>-1065.18</v>
      </c>
      <c r="CN146" s="627">
        <v>-651.65</v>
      </c>
      <c r="CU146" s="627">
        <v>-15262.14</v>
      </c>
      <c r="CY146" s="310">
        <v>-9648.43</v>
      </c>
      <c r="DA146" s="584"/>
      <c r="DD146" s="569">
        <v>-7573.99</v>
      </c>
      <c r="DI146" s="275">
        <v>-16476.73</v>
      </c>
      <c r="EN146" s="207"/>
    </row>
    <row r="147" spans="1:144" ht="15">
      <c r="A147" s="648"/>
      <c r="B147" s="299" t="s">
        <v>786</v>
      </c>
      <c r="C147" s="263"/>
      <c r="D147" s="211">
        <v>0</v>
      </c>
      <c r="E147" s="519"/>
      <c r="F147" s="268"/>
      <c r="G147" s="268"/>
      <c r="H147" s="268"/>
      <c r="I147" s="268"/>
      <c r="J147" s="268"/>
      <c r="K147" s="268"/>
      <c r="L147" s="268"/>
      <c r="M147" s="268"/>
      <c r="N147" s="268"/>
      <c r="O147" s="268"/>
      <c r="P147" s="268"/>
      <c r="Q147" s="268"/>
      <c r="R147" s="268"/>
      <c r="S147" s="268"/>
      <c r="T147" s="268"/>
      <c r="U147" s="268"/>
      <c r="V147" s="268"/>
      <c r="W147" s="268"/>
      <c r="X147" s="268"/>
      <c r="Y147" s="268"/>
      <c r="Z147" s="268"/>
      <c r="AA147" s="268"/>
      <c r="AB147" s="268"/>
      <c r="AC147" s="268"/>
      <c r="AD147" s="268"/>
      <c r="AE147" s="268"/>
      <c r="AF147" s="308"/>
      <c r="AG147" s="308"/>
      <c r="AH147" s="308"/>
      <c r="AI147" s="308"/>
      <c r="AJ147" s="268"/>
      <c r="AK147" s="268"/>
      <c r="AL147" s="268"/>
      <c r="AM147" s="268"/>
      <c r="AN147" s="268"/>
      <c r="AO147" s="268"/>
      <c r="AP147" s="268"/>
      <c r="AQ147" s="268"/>
      <c r="AR147" s="268"/>
      <c r="AS147" s="268"/>
      <c r="AT147" s="268"/>
      <c r="AU147" s="268"/>
      <c r="AV147" s="268"/>
      <c r="AW147" s="275"/>
      <c r="AY147" s="268" t="s">
        <v>0</v>
      </c>
      <c r="AZ147" s="268"/>
      <c r="BB147" s="268" t="s">
        <v>0</v>
      </c>
      <c r="BC147" s="268" t="s">
        <v>0</v>
      </c>
      <c r="BD147" s="268" t="s">
        <v>0</v>
      </c>
      <c r="BG147" s="269">
        <v>-3232.44</v>
      </c>
      <c r="BH147" s="268"/>
      <c r="BI147" s="269">
        <v>-3943.38</v>
      </c>
      <c r="BJ147" s="269">
        <v>-3916.32</v>
      </c>
      <c r="BK147" s="268"/>
      <c r="BL147" s="268"/>
      <c r="BM147" s="268" t="s">
        <v>0</v>
      </c>
      <c r="BN147" s="268"/>
      <c r="BO147" s="268" t="s">
        <v>0</v>
      </c>
      <c r="BP147" s="268"/>
      <c r="BQ147" s="268"/>
      <c r="BR147" s="268" t="s">
        <v>0</v>
      </c>
      <c r="BV147" s="268" t="s">
        <v>0</v>
      </c>
      <c r="BW147" s="268"/>
      <c r="BZ147" s="3" t="s">
        <v>0</v>
      </c>
      <c r="CE147" s="310">
        <v>-9443.4</v>
      </c>
      <c r="CJ147" s="310">
        <v>-9803.36</v>
      </c>
      <c r="CR147" s="627">
        <v>-428.04</v>
      </c>
      <c r="DA147" s="584"/>
      <c r="EN147" s="207"/>
    </row>
    <row r="148" spans="1:144" ht="15">
      <c r="A148" s="648"/>
      <c r="B148" s="282" t="s">
        <v>965</v>
      </c>
      <c r="C148" s="232"/>
      <c r="F148" s="268"/>
      <c r="G148" s="268"/>
      <c r="H148" s="268"/>
      <c r="I148" s="268"/>
      <c r="J148" s="268"/>
      <c r="K148" s="268"/>
      <c r="L148" s="268"/>
      <c r="M148" s="268"/>
      <c r="N148" s="268"/>
      <c r="O148" s="275"/>
      <c r="P148" s="277"/>
      <c r="Q148" s="277"/>
      <c r="R148" s="277"/>
      <c r="S148" s="275"/>
      <c r="T148" s="275"/>
      <c r="U148" s="275"/>
      <c r="W148" s="275"/>
      <c r="X148" s="275"/>
      <c r="Y148" s="275"/>
      <c r="AB148" s="275"/>
      <c r="AC148" s="310"/>
      <c r="AD148" s="275"/>
      <c r="AE148" s="275"/>
      <c r="AF148" s="275"/>
      <c r="AG148" s="275"/>
      <c r="AH148" s="275"/>
      <c r="AI148" s="275"/>
      <c r="AJ148" s="275"/>
      <c r="AK148" s="275"/>
      <c r="AL148" s="275"/>
      <c r="AM148" s="275"/>
      <c r="AN148" s="275"/>
      <c r="AO148" s="275"/>
      <c r="AP148" s="275"/>
      <c r="AQ148" s="275"/>
      <c r="AR148" s="275"/>
      <c r="AS148" s="275"/>
      <c r="AT148" s="275"/>
      <c r="AU148" s="275"/>
      <c r="AV148" s="275"/>
      <c r="AW148" s="275"/>
      <c r="AX148" s="275"/>
      <c r="AZ148" s="275" t="s">
        <v>0</v>
      </c>
      <c r="BB148" s="627">
        <f>-243.54-6707.27</f>
        <v>-6950.81</v>
      </c>
      <c r="BC148" s="275"/>
      <c r="BD148" s="275"/>
      <c r="BE148" s="275"/>
      <c r="BF148" s="275"/>
      <c r="BK148" s="275"/>
      <c r="BM148" s="627">
        <f>-3805.75-9728.36-9436.24</f>
        <v>-22970.35</v>
      </c>
      <c r="BN148" s="275"/>
      <c r="BT148" s="569" t="s">
        <v>0</v>
      </c>
      <c r="BU148" s="569"/>
      <c r="BW148" s="275"/>
      <c r="BX148" s="275" t="s">
        <v>0</v>
      </c>
      <c r="BY148" s="275"/>
      <c r="CA148" s="569" t="s">
        <v>0</v>
      </c>
      <c r="CE148" s="627">
        <v>-12561.37</v>
      </c>
      <c r="CJ148" s="627">
        <v>-11085.96</v>
      </c>
      <c r="CT148" s="569" t="s">
        <v>0</v>
      </c>
      <c r="CU148" s="627">
        <v>-5721.03</v>
      </c>
      <c r="CY148" s="627">
        <f>-4117.7-1684.36-4789.04-10363.99</f>
        <v>-20955.089999999997</v>
      </c>
      <c r="DA148" s="584"/>
      <c r="DB148" s="275" t="s">
        <v>0</v>
      </c>
      <c r="DC148" s="275" t="s">
        <v>0</v>
      </c>
      <c r="DD148" s="275">
        <v>-13443.89</v>
      </c>
      <c r="DI148" s="275">
        <v>-10000</v>
      </c>
      <c r="EN148" s="207"/>
    </row>
    <row r="149" spans="1:144" ht="15">
      <c r="A149" s="648"/>
      <c r="B149" s="282" t="s">
        <v>723</v>
      </c>
      <c r="C149" s="232"/>
      <c r="F149" s="268"/>
      <c r="G149" s="268"/>
      <c r="H149" s="268"/>
      <c r="I149" s="268"/>
      <c r="J149" s="268"/>
      <c r="K149" s="268"/>
      <c r="L149" s="268"/>
      <c r="M149" s="268"/>
      <c r="N149" s="268"/>
      <c r="O149" s="275"/>
      <c r="P149" s="277"/>
      <c r="Q149" s="277"/>
      <c r="R149" s="277"/>
      <c r="S149" s="275"/>
      <c r="T149" s="275"/>
      <c r="U149" s="275"/>
      <c r="W149" s="275"/>
      <c r="X149" s="275"/>
      <c r="Y149" s="275"/>
      <c r="AB149" s="275"/>
      <c r="AC149" s="310"/>
      <c r="AD149" s="275"/>
      <c r="AE149" s="275"/>
      <c r="AF149" s="275"/>
      <c r="AG149" s="275"/>
      <c r="AH149" s="275"/>
      <c r="AI149" s="275"/>
      <c r="AJ149" s="275"/>
      <c r="AK149" s="275"/>
      <c r="AL149" s="275"/>
      <c r="AM149" s="275"/>
      <c r="AN149" s="275"/>
      <c r="AO149" s="275"/>
      <c r="AP149" s="275"/>
      <c r="AQ149" s="275"/>
      <c r="AR149" s="275"/>
      <c r="AS149" s="275"/>
      <c r="AT149" s="275"/>
      <c r="AU149" s="275"/>
      <c r="AV149" s="275"/>
      <c r="AW149" s="275"/>
      <c r="AX149" s="275"/>
      <c r="AY149" s="275"/>
      <c r="AZ149" s="275"/>
      <c r="BA149" s="275"/>
      <c r="BB149" s="275"/>
      <c r="BC149" s="275"/>
      <c r="BD149" s="275"/>
      <c r="BE149" s="275"/>
      <c r="BF149" s="275"/>
      <c r="BI149" s="275" t="s">
        <v>0</v>
      </c>
      <c r="BJ149" s="275"/>
      <c r="BN149" s="275"/>
      <c r="BO149" s="310">
        <v>-7209.94</v>
      </c>
      <c r="CL149" s="627">
        <v>-2293.8200000000002</v>
      </c>
      <c r="DA149" s="584"/>
      <c r="EN149" s="207"/>
    </row>
    <row r="150" spans="1:144" ht="15">
      <c r="A150" s="648"/>
      <c r="B150" s="282" t="s">
        <v>206</v>
      </c>
      <c r="C150" s="211">
        <v>189000</v>
      </c>
      <c r="F150" s="268"/>
      <c r="G150" s="268"/>
      <c r="H150" s="268"/>
      <c r="I150" s="268"/>
      <c r="J150" s="268"/>
      <c r="K150" s="268"/>
      <c r="L150" s="268"/>
      <c r="M150" s="269">
        <v>-15000</v>
      </c>
      <c r="N150" s="268"/>
      <c r="P150" s="268"/>
      <c r="Q150" s="268">
        <v>0</v>
      </c>
      <c r="R150" s="269">
        <v>-15000</v>
      </c>
      <c r="T150" s="275"/>
      <c r="U150" s="310">
        <v>-15000</v>
      </c>
      <c r="V150" s="275"/>
      <c r="W150" s="275" t="s">
        <v>0</v>
      </c>
      <c r="X150" s="275"/>
      <c r="Y150" s="275"/>
      <c r="Z150" s="310">
        <v>-15000</v>
      </c>
      <c r="AA150" s="275"/>
      <c r="AB150" s="275">
        <v>0</v>
      </c>
      <c r="AC150" s="275"/>
      <c r="AD150" s="275">
        <v>0</v>
      </c>
      <c r="AE150" s="310">
        <f>-17500-12.7</f>
        <v>-17512.7</v>
      </c>
      <c r="AF150" s="275" t="s">
        <v>0</v>
      </c>
      <c r="AG150" s="275"/>
      <c r="AH150" s="275"/>
      <c r="AI150" s="310">
        <v>-17500</v>
      </c>
      <c r="AK150" s="275"/>
      <c r="AL150" s="275"/>
      <c r="AM150" s="275"/>
      <c r="AN150" s="310">
        <v>-17500</v>
      </c>
      <c r="AP150" s="275"/>
      <c r="AQ150" s="275"/>
      <c r="AR150" s="310">
        <v>-20000</v>
      </c>
      <c r="AS150" s="275"/>
      <c r="AT150" s="275"/>
      <c r="AU150" s="275"/>
      <c r="AX150" s="310">
        <v>-20000</v>
      </c>
      <c r="AY150" s="275"/>
      <c r="BA150" s="310">
        <v>-20000</v>
      </c>
      <c r="BC150" s="275"/>
      <c r="BD150" s="275"/>
      <c r="BE150" s="275"/>
      <c r="BI150" s="275" t="s">
        <v>0</v>
      </c>
      <c r="BK150" s="275"/>
      <c r="BL150" s="310">
        <v>-15459.2</v>
      </c>
      <c r="BM150" s="275"/>
      <c r="BN150" s="275"/>
      <c r="BO150" s="275">
        <v>0</v>
      </c>
      <c r="BP150" s="275"/>
      <c r="BQ150" s="275"/>
      <c r="BR150" s="275"/>
      <c r="BS150" s="275"/>
      <c r="DA150" s="584"/>
      <c r="EN150" s="207"/>
    </row>
    <row r="151" spans="1:144" ht="15">
      <c r="A151" s="648"/>
      <c r="B151" s="282" t="s">
        <v>207</v>
      </c>
      <c r="C151" s="211">
        <v>201000</v>
      </c>
      <c r="F151" s="268" t="s">
        <v>0</v>
      </c>
      <c r="G151" s="268"/>
      <c r="H151" s="268"/>
      <c r="I151" s="268"/>
      <c r="J151" s="268"/>
      <c r="K151" s="268"/>
      <c r="L151" s="268" t="s">
        <v>0</v>
      </c>
      <c r="M151" s="268"/>
      <c r="N151" s="269">
        <v>-10000</v>
      </c>
      <c r="P151" s="277"/>
      <c r="Q151" s="277"/>
      <c r="R151" s="310">
        <v>-10000</v>
      </c>
      <c r="T151" s="275"/>
      <c r="U151" s="310">
        <v>-10000</v>
      </c>
      <c r="V151" s="275">
        <v>0</v>
      </c>
      <c r="W151" s="275" t="s">
        <v>0</v>
      </c>
      <c r="X151" s="275"/>
      <c r="Y151" s="275"/>
      <c r="Z151" s="275">
        <v>0</v>
      </c>
      <c r="AA151" s="310">
        <v>-15000</v>
      </c>
      <c r="AB151" s="275">
        <v>0</v>
      </c>
      <c r="AC151" s="275"/>
      <c r="AD151" s="275">
        <v>0</v>
      </c>
      <c r="AE151" s="275">
        <v>0</v>
      </c>
      <c r="AF151" s="310">
        <v>-15000</v>
      </c>
      <c r="AG151" s="275"/>
      <c r="AH151" s="275"/>
      <c r="AJ151" s="310">
        <v>-15000</v>
      </c>
      <c r="AK151" s="275"/>
      <c r="AL151" s="275"/>
      <c r="AM151" s="275"/>
      <c r="AO151" s="310">
        <v>-20000</v>
      </c>
      <c r="AP151" s="275"/>
      <c r="AQ151" s="275"/>
      <c r="AR151" s="275"/>
      <c r="AS151" s="310">
        <v>-20000</v>
      </c>
      <c r="AT151" s="275"/>
      <c r="AU151" s="275"/>
      <c r="AV151" s="275" t="s">
        <v>0</v>
      </c>
      <c r="AX151" s="310">
        <v>-20000</v>
      </c>
      <c r="AY151" s="275"/>
      <c r="AZ151" s="275"/>
      <c r="BB151" s="310">
        <v>-20000</v>
      </c>
      <c r="BC151" s="275"/>
      <c r="BD151" s="275"/>
      <c r="BE151" s="275"/>
      <c r="BF151" s="275"/>
      <c r="BH151" s="310">
        <v>-20000</v>
      </c>
      <c r="BI151" s="275"/>
      <c r="BJ151" s="275"/>
      <c r="BK151" s="275"/>
      <c r="BL151" s="275"/>
      <c r="BM151" s="275"/>
      <c r="BN151" s="275"/>
      <c r="BO151" s="310">
        <v>-20000</v>
      </c>
      <c r="BP151" s="275"/>
      <c r="BQ151" s="275"/>
      <c r="BR151" s="275"/>
      <c r="BS151" s="275"/>
      <c r="BW151" s="275"/>
      <c r="BZ151" s="275"/>
      <c r="CI151" s="310">
        <v>-6128.51</v>
      </c>
      <c r="DA151" s="584"/>
      <c r="EN151" s="207"/>
    </row>
    <row r="152" spans="1:144" ht="16">
      <c r="A152" s="685"/>
      <c r="B152" s="282" t="s">
        <v>891</v>
      </c>
      <c r="C152" s="263"/>
      <c r="D152" s="263"/>
      <c r="E152" s="702"/>
      <c r="F152" s="268"/>
      <c r="G152" s="268"/>
      <c r="H152" s="268"/>
      <c r="I152" s="268"/>
      <c r="J152" s="268"/>
      <c r="K152" s="268"/>
      <c r="L152" s="268"/>
      <c r="M152" s="268"/>
      <c r="N152" s="268"/>
      <c r="O152" s="268"/>
      <c r="P152" s="268"/>
      <c r="Q152" s="268"/>
      <c r="R152" s="268"/>
      <c r="S152" s="268"/>
      <c r="T152" s="268"/>
      <c r="U152" s="268"/>
      <c r="V152" s="268"/>
      <c r="W152" s="268"/>
      <c r="X152" s="268"/>
      <c r="Y152" s="268"/>
      <c r="Z152" s="268"/>
      <c r="AA152" s="268"/>
      <c r="AB152" s="268"/>
      <c r="AC152" s="268"/>
      <c r="AD152" s="268"/>
      <c r="AE152" s="268"/>
      <c r="AF152" s="268"/>
      <c r="AG152" s="268"/>
      <c r="AH152" s="268"/>
      <c r="AI152" s="268"/>
      <c r="AJ152" s="268"/>
      <c r="AK152" s="268"/>
      <c r="AL152" s="268"/>
      <c r="AM152" s="268"/>
      <c r="AN152" s="268"/>
      <c r="AO152" s="268"/>
      <c r="AP152" s="268"/>
      <c r="AQ152" s="268"/>
      <c r="AR152" s="268"/>
      <c r="AS152" s="268"/>
      <c r="AT152" s="268"/>
      <c r="AU152" s="268"/>
      <c r="AV152" s="268"/>
      <c r="AW152" s="275"/>
      <c r="AX152" s="268"/>
      <c r="AY152" s="268"/>
      <c r="AZ152" s="268"/>
      <c r="BA152" s="268"/>
      <c r="BB152" s="268"/>
      <c r="BC152" s="268"/>
      <c r="BD152" s="268"/>
      <c r="BE152" s="268"/>
      <c r="BF152" s="268"/>
      <c r="BG152" s="268"/>
      <c r="BH152" s="268"/>
      <c r="BI152" s="268"/>
      <c r="BJ152" s="268"/>
      <c r="BK152" s="268"/>
      <c r="BL152" s="268"/>
      <c r="BM152" s="268"/>
      <c r="BN152" s="268"/>
      <c r="CG152" s="268"/>
      <c r="CK152" s="268"/>
      <c r="CQ152" s="310">
        <f>-3547.1-15</f>
        <v>-3562.1</v>
      </c>
      <c r="CR152" s="268"/>
      <c r="CS152" s="268"/>
      <c r="CT152" s="268"/>
      <c r="CU152" s="268"/>
      <c r="CV152" s="268"/>
      <c r="CW152" s="268"/>
      <c r="CX152" s="268"/>
      <c r="CY152" s="268"/>
      <c r="CZ152" s="268"/>
      <c r="DA152" s="582"/>
      <c r="DB152" s="268"/>
      <c r="DC152" s="268"/>
      <c r="DD152" s="268"/>
      <c r="DE152" s="268"/>
      <c r="DF152" s="268"/>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268"/>
      <c r="EC152" s="268"/>
      <c r="ED152" s="268"/>
      <c r="EE152" s="268"/>
      <c r="EN152" s="207"/>
    </row>
    <row r="153" spans="1:144" ht="17" hidden="1">
      <c r="A153" s="684" t="s">
        <v>884</v>
      </c>
      <c r="B153" s="701" t="s">
        <v>884</v>
      </c>
      <c r="C153" s="263"/>
      <c r="D153" s="263"/>
      <c r="E153" s="702"/>
      <c r="F153" s="268"/>
      <c r="G153" s="268"/>
      <c r="H153" s="268"/>
      <c r="I153" s="268"/>
      <c r="J153" s="268"/>
      <c r="K153" s="268"/>
      <c r="L153" s="268"/>
      <c r="M153" s="268"/>
      <c r="N153" s="268"/>
      <c r="O153" s="268"/>
      <c r="P153" s="268"/>
      <c r="Q153" s="268"/>
      <c r="R153" s="268"/>
      <c r="S153" s="268"/>
      <c r="T153" s="268"/>
      <c r="U153" s="268"/>
      <c r="V153" s="268"/>
      <c r="W153" s="268"/>
      <c r="X153" s="268"/>
      <c r="Y153" s="268"/>
      <c r="Z153" s="268"/>
      <c r="AA153" s="268"/>
      <c r="AB153" s="268"/>
      <c r="AC153" s="268"/>
      <c r="AD153" s="268"/>
      <c r="AE153" s="268"/>
      <c r="AF153" s="268"/>
      <c r="AG153" s="268"/>
      <c r="AH153" s="268"/>
      <c r="AI153" s="268"/>
      <c r="AJ153" s="268"/>
      <c r="AK153" s="268"/>
      <c r="AL153" s="268"/>
      <c r="AM153" s="268"/>
      <c r="AN153" s="268"/>
      <c r="AO153" s="268"/>
      <c r="AP153" s="268"/>
      <c r="AQ153" s="268"/>
      <c r="AR153" s="268"/>
      <c r="AS153" s="268"/>
      <c r="AT153" s="268"/>
      <c r="AU153" s="268"/>
      <c r="AV153" s="268"/>
      <c r="AW153" s="275"/>
      <c r="AX153" s="268"/>
      <c r="AY153" s="268"/>
      <c r="AZ153" s="268"/>
      <c r="BA153" s="268"/>
      <c r="BB153" s="268"/>
      <c r="BC153" s="268"/>
      <c r="BD153" s="268"/>
      <c r="BE153" s="268"/>
      <c r="BF153" s="268"/>
      <c r="BG153" s="268"/>
      <c r="BH153" s="268"/>
      <c r="BI153" s="268"/>
      <c r="BJ153" s="268"/>
      <c r="BK153" s="268"/>
      <c r="BL153" s="268"/>
      <c r="BM153" s="268"/>
      <c r="BN153" s="268"/>
      <c r="CG153" s="268"/>
      <c r="CK153" s="268"/>
      <c r="CL153" s="268"/>
      <c r="CP153" s="268"/>
      <c r="CQ153" s="268"/>
      <c r="CR153" s="268"/>
      <c r="CS153" s="268"/>
      <c r="CT153" s="268"/>
      <c r="CU153" s="268"/>
      <c r="CV153" s="268"/>
      <c r="CW153" s="268"/>
      <c r="CX153" s="268"/>
      <c r="CY153" s="268"/>
      <c r="CZ153" s="268"/>
      <c r="DA153" s="582"/>
      <c r="DB153" s="268"/>
      <c r="DC153" s="268"/>
      <c r="DD153" s="268"/>
      <c r="DE153" s="268"/>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68"/>
      <c r="EB153" s="268"/>
      <c r="EC153" s="268"/>
      <c r="ED153" s="268"/>
      <c r="EE153" s="268"/>
      <c r="EN153" s="207"/>
    </row>
    <row r="154" spans="1:144" ht="13.25" hidden="1" customHeight="1">
      <c r="A154" s="687" t="s">
        <v>883</v>
      </c>
      <c r="B154" s="299" t="s">
        <v>66</v>
      </c>
      <c r="C154" s="263">
        <v>348000</v>
      </c>
      <c r="D154" s="211">
        <v>200000</v>
      </c>
      <c r="E154" s="519"/>
      <c r="F154" s="268"/>
      <c r="G154" s="268"/>
      <c r="H154" s="268"/>
      <c r="I154" s="268"/>
      <c r="J154" s="269">
        <f>50000*0.8</f>
        <v>40000</v>
      </c>
      <c r="K154" s="269">
        <f>40000*0.8</f>
        <v>32000</v>
      </c>
      <c r="M154" s="268" t="s">
        <v>0</v>
      </c>
      <c r="O154" s="268"/>
      <c r="P154" s="269">
        <v>20000</v>
      </c>
      <c r="Q154" s="269">
        <v>20000</v>
      </c>
      <c r="R154" s="269">
        <v>20000</v>
      </c>
      <c r="S154" s="269">
        <v>20000</v>
      </c>
      <c r="T154" s="268">
        <v>0</v>
      </c>
      <c r="U154" s="269">
        <v>25000</v>
      </c>
      <c r="W154" s="268" t="s">
        <v>0</v>
      </c>
      <c r="X154" s="268"/>
      <c r="Y154" s="268"/>
      <c r="Z154" s="268"/>
      <c r="AA154" s="268">
        <v>0</v>
      </c>
      <c r="AB154" s="268" t="s">
        <v>0</v>
      </c>
      <c r="AC154" s="268">
        <v>0</v>
      </c>
      <c r="AD154" s="269">
        <v>30000</v>
      </c>
      <c r="AH154" s="268">
        <v>0</v>
      </c>
      <c r="AJ154" s="268" t="s">
        <v>0</v>
      </c>
      <c r="AK154" s="268" t="s">
        <v>0</v>
      </c>
      <c r="AM154" s="268" t="s">
        <v>0</v>
      </c>
      <c r="AN154" s="269">
        <f>18605.41+23000</f>
        <v>41605.410000000003</v>
      </c>
      <c r="AO154" s="268"/>
      <c r="AP154" s="268"/>
      <c r="AQ154" s="268" t="s">
        <v>0</v>
      </c>
      <c r="AR154" s="268" t="s">
        <v>0</v>
      </c>
      <c r="AS154" s="268"/>
      <c r="AT154" s="268"/>
      <c r="AU154" s="268"/>
      <c r="AV154" s="268"/>
      <c r="AW154" s="275"/>
      <c r="AX154" s="268"/>
      <c r="AY154" s="268"/>
      <c r="AZ154" s="268"/>
      <c r="BA154" s="268"/>
      <c r="BB154" s="268"/>
      <c r="BC154" s="268"/>
      <c r="BD154" s="268"/>
      <c r="BE154" s="268"/>
      <c r="BF154" s="268"/>
      <c r="BG154" s="268"/>
      <c r="BH154" s="268"/>
      <c r="BI154" s="268"/>
      <c r="BJ154" s="268"/>
      <c r="BK154" s="268"/>
      <c r="BL154" s="268"/>
      <c r="BM154" s="268"/>
      <c r="BN154" s="268"/>
      <c r="DA154" s="584"/>
      <c r="EN154" s="207"/>
    </row>
    <row r="155" spans="1:144" ht="15" hidden="1">
      <c r="A155" s="687"/>
      <c r="B155" s="299" t="s">
        <v>782</v>
      </c>
      <c r="C155" s="263"/>
      <c r="D155" s="211"/>
      <c r="E155" s="519"/>
      <c r="F155" s="268"/>
      <c r="G155" s="268"/>
      <c r="H155" s="268"/>
      <c r="I155" s="268"/>
      <c r="J155" s="268"/>
      <c r="K155" s="268"/>
      <c r="M155" s="268"/>
      <c r="O155" s="268"/>
      <c r="P155" s="268"/>
      <c r="Q155" s="268"/>
      <c r="R155" s="268"/>
      <c r="S155" s="268"/>
      <c r="T155" s="268"/>
      <c r="U155" s="268"/>
      <c r="V155" s="268"/>
      <c r="W155" s="268"/>
      <c r="X155" s="268"/>
      <c r="Y155" s="268"/>
      <c r="Z155" s="268"/>
      <c r="AA155" s="268"/>
      <c r="AB155" s="268"/>
      <c r="AC155" s="268"/>
      <c r="AD155" s="268"/>
      <c r="AG155" s="269"/>
      <c r="AK155" s="268"/>
      <c r="AL155" s="268"/>
      <c r="AM155" s="268"/>
      <c r="AO155" s="268"/>
      <c r="AP155" s="268"/>
      <c r="AQ155" s="268"/>
      <c r="AR155" s="268"/>
      <c r="AS155" s="268"/>
      <c r="AT155" s="268"/>
      <c r="AU155" s="268"/>
      <c r="AW155" s="310"/>
      <c r="AX155" s="268"/>
      <c r="AY155" s="268"/>
      <c r="AZ155" s="268"/>
      <c r="BA155" s="268"/>
      <c r="BB155" s="268"/>
      <c r="BC155" s="268"/>
      <c r="BD155" s="268"/>
      <c r="BE155" s="268"/>
      <c r="BF155" s="268"/>
      <c r="BG155" s="268"/>
      <c r="BH155" s="268"/>
      <c r="BI155" s="268"/>
      <c r="BJ155" s="269">
        <v>2137.6</v>
      </c>
      <c r="BK155" s="268"/>
      <c r="BL155" s="268"/>
      <c r="BM155" s="268"/>
      <c r="BN155" s="268"/>
      <c r="DA155" s="584"/>
      <c r="EN155" s="207"/>
    </row>
    <row r="156" spans="1:144" ht="15" hidden="1">
      <c r="A156" s="687"/>
      <c r="B156" s="299" t="s">
        <v>68</v>
      </c>
      <c r="C156" s="263"/>
      <c r="D156" s="211">
        <v>11000</v>
      </c>
      <c r="E156" s="519"/>
      <c r="F156" s="268"/>
      <c r="G156" s="268"/>
      <c r="H156" s="268"/>
      <c r="I156" s="268"/>
      <c r="J156" s="268"/>
      <c r="K156" s="268"/>
      <c r="M156" s="268"/>
      <c r="N156" s="268"/>
      <c r="O156" s="268"/>
      <c r="P156" s="268"/>
      <c r="Q156" s="268"/>
      <c r="R156" s="268" t="s">
        <v>0</v>
      </c>
      <c r="S156" s="268"/>
      <c r="T156" s="268" t="s">
        <v>0</v>
      </c>
      <c r="U156" s="268">
        <v>0</v>
      </c>
      <c r="V156" s="268"/>
      <c r="W156" s="268"/>
      <c r="Y156" s="268"/>
      <c r="AA156" s="268"/>
      <c r="AB156" s="268">
        <v>0</v>
      </c>
      <c r="AC156" s="268"/>
      <c r="AD156" s="268"/>
      <c r="AF156" s="268">
        <v>0</v>
      </c>
      <c r="AG156" s="268">
        <v>0</v>
      </c>
      <c r="AI156" s="269">
        <f>10000-300</f>
        <v>9700</v>
      </c>
      <c r="AJ156" s="268"/>
      <c r="AK156" s="268"/>
      <c r="AL156" s="268"/>
      <c r="AM156" s="268"/>
      <c r="AN156" s="268"/>
      <c r="AO156" s="268"/>
      <c r="AP156" s="268"/>
      <c r="AQ156" s="268"/>
      <c r="AR156" s="268"/>
      <c r="AS156" s="268"/>
      <c r="AT156" s="268"/>
      <c r="AU156" s="268"/>
      <c r="AV156" s="268"/>
      <c r="AW156" s="275"/>
      <c r="AX156" s="268"/>
      <c r="AY156" s="268"/>
      <c r="AZ156" s="268"/>
      <c r="BA156" s="268"/>
      <c r="BB156" s="268"/>
      <c r="BC156" s="268"/>
      <c r="BD156" s="268"/>
      <c r="BE156" s="268"/>
      <c r="BF156" s="268"/>
      <c r="BG156" s="268"/>
      <c r="BH156" s="268"/>
      <c r="BI156" s="268"/>
      <c r="BJ156" s="268"/>
      <c r="BK156" s="268"/>
      <c r="BL156" s="268"/>
      <c r="BM156" s="268"/>
      <c r="BN156" s="268"/>
      <c r="DA156" s="584"/>
      <c r="EN156" s="207"/>
    </row>
    <row r="157" spans="1:144" ht="13.5" hidden="1" customHeight="1">
      <c r="A157" s="687"/>
      <c r="B157" s="299" t="s">
        <v>69</v>
      </c>
      <c r="C157" s="263">
        <v>28658</v>
      </c>
      <c r="D157" s="211">
        <f>'Job Calculations'!F85</f>
        <v>21780.080000000002</v>
      </c>
      <c r="E157" s="519"/>
      <c r="F157" s="268"/>
      <c r="G157" s="268"/>
      <c r="H157" s="268"/>
      <c r="I157" s="268"/>
      <c r="J157" s="268"/>
      <c r="L157" s="269">
        <f>D157</f>
        <v>21780.080000000002</v>
      </c>
      <c r="M157" s="268"/>
      <c r="N157" s="268"/>
      <c r="O157" s="268"/>
      <c r="P157" s="268"/>
      <c r="Q157" s="268"/>
      <c r="R157" s="268"/>
      <c r="S157" s="268"/>
      <c r="T157" s="268"/>
      <c r="U157" s="268"/>
      <c r="V157" s="268"/>
      <c r="W157" s="268"/>
      <c r="X157" s="268"/>
      <c r="Y157" s="268"/>
      <c r="Z157" s="268"/>
      <c r="AA157" s="268"/>
      <c r="AB157" s="268"/>
      <c r="AC157" s="268"/>
      <c r="AD157" s="268"/>
      <c r="AE157" s="268"/>
      <c r="AF157" s="268"/>
      <c r="AG157" s="268"/>
      <c r="AH157" s="268"/>
      <c r="AI157" s="268"/>
      <c r="AJ157" s="268">
        <v>0</v>
      </c>
      <c r="AK157" s="268"/>
      <c r="AL157" s="268"/>
      <c r="AM157" s="268"/>
      <c r="AN157" s="268"/>
      <c r="AO157" s="268"/>
      <c r="AP157" s="268"/>
      <c r="AQ157" s="268"/>
      <c r="AR157" s="268"/>
      <c r="AS157" s="268"/>
      <c r="AT157" s="268"/>
      <c r="AU157" s="268"/>
      <c r="AV157" s="268"/>
      <c r="AW157" s="275"/>
      <c r="AX157" s="268"/>
      <c r="AY157" s="268"/>
      <c r="AZ157" s="268"/>
      <c r="BA157" s="268"/>
      <c r="BB157" s="268"/>
      <c r="BC157" s="268"/>
      <c r="BD157" s="268"/>
      <c r="BE157" s="268"/>
      <c r="BF157" s="268"/>
      <c r="BG157" s="268"/>
      <c r="BH157" s="268"/>
      <c r="BI157" s="268"/>
      <c r="BJ157" s="268"/>
      <c r="BK157" s="268"/>
      <c r="BL157" s="268"/>
      <c r="BM157" s="268"/>
      <c r="BN157" s="268"/>
      <c r="DA157" s="584"/>
      <c r="EN157" s="207"/>
    </row>
    <row r="158" spans="1:144" ht="12.75" hidden="1" customHeight="1">
      <c r="A158" s="687"/>
      <c r="B158" s="299" t="s">
        <v>70</v>
      </c>
      <c r="C158" s="263">
        <f>'Job Calculations'!C91</f>
        <v>793000</v>
      </c>
      <c r="D158" s="211">
        <v>1090100</v>
      </c>
      <c r="E158" s="519">
        <f>D158*0.95</f>
        <v>1035595</v>
      </c>
      <c r="F158" s="268"/>
      <c r="G158" s="268"/>
      <c r="H158" s="268"/>
      <c r="I158" s="268"/>
      <c r="J158" s="268"/>
      <c r="K158" s="326" t="s">
        <v>71</v>
      </c>
      <c r="L158" s="268"/>
      <c r="M158" s="318">
        <f>(17515*0.984)*0.95*0.8</f>
        <v>13098.417599999999</v>
      </c>
      <c r="N158" s="269">
        <v>29352</v>
      </c>
      <c r="O158" s="269">
        <f>40719+7338</f>
        <v>48057</v>
      </c>
      <c r="P158" s="269">
        <f>24100+4370</f>
        <v>28470</v>
      </c>
      <c r="Q158" s="269">
        <v>40247</v>
      </c>
      <c r="R158" s="269">
        <v>49736</v>
      </c>
      <c r="S158" s="269">
        <v>50318</v>
      </c>
      <c r="T158" s="269">
        <v>49561.49</v>
      </c>
      <c r="U158" s="269">
        <v>23089</v>
      </c>
      <c r="V158" s="268">
        <v>0</v>
      </c>
      <c r="W158" s="268">
        <v>0</v>
      </c>
      <c r="X158" s="268">
        <v>0</v>
      </c>
      <c r="Y158" s="269">
        <f>51103+29381</f>
        <v>80484</v>
      </c>
      <c r="Z158" s="269">
        <v>37662</v>
      </c>
      <c r="AA158" s="268">
        <v>0</v>
      </c>
      <c r="AB158" s="269">
        <v>32512.68</v>
      </c>
      <c r="AC158" s="269">
        <v>25140.89</v>
      </c>
      <c r="AD158" s="268">
        <v>0</v>
      </c>
      <c r="AE158" s="268">
        <v>0</v>
      </c>
      <c r="AF158" s="269">
        <v>44905</v>
      </c>
      <c r="AG158" s="269">
        <v>43917.61</v>
      </c>
      <c r="AH158" s="269">
        <v>50010.27</v>
      </c>
      <c r="AI158" s="269">
        <v>19525.3</v>
      </c>
      <c r="AK158" s="269">
        <v>48761.49</v>
      </c>
      <c r="AL158" s="269">
        <v>12690</v>
      </c>
      <c r="AM158" s="269">
        <v>18501.68</v>
      </c>
      <c r="AN158" s="269">
        <v>13765.52</v>
      </c>
      <c r="AO158" s="269">
        <v>12028.77</v>
      </c>
      <c r="AQ158" s="269">
        <v>36126</v>
      </c>
      <c r="AS158" s="268" t="s">
        <v>0</v>
      </c>
      <c r="AU158" s="269">
        <v>42500</v>
      </c>
      <c r="AV158" s="268" t="s">
        <v>0</v>
      </c>
      <c r="AW158" s="275" t="s">
        <v>0</v>
      </c>
      <c r="AX158" s="268"/>
      <c r="AY158" s="268"/>
      <c r="AZ158" s="268"/>
      <c r="BA158" s="268"/>
      <c r="BB158" s="268"/>
      <c r="BD158" s="268"/>
      <c r="BH158" s="268"/>
      <c r="BK158" s="268"/>
      <c r="BN158" s="268"/>
      <c r="BO158" s="268"/>
      <c r="BQ158" s="268"/>
      <c r="BS158" s="269">
        <v>2675.06</v>
      </c>
      <c r="BT158" s="268" t="s">
        <v>0</v>
      </c>
      <c r="BU158" s="268"/>
      <c r="BX158" s="268"/>
      <c r="BY158" s="268"/>
      <c r="BZ158" s="268"/>
      <c r="CA158" s="269">
        <v>990</v>
      </c>
      <c r="DA158" s="584"/>
      <c r="EN158" s="207"/>
    </row>
    <row r="159" spans="1:144" ht="12.5" hidden="1" customHeight="1">
      <c r="A159" s="687"/>
      <c r="B159" s="299" t="s">
        <v>72</v>
      </c>
      <c r="C159" s="263"/>
      <c r="D159" s="211"/>
      <c r="E159" s="519"/>
      <c r="F159" s="268"/>
      <c r="G159" s="268"/>
      <c r="H159" s="268"/>
      <c r="I159" s="268"/>
      <c r="J159" s="268"/>
      <c r="K159" s="326"/>
      <c r="L159" s="268"/>
      <c r="M159" s="337"/>
      <c r="N159" s="268"/>
      <c r="O159" s="268"/>
      <c r="P159" s="268"/>
      <c r="Q159" s="268"/>
      <c r="R159" s="268"/>
      <c r="S159" s="268"/>
      <c r="T159" s="268"/>
      <c r="U159" s="268"/>
      <c r="V159" s="268"/>
      <c r="W159" s="268"/>
      <c r="X159" s="268"/>
      <c r="Y159" s="268"/>
      <c r="Z159" s="268"/>
      <c r="AA159" s="268"/>
      <c r="AB159" s="269">
        <v>33026</v>
      </c>
      <c r="AC159" s="268"/>
      <c r="AD159" s="268">
        <v>0</v>
      </c>
      <c r="AE159" s="269">
        <v>38373.919999999998</v>
      </c>
      <c r="AF159" s="269">
        <v>31260.01</v>
      </c>
      <c r="AG159" s="268"/>
      <c r="AH159" s="268"/>
      <c r="AI159" s="268"/>
      <c r="AJ159" s="268"/>
      <c r="AK159" s="268"/>
      <c r="AL159" s="268"/>
      <c r="AM159" s="268"/>
      <c r="AN159" s="268"/>
      <c r="AV159" s="268"/>
      <c r="AW159" s="275"/>
      <c r="AX159" s="268"/>
      <c r="AY159" s="268"/>
      <c r="AZ159" s="268"/>
      <c r="BA159" s="268"/>
      <c r="BB159" s="268"/>
      <c r="BC159" s="268"/>
      <c r="BD159" s="268"/>
      <c r="BE159" s="268"/>
      <c r="BF159" s="268"/>
      <c r="BG159" s="268"/>
      <c r="BH159" s="268"/>
      <c r="BI159" s="268"/>
      <c r="BJ159" s="268"/>
      <c r="BK159" s="268"/>
      <c r="BL159" s="268"/>
      <c r="BM159" s="268"/>
      <c r="BN159" s="268"/>
      <c r="BO159" s="268"/>
      <c r="BP159" s="268"/>
      <c r="BQ159" s="268"/>
      <c r="BR159" s="268"/>
      <c r="BS159" s="268"/>
      <c r="BT159" s="268"/>
      <c r="BU159" s="268"/>
      <c r="BV159" s="268"/>
      <c r="BW159" s="268"/>
      <c r="BX159" s="268"/>
      <c r="BY159" s="268"/>
      <c r="BZ159" s="268"/>
      <c r="CK159" s="3" t="s">
        <v>0</v>
      </c>
      <c r="DA159" s="584"/>
      <c r="EN159" s="207"/>
    </row>
    <row r="160" spans="1:144" ht="12.5" hidden="1" customHeight="1">
      <c r="A160" s="687"/>
      <c r="B160" s="299" t="s">
        <v>73</v>
      </c>
      <c r="C160" s="263">
        <v>119500</v>
      </c>
      <c r="D160" s="211">
        <f>C160*0.95</f>
        <v>113525</v>
      </c>
      <c r="E160" s="519"/>
      <c r="F160" s="268"/>
      <c r="G160" s="268"/>
      <c r="H160" s="268"/>
      <c r="I160" s="268"/>
      <c r="J160" s="268"/>
      <c r="K160" s="326"/>
      <c r="L160" s="268"/>
      <c r="M160" s="337"/>
      <c r="N160" s="268"/>
      <c r="O160" s="268"/>
      <c r="P160" s="268"/>
      <c r="Q160" s="268"/>
      <c r="R160" s="268"/>
      <c r="S160" s="268"/>
      <c r="T160" s="268"/>
      <c r="U160" s="268"/>
      <c r="V160" s="268"/>
      <c r="W160" s="268"/>
      <c r="X160" s="268"/>
      <c r="Y160" s="268"/>
      <c r="Z160" s="268">
        <v>0</v>
      </c>
      <c r="AA160" s="268"/>
      <c r="AD160" s="268">
        <v>0</v>
      </c>
      <c r="AE160" s="268">
        <v>0</v>
      </c>
      <c r="AF160" s="269">
        <v>70015</v>
      </c>
      <c r="AG160" s="268">
        <v>0</v>
      </c>
      <c r="AH160" s="268"/>
      <c r="AI160" s="268"/>
      <c r="AJ160" s="268">
        <v>0</v>
      </c>
      <c r="AK160" s="268"/>
      <c r="AL160" s="268"/>
      <c r="AM160" s="268"/>
      <c r="AN160" s="268"/>
      <c r="AV160" s="268"/>
      <c r="AW160" s="275"/>
      <c r="AX160" s="268"/>
      <c r="AY160" s="211" t="s">
        <v>0</v>
      </c>
      <c r="AZ160" s="268"/>
      <c r="BA160" s="268"/>
      <c r="BB160" s="268"/>
      <c r="BC160" s="268"/>
      <c r="BD160" s="268"/>
      <c r="BE160" s="268"/>
      <c r="BF160" s="268"/>
      <c r="BG160" s="268"/>
      <c r="BH160" s="268"/>
      <c r="BI160" s="268"/>
      <c r="BJ160" s="268"/>
      <c r="BK160" s="268"/>
      <c r="BL160" s="268"/>
      <c r="BM160" s="268"/>
      <c r="BN160" s="268"/>
      <c r="BO160" s="268"/>
      <c r="BP160" s="268"/>
      <c r="BQ160" s="268"/>
      <c r="BR160" s="268"/>
      <c r="BS160" s="268"/>
      <c r="BT160" s="268"/>
      <c r="BU160" s="268"/>
      <c r="BV160" s="268"/>
      <c r="BW160" s="268"/>
      <c r="BX160" s="268"/>
      <c r="BY160" s="268"/>
      <c r="BZ160" s="268"/>
      <c r="DA160" s="584"/>
      <c r="EN160" s="207"/>
    </row>
    <row r="161" spans="1:144" ht="15" hidden="1" customHeight="1">
      <c r="A161" s="687"/>
      <c r="B161" s="299" t="s">
        <v>74</v>
      </c>
      <c r="C161" s="263"/>
      <c r="D161" s="211"/>
      <c r="E161" s="519"/>
      <c r="F161" s="268"/>
      <c r="G161" s="268"/>
      <c r="H161" s="268"/>
      <c r="I161" s="268"/>
      <c r="J161" s="268"/>
      <c r="K161" s="326"/>
      <c r="L161" s="268"/>
      <c r="M161" s="337"/>
      <c r="N161" s="268"/>
      <c r="O161" s="268"/>
      <c r="P161" s="268"/>
      <c r="Q161" s="268"/>
      <c r="R161" s="268"/>
      <c r="S161" s="268"/>
      <c r="T161" s="268"/>
      <c r="U161" s="268"/>
      <c r="V161" s="268"/>
      <c r="W161" s="268"/>
      <c r="X161" s="268"/>
      <c r="Y161" s="268"/>
      <c r="Z161" s="268"/>
      <c r="AA161" s="268"/>
      <c r="AD161" s="268"/>
      <c r="AE161" s="268"/>
      <c r="AF161" s="268">
        <v>0</v>
      </c>
      <c r="AG161" s="268" t="s">
        <v>0</v>
      </c>
      <c r="AH161" s="268"/>
      <c r="AI161" s="268"/>
      <c r="AJ161" s="268"/>
      <c r="AK161" s="268"/>
      <c r="AL161" s="268"/>
      <c r="AM161" s="268"/>
      <c r="AN161" s="268"/>
      <c r="AV161" s="268"/>
      <c r="AW161" s="275"/>
      <c r="AX161" s="268"/>
      <c r="AY161" s="268"/>
      <c r="AZ161" s="268"/>
      <c r="BA161" s="268"/>
      <c r="BB161" s="268"/>
      <c r="BC161" s="268"/>
      <c r="BD161" s="268"/>
      <c r="BE161" s="268"/>
      <c r="BF161" s="268"/>
      <c r="BG161" s="268"/>
      <c r="BH161" s="268"/>
      <c r="BI161" s="268"/>
      <c r="BJ161" s="268"/>
      <c r="BK161" s="268"/>
      <c r="BL161" s="268"/>
      <c r="BM161" s="268"/>
      <c r="BN161" s="268"/>
      <c r="BO161" s="268"/>
      <c r="BP161" s="268"/>
      <c r="BQ161" s="268"/>
      <c r="BR161" s="268"/>
      <c r="BS161" s="268"/>
      <c r="BT161" s="268"/>
      <c r="BU161" s="268"/>
      <c r="BV161" s="268"/>
      <c r="BW161" s="268"/>
      <c r="BX161" s="268"/>
      <c r="BY161" s="268"/>
      <c r="BZ161" s="268"/>
      <c r="DA161" s="584"/>
      <c r="EN161" s="207"/>
    </row>
    <row r="162" spans="1:144" ht="15" hidden="1">
      <c r="A162" s="687"/>
      <c r="B162" s="299" t="s">
        <v>79</v>
      </c>
      <c r="C162" s="263"/>
      <c r="D162" s="211">
        <v>12311</v>
      </c>
      <c r="E162" s="519"/>
      <c r="F162" s="268"/>
      <c r="G162" s="268"/>
      <c r="H162" s="268"/>
      <c r="I162" s="268"/>
      <c r="J162" s="268"/>
      <c r="K162" s="268"/>
      <c r="L162" s="268"/>
      <c r="M162" s="268"/>
      <c r="N162" s="268"/>
      <c r="O162" s="268"/>
      <c r="P162" s="268"/>
      <c r="Q162" s="268"/>
      <c r="S162" s="268" t="s">
        <v>0</v>
      </c>
      <c r="T162" s="268" t="s">
        <v>0</v>
      </c>
      <c r="U162" s="269">
        <v>11176</v>
      </c>
      <c r="V162" s="268"/>
      <c r="W162" s="268"/>
      <c r="X162" s="268"/>
      <c r="Y162" s="268"/>
      <c r="Z162" s="268"/>
      <c r="AA162" s="268"/>
      <c r="AB162" s="268"/>
      <c r="AC162" s="268"/>
      <c r="AD162" s="268"/>
      <c r="AE162" s="268"/>
      <c r="AF162" s="268"/>
      <c r="AG162" s="268"/>
      <c r="AH162" s="268"/>
      <c r="AI162" s="268"/>
      <c r="AJ162" s="268"/>
      <c r="AK162" s="268"/>
      <c r="AL162" s="268" t="s">
        <v>0</v>
      </c>
      <c r="AM162" s="268"/>
      <c r="AN162" s="268"/>
      <c r="AO162" s="268"/>
      <c r="AP162" s="268"/>
      <c r="AQ162" s="268"/>
      <c r="AR162" s="268"/>
      <c r="AS162" s="268"/>
      <c r="AT162" s="268"/>
      <c r="AU162" s="268"/>
      <c r="AV162" s="268"/>
      <c r="AW162" s="275"/>
      <c r="AX162" s="268"/>
      <c r="AY162" s="268"/>
      <c r="AZ162" s="268"/>
      <c r="BA162" s="268"/>
      <c r="BB162" s="268"/>
      <c r="BC162" s="268"/>
      <c r="BD162" s="268"/>
      <c r="BE162" s="268"/>
      <c r="BF162" s="268"/>
      <c r="BG162" s="268"/>
      <c r="BH162" s="268"/>
      <c r="BI162" s="268"/>
      <c r="BJ162" s="268" t="s">
        <v>0</v>
      </c>
      <c r="BK162" s="268"/>
      <c r="BL162" s="268"/>
      <c r="BM162" s="268"/>
      <c r="BN162" s="268"/>
      <c r="DA162" s="584"/>
      <c r="EN162" s="207"/>
    </row>
    <row r="163" spans="1:144" ht="15" hidden="1">
      <c r="A163" s="687"/>
      <c r="B163" s="299" t="s">
        <v>80</v>
      </c>
      <c r="C163" s="263">
        <v>22483</v>
      </c>
      <c r="D163" s="211">
        <f>C163*0.8</f>
        <v>17986.400000000001</v>
      </c>
      <c r="E163" s="519"/>
      <c r="F163" s="268"/>
      <c r="G163" s="268"/>
      <c r="H163" s="268"/>
      <c r="I163" s="268"/>
      <c r="J163" s="268"/>
      <c r="K163" s="268"/>
      <c r="L163" s="268"/>
      <c r="M163" s="268"/>
      <c r="O163" s="269">
        <f>16493*0.8</f>
        <v>13194.400000000001</v>
      </c>
      <c r="P163" s="268"/>
      <c r="Q163" s="268"/>
      <c r="S163" s="269">
        <v>17732</v>
      </c>
      <c r="T163" s="268"/>
      <c r="V163" s="268"/>
      <c r="W163" s="268"/>
      <c r="X163" s="268"/>
      <c r="Y163" s="268"/>
      <c r="AF163" s="269">
        <v>12440</v>
      </c>
      <c r="AG163" s="268"/>
      <c r="AH163" s="268"/>
      <c r="AI163" s="268"/>
      <c r="AJ163" s="268"/>
      <c r="AK163" s="268"/>
      <c r="AL163" s="268"/>
      <c r="AM163" s="268"/>
      <c r="AO163" s="268"/>
      <c r="AP163" s="268"/>
      <c r="AQ163" s="268"/>
      <c r="AR163" s="268"/>
      <c r="AS163" s="268"/>
      <c r="AT163" s="268"/>
      <c r="AU163" s="268"/>
      <c r="AV163" s="268"/>
      <c r="AW163" s="275">
        <v>0</v>
      </c>
      <c r="AX163" s="268"/>
      <c r="AY163" s="268"/>
      <c r="AZ163" s="268"/>
      <c r="BA163" s="268"/>
      <c r="BC163" s="268"/>
      <c r="BD163" s="268"/>
      <c r="BE163" s="268"/>
      <c r="BG163" s="268"/>
      <c r="BI163" s="268"/>
      <c r="BJ163" s="268"/>
      <c r="BK163" s="268"/>
      <c r="BL163" s="268"/>
      <c r="BM163" s="268"/>
      <c r="BS163" s="268" t="s">
        <v>0</v>
      </c>
      <c r="DA163" s="584"/>
      <c r="EN163" s="207"/>
    </row>
    <row r="164" spans="1:144" ht="15" hidden="1">
      <c r="A164" s="687"/>
      <c r="B164" s="299" t="s">
        <v>81</v>
      </c>
      <c r="C164" s="263" t="s">
        <v>0</v>
      </c>
      <c r="D164" s="211">
        <v>400000</v>
      </c>
      <c r="E164" s="519"/>
      <c r="F164" s="268"/>
      <c r="G164" s="268"/>
      <c r="H164" s="268"/>
      <c r="I164" s="268"/>
      <c r="J164" s="268"/>
      <c r="K164" s="268"/>
      <c r="L164" s="268"/>
      <c r="M164" s="268"/>
      <c r="O164" s="269">
        <f>6670*0.8</f>
        <v>5336</v>
      </c>
      <c r="P164" s="268"/>
      <c r="Q164" s="268"/>
      <c r="S164" s="269">
        <v>22330</v>
      </c>
      <c r="T164" s="268"/>
      <c r="U164" s="268">
        <v>0</v>
      </c>
      <c r="V164" s="268"/>
      <c r="W164" s="268">
        <v>0</v>
      </c>
      <c r="X164" s="268"/>
      <c r="Y164" s="268"/>
      <c r="AC164" s="269">
        <v>8121.64</v>
      </c>
      <c r="AD164" s="268"/>
      <c r="AF164" s="269">
        <v>33367</v>
      </c>
      <c r="AG164" s="268"/>
      <c r="AH164" s="268"/>
      <c r="AJ164" s="269">
        <v>57092.94</v>
      </c>
      <c r="AK164" s="268"/>
      <c r="AL164" s="268"/>
      <c r="AM164" s="268"/>
      <c r="AN164" s="268" t="s">
        <v>0</v>
      </c>
      <c r="AO164" s="612">
        <f>32705</f>
        <v>32705</v>
      </c>
      <c r="AQ164" s="268"/>
      <c r="AS164" s="269">
        <v>29100</v>
      </c>
      <c r="AU164" s="268"/>
      <c r="AV164" s="268" t="s">
        <v>0</v>
      </c>
      <c r="AW164" s="561"/>
      <c r="AX164" s="268">
        <v>0</v>
      </c>
      <c r="AY164" s="268"/>
      <c r="AZ164" s="268"/>
      <c r="BA164" s="268" t="s">
        <v>0</v>
      </c>
      <c r="BB164" s="268" t="s">
        <v>0</v>
      </c>
      <c r="BC164" s="268" t="s">
        <v>0</v>
      </c>
      <c r="BD164" s="268"/>
      <c r="BE164" s="268"/>
      <c r="BF164" s="269">
        <v>14772.37</v>
      </c>
      <c r="BG164" s="268" t="s">
        <v>0</v>
      </c>
      <c r="BH164" s="268"/>
      <c r="BI164" s="268"/>
      <c r="BJ164" s="268"/>
      <c r="BK164" s="268"/>
      <c r="BL164" s="268"/>
      <c r="BM164" s="268"/>
      <c r="BN164" s="268"/>
      <c r="BV164" s="268"/>
      <c r="BW164" s="268"/>
      <c r="BX164" s="268"/>
      <c r="BY164" s="268"/>
      <c r="BZ164" s="268" t="s">
        <v>0</v>
      </c>
      <c r="CH164" s="268" t="s">
        <v>0</v>
      </c>
      <c r="CI164" s="268"/>
      <c r="CJ164" s="268"/>
      <c r="DA164" s="584"/>
      <c r="EN164" s="207"/>
    </row>
    <row r="165" spans="1:144" ht="15" hidden="1">
      <c r="A165" s="687"/>
      <c r="B165" s="299" t="s">
        <v>82</v>
      </c>
      <c r="C165" s="546">
        <v>39500</v>
      </c>
      <c r="D165" s="211">
        <f>$C$165</f>
        <v>39500</v>
      </c>
      <c r="E165" s="519"/>
      <c r="F165" s="268"/>
      <c r="G165" s="268"/>
      <c r="H165" s="268"/>
      <c r="I165" s="268"/>
      <c r="J165" s="268"/>
      <c r="K165" s="268"/>
      <c r="L165" s="268"/>
      <c r="M165" s="268"/>
      <c r="N165" s="268"/>
      <c r="P165" s="268"/>
      <c r="Q165" s="268" t="s">
        <v>0</v>
      </c>
      <c r="R165" s="269">
        <v>15000</v>
      </c>
      <c r="S165" s="268">
        <v>0</v>
      </c>
      <c r="T165" s="268">
        <v>0</v>
      </c>
      <c r="U165" s="269">
        <v>30772</v>
      </c>
      <c r="W165" s="268">
        <v>0</v>
      </c>
      <c r="X165" s="268"/>
      <c r="Y165" s="268">
        <v>0</v>
      </c>
      <c r="Z165" s="268"/>
      <c r="AA165" s="269">
        <v>16702.5</v>
      </c>
      <c r="AC165" s="268"/>
      <c r="AD165" s="268"/>
      <c r="AF165" s="269">
        <v>5206</v>
      </c>
      <c r="AG165" s="268"/>
      <c r="AH165" s="268"/>
      <c r="AI165" s="268"/>
      <c r="AJ165" s="268"/>
      <c r="AK165" s="268"/>
      <c r="AL165" s="268"/>
      <c r="AM165" s="268"/>
      <c r="AN165" s="268"/>
      <c r="AO165" s="268"/>
      <c r="AP165" s="268"/>
      <c r="AQ165" s="268"/>
      <c r="AR165" s="268"/>
      <c r="AS165" s="268"/>
      <c r="AT165" s="268"/>
      <c r="AU165" s="268"/>
      <c r="AV165" s="268"/>
      <c r="AW165" s="275"/>
      <c r="AX165" s="268"/>
      <c r="AY165" s="268"/>
      <c r="AZ165" s="268"/>
      <c r="BA165" s="268"/>
      <c r="BB165" s="268"/>
      <c r="BC165" s="268"/>
      <c r="BD165" s="268"/>
      <c r="BE165" s="268"/>
      <c r="BF165" s="268"/>
      <c r="BG165" s="268"/>
      <c r="BH165" s="268"/>
      <c r="BI165" s="268"/>
      <c r="BJ165" s="268"/>
      <c r="BK165" s="268"/>
      <c r="BL165" s="268"/>
      <c r="BM165" s="268"/>
      <c r="BN165" s="268"/>
      <c r="DA165" s="584"/>
      <c r="EN165" s="207"/>
    </row>
    <row r="166" spans="1:144" ht="15" hidden="1">
      <c r="A166" s="687"/>
      <c r="B166" s="299" t="s">
        <v>83</v>
      </c>
      <c r="C166" s="546">
        <v>17000</v>
      </c>
      <c r="D166" s="211">
        <f>C166</f>
        <v>17000</v>
      </c>
      <c r="E166" s="519"/>
      <c r="F166" s="268"/>
      <c r="G166" s="268"/>
      <c r="H166" s="268"/>
      <c r="I166" s="268"/>
      <c r="J166" s="268"/>
      <c r="K166" s="268"/>
      <c r="L166" s="268"/>
      <c r="M166" s="268"/>
      <c r="N166" s="268"/>
      <c r="P166" s="268"/>
      <c r="Q166" s="268"/>
      <c r="S166" s="268"/>
      <c r="T166" s="269">
        <v>12750</v>
      </c>
      <c r="U166" s="269">
        <v>5567</v>
      </c>
      <c r="V166" s="268">
        <v>0</v>
      </c>
      <c r="W166" s="268">
        <v>0</v>
      </c>
      <c r="X166" s="268">
        <v>0</v>
      </c>
      <c r="Y166" s="268"/>
      <c r="Z166" s="268"/>
      <c r="AA166" s="268"/>
      <c r="AB166" s="268">
        <v>0</v>
      </c>
      <c r="AC166" s="268">
        <v>0</v>
      </c>
      <c r="AD166" s="268">
        <v>0</v>
      </c>
      <c r="AE166" s="268"/>
      <c r="AF166" s="268"/>
      <c r="AG166" s="268"/>
      <c r="AH166" s="268"/>
      <c r="AI166" s="268"/>
      <c r="AJ166" s="268"/>
      <c r="AK166" s="268"/>
      <c r="AL166" s="268"/>
      <c r="AM166" s="268"/>
      <c r="AN166" s="268"/>
      <c r="AO166" s="268"/>
      <c r="AP166" s="268"/>
      <c r="AQ166" s="268"/>
      <c r="AR166" s="268"/>
      <c r="AS166" s="268"/>
      <c r="AT166" s="268"/>
      <c r="AU166" s="268"/>
      <c r="AV166" s="268"/>
      <c r="AW166" s="275"/>
      <c r="AX166" s="268"/>
      <c r="AY166" s="268"/>
      <c r="AZ166" s="268"/>
      <c r="BA166" s="268"/>
      <c r="BB166" s="268"/>
      <c r="BC166" s="268"/>
      <c r="BD166" s="268"/>
      <c r="BE166" s="268"/>
      <c r="BF166" s="268"/>
      <c r="BG166" s="268"/>
      <c r="BH166" s="268"/>
      <c r="BI166" s="268"/>
      <c r="BJ166" s="268"/>
      <c r="BK166" s="268"/>
      <c r="BL166" s="268"/>
      <c r="BM166" s="268"/>
      <c r="BN166" s="268"/>
      <c r="DA166" s="584"/>
      <c r="EN166" s="207"/>
    </row>
    <row r="167" spans="1:144" ht="15" hidden="1">
      <c r="A167" s="687"/>
      <c r="B167" s="299" t="s">
        <v>84</v>
      </c>
      <c r="C167" s="546">
        <v>2422</v>
      </c>
      <c r="D167" s="211">
        <f>C167</f>
        <v>2422</v>
      </c>
      <c r="E167" s="519"/>
      <c r="F167" s="268"/>
      <c r="G167" s="268"/>
      <c r="H167" s="268"/>
      <c r="I167" s="268"/>
      <c r="J167" s="268"/>
      <c r="K167" s="268"/>
      <c r="L167" s="268"/>
      <c r="M167" s="268"/>
      <c r="N167" s="268"/>
      <c r="P167" s="268"/>
      <c r="Q167" s="268"/>
      <c r="S167" s="268"/>
      <c r="T167" s="269">
        <f>D167</f>
        <v>2422</v>
      </c>
      <c r="U167" s="269"/>
      <c r="V167" s="268"/>
      <c r="W167" s="268"/>
      <c r="X167" s="268"/>
      <c r="Y167" s="268"/>
      <c r="Z167" s="268"/>
      <c r="AA167" s="268"/>
      <c r="AB167" s="268"/>
      <c r="AC167" s="268"/>
      <c r="AD167" s="268"/>
      <c r="AE167" s="268"/>
      <c r="AF167" s="268"/>
      <c r="AG167" s="268"/>
      <c r="AH167" s="268"/>
      <c r="AI167" s="268"/>
      <c r="AJ167" s="268"/>
      <c r="AK167" s="268"/>
      <c r="AL167" s="268"/>
      <c r="AM167" s="268"/>
      <c r="AN167" s="268"/>
      <c r="AO167" s="268"/>
      <c r="AP167" s="268"/>
      <c r="AQ167" s="268"/>
      <c r="AR167" s="268"/>
      <c r="AS167" s="268"/>
      <c r="AT167" s="268"/>
      <c r="AU167" s="268"/>
      <c r="AV167" s="268"/>
      <c r="AW167" s="275"/>
      <c r="AX167" s="268"/>
      <c r="AY167" s="268"/>
      <c r="AZ167" s="268"/>
      <c r="BA167" s="268"/>
      <c r="BB167" s="268"/>
      <c r="BC167" s="268"/>
      <c r="BD167" s="268"/>
      <c r="BE167" s="268"/>
      <c r="BF167" s="268"/>
      <c r="BG167" s="268"/>
      <c r="BH167" s="268"/>
      <c r="BI167" s="268"/>
      <c r="BJ167" s="268"/>
      <c r="BK167" s="268"/>
      <c r="BL167" s="268"/>
      <c r="BM167" s="268"/>
      <c r="BN167" s="268"/>
      <c r="DA167" s="584"/>
      <c r="EN167" s="207"/>
    </row>
    <row r="168" spans="1:144" ht="15" hidden="1">
      <c r="A168" s="687"/>
      <c r="B168" s="299" t="s">
        <v>85</v>
      </c>
      <c r="C168" s="546">
        <v>5000</v>
      </c>
      <c r="D168" s="211">
        <f>C168</f>
        <v>5000</v>
      </c>
      <c r="E168" s="519"/>
      <c r="F168" s="268"/>
      <c r="G168" s="268"/>
      <c r="H168" s="268"/>
      <c r="I168" s="268"/>
      <c r="J168" s="268"/>
      <c r="K168" s="268" t="s">
        <v>0</v>
      </c>
      <c r="L168" s="268"/>
      <c r="M168" s="268"/>
      <c r="N168" s="268"/>
      <c r="P168" s="268"/>
      <c r="Q168" s="268"/>
      <c r="S168" s="268"/>
      <c r="T168" s="269">
        <v>1000</v>
      </c>
      <c r="U168" s="269">
        <v>765</v>
      </c>
      <c r="V168" s="268"/>
      <c r="W168" s="268">
        <v>0</v>
      </c>
      <c r="X168" s="268"/>
      <c r="Y168" s="269">
        <v>2295</v>
      </c>
      <c r="Z168" s="268"/>
      <c r="AA168" s="268"/>
      <c r="AB168" s="268"/>
      <c r="AC168" s="268"/>
      <c r="AD168" s="268"/>
      <c r="AF168" s="269">
        <v>1000</v>
      </c>
      <c r="AG168" s="268"/>
      <c r="AH168" s="268"/>
      <c r="AK168" s="269">
        <v>11985</v>
      </c>
      <c r="AL168" s="268"/>
      <c r="AM168" s="268"/>
      <c r="AN168" s="268"/>
      <c r="AO168" s="268"/>
      <c r="AP168" s="268"/>
      <c r="AQ168" s="268"/>
      <c r="AR168" s="268"/>
      <c r="AS168" s="268"/>
      <c r="AT168" s="268"/>
      <c r="AU168" s="268"/>
      <c r="AV168" s="268"/>
      <c r="AW168" s="275"/>
      <c r="AX168" s="268"/>
      <c r="AY168" s="268"/>
      <c r="AZ168" s="268"/>
      <c r="BA168" s="268"/>
      <c r="BB168" s="268"/>
      <c r="BC168" s="268"/>
      <c r="BD168" s="268"/>
      <c r="BE168" s="268"/>
      <c r="BF168" s="268"/>
      <c r="BG168" s="268"/>
      <c r="BH168" s="268"/>
      <c r="BI168" s="268"/>
      <c r="BJ168" s="268"/>
      <c r="BK168" s="268"/>
      <c r="BL168" s="268"/>
      <c r="BM168" s="268"/>
      <c r="BN168" s="268"/>
      <c r="DA168" s="584"/>
      <c r="EN168" s="207"/>
    </row>
    <row r="169" spans="1:144" ht="15" hidden="1">
      <c r="A169" s="687"/>
      <c r="B169" s="299" t="s">
        <v>86</v>
      </c>
      <c r="C169" s="546"/>
      <c r="D169" s="211"/>
      <c r="E169" s="519"/>
      <c r="F169" s="268"/>
      <c r="G169" s="268"/>
      <c r="H169" s="268"/>
      <c r="I169" s="268"/>
      <c r="J169" s="268"/>
      <c r="K169" s="268"/>
      <c r="L169" s="268"/>
      <c r="M169" s="268"/>
      <c r="N169" s="268"/>
      <c r="P169" s="268"/>
      <c r="Q169" s="268"/>
      <c r="S169" s="268"/>
      <c r="T169" s="269">
        <f>22176-T166-T167-T168</f>
        <v>6004</v>
      </c>
      <c r="U169" s="268"/>
      <c r="V169" s="268"/>
      <c r="W169" s="268"/>
      <c r="X169" s="268"/>
      <c r="Y169" s="268"/>
      <c r="Z169" s="268"/>
      <c r="AA169" s="268"/>
      <c r="AB169" s="268"/>
      <c r="AC169" s="268"/>
      <c r="AD169" s="268"/>
      <c r="AF169" s="269">
        <v>1402</v>
      </c>
      <c r="AG169" s="268"/>
      <c r="AH169" s="268"/>
      <c r="AI169" s="268"/>
      <c r="AJ169" s="268"/>
      <c r="AK169" s="268"/>
      <c r="AL169" s="268"/>
      <c r="AM169" s="268"/>
      <c r="AN169" s="268"/>
      <c r="AO169" s="268"/>
      <c r="AP169" s="268"/>
      <c r="AQ169" s="268"/>
      <c r="AR169" s="268"/>
      <c r="AS169" s="268"/>
      <c r="AT169" s="268"/>
      <c r="AU169" s="268"/>
      <c r="AV169" s="268"/>
      <c r="AW169" s="275"/>
      <c r="AX169" s="268"/>
      <c r="AY169" s="268"/>
      <c r="AZ169" s="268"/>
      <c r="BA169" s="268"/>
      <c r="BB169" s="268"/>
      <c r="BC169" s="268"/>
      <c r="BD169" s="268"/>
      <c r="BE169" s="268"/>
      <c r="BF169" s="268"/>
      <c r="BG169" s="268"/>
      <c r="BH169" s="268"/>
      <c r="BI169" s="268"/>
      <c r="BJ169" s="268"/>
      <c r="BK169" s="268"/>
      <c r="BL169" s="268"/>
      <c r="BM169" s="268"/>
      <c r="BN169" s="268"/>
      <c r="DA169" s="584"/>
      <c r="EN169" s="207"/>
    </row>
    <row r="170" spans="1:144" ht="15" hidden="1">
      <c r="A170" s="687"/>
      <c r="B170" s="299" t="s">
        <v>87</v>
      </c>
      <c r="C170" s="211">
        <f>'Job Calculations'!H32</f>
        <v>72480</v>
      </c>
      <c r="D170" s="211">
        <f>'Job Calculations'!H32</f>
        <v>72480</v>
      </c>
      <c r="E170" s="519"/>
      <c r="F170" s="268"/>
      <c r="G170" s="268"/>
      <c r="H170" s="268"/>
      <c r="I170" s="268"/>
      <c r="J170" s="268"/>
      <c r="K170" s="268"/>
      <c r="L170" s="268"/>
      <c r="M170" s="268"/>
      <c r="N170" s="268"/>
      <c r="O170" s="268"/>
      <c r="P170" s="268"/>
      <c r="Q170" s="268"/>
      <c r="R170" s="268"/>
      <c r="S170" s="268"/>
      <c r="T170" s="268"/>
      <c r="U170" s="268"/>
      <c r="W170" s="268">
        <v>0</v>
      </c>
      <c r="X170" s="268">
        <v>0</v>
      </c>
      <c r="Y170" s="269">
        <v>9626</v>
      </c>
      <c r="AA170" s="269">
        <v>14301</v>
      </c>
      <c r="AB170" s="268" t="s">
        <v>0</v>
      </c>
      <c r="AC170" s="268"/>
      <c r="AD170" s="268"/>
      <c r="AF170" s="269">
        <v>15937</v>
      </c>
      <c r="AG170" s="268"/>
      <c r="AH170" s="268"/>
      <c r="AP170" s="269">
        <v>7055</v>
      </c>
      <c r="AQ170" s="268"/>
      <c r="AR170" s="268"/>
      <c r="AS170" s="268">
        <v>0</v>
      </c>
      <c r="AT170" s="268"/>
      <c r="AU170" s="268"/>
      <c r="AW170" s="275"/>
      <c r="AX170" s="268"/>
      <c r="AY170" s="268"/>
      <c r="AZ170" s="268"/>
      <c r="BA170" s="268" t="s">
        <v>0</v>
      </c>
      <c r="BB170" s="268"/>
      <c r="BC170" s="268"/>
      <c r="BD170" s="268"/>
      <c r="BE170" s="268"/>
      <c r="BF170" s="268" t="s">
        <v>0</v>
      </c>
      <c r="BG170" s="268"/>
      <c r="BH170" s="268"/>
      <c r="BI170" s="268"/>
      <c r="BJ170" s="268"/>
      <c r="BK170" s="268"/>
      <c r="BL170" s="268"/>
      <c r="BM170" s="268"/>
      <c r="BN170" s="268"/>
      <c r="CA170" s="268" t="s">
        <v>0</v>
      </c>
      <c r="CB170" s="268"/>
      <c r="CC170" s="268"/>
      <c r="CD170" s="268"/>
      <c r="CE170" s="268"/>
      <c r="CF170" s="268"/>
      <c r="CG170" s="268"/>
      <c r="DA170" s="584"/>
      <c r="EN170" s="207"/>
    </row>
    <row r="171" spans="1:144" ht="15" hidden="1">
      <c r="A171" s="687"/>
      <c r="B171" s="299" t="s">
        <v>88</v>
      </c>
      <c r="C171" s="263">
        <v>45000</v>
      </c>
      <c r="D171" s="211">
        <f>C171</f>
        <v>45000</v>
      </c>
      <c r="E171" s="519"/>
      <c r="F171" s="268"/>
      <c r="G171" s="268"/>
      <c r="H171" s="268"/>
      <c r="I171" s="268"/>
      <c r="J171" s="268"/>
      <c r="K171" s="268"/>
      <c r="L171" s="268"/>
      <c r="M171" s="268"/>
      <c r="N171" s="268"/>
      <c r="O171" s="268"/>
      <c r="P171" s="268"/>
      <c r="Q171" s="268"/>
      <c r="R171" s="268"/>
      <c r="S171" s="268"/>
      <c r="T171" s="268"/>
      <c r="U171" s="268"/>
      <c r="V171" s="268"/>
      <c r="W171" s="268"/>
      <c r="X171" s="268"/>
      <c r="Y171" s="268"/>
      <c r="Z171" s="268"/>
      <c r="AA171" s="268"/>
      <c r="AB171" s="268"/>
      <c r="AC171" s="268"/>
      <c r="AD171" s="268"/>
      <c r="AF171" s="268"/>
      <c r="AG171" s="268"/>
      <c r="AH171" s="268"/>
      <c r="AI171" s="268"/>
      <c r="AJ171" s="268"/>
      <c r="AK171" s="268"/>
      <c r="AL171" s="268"/>
      <c r="AM171" s="268"/>
      <c r="AN171" s="268"/>
      <c r="AP171" s="268" t="s">
        <v>0</v>
      </c>
      <c r="AQ171" s="268"/>
      <c r="AR171" s="268"/>
      <c r="AS171" s="268">
        <v>0</v>
      </c>
      <c r="AT171" s="268"/>
      <c r="AU171" s="268"/>
      <c r="AV171" s="268" t="s">
        <v>0</v>
      </c>
      <c r="AW171" s="561"/>
      <c r="AX171" s="268"/>
      <c r="AY171" s="268"/>
      <c r="BA171" s="268"/>
      <c r="BC171" s="268"/>
      <c r="BD171" s="268"/>
      <c r="BG171" s="268" t="s">
        <v>0</v>
      </c>
      <c r="BH171" s="268"/>
      <c r="BJ171" s="268"/>
      <c r="BK171" s="268"/>
      <c r="BM171" s="268" t="s">
        <v>0</v>
      </c>
      <c r="BN171" s="268"/>
      <c r="BP171" s="268"/>
      <c r="BQ171" s="268"/>
      <c r="BR171" s="268" t="s">
        <v>0</v>
      </c>
      <c r="BZ171" s="268" t="s">
        <v>0</v>
      </c>
      <c r="CE171" s="268" t="s">
        <v>0</v>
      </c>
      <c r="CF171" s="268"/>
      <c r="DA171" s="584"/>
      <c r="EN171" s="207"/>
    </row>
    <row r="172" spans="1:144" ht="15" hidden="1">
      <c r="A172" s="687"/>
      <c r="B172" s="299" t="s">
        <v>89</v>
      </c>
      <c r="C172" s="263"/>
      <c r="D172" s="211">
        <v>25000</v>
      </c>
      <c r="E172" s="519"/>
      <c r="F172" s="268"/>
      <c r="G172" s="268"/>
      <c r="H172" s="268"/>
      <c r="I172" s="268"/>
      <c r="J172" s="268"/>
      <c r="K172" s="268"/>
      <c r="L172" s="268"/>
      <c r="M172" s="268"/>
      <c r="N172" s="268"/>
      <c r="O172" s="268"/>
      <c r="P172" s="268"/>
      <c r="Q172" s="268"/>
      <c r="R172" s="268"/>
      <c r="S172" s="268"/>
      <c r="T172" s="268"/>
      <c r="U172" s="268"/>
      <c r="V172" s="268"/>
      <c r="W172" s="268"/>
      <c r="X172" s="268"/>
      <c r="Y172" s="269">
        <f>14067-998</f>
        <v>13069</v>
      </c>
      <c r="Z172" s="268">
        <v>0</v>
      </c>
      <c r="AA172" s="268"/>
      <c r="AB172" s="268">
        <v>0</v>
      </c>
      <c r="AC172" s="268">
        <v>0</v>
      </c>
      <c r="AD172" s="268">
        <v>0</v>
      </c>
      <c r="AF172" s="269">
        <v>11623</v>
      </c>
      <c r="AG172" s="268"/>
      <c r="AH172" s="268"/>
      <c r="AI172" s="268"/>
      <c r="AJ172" s="268"/>
      <c r="AK172" s="268"/>
      <c r="AL172" s="268"/>
      <c r="AM172" s="268"/>
      <c r="AN172" s="268"/>
      <c r="AO172" s="268"/>
      <c r="AP172" s="268"/>
      <c r="AQ172" s="268"/>
      <c r="AR172" s="268"/>
      <c r="AS172" s="268"/>
      <c r="AT172" s="268"/>
      <c r="AU172" s="268"/>
      <c r="AV172" s="268"/>
      <c r="AW172" s="275"/>
      <c r="AX172" s="268"/>
      <c r="AY172" s="268"/>
      <c r="AZ172" s="268"/>
      <c r="BA172" s="268"/>
      <c r="BB172" s="268"/>
      <c r="BC172" s="268"/>
      <c r="BD172" s="268"/>
      <c r="BE172" s="268"/>
      <c r="BF172" s="268"/>
      <c r="BG172" s="268"/>
      <c r="BH172" s="268"/>
      <c r="BI172" s="268"/>
      <c r="BJ172" s="268"/>
      <c r="BK172" s="268"/>
      <c r="BL172" s="268"/>
      <c r="BM172" s="268"/>
      <c r="BN172" s="268"/>
      <c r="DA172" s="584"/>
      <c r="EN172" s="207"/>
    </row>
    <row r="173" spans="1:144" ht="15" hidden="1">
      <c r="A173" s="687"/>
      <c r="B173" s="299" t="s">
        <v>90</v>
      </c>
      <c r="C173" s="263"/>
      <c r="D173" s="211"/>
      <c r="E173" s="519"/>
      <c r="F173" s="268"/>
      <c r="G173" s="268"/>
      <c r="H173" s="268"/>
      <c r="I173" s="268"/>
      <c r="J173" s="268"/>
      <c r="K173" s="268"/>
      <c r="L173" s="268"/>
      <c r="M173" s="268"/>
      <c r="N173" s="268"/>
      <c r="O173" s="268"/>
      <c r="P173" s="268"/>
      <c r="Q173" s="268"/>
      <c r="R173" s="268"/>
      <c r="S173" s="268"/>
      <c r="T173" s="268"/>
      <c r="U173" s="268"/>
      <c r="V173" s="268"/>
      <c r="W173" s="268"/>
      <c r="X173" s="268"/>
      <c r="Y173" s="268"/>
      <c r="Z173" s="268"/>
      <c r="AA173" s="268"/>
      <c r="AB173" s="268"/>
      <c r="AC173" s="268"/>
      <c r="AD173" s="268"/>
      <c r="AF173" s="268"/>
      <c r="AG173" s="268"/>
      <c r="AH173" s="268"/>
      <c r="AI173" s="268"/>
      <c r="AJ173" s="268" t="s">
        <v>0</v>
      </c>
      <c r="AK173" s="268"/>
      <c r="AL173" s="268" t="s">
        <v>0</v>
      </c>
      <c r="AM173" s="268" t="s">
        <v>0</v>
      </c>
      <c r="AN173" s="269">
        <f>11625</f>
        <v>11625</v>
      </c>
      <c r="AP173" s="269">
        <v>8595</v>
      </c>
      <c r="AQ173" s="268"/>
      <c r="AR173" s="268"/>
      <c r="AS173" s="268"/>
      <c r="AU173" s="268"/>
      <c r="AV173" s="268"/>
      <c r="AW173" s="275"/>
      <c r="AX173" s="268"/>
      <c r="AY173" s="268"/>
      <c r="AZ173" s="268"/>
      <c r="BA173" s="268"/>
      <c r="BB173" s="268"/>
      <c r="BC173" s="268"/>
      <c r="BD173" s="268"/>
      <c r="BE173" s="268"/>
      <c r="BF173" s="268"/>
      <c r="BG173" s="268"/>
      <c r="BH173" s="268"/>
      <c r="BI173" s="268"/>
      <c r="BJ173" s="268"/>
      <c r="BK173" s="268"/>
      <c r="BL173" s="268"/>
      <c r="BM173" s="268"/>
      <c r="BN173" s="268"/>
      <c r="DA173" s="584"/>
      <c r="EN173" s="207"/>
    </row>
    <row r="174" spans="1:144" ht="15" hidden="1">
      <c r="A174" s="687"/>
      <c r="B174" s="299" t="s">
        <v>91</v>
      </c>
      <c r="C174" s="263"/>
      <c r="D174" s="211"/>
      <c r="E174" s="519"/>
      <c r="F174" s="268"/>
      <c r="G174" s="268"/>
      <c r="H174" s="268"/>
      <c r="I174" s="268"/>
      <c r="J174" s="268"/>
      <c r="K174" s="268"/>
      <c r="L174" s="268"/>
      <c r="M174" s="268"/>
      <c r="N174" s="268"/>
      <c r="O174" s="268"/>
      <c r="P174" s="268"/>
      <c r="Q174" s="268"/>
      <c r="R174" s="268"/>
      <c r="S174" s="268"/>
      <c r="T174" s="268"/>
      <c r="U174" s="268"/>
      <c r="V174" s="268"/>
      <c r="W174" s="268"/>
      <c r="X174" s="268"/>
      <c r="Y174" s="268"/>
      <c r="Z174" s="268"/>
      <c r="AA174" s="268"/>
      <c r="AB174" s="268"/>
      <c r="AC174" s="268"/>
      <c r="AD174" s="268"/>
      <c r="AF174" s="269">
        <v>-1147</v>
      </c>
      <c r="AG174" s="268"/>
      <c r="AH174" s="268"/>
      <c r="AI174" s="268"/>
      <c r="AJ174" s="268"/>
      <c r="AK174" s="268"/>
      <c r="AL174" s="268"/>
      <c r="AM174" s="268"/>
      <c r="AN174" s="268"/>
      <c r="AO174" s="268"/>
      <c r="AP174" s="268"/>
      <c r="AQ174" s="268"/>
      <c r="AR174" s="268"/>
      <c r="AS174" s="268"/>
      <c r="AT174" s="268"/>
      <c r="AU174" s="268"/>
      <c r="AV174" s="268"/>
      <c r="AW174" s="275"/>
      <c r="AX174" s="268"/>
      <c r="AY174" s="268"/>
      <c r="AZ174" s="268"/>
      <c r="BA174" s="268"/>
      <c r="BB174" s="268"/>
      <c r="BC174" s="268"/>
      <c r="BD174" s="268"/>
      <c r="BE174" s="268"/>
      <c r="BF174" s="268"/>
      <c r="BG174" s="268"/>
      <c r="BH174" s="268"/>
      <c r="BI174" s="268"/>
      <c r="BJ174" s="268"/>
      <c r="BK174" s="268"/>
      <c r="BL174" s="268"/>
      <c r="BM174" s="268"/>
      <c r="BN174" s="268"/>
      <c r="DA174" s="584"/>
      <c r="EN174" s="207"/>
    </row>
    <row r="175" spans="1:144" ht="15" hidden="1">
      <c r="A175" s="687"/>
      <c r="B175" s="299" t="s">
        <v>92</v>
      </c>
      <c r="C175" s="263"/>
      <c r="D175" s="211"/>
      <c r="E175" s="519"/>
      <c r="F175" s="268"/>
      <c r="G175" s="268"/>
      <c r="H175" s="268"/>
      <c r="I175" s="268"/>
      <c r="J175" s="268"/>
      <c r="K175" s="268"/>
      <c r="L175" s="268"/>
      <c r="M175" s="268"/>
      <c r="N175" s="268"/>
      <c r="O175" s="268"/>
      <c r="P175" s="268"/>
      <c r="Q175" s="268"/>
      <c r="R175" s="268"/>
      <c r="S175" s="268"/>
      <c r="T175" s="268"/>
      <c r="U175" s="268"/>
      <c r="V175" s="268"/>
      <c r="W175" s="268"/>
      <c r="X175" s="268"/>
      <c r="Y175" s="268"/>
      <c r="Z175" s="268"/>
      <c r="AA175" s="268"/>
      <c r="AB175" s="268"/>
      <c r="AC175" s="268"/>
      <c r="AD175" s="268"/>
      <c r="AF175" s="268"/>
      <c r="AG175" s="268"/>
      <c r="AH175" s="268"/>
      <c r="AI175" s="268"/>
      <c r="AJ175" s="268"/>
      <c r="AK175" s="268"/>
      <c r="AL175" s="268"/>
      <c r="AM175" s="268"/>
      <c r="AN175" s="269">
        <v>2082.85</v>
      </c>
      <c r="AP175" s="268" t="s">
        <v>0</v>
      </c>
      <c r="AQ175" s="268"/>
      <c r="AR175" s="268"/>
      <c r="AS175" s="268"/>
      <c r="AT175" s="268"/>
      <c r="AU175" s="268"/>
      <c r="AV175" s="268"/>
      <c r="AW175" s="275"/>
      <c r="AX175" s="268"/>
      <c r="AY175" s="268"/>
      <c r="AZ175" s="268"/>
      <c r="BA175" s="268"/>
      <c r="BB175" s="268"/>
      <c r="BC175" s="268"/>
      <c r="BD175" s="268"/>
      <c r="BE175" s="268"/>
      <c r="BF175" s="268"/>
      <c r="BG175" s="268"/>
      <c r="BH175" s="268"/>
      <c r="BI175" s="268"/>
      <c r="BJ175" s="268"/>
      <c r="BK175" s="268"/>
      <c r="BL175" s="268"/>
      <c r="BM175" s="268"/>
      <c r="BN175" s="268"/>
      <c r="DA175" s="584"/>
      <c r="EN175" s="207"/>
    </row>
    <row r="176" spans="1:144" ht="15" hidden="1">
      <c r="A176" s="687"/>
      <c r="B176" s="299" t="s">
        <v>93</v>
      </c>
      <c r="C176" s="263"/>
      <c r="D176" s="211"/>
      <c r="E176" s="519"/>
      <c r="F176" s="268"/>
      <c r="G176" s="268"/>
      <c r="H176" s="268"/>
      <c r="I176" s="268"/>
      <c r="J176" s="268"/>
      <c r="K176" s="268"/>
      <c r="L176" s="268"/>
      <c r="M176" s="268"/>
      <c r="N176" s="268"/>
      <c r="O176" s="268"/>
      <c r="P176" s="268"/>
      <c r="Q176" s="268"/>
      <c r="R176" s="268"/>
      <c r="S176" s="268"/>
      <c r="T176" s="268"/>
      <c r="U176" s="268"/>
      <c r="V176" s="268"/>
      <c r="W176" s="268"/>
      <c r="X176" s="268"/>
      <c r="Y176" s="268"/>
      <c r="Z176" s="268"/>
      <c r="AA176" s="268"/>
      <c r="AB176" s="268"/>
      <c r="AC176" s="268"/>
      <c r="AD176" s="268"/>
      <c r="AF176" s="268"/>
      <c r="AG176" s="268"/>
      <c r="AH176" s="268"/>
      <c r="AI176" s="268"/>
      <c r="AJ176" s="268"/>
      <c r="AK176" s="268"/>
      <c r="AL176" s="269">
        <v>1402.55</v>
      </c>
      <c r="AM176" s="268"/>
      <c r="AN176" s="268"/>
      <c r="AO176" s="268"/>
      <c r="AP176" s="268"/>
      <c r="AQ176" s="268"/>
      <c r="AR176" s="268"/>
      <c r="AS176" s="268"/>
      <c r="AT176" s="268"/>
      <c r="AU176" s="268"/>
      <c r="AV176" s="268"/>
      <c r="AW176" s="275"/>
      <c r="AX176" s="268"/>
      <c r="AY176" s="268"/>
      <c r="AZ176" s="268"/>
      <c r="BA176" s="268"/>
      <c r="BB176" s="268"/>
      <c r="BC176" s="268"/>
      <c r="BD176" s="268"/>
      <c r="BE176" s="268"/>
      <c r="BF176" s="268"/>
      <c r="BG176" s="268"/>
      <c r="BH176" s="268"/>
      <c r="BI176" s="268"/>
      <c r="BJ176" s="268"/>
      <c r="BK176" s="268"/>
      <c r="BL176" s="268"/>
      <c r="BM176" s="268"/>
      <c r="BN176" s="268"/>
      <c r="DA176" s="584"/>
      <c r="EN176" s="207"/>
    </row>
    <row r="177" spans="1:144" ht="15" hidden="1">
      <c r="A177" s="687"/>
      <c r="B177" s="299" t="s">
        <v>711</v>
      </c>
      <c r="C177" s="263"/>
      <c r="D177" s="211"/>
      <c r="E177" s="519"/>
      <c r="F177" s="268"/>
      <c r="G177" s="268"/>
      <c r="H177" s="268"/>
      <c r="I177" s="268"/>
      <c r="J177" s="268"/>
      <c r="K177" s="268"/>
      <c r="L177" s="268"/>
      <c r="M177" s="268"/>
      <c r="N177" s="268"/>
      <c r="O177" s="268"/>
      <c r="P177" s="268"/>
      <c r="Q177" s="268"/>
      <c r="R177" s="268"/>
      <c r="S177" s="268"/>
      <c r="T177" s="268"/>
      <c r="U177" s="268"/>
      <c r="V177" s="268"/>
      <c r="W177" s="268"/>
      <c r="X177" s="268"/>
      <c r="Y177" s="268"/>
      <c r="Z177" s="268"/>
      <c r="AA177" s="268"/>
      <c r="AB177" s="268"/>
      <c r="AC177" s="268"/>
      <c r="AD177" s="268"/>
      <c r="AF177" s="268"/>
      <c r="AG177" s="268"/>
      <c r="AH177" s="268"/>
      <c r="AI177" s="268"/>
      <c r="AJ177" s="268"/>
      <c r="AK177" s="268"/>
      <c r="AL177" s="269"/>
      <c r="AM177" s="268"/>
      <c r="AN177" s="268"/>
      <c r="AO177" s="268"/>
      <c r="AP177" s="268"/>
      <c r="AQ177" s="268"/>
      <c r="AR177" s="268"/>
      <c r="AS177" s="268"/>
      <c r="AT177" s="268"/>
      <c r="AU177" s="268"/>
      <c r="AW177" s="310">
        <v>5376.25</v>
      </c>
      <c r="AX177" s="268"/>
      <c r="AY177" s="268"/>
      <c r="AZ177" s="268"/>
      <c r="BA177" s="268"/>
      <c r="BB177" s="268"/>
      <c r="BC177" s="268"/>
      <c r="BD177" s="268"/>
      <c r="BE177" s="268"/>
      <c r="BF177" s="268"/>
      <c r="BG177" s="268"/>
      <c r="BH177" s="268"/>
      <c r="BI177" s="268"/>
      <c r="BJ177" s="268"/>
      <c r="BK177" s="268"/>
      <c r="BL177" s="268"/>
      <c r="BM177" s="268"/>
      <c r="BN177" s="268"/>
      <c r="DA177" s="584"/>
      <c r="EN177" s="207"/>
    </row>
    <row r="178" spans="1:144" ht="15" hidden="1">
      <c r="A178" s="687"/>
      <c r="B178" s="299" t="s">
        <v>96</v>
      </c>
      <c r="C178" s="263"/>
      <c r="D178" s="211">
        <v>13821</v>
      </c>
      <c r="E178" s="519"/>
      <c r="F178" s="268"/>
      <c r="G178" s="268"/>
      <c r="H178" s="268"/>
      <c r="I178" s="268"/>
      <c r="K178" s="268"/>
      <c r="L178" s="268"/>
      <c r="N178" s="268"/>
      <c r="O178" s="268"/>
      <c r="P178" s="269">
        <v>12551</v>
      </c>
      <c r="Q178" s="268"/>
      <c r="R178" s="269">
        <v>3811.5</v>
      </c>
      <c r="S178" s="268" t="s">
        <v>0</v>
      </c>
      <c r="T178" s="268"/>
      <c r="U178" s="268"/>
      <c r="V178" s="268"/>
      <c r="W178" s="268"/>
      <c r="Y178" s="268"/>
      <c r="Z178" s="268"/>
      <c r="AA178" s="268"/>
      <c r="AB178" s="268"/>
      <c r="AC178" s="268"/>
      <c r="AD178" s="268"/>
      <c r="AE178" s="268"/>
      <c r="AF178" s="268"/>
      <c r="AG178" s="268"/>
      <c r="AH178" s="268"/>
      <c r="AI178" s="268"/>
      <c r="AJ178" s="268"/>
      <c r="AK178" s="268"/>
      <c r="AL178" s="268"/>
      <c r="AM178" s="268"/>
      <c r="AN178" s="268"/>
      <c r="AO178" s="268"/>
      <c r="AP178" s="268"/>
      <c r="AQ178" s="268"/>
      <c r="AR178" s="268"/>
      <c r="AS178" s="268"/>
      <c r="AT178" s="268"/>
      <c r="AU178" s="268"/>
      <c r="AW178" s="275"/>
      <c r="AX178" s="268"/>
      <c r="AY178" s="268"/>
      <c r="AZ178" s="268"/>
      <c r="BA178" s="268"/>
      <c r="BB178" s="268"/>
      <c r="BC178" s="268"/>
      <c r="BD178" s="268"/>
      <c r="BE178" s="268"/>
      <c r="BF178" s="268"/>
      <c r="BG178" s="268"/>
      <c r="BH178" s="268"/>
      <c r="BI178" s="268"/>
      <c r="BJ178" s="268"/>
      <c r="BK178" s="268"/>
      <c r="BL178" s="268"/>
      <c r="BM178" s="268"/>
      <c r="BN178" s="268"/>
      <c r="DA178" s="584"/>
      <c r="EN178" s="207"/>
    </row>
    <row r="179" spans="1:144" ht="15" hidden="1">
      <c r="A179" s="687"/>
      <c r="B179" s="299" t="s">
        <v>98</v>
      </c>
      <c r="C179" s="263"/>
      <c r="D179" s="211">
        <v>10000</v>
      </c>
      <c r="E179" s="519"/>
      <c r="F179" s="268"/>
      <c r="G179" s="268"/>
      <c r="H179" s="268"/>
      <c r="I179" s="268"/>
      <c r="L179" s="268"/>
      <c r="N179" s="268"/>
      <c r="O179" s="268"/>
      <c r="P179" s="268"/>
      <c r="Q179" s="268"/>
      <c r="R179" s="268"/>
      <c r="S179" s="268"/>
      <c r="T179" s="268"/>
      <c r="U179" s="269">
        <v>9685</v>
      </c>
      <c r="W179" s="268" t="s">
        <v>0</v>
      </c>
      <c r="X179" s="268"/>
      <c r="Y179" s="268"/>
      <c r="Z179" s="268"/>
      <c r="AA179" s="268"/>
      <c r="AB179" s="268"/>
      <c r="AC179" s="268"/>
      <c r="AD179" s="268"/>
      <c r="AE179" s="268"/>
      <c r="AF179" s="268"/>
      <c r="AG179" s="268"/>
      <c r="AH179" s="268"/>
      <c r="AI179" s="268"/>
      <c r="AJ179" s="268"/>
      <c r="AL179" s="268"/>
      <c r="AM179" s="268"/>
      <c r="AN179" s="268"/>
      <c r="AP179" s="268" t="s">
        <v>0</v>
      </c>
      <c r="AQ179" s="268"/>
      <c r="AR179" s="268"/>
      <c r="AS179" s="268"/>
      <c r="AU179" s="268"/>
      <c r="AW179" s="561"/>
      <c r="BB179" s="268"/>
      <c r="BC179" s="268"/>
      <c r="BD179" s="268"/>
      <c r="BE179" s="268"/>
      <c r="BF179" s="268"/>
      <c r="BG179" s="268"/>
      <c r="BH179" s="268"/>
      <c r="BI179" s="268"/>
      <c r="BJ179" s="268"/>
      <c r="BK179" s="268"/>
      <c r="BL179" s="268"/>
      <c r="BM179" s="268"/>
      <c r="BN179" s="268"/>
      <c r="DA179" s="584"/>
      <c r="EN179" s="207"/>
    </row>
    <row r="180" spans="1:144" ht="15" hidden="1">
      <c r="A180" s="687"/>
      <c r="B180" s="299" t="s">
        <v>99</v>
      </c>
      <c r="C180" s="263"/>
      <c r="D180" s="211">
        <v>22000</v>
      </c>
      <c r="E180" s="519"/>
      <c r="F180" s="268"/>
      <c r="G180" s="268"/>
      <c r="H180" s="268"/>
      <c r="I180" s="268"/>
      <c r="L180" s="268"/>
      <c r="N180" s="268"/>
      <c r="O180" s="268"/>
      <c r="P180" s="268"/>
      <c r="Q180" s="268"/>
      <c r="R180" s="268"/>
      <c r="S180" s="268"/>
      <c r="T180" s="268"/>
      <c r="U180" s="268"/>
      <c r="V180" s="268">
        <v>0</v>
      </c>
      <c r="W180" s="268">
        <v>0</v>
      </c>
      <c r="X180" s="201"/>
      <c r="Y180" s="269">
        <v>14346.67</v>
      </c>
      <c r="Z180" s="268">
        <v>0</v>
      </c>
      <c r="AA180" s="269">
        <v>2000</v>
      </c>
      <c r="AB180" s="268">
        <v>0</v>
      </c>
      <c r="AD180" s="269">
        <v>5000</v>
      </c>
      <c r="AE180" s="268"/>
      <c r="AF180" s="268"/>
      <c r="AG180" s="268"/>
      <c r="AH180" s="268"/>
      <c r="AI180" s="268"/>
      <c r="AJ180" s="268"/>
      <c r="AL180" s="268"/>
      <c r="AM180" s="268"/>
      <c r="AN180" s="268"/>
      <c r="AP180" s="268" t="s">
        <v>0</v>
      </c>
      <c r="AQ180" s="268"/>
      <c r="AR180" s="268"/>
      <c r="AS180" s="268"/>
      <c r="AU180" s="268"/>
      <c r="AW180" s="561"/>
      <c r="BB180" s="268"/>
      <c r="BC180" s="268"/>
      <c r="BD180" s="268"/>
      <c r="BE180" s="268"/>
      <c r="BF180" s="268"/>
      <c r="BG180" s="268"/>
      <c r="BH180" s="268"/>
      <c r="BI180" s="268"/>
      <c r="BJ180" s="268"/>
      <c r="BK180" s="268"/>
      <c r="BL180" s="268"/>
      <c r="BM180" s="268"/>
      <c r="BN180" s="268"/>
      <c r="DA180" s="584"/>
      <c r="EN180" s="207"/>
    </row>
    <row r="181" spans="1:144" ht="15" hidden="1">
      <c r="A181" s="687"/>
      <c r="B181" s="299" t="s">
        <v>100</v>
      </c>
      <c r="C181" s="263"/>
      <c r="D181" s="211">
        <v>3500</v>
      </c>
      <c r="E181" s="519"/>
      <c r="F181" s="268"/>
      <c r="G181" s="268"/>
      <c r="H181" s="268"/>
      <c r="I181" s="268"/>
      <c r="L181" s="268"/>
      <c r="N181" s="268"/>
      <c r="O181" s="268" t="s">
        <v>0</v>
      </c>
      <c r="P181" s="268"/>
      <c r="Q181" s="268"/>
      <c r="R181" s="268"/>
      <c r="S181" s="268"/>
      <c r="T181" s="269">
        <v>3503</v>
      </c>
      <c r="V181" s="268">
        <v>0</v>
      </c>
      <c r="W181" s="268">
        <v>0</v>
      </c>
      <c r="X181" s="268"/>
      <c r="Y181" s="268"/>
      <c r="Z181" s="268"/>
      <c r="AA181" s="268"/>
      <c r="AB181" s="268"/>
      <c r="AC181" s="268"/>
      <c r="AD181" s="268"/>
      <c r="AE181" s="268"/>
      <c r="AF181" s="268"/>
      <c r="AG181" s="268"/>
      <c r="AH181" s="268"/>
      <c r="AI181" s="268"/>
      <c r="AJ181" s="268"/>
      <c r="AL181" s="268"/>
      <c r="AM181" s="268"/>
      <c r="AN181" s="268"/>
      <c r="AP181" s="268"/>
      <c r="AQ181" s="268"/>
      <c r="AR181" s="268"/>
      <c r="AS181" s="268"/>
      <c r="AU181" s="268"/>
      <c r="AW181" s="561"/>
      <c r="BB181" s="268"/>
      <c r="BC181" s="268"/>
      <c r="BD181" s="268"/>
      <c r="BE181" s="268"/>
      <c r="BF181" s="268"/>
      <c r="BG181" s="268"/>
      <c r="BH181" s="268"/>
      <c r="BI181" s="268"/>
      <c r="BJ181" s="268"/>
      <c r="BK181" s="268"/>
      <c r="BL181" s="268"/>
      <c r="BM181" s="268"/>
      <c r="BN181" s="268"/>
      <c r="BO181" s="3" t="s">
        <v>0</v>
      </c>
      <c r="DA181" s="584"/>
      <c r="EN181" s="207"/>
    </row>
    <row r="182" spans="1:144" ht="15" hidden="1">
      <c r="A182" s="687"/>
      <c r="B182" s="299" t="s">
        <v>766</v>
      </c>
      <c r="C182" s="263"/>
      <c r="D182" s="211">
        <v>30000</v>
      </c>
      <c r="E182" s="519"/>
      <c r="F182" s="268"/>
      <c r="G182" s="268"/>
      <c r="H182" s="268"/>
      <c r="I182" s="268"/>
      <c r="J182" s="268"/>
      <c r="K182" s="268"/>
      <c r="L182" s="268"/>
      <c r="M182" s="268"/>
      <c r="N182" s="268"/>
      <c r="O182" s="268"/>
      <c r="P182" s="268"/>
      <c r="Q182" s="268"/>
      <c r="R182" s="268"/>
      <c r="S182" s="268"/>
      <c r="T182" s="268"/>
      <c r="U182" s="268"/>
      <c r="V182" s="268"/>
      <c r="W182" s="268"/>
      <c r="X182" s="268"/>
      <c r="Y182" s="268"/>
      <c r="Z182" s="268"/>
      <c r="AA182" s="326" t="s">
        <v>0</v>
      </c>
      <c r="AB182" s="268"/>
      <c r="AD182" s="268">
        <v>15000</v>
      </c>
      <c r="AE182" s="268">
        <v>0</v>
      </c>
      <c r="AG182" s="268">
        <v>13500</v>
      </c>
      <c r="AJ182" s="268" t="s">
        <v>0</v>
      </c>
      <c r="AL182" s="268" t="s">
        <v>0</v>
      </c>
      <c r="AM182" s="268"/>
      <c r="AN182" s="268"/>
      <c r="AP182" s="268"/>
      <c r="AQ182" s="268"/>
      <c r="AS182" s="268"/>
      <c r="AZ182" s="275" t="s">
        <v>0</v>
      </c>
      <c r="BE182" s="310">
        <f>7892.5+10199.58+108</f>
        <v>18200.080000000002</v>
      </c>
      <c r="BH182" s="268"/>
      <c r="BI182" s="268"/>
      <c r="BJ182" s="268"/>
      <c r="BK182" s="268"/>
      <c r="BL182" s="268"/>
      <c r="BM182" s="268"/>
      <c r="BN182" s="268"/>
      <c r="DA182" s="584"/>
      <c r="EN182" s="207"/>
    </row>
    <row r="183" spans="1:144" ht="15" hidden="1">
      <c r="A183" s="687"/>
      <c r="B183" s="299" t="s">
        <v>101</v>
      </c>
      <c r="C183" s="263"/>
      <c r="D183" s="211">
        <v>50937</v>
      </c>
      <c r="E183" s="519"/>
      <c r="F183" s="268"/>
      <c r="G183" s="268"/>
      <c r="H183" s="268"/>
      <c r="I183" s="268"/>
      <c r="J183" s="268"/>
      <c r="K183" s="268"/>
      <c r="L183" s="268"/>
      <c r="M183" s="268"/>
      <c r="N183" s="268"/>
      <c r="O183" s="268"/>
      <c r="P183" s="268"/>
      <c r="Q183" s="268"/>
      <c r="R183" s="268"/>
      <c r="S183" s="268"/>
      <c r="T183" s="268"/>
      <c r="U183" s="268"/>
      <c r="V183" s="268"/>
      <c r="W183" s="268"/>
      <c r="X183" s="268"/>
      <c r="Y183" s="268"/>
      <c r="Z183" s="268"/>
      <c r="AA183" s="308"/>
      <c r="AB183" s="308"/>
      <c r="AC183" s="268"/>
      <c r="AD183" s="268"/>
      <c r="AE183" s="268"/>
      <c r="AF183" s="268">
        <v>29937</v>
      </c>
      <c r="AG183" s="268"/>
      <c r="AL183" s="268"/>
      <c r="AM183" s="268" t="s">
        <v>0</v>
      </c>
      <c r="AN183" s="268" t="s">
        <v>0</v>
      </c>
      <c r="AP183" s="268"/>
      <c r="AQ183" s="268"/>
      <c r="AS183" s="268"/>
      <c r="AY183" s="310">
        <v>15811.37</v>
      </c>
      <c r="BH183" s="268"/>
      <c r="BI183" s="268"/>
      <c r="BJ183" s="268"/>
      <c r="BK183" s="268"/>
      <c r="BL183" s="268"/>
      <c r="BM183" s="268"/>
      <c r="BN183" s="268"/>
      <c r="DA183" s="584"/>
      <c r="EN183" s="207"/>
    </row>
    <row r="184" spans="1:144" ht="15" hidden="1">
      <c r="A184" s="687"/>
      <c r="B184" s="299" t="s">
        <v>97</v>
      </c>
      <c r="C184" s="263"/>
      <c r="D184" s="211">
        <v>15000</v>
      </c>
      <c r="E184" s="519"/>
      <c r="F184" s="268"/>
      <c r="G184" s="268"/>
      <c r="H184" s="268"/>
      <c r="I184" s="268"/>
      <c r="L184" s="268"/>
      <c r="N184" s="268"/>
      <c r="O184" s="268"/>
      <c r="P184" s="268"/>
      <c r="Q184" s="268"/>
      <c r="R184" s="268"/>
      <c r="S184" s="268"/>
      <c r="T184" s="268"/>
      <c r="U184" s="268">
        <v>10010</v>
      </c>
      <c r="V184" s="268"/>
      <c r="W184" s="268">
        <v>0</v>
      </c>
      <c r="X184" s="268"/>
      <c r="Y184" s="268">
        <v>0</v>
      </c>
      <c r="Z184" s="268">
        <v>0</v>
      </c>
      <c r="AA184" s="268">
        <v>18000</v>
      </c>
      <c r="AB184" s="268"/>
      <c r="AC184" s="268"/>
      <c r="AD184" s="268"/>
      <c r="AE184" s="268" t="s">
        <v>0</v>
      </c>
      <c r="AF184" s="268"/>
      <c r="AG184" s="268"/>
      <c r="AH184" s="268" t="s">
        <v>0</v>
      </c>
      <c r="AJ184" s="268" t="s">
        <v>0</v>
      </c>
      <c r="AL184" s="268" t="s">
        <v>0</v>
      </c>
      <c r="AM184" s="268"/>
      <c r="AN184" s="268"/>
      <c r="AP184" s="268"/>
      <c r="AQ184" s="268"/>
      <c r="AS184" s="268"/>
      <c r="AZ184" s="275" t="s">
        <v>0</v>
      </c>
      <c r="BE184" s="310">
        <f>1800</f>
        <v>1800</v>
      </c>
      <c r="BH184" s="268"/>
      <c r="BI184" s="268"/>
      <c r="BJ184" s="268"/>
      <c r="BK184" s="268"/>
      <c r="BL184" s="268"/>
      <c r="BM184" s="268"/>
      <c r="BN184" s="268"/>
      <c r="DA184" s="584"/>
      <c r="EN184" s="207"/>
    </row>
    <row r="185" spans="1:144" ht="15" hidden="1">
      <c r="A185" s="687"/>
      <c r="B185" s="282" t="s">
        <v>779</v>
      </c>
      <c r="C185" s="263"/>
      <c r="D185" s="211"/>
      <c r="E185" s="519"/>
      <c r="F185" s="268"/>
      <c r="G185" s="268"/>
      <c r="H185" s="268"/>
      <c r="I185" s="268"/>
      <c r="J185" s="268"/>
      <c r="K185" s="268"/>
      <c r="L185" s="268"/>
      <c r="M185" s="268"/>
      <c r="N185" s="268"/>
      <c r="O185" s="268"/>
      <c r="P185" s="268"/>
      <c r="Q185" s="268"/>
      <c r="R185" s="268"/>
      <c r="S185" s="268"/>
      <c r="T185" s="268"/>
      <c r="U185" s="268"/>
      <c r="V185" s="268"/>
      <c r="W185" s="268"/>
      <c r="X185" s="268"/>
      <c r="Y185" s="268"/>
      <c r="Z185" s="268"/>
      <c r="AA185" s="268"/>
      <c r="AB185" s="268"/>
      <c r="AC185" s="268"/>
      <c r="AD185" s="268"/>
      <c r="AE185" s="268"/>
      <c r="AF185" s="268"/>
      <c r="AG185" s="268"/>
      <c r="AJ185" s="268"/>
      <c r="AL185" s="268"/>
      <c r="AM185" s="268"/>
      <c r="AN185" s="268"/>
      <c r="AP185" s="268"/>
      <c r="AQ185" s="268"/>
      <c r="AR185" s="268"/>
      <c r="AS185" s="268"/>
      <c r="AU185" s="268"/>
      <c r="AX185" s="268"/>
      <c r="BG185" s="310">
        <v>7000</v>
      </c>
      <c r="BH185" s="268"/>
      <c r="BI185" s="310">
        <f>22941-BG185</f>
        <v>15941</v>
      </c>
      <c r="BJ185" s="268"/>
      <c r="BK185" s="268"/>
      <c r="BL185" s="268"/>
      <c r="BM185" s="268"/>
      <c r="BN185" s="268"/>
      <c r="BT185" s="269">
        <v>11093.56</v>
      </c>
      <c r="CP185" s="3" t="s">
        <v>0</v>
      </c>
      <c r="DA185" s="584"/>
      <c r="EN185" s="207"/>
    </row>
    <row r="186" spans="1:144" ht="15" hidden="1">
      <c r="A186" s="687"/>
      <c r="B186" s="282" t="s">
        <v>103</v>
      </c>
      <c r="C186" s="263"/>
      <c r="D186" s="211"/>
      <c r="E186" s="519"/>
      <c r="F186" s="268"/>
      <c r="G186" s="268"/>
      <c r="H186" s="268"/>
      <c r="I186" s="268"/>
      <c r="J186" s="268"/>
      <c r="K186" s="268"/>
      <c r="L186" s="268"/>
      <c r="M186" s="268"/>
      <c r="N186" s="268"/>
      <c r="O186" s="268"/>
      <c r="P186" s="268"/>
      <c r="Q186" s="268"/>
      <c r="R186" s="268"/>
      <c r="S186" s="268"/>
      <c r="T186" s="268"/>
      <c r="U186" s="268"/>
      <c r="V186" s="268"/>
      <c r="W186" s="268"/>
      <c r="X186" s="268"/>
      <c r="Y186" s="268"/>
      <c r="Z186" s="268"/>
      <c r="AA186" s="268"/>
      <c r="AB186" s="268"/>
      <c r="AC186" s="268"/>
      <c r="AD186" s="268"/>
      <c r="AE186" s="268"/>
      <c r="AF186" s="268"/>
      <c r="AG186" s="268">
        <v>20000</v>
      </c>
      <c r="AJ186" s="268" t="s">
        <v>0</v>
      </c>
      <c r="AL186" s="268" t="s">
        <v>0</v>
      </c>
      <c r="AM186" s="268"/>
      <c r="AN186" s="268"/>
      <c r="AP186" s="268"/>
      <c r="AQ186" s="268"/>
      <c r="AS186" s="268"/>
      <c r="BE186" s="310">
        <v>-20000</v>
      </c>
      <c r="BH186" s="268"/>
      <c r="BI186" s="268"/>
      <c r="BJ186" s="268"/>
      <c r="BK186" s="268"/>
      <c r="BL186" s="268"/>
      <c r="BM186" s="268"/>
      <c r="BN186" s="268"/>
      <c r="DA186" s="584"/>
      <c r="EN186" s="207"/>
    </row>
    <row r="187" spans="1:144" ht="15" hidden="1">
      <c r="A187" s="687"/>
      <c r="B187" s="282" t="s">
        <v>102</v>
      </c>
      <c r="C187" s="263"/>
      <c r="D187" s="211"/>
      <c r="E187" s="519"/>
      <c r="F187" s="268"/>
      <c r="G187" s="268"/>
      <c r="H187" s="268"/>
      <c r="I187" s="268"/>
      <c r="J187" s="268"/>
      <c r="K187" s="268"/>
      <c r="L187" s="268"/>
      <c r="M187" s="268"/>
      <c r="N187" s="268"/>
      <c r="O187" s="268"/>
      <c r="P187" s="268"/>
      <c r="Q187" s="268"/>
      <c r="R187" s="268"/>
      <c r="S187" s="268"/>
      <c r="T187" s="268"/>
      <c r="U187" s="268"/>
      <c r="V187" s="268"/>
      <c r="W187" s="268"/>
      <c r="X187" s="268"/>
      <c r="Y187" s="268"/>
      <c r="Z187" s="268"/>
      <c r="AA187" s="268"/>
      <c r="AB187" s="268"/>
      <c r="AC187" s="268"/>
      <c r="AD187" s="268"/>
      <c r="AE187" s="268"/>
      <c r="AF187" s="268">
        <v>0</v>
      </c>
      <c r="AG187" s="268">
        <f>1386+616</f>
        <v>2002</v>
      </c>
      <c r="AJ187" s="268"/>
      <c r="AL187" s="268"/>
      <c r="AM187" s="268"/>
      <c r="AN187" s="268"/>
      <c r="AP187" s="268"/>
      <c r="AQ187" s="268"/>
      <c r="AR187" s="268"/>
      <c r="AS187" s="268"/>
      <c r="AU187" s="268"/>
      <c r="AX187" s="268"/>
      <c r="AZ187" s="561"/>
      <c r="BF187" s="268"/>
      <c r="BH187" s="268"/>
      <c r="BI187" s="268"/>
      <c r="BJ187" s="268"/>
      <c r="BK187" s="268"/>
      <c r="BL187" s="268"/>
      <c r="BM187" s="268"/>
      <c r="BN187" s="268"/>
      <c r="DA187" s="584"/>
      <c r="EN187" s="207"/>
    </row>
    <row r="188" spans="1:144" ht="15" hidden="1">
      <c r="A188" s="687"/>
      <c r="B188" s="282" t="s">
        <v>765</v>
      </c>
      <c r="C188" s="263"/>
      <c r="D188" s="211"/>
      <c r="E188" s="519"/>
      <c r="F188" s="268"/>
      <c r="G188" s="268"/>
      <c r="H188" s="268"/>
      <c r="I188" s="268"/>
      <c r="J188" s="268"/>
      <c r="K188" s="268"/>
      <c r="L188" s="268"/>
      <c r="M188" s="268"/>
      <c r="N188" s="268"/>
      <c r="O188" s="268"/>
      <c r="P188" s="268"/>
      <c r="Q188" s="268"/>
      <c r="R188" s="268"/>
      <c r="S188" s="268"/>
      <c r="T188" s="268"/>
      <c r="U188" s="268"/>
      <c r="V188" s="268"/>
      <c r="W188" s="268"/>
      <c r="X188" s="268"/>
      <c r="Y188" s="268"/>
      <c r="Z188" s="268"/>
      <c r="AA188" s="268"/>
      <c r="AB188" s="268"/>
      <c r="AC188" s="268"/>
      <c r="AD188" s="268"/>
      <c r="AE188" s="268"/>
      <c r="AF188" s="268"/>
      <c r="AG188" s="268"/>
      <c r="AJ188" s="268"/>
      <c r="AL188" s="268"/>
      <c r="AM188" s="268"/>
      <c r="AN188" s="268"/>
      <c r="AP188" s="268"/>
      <c r="AQ188" s="268"/>
      <c r="AR188" s="268"/>
      <c r="AS188" s="268"/>
      <c r="AU188" s="268"/>
      <c r="AX188" s="268"/>
      <c r="BG188" s="310">
        <v>2002</v>
      </c>
      <c r="BH188" s="268"/>
      <c r="BI188" s="268"/>
      <c r="BJ188" s="268"/>
      <c r="BK188" s="268"/>
      <c r="BL188" s="268"/>
      <c r="BM188" s="268"/>
      <c r="BN188" s="268"/>
      <c r="CP188" s="3" t="s">
        <v>0</v>
      </c>
      <c r="DA188" s="584"/>
      <c r="EN188" s="207"/>
    </row>
    <row r="189" spans="1:144" ht="15" hidden="1">
      <c r="A189" s="687"/>
      <c r="B189" s="299" t="s">
        <v>95</v>
      </c>
      <c r="C189" s="263"/>
      <c r="D189" s="211"/>
      <c r="E189" s="519"/>
      <c r="F189" s="268"/>
      <c r="G189" s="268"/>
      <c r="H189" s="268"/>
      <c r="I189" s="268"/>
      <c r="J189" s="268"/>
      <c r="K189" s="268"/>
      <c r="L189" s="268"/>
      <c r="M189" s="268"/>
      <c r="N189" s="268"/>
      <c r="O189" s="268"/>
      <c r="P189" s="268"/>
      <c r="Q189" s="268"/>
      <c r="R189" s="268"/>
      <c r="S189" s="268"/>
      <c r="T189" s="268"/>
      <c r="U189" s="268"/>
      <c r="V189" s="268"/>
      <c r="W189" s="268"/>
      <c r="X189" s="268"/>
      <c r="Y189" s="268"/>
      <c r="Z189" s="268"/>
      <c r="AA189" s="268"/>
      <c r="AB189" s="268"/>
      <c r="AC189" s="268"/>
      <c r="AD189" s="268"/>
      <c r="AF189" s="268"/>
      <c r="AG189" s="268"/>
      <c r="AH189" s="268"/>
      <c r="AI189" s="268"/>
      <c r="AJ189" s="268"/>
      <c r="AK189" s="268"/>
      <c r="AL189" s="268"/>
      <c r="AM189" s="268"/>
      <c r="AN189" s="268"/>
      <c r="AO189" s="268"/>
      <c r="AP189" s="268"/>
      <c r="AQ189" s="268"/>
      <c r="AS189" s="268"/>
      <c r="AT189" s="268"/>
      <c r="AU189" s="268"/>
      <c r="AX189" s="268"/>
      <c r="AZ189" s="310">
        <v>-8595</v>
      </c>
      <c r="BA189" s="268"/>
      <c r="BB189" s="268"/>
      <c r="BC189" s="268"/>
      <c r="BD189" s="268"/>
      <c r="BE189" s="268"/>
      <c r="BF189" s="268"/>
      <c r="BH189" s="268"/>
      <c r="BI189" s="268"/>
      <c r="BJ189" s="268"/>
      <c r="BK189" s="268"/>
      <c r="BL189" s="268"/>
      <c r="BM189" s="268"/>
      <c r="BN189" s="268"/>
      <c r="DA189" s="584"/>
      <c r="EN189" s="207"/>
    </row>
    <row r="190" spans="1:144" ht="15" hidden="1">
      <c r="A190" s="687"/>
      <c r="B190" s="299" t="s">
        <v>712</v>
      </c>
      <c r="C190" s="263"/>
      <c r="D190" s="211">
        <v>7000</v>
      </c>
      <c r="E190" s="519"/>
      <c r="F190" s="268"/>
      <c r="G190" s="268"/>
      <c r="H190" s="268"/>
      <c r="I190" s="268"/>
      <c r="J190" s="268"/>
      <c r="K190" s="268"/>
      <c r="L190" s="268"/>
      <c r="M190" s="268"/>
      <c r="N190" s="268"/>
      <c r="O190" s="268"/>
      <c r="P190" s="268"/>
      <c r="Q190" s="268"/>
      <c r="R190" s="268"/>
      <c r="S190" s="268"/>
      <c r="T190" s="268"/>
      <c r="U190" s="268"/>
      <c r="V190" s="268"/>
      <c r="W190" s="268"/>
      <c r="X190" s="268"/>
      <c r="Y190" s="268"/>
      <c r="Z190" s="268"/>
      <c r="AA190" s="268"/>
      <c r="AB190" s="268"/>
      <c r="AC190" s="268"/>
      <c r="AD190" s="268"/>
      <c r="AF190" s="268"/>
      <c r="AG190" s="268"/>
      <c r="AH190" s="268"/>
      <c r="AI190" s="268"/>
      <c r="AJ190" s="268"/>
      <c r="AK190" s="268"/>
      <c r="AL190" s="268"/>
      <c r="AM190" s="268"/>
      <c r="AN190" s="268"/>
      <c r="AO190" s="268"/>
      <c r="AP190" s="268"/>
      <c r="AQ190" s="268"/>
      <c r="AS190" s="268"/>
      <c r="AT190" s="268"/>
      <c r="AU190" s="268"/>
      <c r="AV190" s="562" t="s">
        <v>716</v>
      </c>
      <c r="AW190" s="561"/>
      <c r="AX190" s="268"/>
      <c r="AY190" s="268"/>
      <c r="AZ190" s="268"/>
      <c r="BA190" s="269">
        <v>8641.08</v>
      </c>
      <c r="BC190" s="268"/>
      <c r="BD190" s="268"/>
      <c r="BE190" s="268"/>
      <c r="BG190" s="269">
        <v>4158</v>
      </c>
      <c r="BH190" s="268"/>
      <c r="BI190" s="268"/>
      <c r="BJ190" s="268"/>
      <c r="BK190" s="268"/>
      <c r="BL190" s="268"/>
      <c r="BM190" s="268"/>
      <c r="BN190" s="268"/>
      <c r="DA190" s="584"/>
      <c r="EN190" s="207"/>
    </row>
    <row r="191" spans="1:144" ht="15" hidden="1">
      <c r="A191" s="687"/>
      <c r="B191" s="299" t="s">
        <v>767</v>
      </c>
      <c r="C191" s="263"/>
      <c r="D191" s="211"/>
      <c r="E191" s="519"/>
      <c r="F191" s="268"/>
      <c r="G191" s="268"/>
      <c r="H191" s="268"/>
      <c r="I191" s="268"/>
      <c r="J191" s="268"/>
      <c r="K191" s="268"/>
      <c r="L191" s="268"/>
      <c r="M191" s="268"/>
      <c r="N191" s="268"/>
      <c r="O191" s="268"/>
      <c r="P191" s="268"/>
      <c r="Q191" s="268"/>
      <c r="R191" s="268"/>
      <c r="S191" s="268"/>
      <c r="T191" s="268"/>
      <c r="U191" s="268"/>
      <c r="V191" s="268"/>
      <c r="W191" s="268"/>
      <c r="X191" s="268"/>
      <c r="Y191" s="268"/>
      <c r="Z191" s="268"/>
      <c r="AA191" s="268"/>
      <c r="AB191" s="268"/>
      <c r="AC191" s="268"/>
      <c r="AD191" s="268"/>
      <c r="AF191" s="268"/>
      <c r="AG191" s="268"/>
      <c r="AH191" s="268"/>
      <c r="AI191" s="268"/>
      <c r="AJ191" s="268"/>
      <c r="AK191" s="268"/>
      <c r="AL191" s="268"/>
      <c r="AM191" s="268"/>
      <c r="AN191" s="268"/>
      <c r="AO191" s="268"/>
      <c r="AP191" s="268"/>
      <c r="AQ191" s="268"/>
      <c r="AS191" s="268"/>
      <c r="AT191" s="268"/>
      <c r="AU191" s="268"/>
      <c r="AV191" s="277"/>
      <c r="AW191" s="563"/>
      <c r="AX191" s="268"/>
      <c r="AY191" s="268"/>
      <c r="AZ191" s="268"/>
      <c r="BB191" s="559"/>
      <c r="BC191" s="268"/>
      <c r="BD191" s="268"/>
      <c r="BE191" s="268"/>
      <c r="BF191" s="268"/>
      <c r="BG191" s="268"/>
      <c r="BH191" s="268"/>
      <c r="BJ191" s="268"/>
      <c r="BK191" s="268"/>
      <c r="BN191" s="268"/>
      <c r="BT191" s="269">
        <v>10000</v>
      </c>
      <c r="BZ191" s="269">
        <f>18788-BT191</f>
        <v>8788</v>
      </c>
      <c r="DA191" s="584"/>
      <c r="EN191" s="207"/>
    </row>
    <row r="192" spans="1:144" ht="15" hidden="1">
      <c r="A192" s="687"/>
      <c r="B192" s="299" t="s">
        <v>739</v>
      </c>
      <c r="C192" s="263"/>
      <c r="D192" s="211">
        <v>7200</v>
      </c>
      <c r="E192" s="519"/>
      <c r="F192" s="268"/>
      <c r="G192" s="268"/>
      <c r="H192" s="268"/>
      <c r="I192" s="268"/>
      <c r="J192" s="268"/>
      <c r="K192" s="268"/>
      <c r="L192" s="268"/>
      <c r="M192" s="268"/>
      <c r="N192" s="268"/>
      <c r="O192" s="268"/>
      <c r="P192" s="268"/>
      <c r="Q192" s="268"/>
      <c r="R192" s="268"/>
      <c r="S192" s="268"/>
      <c r="T192" s="268"/>
      <c r="U192" s="268"/>
      <c r="V192" s="268"/>
      <c r="W192" s="268"/>
      <c r="X192" s="268"/>
      <c r="Y192" s="268"/>
      <c r="Z192" s="268"/>
      <c r="AA192" s="268"/>
      <c r="AB192" s="268"/>
      <c r="AC192" s="268"/>
      <c r="AD192" s="268"/>
      <c r="AF192" s="268"/>
      <c r="AG192" s="268"/>
      <c r="AH192" s="268"/>
      <c r="AI192" s="268"/>
      <c r="AJ192" s="268"/>
      <c r="AK192" s="268"/>
      <c r="AL192" s="268"/>
      <c r="AM192" s="268"/>
      <c r="AN192" s="268"/>
      <c r="AO192" s="268"/>
      <c r="AP192" s="268"/>
      <c r="AQ192" s="268"/>
      <c r="AS192" s="268"/>
      <c r="AT192" s="268"/>
      <c r="AU192" s="268"/>
      <c r="AV192" s="277"/>
      <c r="AW192" s="561"/>
      <c r="AX192" s="268"/>
      <c r="AY192" s="268"/>
      <c r="AZ192" s="268"/>
      <c r="BA192" s="268"/>
      <c r="BB192" s="559" t="s">
        <v>741</v>
      </c>
      <c r="BC192" s="268"/>
      <c r="BD192" s="268"/>
      <c r="BE192" s="268"/>
      <c r="BF192" s="268"/>
      <c r="BG192" s="269">
        <v>7377.5</v>
      </c>
      <c r="BH192" s="268"/>
      <c r="BI192" s="268"/>
      <c r="BJ192" s="268"/>
      <c r="BK192" s="268"/>
      <c r="BL192" s="268"/>
      <c r="BM192" s="268"/>
      <c r="BN192" s="268"/>
      <c r="BP192" s="268"/>
      <c r="DA192" s="584"/>
      <c r="EN192" s="207"/>
    </row>
    <row r="193" spans="1:144" ht="15" hidden="1">
      <c r="A193" s="687"/>
      <c r="B193" s="299" t="s">
        <v>789</v>
      </c>
      <c r="C193" s="263"/>
      <c r="D193" s="211">
        <v>30000</v>
      </c>
      <c r="E193" s="519"/>
      <c r="F193" s="268"/>
      <c r="G193" s="268"/>
      <c r="H193" s="268"/>
      <c r="I193" s="268"/>
      <c r="J193" s="268"/>
      <c r="K193" s="268"/>
      <c r="L193" s="268"/>
      <c r="M193" s="268"/>
      <c r="N193" s="268"/>
      <c r="O193" s="268"/>
      <c r="P193" s="268"/>
      <c r="Q193" s="268"/>
      <c r="R193" s="268"/>
      <c r="S193" s="268"/>
      <c r="T193" s="268"/>
      <c r="U193" s="268"/>
      <c r="V193" s="268"/>
      <c r="W193" s="268"/>
      <c r="X193" s="268"/>
      <c r="Y193" s="268"/>
      <c r="Z193" s="268"/>
      <c r="AA193" s="268"/>
      <c r="AB193" s="268"/>
      <c r="AC193" s="268"/>
      <c r="AD193" s="268"/>
      <c r="AF193" s="268"/>
      <c r="AG193" s="268"/>
      <c r="AH193" s="268"/>
      <c r="AI193" s="268"/>
      <c r="AJ193" s="268"/>
      <c r="AK193" s="268"/>
      <c r="AL193" s="268"/>
      <c r="AM193" s="268"/>
      <c r="AN193" s="268"/>
      <c r="AO193" s="268"/>
      <c r="AP193" s="268"/>
      <c r="AQ193" s="268"/>
      <c r="AS193" s="268"/>
      <c r="AT193" s="268"/>
      <c r="AU193" s="268"/>
      <c r="AV193" s="277"/>
      <c r="AW193" s="561"/>
      <c r="AX193" s="268"/>
      <c r="AY193" s="268"/>
      <c r="AZ193" s="268"/>
      <c r="BA193" s="268"/>
      <c r="BB193" s="559"/>
      <c r="BC193" s="268"/>
      <c r="BD193" s="268"/>
      <c r="BE193" s="268"/>
      <c r="BF193" s="268"/>
      <c r="BG193" s="268"/>
      <c r="BH193" s="268"/>
      <c r="BI193" s="268"/>
      <c r="BJ193" s="268"/>
      <c r="BK193" s="268"/>
      <c r="BL193" s="268"/>
      <c r="BM193" s="268"/>
      <c r="BN193" s="268"/>
      <c r="BP193" s="268" t="s">
        <v>0</v>
      </c>
      <c r="BS193" s="269">
        <f>12500+17500</f>
        <v>30000</v>
      </c>
      <c r="BT193" s="268" t="s">
        <v>0</v>
      </c>
      <c r="BU193" s="268"/>
      <c r="DA193" s="584"/>
      <c r="EN193" s="207"/>
    </row>
    <row r="194" spans="1:144" ht="15" hidden="1">
      <c r="A194" s="687"/>
      <c r="B194" s="299" t="s">
        <v>788</v>
      </c>
      <c r="C194" s="263"/>
      <c r="D194" s="211"/>
      <c r="E194" s="519"/>
      <c r="F194" s="268"/>
      <c r="G194" s="268"/>
      <c r="H194" s="268"/>
      <c r="I194" s="268"/>
      <c r="J194" s="268"/>
      <c r="K194" s="268"/>
      <c r="L194" s="268"/>
      <c r="M194" s="268"/>
      <c r="N194" s="268"/>
      <c r="O194" s="268"/>
      <c r="P194" s="268"/>
      <c r="Q194" s="268"/>
      <c r="R194" s="268"/>
      <c r="S194" s="268"/>
      <c r="T194" s="268"/>
      <c r="U194" s="268"/>
      <c r="V194" s="268"/>
      <c r="W194" s="268"/>
      <c r="X194" s="268"/>
      <c r="Y194" s="268"/>
      <c r="Z194" s="268"/>
      <c r="AA194" s="268"/>
      <c r="AB194" s="268"/>
      <c r="AC194" s="268"/>
      <c r="AD194" s="268"/>
      <c r="AF194" s="268"/>
      <c r="AG194" s="268"/>
      <c r="AH194" s="268"/>
      <c r="AI194" s="268"/>
      <c r="AJ194" s="268"/>
      <c r="AK194" s="268"/>
      <c r="AL194" s="268"/>
      <c r="AM194" s="268"/>
      <c r="AN194" s="268"/>
      <c r="AO194" s="268"/>
      <c r="AP194" s="268"/>
      <c r="AQ194" s="268"/>
      <c r="AS194" s="268"/>
      <c r="AT194" s="268"/>
      <c r="AU194" s="268"/>
      <c r="AV194" s="277"/>
      <c r="AW194" s="561"/>
      <c r="AX194" s="268"/>
      <c r="AY194" s="268"/>
      <c r="AZ194" s="268"/>
      <c r="BA194" s="268"/>
      <c r="BB194" s="559"/>
      <c r="BC194" s="268"/>
      <c r="BD194" s="268"/>
      <c r="BE194" s="268"/>
      <c r="BF194" s="268"/>
      <c r="BG194" s="268"/>
      <c r="BH194" s="268"/>
      <c r="BI194" s="268"/>
      <c r="BJ194" s="268"/>
      <c r="BK194" s="268"/>
      <c r="BL194" s="268"/>
      <c r="BM194" s="268"/>
      <c r="BN194" s="268"/>
      <c r="BP194" s="268"/>
      <c r="BS194" s="269">
        <v>1650</v>
      </c>
      <c r="BT194" s="268"/>
      <c r="BU194" s="268"/>
      <c r="BZ194" s="268"/>
      <c r="DA194" s="584"/>
      <c r="EN194" s="207"/>
    </row>
    <row r="195" spans="1:144" ht="15" hidden="1">
      <c r="A195" s="687"/>
      <c r="B195" s="299" t="s">
        <v>790</v>
      </c>
      <c r="C195" s="263"/>
      <c r="D195" s="211">
        <v>20000</v>
      </c>
      <c r="E195" s="519"/>
      <c r="F195" s="268"/>
      <c r="G195" s="268"/>
      <c r="H195" s="268"/>
      <c r="I195" s="268"/>
      <c r="J195" s="268"/>
      <c r="K195" s="268"/>
      <c r="L195" s="268"/>
      <c r="M195" s="268"/>
      <c r="N195" s="268"/>
      <c r="O195" s="268"/>
      <c r="P195" s="268"/>
      <c r="Q195" s="268"/>
      <c r="R195" s="268"/>
      <c r="S195" s="268"/>
      <c r="T195" s="268"/>
      <c r="U195" s="268"/>
      <c r="V195" s="268"/>
      <c r="W195" s="268"/>
      <c r="X195" s="268"/>
      <c r="Y195" s="268"/>
      <c r="Z195" s="268"/>
      <c r="AA195" s="268"/>
      <c r="AB195" s="268"/>
      <c r="AC195" s="268"/>
      <c r="AD195" s="268"/>
      <c r="AF195" s="268"/>
      <c r="AG195" s="268"/>
      <c r="AH195" s="268"/>
      <c r="AI195" s="268"/>
      <c r="AJ195" s="268"/>
      <c r="AK195" s="268"/>
      <c r="AL195" s="268"/>
      <c r="AM195" s="268"/>
      <c r="AN195" s="268"/>
      <c r="AO195" s="268"/>
      <c r="AP195" s="268"/>
      <c r="AQ195" s="268"/>
      <c r="AS195" s="268"/>
      <c r="AT195" s="268"/>
      <c r="AU195" s="268"/>
      <c r="AV195" s="277"/>
      <c r="AW195" s="561"/>
      <c r="AX195" s="268"/>
      <c r="AY195" s="268"/>
      <c r="AZ195" s="268"/>
      <c r="BA195" s="268"/>
      <c r="BB195" s="559"/>
      <c r="BC195" s="268"/>
      <c r="BD195" s="268"/>
      <c r="BE195" s="268"/>
      <c r="BF195" s="268"/>
      <c r="BG195" s="268"/>
      <c r="BH195" s="268"/>
      <c r="BI195" s="268"/>
      <c r="BJ195" s="268"/>
      <c r="BK195" s="268"/>
      <c r="BL195" s="268"/>
      <c r="BM195" s="268"/>
      <c r="BN195" s="268"/>
      <c r="BP195" s="268"/>
      <c r="BS195" s="269">
        <v>18000</v>
      </c>
      <c r="BV195" s="268"/>
      <c r="BW195" s="268"/>
      <c r="CA195" s="269">
        <v>5145.3599999999997</v>
      </c>
      <c r="DA195" s="584"/>
      <c r="EN195" s="207"/>
    </row>
    <row r="196" spans="1:144" ht="12" hidden="1" customHeight="1">
      <c r="A196" s="687"/>
      <c r="B196" s="299" t="s">
        <v>715</v>
      </c>
      <c r="C196" s="263"/>
      <c r="D196" s="211">
        <v>3866</v>
      </c>
      <c r="E196" s="519"/>
      <c r="F196" s="268"/>
      <c r="G196" s="268"/>
      <c r="H196" s="268"/>
      <c r="I196" s="268"/>
      <c r="J196" s="268"/>
      <c r="K196" s="268"/>
      <c r="L196" s="268"/>
      <c r="M196" s="268"/>
      <c r="N196" s="268"/>
      <c r="O196" s="268"/>
      <c r="P196" s="268"/>
      <c r="Q196" s="268"/>
      <c r="R196" s="268"/>
      <c r="S196" s="268"/>
      <c r="T196" s="268"/>
      <c r="U196" s="268"/>
      <c r="V196" s="268"/>
      <c r="W196" s="268"/>
      <c r="X196" s="268"/>
      <c r="Y196" s="268"/>
      <c r="Z196" s="268"/>
      <c r="AA196" s="268"/>
      <c r="AB196" s="268"/>
      <c r="AC196" s="268"/>
      <c r="AD196" s="268"/>
      <c r="AF196" s="268"/>
      <c r="AG196" s="268"/>
      <c r="AH196" s="268"/>
      <c r="AI196" s="268"/>
      <c r="AJ196" s="268"/>
      <c r="AK196" s="268"/>
      <c r="AL196" s="268"/>
      <c r="AM196" s="268"/>
      <c r="AN196" s="268"/>
      <c r="AO196" s="268"/>
      <c r="AP196" s="268"/>
      <c r="AQ196" s="268"/>
      <c r="AS196" s="268"/>
      <c r="AT196" s="268"/>
      <c r="AU196" s="268"/>
      <c r="AV196" s="277"/>
      <c r="AW196" s="561"/>
      <c r="AY196" s="269">
        <v>-1500</v>
      </c>
      <c r="AZ196" s="268"/>
      <c r="BB196" s="269">
        <v>3244</v>
      </c>
      <c r="BC196" s="268"/>
      <c r="BD196" s="268"/>
      <c r="BE196" s="268"/>
      <c r="BF196" s="268"/>
      <c r="BG196" s="268"/>
      <c r="BH196" s="268"/>
      <c r="BK196" s="268"/>
      <c r="BM196" s="268"/>
      <c r="BN196" s="268"/>
      <c r="BO196" s="269">
        <v>778</v>
      </c>
      <c r="CK196" s="3" t="s">
        <v>0</v>
      </c>
      <c r="DA196" s="584"/>
      <c r="EN196" s="207"/>
    </row>
    <row r="197" spans="1:144" ht="12" hidden="1" customHeight="1">
      <c r="A197" s="687"/>
      <c r="B197" s="299" t="s">
        <v>104</v>
      </c>
      <c r="C197" s="263">
        <v>26219</v>
      </c>
      <c r="D197" s="211">
        <f>C197</f>
        <v>26219</v>
      </c>
      <c r="E197" s="519"/>
      <c r="F197" s="268"/>
      <c r="G197" s="268"/>
      <c r="H197" s="268"/>
      <c r="I197" s="268"/>
      <c r="J197" s="268"/>
      <c r="K197" s="268"/>
      <c r="L197" s="268"/>
      <c r="M197" s="268"/>
      <c r="N197" s="268"/>
      <c r="O197" s="268"/>
      <c r="P197" s="268"/>
      <c r="Q197" s="268"/>
      <c r="R197" s="268"/>
      <c r="T197" s="268"/>
      <c r="V197" s="268"/>
      <c r="W197" s="268"/>
      <c r="X197" s="268"/>
      <c r="Y197" s="268"/>
      <c r="Z197" s="268">
        <v>0</v>
      </c>
      <c r="AA197" s="268"/>
      <c r="AB197" s="268"/>
      <c r="AC197" s="268"/>
      <c r="AD197" s="268"/>
      <c r="AE197" s="269">
        <v>22957</v>
      </c>
      <c r="AF197" s="268">
        <v>0</v>
      </c>
      <c r="AG197" s="268"/>
      <c r="AH197" s="268"/>
      <c r="AI197" s="268"/>
      <c r="AJ197" s="269">
        <v>3000</v>
      </c>
      <c r="AK197" s="268"/>
      <c r="AL197" s="268"/>
      <c r="AM197" s="268"/>
      <c r="AN197" s="268"/>
      <c r="AO197" s="268"/>
      <c r="AP197" s="268"/>
      <c r="AQ197" s="268"/>
      <c r="AR197" s="268"/>
      <c r="AS197" s="268"/>
      <c r="AT197" s="268"/>
      <c r="AU197" s="268"/>
      <c r="AV197" s="268"/>
      <c r="AW197" s="275"/>
      <c r="AX197" s="268"/>
      <c r="AY197" s="268"/>
      <c r="AZ197" s="268"/>
      <c r="BA197" s="268"/>
      <c r="BB197" s="268"/>
      <c r="BC197" s="268"/>
      <c r="BD197" s="268"/>
      <c r="BE197" s="268"/>
      <c r="BF197" s="268"/>
      <c r="BG197" s="268"/>
      <c r="BH197" s="268"/>
      <c r="BI197" s="268"/>
      <c r="BJ197" s="268"/>
      <c r="BK197" s="268"/>
      <c r="BL197" s="268"/>
      <c r="BM197" s="268"/>
      <c r="BN197" s="268"/>
      <c r="BV197" s="3" t="s">
        <v>0</v>
      </c>
      <c r="DA197" s="584"/>
      <c r="EN197" s="207"/>
    </row>
    <row r="198" spans="1:144" ht="15" hidden="1">
      <c r="A198" s="687"/>
      <c r="B198" s="282" t="s">
        <v>110</v>
      </c>
      <c r="C198" s="263"/>
      <c r="D198" s="211">
        <v>8683</v>
      </c>
      <c r="E198" s="519" t="s">
        <v>0</v>
      </c>
      <c r="F198" s="268"/>
      <c r="G198" s="268"/>
      <c r="H198" s="268"/>
      <c r="I198" s="268"/>
      <c r="J198" s="268"/>
      <c r="K198" s="268"/>
      <c r="L198" s="268"/>
      <c r="M198" s="268"/>
      <c r="N198" s="268"/>
      <c r="O198" s="268"/>
      <c r="P198" s="268"/>
      <c r="R198" s="268"/>
      <c r="S198" s="268"/>
      <c r="T198" s="268"/>
      <c r="U198" s="268" t="s">
        <v>0</v>
      </c>
      <c r="V198" s="268">
        <v>0</v>
      </c>
      <c r="W198" s="268"/>
      <c r="X198" s="268"/>
      <c r="Z198" s="268"/>
      <c r="AB198" s="268">
        <v>0</v>
      </c>
      <c r="AC198" s="269">
        <v>8683</v>
      </c>
      <c r="AD198" s="268"/>
      <c r="AE198" s="268"/>
      <c r="AF198" s="268"/>
      <c r="AG198" s="268"/>
      <c r="AH198" s="268"/>
      <c r="AI198" s="268"/>
      <c r="AJ198" s="268"/>
      <c r="AK198" s="268"/>
      <c r="AL198" s="268"/>
      <c r="AM198" s="268"/>
      <c r="AN198" s="268"/>
      <c r="AP198" s="268"/>
      <c r="AQ198" s="268"/>
      <c r="AR198" s="268"/>
      <c r="AS198" s="268"/>
      <c r="AT198" s="268"/>
      <c r="AU198" s="268"/>
      <c r="AV198" s="268"/>
      <c r="AW198" s="275"/>
      <c r="AX198" s="268"/>
      <c r="AY198" s="268"/>
      <c r="AZ198" s="268"/>
      <c r="BA198" s="268"/>
      <c r="BB198" s="268"/>
      <c r="BC198" s="268"/>
      <c r="BD198" s="268"/>
      <c r="BE198" s="268"/>
      <c r="BF198" s="268"/>
      <c r="BG198" s="268"/>
      <c r="BH198" s="268"/>
      <c r="BI198" s="268"/>
      <c r="BJ198" s="268"/>
      <c r="BK198" s="268"/>
      <c r="BL198" s="268"/>
      <c r="BM198" s="268"/>
      <c r="BN198" s="268"/>
      <c r="DA198" s="584"/>
      <c r="EN198" s="207"/>
    </row>
    <row r="199" spans="1:144" ht="15" hidden="1">
      <c r="A199" s="687"/>
      <c r="B199" s="282" t="s">
        <v>111</v>
      </c>
      <c r="C199" s="211"/>
      <c r="D199" s="211">
        <v>102000</v>
      </c>
      <c r="E199" s="519"/>
      <c r="F199" s="268"/>
      <c r="G199" s="268"/>
      <c r="H199" s="268"/>
      <c r="I199" s="268"/>
      <c r="J199" s="268"/>
      <c r="K199" s="268"/>
      <c r="L199" s="268"/>
      <c r="M199" s="268"/>
      <c r="N199" s="268"/>
      <c r="O199" s="268"/>
      <c r="P199" s="268"/>
      <c r="R199" s="268"/>
      <c r="S199" s="268"/>
      <c r="T199" s="268"/>
      <c r="U199" s="268"/>
      <c r="V199" s="268"/>
      <c r="W199" s="268"/>
      <c r="X199" s="268"/>
      <c r="Y199" s="268"/>
      <c r="Z199" s="268"/>
      <c r="AA199" s="268"/>
      <c r="AC199" s="268"/>
      <c r="AD199" s="268"/>
      <c r="AE199" s="269">
        <v>33260.31</v>
      </c>
      <c r="AG199" s="268"/>
      <c r="AH199" s="268"/>
      <c r="AK199" s="269">
        <v>15421.65</v>
      </c>
      <c r="AL199" s="268"/>
      <c r="AM199" s="268"/>
      <c r="AP199" s="269">
        <v>48107</v>
      </c>
      <c r="AQ199" s="268"/>
      <c r="AU199" s="268" t="s">
        <v>0</v>
      </c>
      <c r="AY199" s="310">
        <v>3355.57</v>
      </c>
      <c r="AZ199" s="268"/>
      <c r="BA199" s="268"/>
      <c r="BB199" s="268"/>
      <c r="BC199" s="268"/>
      <c r="BD199" s="268"/>
      <c r="BE199" s="268"/>
      <c r="BF199" s="268"/>
      <c r="BG199" s="268"/>
      <c r="BH199" s="268"/>
      <c r="BI199" s="268"/>
      <c r="BJ199" s="268"/>
      <c r="BK199" s="268"/>
      <c r="BL199" s="268"/>
      <c r="BM199" s="268"/>
      <c r="BN199" s="268"/>
      <c r="CK199" s="268" t="s">
        <v>0</v>
      </c>
      <c r="CL199" s="268"/>
      <c r="CM199" s="268"/>
      <c r="CN199" s="268"/>
      <c r="CO199" s="268"/>
      <c r="DA199" s="584"/>
      <c r="EN199" s="207"/>
    </row>
    <row r="200" spans="1:144" ht="15" hidden="1">
      <c r="A200" s="687"/>
      <c r="B200" s="282" t="s">
        <v>112</v>
      </c>
      <c r="C200" s="211"/>
      <c r="D200" s="211"/>
      <c r="E200" s="519"/>
      <c r="F200" s="268"/>
      <c r="G200" s="268"/>
      <c r="H200" s="268"/>
      <c r="I200" s="268"/>
      <c r="J200" s="268"/>
      <c r="K200" s="268"/>
      <c r="L200" s="268"/>
      <c r="M200" s="268"/>
      <c r="N200" s="268"/>
      <c r="O200" s="268"/>
      <c r="P200" s="268"/>
      <c r="R200" s="268"/>
      <c r="S200" s="268"/>
      <c r="T200" s="268"/>
      <c r="U200" s="268"/>
      <c r="V200" s="268"/>
      <c r="W200" s="268"/>
      <c r="X200" s="268"/>
      <c r="Y200" s="268"/>
      <c r="Z200" s="268"/>
      <c r="AA200" s="268"/>
      <c r="AC200" s="268"/>
      <c r="AD200" s="268"/>
      <c r="AE200" s="268"/>
      <c r="AG200" s="268"/>
      <c r="AH200" s="268"/>
      <c r="AK200" s="268"/>
      <c r="AL200" s="268"/>
      <c r="AM200" s="268"/>
      <c r="AN200" s="269">
        <v>4742</v>
      </c>
      <c r="AP200" s="268"/>
      <c r="AQ200" s="268"/>
      <c r="AR200" s="268"/>
      <c r="AS200" s="268"/>
      <c r="AT200" s="268"/>
      <c r="AU200" s="268"/>
      <c r="AV200" s="268"/>
      <c r="AW200" s="275"/>
      <c r="AX200" s="268"/>
      <c r="AY200" s="268"/>
      <c r="AZ200" s="268"/>
      <c r="BA200" s="268"/>
      <c r="BB200" s="268"/>
      <c r="BC200" s="268"/>
      <c r="BD200" s="268"/>
      <c r="BE200" s="268"/>
      <c r="BF200" s="268"/>
      <c r="BG200" s="268"/>
      <c r="BH200" s="268"/>
      <c r="BI200" s="268"/>
      <c r="BJ200" s="268"/>
      <c r="BK200" s="268"/>
      <c r="BL200" s="268"/>
      <c r="BM200" s="268"/>
      <c r="BN200" s="268"/>
      <c r="DA200" s="584"/>
      <c r="EN200" s="207"/>
    </row>
    <row r="201" spans="1:144" ht="13.25" hidden="1" customHeight="1">
      <c r="A201" s="687"/>
      <c r="C201" s="211"/>
      <c r="D201" s="211"/>
      <c r="E201" s="519"/>
      <c r="F201" s="268"/>
      <c r="G201" s="268"/>
      <c r="H201" s="268"/>
      <c r="I201" s="268"/>
      <c r="J201" s="268"/>
      <c r="K201" s="268"/>
      <c r="L201" s="268"/>
      <c r="M201" s="268"/>
      <c r="N201" s="268"/>
      <c r="O201" s="268"/>
      <c r="P201" s="268"/>
      <c r="R201" s="268"/>
      <c r="S201" s="268"/>
      <c r="T201" s="268"/>
      <c r="U201" s="268"/>
      <c r="V201" s="268"/>
      <c r="W201" s="268"/>
      <c r="X201" s="268"/>
      <c r="Y201" s="268"/>
      <c r="Z201" s="268"/>
      <c r="AA201" s="268"/>
      <c r="AB201" s="268"/>
      <c r="AC201" s="268"/>
      <c r="AD201" s="268"/>
      <c r="AE201" s="268"/>
      <c r="AG201" s="268"/>
      <c r="AH201" s="268"/>
      <c r="AI201" s="268"/>
      <c r="AJ201" s="268"/>
      <c r="AK201" s="268"/>
      <c r="AL201" s="268"/>
      <c r="AM201" s="268"/>
      <c r="AN201" s="268"/>
      <c r="AP201" s="268"/>
      <c r="AQ201" s="268"/>
      <c r="AR201" s="269"/>
      <c r="AS201" s="268"/>
      <c r="AT201" s="268"/>
      <c r="AU201" s="268"/>
      <c r="AW201" s="310"/>
      <c r="AX201" s="268"/>
      <c r="AY201" s="268"/>
      <c r="AZ201" s="268"/>
      <c r="BA201" s="269"/>
      <c r="BB201" s="268"/>
      <c r="BC201" s="268"/>
      <c r="BD201" s="268"/>
      <c r="BE201" s="268"/>
      <c r="BF201" s="268"/>
      <c r="BH201" s="268"/>
      <c r="BK201" s="268"/>
      <c r="BN201" s="268"/>
      <c r="BO201" s="269"/>
      <c r="DA201" s="584"/>
      <c r="EN201" s="207"/>
    </row>
    <row r="202" spans="1:144" ht="13" customHeight="1" outlineLevel="1">
      <c r="A202" s="687"/>
      <c r="B202" s="299" t="s">
        <v>118</v>
      </c>
      <c r="C202" s="263">
        <v>13205</v>
      </c>
      <c r="D202" s="211">
        <f t="shared" ref="D202:D207" si="0">C202*0.8</f>
        <v>10564</v>
      </c>
      <c r="E202" s="519"/>
      <c r="F202" s="268"/>
      <c r="G202" s="268"/>
      <c r="H202" s="268"/>
      <c r="I202" s="269">
        <f>D202</f>
        <v>10564</v>
      </c>
      <c r="J202" s="268"/>
      <c r="K202" s="268"/>
      <c r="L202" s="268"/>
      <c r="M202" s="268"/>
      <c r="N202" s="268"/>
      <c r="O202" s="268"/>
      <c r="P202" s="268"/>
      <c r="Q202" s="268"/>
      <c r="R202" s="268"/>
      <c r="S202" s="268"/>
      <c r="T202" s="268"/>
      <c r="U202" s="268"/>
      <c r="V202" s="268"/>
      <c r="W202" s="268"/>
      <c r="X202" s="268"/>
      <c r="Y202" s="268"/>
      <c r="Z202" s="268"/>
      <c r="AA202" s="268"/>
      <c r="AB202" s="268"/>
      <c r="AC202" s="268"/>
      <c r="AD202" s="268"/>
      <c r="AE202" s="268"/>
      <c r="AF202" s="268"/>
      <c r="AG202" s="268"/>
      <c r="AH202" s="268"/>
      <c r="AI202" s="268"/>
      <c r="AJ202" s="268"/>
      <c r="AK202" s="268"/>
      <c r="AL202" s="268"/>
      <c r="AM202" s="268"/>
      <c r="AN202" s="268"/>
      <c r="AO202" s="268"/>
      <c r="AP202" s="268"/>
      <c r="AQ202" s="268"/>
      <c r="AR202" s="268"/>
      <c r="AS202" s="268"/>
      <c r="AT202" s="268"/>
      <c r="AU202" s="268"/>
      <c r="AV202" s="268"/>
      <c r="AW202" s="275"/>
      <c r="AX202" s="268"/>
      <c r="AY202" s="268"/>
      <c r="AZ202" s="268"/>
      <c r="BA202" s="268"/>
      <c r="BB202" s="268"/>
      <c r="BC202" s="268"/>
      <c r="BD202" s="268"/>
      <c r="BE202" s="268"/>
      <c r="BF202" s="268"/>
      <c r="BG202" s="268"/>
      <c r="BH202" s="268"/>
      <c r="BI202" s="268"/>
      <c r="BJ202" s="268"/>
      <c r="BK202" s="268"/>
      <c r="BL202" s="268"/>
      <c r="BM202" s="268"/>
      <c r="BN202" s="268"/>
      <c r="DA202" s="584"/>
      <c r="EN202" s="207"/>
    </row>
    <row r="203" spans="1:144" s="211" customFormat="1" ht="13" customHeight="1" outlineLevel="1">
      <c r="A203" s="687"/>
      <c r="B203" s="616" t="s">
        <v>119</v>
      </c>
      <c r="C203" s="211">
        <f>6500+1500</f>
        <v>8000</v>
      </c>
      <c r="D203" s="211">
        <f t="shared" si="0"/>
        <v>6400</v>
      </c>
      <c r="E203" s="519"/>
      <c r="F203" s="272">
        <v>6184</v>
      </c>
      <c r="G203" s="268"/>
      <c r="H203" s="273" t="s">
        <v>0</v>
      </c>
      <c r="I203" s="273"/>
      <c r="J203" s="273"/>
      <c r="K203" s="273"/>
      <c r="L203" s="273"/>
      <c r="M203" s="273"/>
      <c r="N203" s="273"/>
      <c r="O203" s="273"/>
      <c r="P203" s="273"/>
      <c r="Q203" s="273"/>
      <c r="R203" s="273"/>
      <c r="S203" s="273" t="s">
        <v>0</v>
      </c>
      <c r="T203" s="273"/>
      <c r="U203" s="273"/>
      <c r="V203" s="273"/>
      <c r="W203" s="273"/>
      <c r="X203" s="273"/>
      <c r="Y203" s="273"/>
      <c r="Z203" s="273"/>
      <c r="AA203" s="273"/>
      <c r="AB203" s="273"/>
      <c r="AC203" s="273"/>
      <c r="AD203" s="273"/>
      <c r="AE203" s="273"/>
      <c r="AF203" s="273"/>
      <c r="AG203" s="273"/>
      <c r="AH203" s="273"/>
      <c r="AI203" s="273"/>
      <c r="AJ203" s="273"/>
      <c r="AK203" s="273"/>
      <c r="AL203" s="273"/>
      <c r="AM203" s="273"/>
      <c r="AN203" s="273"/>
      <c r="AO203" s="268"/>
      <c r="AP203" s="268"/>
      <c r="AQ203" s="268"/>
      <c r="AR203" s="268"/>
      <c r="AS203" s="268"/>
      <c r="AT203" s="268"/>
      <c r="AU203" s="268"/>
      <c r="AV203" s="268"/>
      <c r="AW203" s="275"/>
      <c r="AX203" s="268"/>
      <c r="AY203" s="268"/>
      <c r="AZ203" s="268"/>
      <c r="BA203" s="268"/>
      <c r="BB203" s="268"/>
      <c r="BC203" s="268"/>
      <c r="BD203" s="268"/>
      <c r="BE203" s="268"/>
      <c r="BF203" s="268"/>
      <c r="BG203" s="268"/>
      <c r="BH203" s="268"/>
      <c r="BI203" s="268"/>
      <c r="BJ203" s="268"/>
      <c r="BK203" s="268"/>
      <c r="BL203" s="268"/>
      <c r="BM203" s="268"/>
      <c r="BN203" s="268"/>
      <c r="DA203" s="583"/>
      <c r="EN203" s="351"/>
    </row>
    <row r="204" spans="1:144" ht="13" customHeight="1" outlineLevel="1">
      <c r="A204" s="687"/>
      <c r="B204" s="299" t="s">
        <v>120</v>
      </c>
      <c r="C204" s="263">
        <v>3705</v>
      </c>
      <c r="D204" s="211">
        <f t="shared" si="0"/>
        <v>2964</v>
      </c>
      <c r="E204" s="519"/>
      <c r="F204" s="268"/>
      <c r="G204" s="269">
        <f>D204</f>
        <v>2964</v>
      </c>
      <c r="H204" s="268"/>
      <c r="I204" s="268"/>
      <c r="K204" s="268"/>
      <c r="L204" s="268"/>
      <c r="M204" s="268"/>
      <c r="N204" s="268"/>
      <c r="O204" s="268"/>
      <c r="P204" s="268"/>
      <c r="Q204" s="268"/>
      <c r="R204" s="268"/>
      <c r="S204" s="268" t="s">
        <v>0</v>
      </c>
      <c r="T204" s="268"/>
      <c r="U204" s="268"/>
      <c r="V204" s="268"/>
      <c r="W204" s="268"/>
      <c r="X204" s="268"/>
      <c r="Y204" s="268"/>
      <c r="Z204" s="268"/>
      <c r="AA204" s="268"/>
      <c r="AB204" s="268"/>
      <c r="AC204" s="268"/>
      <c r="AD204" s="268"/>
      <c r="AE204" s="268"/>
      <c r="AF204" s="268"/>
      <c r="AG204" s="268"/>
      <c r="AH204" s="268"/>
      <c r="AI204" s="268"/>
      <c r="AJ204" s="268"/>
      <c r="AK204" s="268"/>
      <c r="AL204" s="268"/>
      <c r="AM204" s="268"/>
      <c r="AN204" s="268"/>
      <c r="AO204" s="268"/>
      <c r="AP204" s="268"/>
      <c r="AQ204" s="268"/>
      <c r="AR204" s="268"/>
      <c r="AS204" s="268"/>
      <c r="AT204" s="268"/>
      <c r="AU204" s="268"/>
      <c r="AV204" s="268"/>
      <c r="AW204" s="275"/>
      <c r="AX204" s="268"/>
      <c r="AY204" s="268"/>
      <c r="AZ204" s="268"/>
      <c r="BA204" s="268"/>
      <c r="BB204" s="268"/>
      <c r="BC204" s="268"/>
      <c r="BD204" s="268"/>
      <c r="BE204" s="268"/>
      <c r="BF204" s="268"/>
      <c r="BG204" s="268"/>
      <c r="BH204" s="268"/>
      <c r="BI204" s="268"/>
      <c r="BJ204" s="268"/>
      <c r="BK204" s="268"/>
      <c r="BL204" s="268"/>
      <c r="BM204" s="268"/>
      <c r="BN204" s="268"/>
      <c r="DA204" s="584"/>
      <c r="EN204" s="207"/>
    </row>
    <row r="205" spans="1:144" ht="13" customHeight="1" outlineLevel="1">
      <c r="A205" s="687"/>
      <c r="B205" s="299" t="s">
        <v>121</v>
      </c>
      <c r="C205" s="263">
        <v>1586</v>
      </c>
      <c r="D205" s="211">
        <f t="shared" si="0"/>
        <v>1268.8000000000002</v>
      </c>
      <c r="E205" s="519"/>
      <c r="F205" s="268"/>
      <c r="G205" s="268"/>
      <c r="H205" s="268"/>
      <c r="I205" s="268"/>
      <c r="K205" s="269">
        <f>D205</f>
        <v>1268.8000000000002</v>
      </c>
      <c r="L205" s="268"/>
      <c r="M205" s="268"/>
      <c r="N205" s="268"/>
      <c r="O205" s="268"/>
      <c r="P205" s="268"/>
      <c r="Q205" s="268"/>
      <c r="R205" s="268"/>
      <c r="S205" s="268"/>
      <c r="T205" s="268"/>
      <c r="U205" s="268"/>
      <c r="V205" s="268"/>
      <c r="W205" s="268"/>
      <c r="X205" s="268"/>
      <c r="Y205" s="268"/>
      <c r="Z205" s="268"/>
      <c r="AA205" s="268"/>
      <c r="AB205" s="268"/>
      <c r="AC205" s="268"/>
      <c r="AD205" s="268"/>
      <c r="AE205" s="268"/>
      <c r="AF205" s="268"/>
      <c r="AG205" s="268"/>
      <c r="AH205" s="268"/>
      <c r="AI205" s="268"/>
      <c r="AJ205" s="268" t="s">
        <v>0</v>
      </c>
      <c r="AK205" s="268"/>
      <c r="AL205" s="268"/>
      <c r="AM205" s="268"/>
      <c r="AN205" s="268"/>
      <c r="AO205" s="268"/>
      <c r="AP205" s="268"/>
      <c r="AQ205" s="268"/>
      <c r="AR205" s="268"/>
      <c r="AS205" s="268"/>
      <c r="AT205" s="268"/>
      <c r="AU205" s="268"/>
      <c r="AV205" s="268"/>
      <c r="AW205" s="275" t="s">
        <v>0</v>
      </c>
      <c r="AX205" s="268"/>
      <c r="AY205" s="268"/>
      <c r="AZ205" s="268"/>
      <c r="BA205" s="268"/>
      <c r="BB205" s="268"/>
      <c r="BC205" s="268"/>
      <c r="BD205" s="268"/>
      <c r="BE205" s="268"/>
      <c r="BF205" s="268"/>
      <c r="BG205" s="268"/>
      <c r="BH205" s="268"/>
      <c r="BI205" s="268"/>
      <c r="BJ205" s="268"/>
      <c r="BK205" s="268"/>
      <c r="BL205" s="268"/>
      <c r="BM205" s="268"/>
      <c r="BN205" s="268"/>
      <c r="DA205" s="584"/>
      <c r="EN205" s="207"/>
    </row>
    <row r="206" spans="1:144" s="211" customFormat="1" ht="13" customHeight="1" outlineLevel="1">
      <c r="A206" s="687"/>
      <c r="B206" s="519" t="s">
        <v>122</v>
      </c>
      <c r="C206" s="211">
        <v>42000</v>
      </c>
      <c r="D206" s="211">
        <f t="shared" si="0"/>
        <v>33600</v>
      </c>
      <c r="E206" s="519"/>
      <c r="F206" s="269">
        <v>31545</v>
      </c>
      <c r="G206" s="269">
        <f>2772*0.8</f>
        <v>2217.6</v>
      </c>
      <c r="H206" s="268"/>
      <c r="I206" s="268"/>
      <c r="J206" s="268"/>
      <c r="K206" s="268"/>
      <c r="L206" s="268"/>
      <c r="M206" s="268"/>
      <c r="N206" s="268"/>
      <c r="O206" s="268"/>
      <c r="P206" s="268"/>
      <c r="Q206" s="268"/>
      <c r="R206" s="268"/>
      <c r="S206" s="268"/>
      <c r="T206" s="268"/>
      <c r="U206" s="268"/>
      <c r="V206" s="268"/>
      <c r="W206" s="268"/>
      <c r="X206" s="268"/>
      <c r="Y206" s="268"/>
      <c r="Z206" s="268"/>
      <c r="AA206" s="268"/>
      <c r="AB206" s="268"/>
      <c r="AC206" s="268"/>
      <c r="AD206" s="268"/>
      <c r="AE206" s="268"/>
      <c r="AF206" s="268"/>
      <c r="AG206" s="268"/>
      <c r="AH206" s="268"/>
      <c r="AI206" s="268"/>
      <c r="AJ206" s="268"/>
      <c r="AK206" s="268"/>
      <c r="AL206" s="268"/>
      <c r="AM206" s="268"/>
      <c r="AN206" s="268"/>
      <c r="AO206" s="268"/>
      <c r="AP206" s="268"/>
      <c r="AQ206" s="268"/>
      <c r="AR206" s="268"/>
      <c r="AS206" s="268"/>
      <c r="AT206" s="268"/>
      <c r="AU206" s="268"/>
      <c r="AV206" s="268"/>
      <c r="AW206" s="275"/>
      <c r="AX206" s="268"/>
      <c r="AY206" s="268"/>
      <c r="AZ206" s="268"/>
      <c r="BA206" s="268"/>
      <c r="BB206" s="268"/>
      <c r="BC206" s="268"/>
      <c r="BD206" s="268"/>
      <c r="BE206" s="268"/>
      <c r="BF206" s="268"/>
      <c r="BG206" s="268"/>
      <c r="BH206" s="268"/>
      <c r="BI206" s="268"/>
      <c r="BJ206" s="268"/>
      <c r="BK206" s="268"/>
      <c r="BL206" s="268"/>
      <c r="BM206" s="268"/>
      <c r="BN206" s="268"/>
      <c r="BV206" s="3" t="s">
        <v>148</v>
      </c>
      <c r="BW206" s="3"/>
      <c r="DA206" s="583"/>
      <c r="EN206" s="351"/>
    </row>
    <row r="207" spans="1:144" ht="13" customHeight="1" outlineLevel="1">
      <c r="A207" s="687"/>
      <c r="B207" s="299" t="s">
        <v>123</v>
      </c>
      <c r="C207" s="263">
        <f>27500*0.97</f>
        <v>26675</v>
      </c>
      <c r="D207" s="211">
        <f t="shared" si="0"/>
        <v>21340</v>
      </c>
      <c r="E207" s="519"/>
      <c r="F207" s="268"/>
      <c r="G207" s="268"/>
      <c r="H207" s="268"/>
      <c r="I207" s="269">
        <f>D207</f>
        <v>21340</v>
      </c>
      <c r="J207" s="268"/>
      <c r="K207" s="268"/>
      <c r="L207" s="268"/>
      <c r="M207" s="268"/>
      <c r="N207" s="268"/>
      <c r="O207" s="268"/>
      <c r="P207" s="268"/>
      <c r="Q207" s="268"/>
      <c r="R207" s="268"/>
      <c r="S207" s="268"/>
      <c r="T207" s="268"/>
      <c r="U207" s="268"/>
      <c r="V207" s="268"/>
      <c r="W207" s="268"/>
      <c r="X207" s="268"/>
      <c r="Y207" s="268"/>
      <c r="Z207" s="268"/>
      <c r="AA207" s="268"/>
      <c r="AB207" s="268"/>
      <c r="AC207" s="268"/>
      <c r="AD207" s="268"/>
      <c r="AE207" s="268"/>
      <c r="AF207" s="268"/>
      <c r="AG207" s="268"/>
      <c r="AH207" s="268"/>
      <c r="AI207" s="268"/>
      <c r="AJ207" s="268"/>
      <c r="AK207" s="268"/>
      <c r="AL207" s="268"/>
      <c r="AM207" s="268"/>
      <c r="AN207" s="268"/>
      <c r="AO207" s="268"/>
      <c r="AP207" s="268"/>
      <c r="AQ207" s="268"/>
      <c r="AR207" s="268"/>
      <c r="AS207" s="268"/>
      <c r="AT207" s="268"/>
      <c r="AU207" s="268"/>
      <c r="AV207" s="268"/>
      <c r="AW207" s="275"/>
      <c r="AX207" s="268"/>
      <c r="AY207" s="268"/>
      <c r="AZ207" s="268"/>
      <c r="BA207" s="268"/>
      <c r="BB207" s="268"/>
      <c r="BC207" s="268"/>
      <c r="BD207" s="268"/>
      <c r="BE207" s="268"/>
      <c r="BF207" s="268"/>
      <c r="BG207" s="268"/>
      <c r="BH207" s="268"/>
      <c r="BI207" s="268"/>
      <c r="BJ207" s="268"/>
      <c r="BK207" s="268"/>
      <c r="BL207" s="268"/>
      <c r="BM207" s="268"/>
      <c r="BN207" s="268"/>
      <c r="DA207" s="584"/>
      <c r="EN207" s="207"/>
    </row>
    <row r="208" spans="1:144" ht="13" customHeight="1" outlineLevel="1">
      <c r="A208" s="687"/>
      <c r="B208" s="299" t="s">
        <v>123</v>
      </c>
      <c r="C208" s="263">
        <v>30000</v>
      </c>
      <c r="D208" s="211">
        <v>30000</v>
      </c>
      <c r="E208" s="519"/>
      <c r="F208" s="268"/>
      <c r="G208" s="268"/>
      <c r="H208" s="268"/>
      <c r="I208" s="268"/>
      <c r="J208" s="268" t="s">
        <v>0</v>
      </c>
      <c r="K208" s="269">
        <f>(D208*0.97)*0.8</f>
        <v>23280</v>
      </c>
      <c r="L208" s="268"/>
      <c r="M208" s="268"/>
      <c r="N208" s="268"/>
      <c r="O208" s="268"/>
      <c r="P208" s="268"/>
      <c r="Q208" s="268"/>
      <c r="R208" s="268"/>
      <c r="S208" s="268"/>
      <c r="T208" s="268"/>
      <c r="U208" s="268"/>
      <c r="V208" s="268"/>
      <c r="W208" s="268"/>
      <c r="X208" s="268"/>
      <c r="Y208" s="268"/>
      <c r="Z208" s="268"/>
      <c r="AA208" s="268"/>
      <c r="AB208" s="268"/>
      <c r="AC208" s="268"/>
      <c r="AD208" s="268"/>
      <c r="AE208" s="268"/>
      <c r="AF208" s="268"/>
      <c r="AG208" s="268"/>
      <c r="AH208" s="268"/>
      <c r="AI208" s="268"/>
      <c r="AJ208" s="268"/>
      <c r="AK208" s="268"/>
      <c r="AL208" s="268"/>
      <c r="AM208" s="268"/>
      <c r="AN208" s="268"/>
      <c r="AO208" s="268"/>
      <c r="AP208" s="268"/>
      <c r="AQ208" s="268"/>
      <c r="AR208" s="268"/>
      <c r="AS208" s="268"/>
      <c r="AT208" s="268"/>
      <c r="AU208" s="268"/>
      <c r="AV208" s="268"/>
      <c r="AW208" s="275"/>
      <c r="AX208" s="268"/>
      <c r="AY208" s="268" t="s">
        <v>0</v>
      </c>
      <c r="AZ208" s="268"/>
      <c r="BA208" s="268"/>
      <c r="BB208" s="268"/>
      <c r="BC208" s="268"/>
      <c r="BD208" s="268"/>
      <c r="BE208" s="268"/>
      <c r="BF208" s="268"/>
      <c r="BG208" s="268"/>
      <c r="BH208" s="268"/>
      <c r="BI208" s="268"/>
      <c r="BJ208" s="268"/>
      <c r="BK208" s="268"/>
      <c r="BL208" s="268"/>
      <c r="BM208" s="268"/>
      <c r="BN208" s="268"/>
      <c r="DA208" s="584"/>
      <c r="EN208" s="207"/>
    </row>
    <row r="209" spans="1:144" ht="13" customHeight="1" outlineLevel="1">
      <c r="A209" s="687"/>
      <c r="B209" s="299" t="s">
        <v>124</v>
      </c>
      <c r="C209" s="263">
        <v>3118</v>
      </c>
      <c r="D209" s="211">
        <f>C209*0.8</f>
        <v>2494.4</v>
      </c>
      <c r="E209" s="519"/>
      <c r="F209" s="268"/>
      <c r="G209" s="268"/>
      <c r="H209" s="268"/>
      <c r="I209" s="268"/>
      <c r="L209" s="269">
        <f>D209</f>
        <v>2494.4</v>
      </c>
      <c r="N209" s="268"/>
      <c r="O209" s="268"/>
      <c r="P209" s="268"/>
      <c r="Q209" s="268"/>
      <c r="R209" s="268"/>
      <c r="S209" s="268"/>
      <c r="T209" s="268"/>
      <c r="U209" s="268"/>
      <c r="V209" s="268"/>
      <c r="W209" s="268"/>
      <c r="X209" s="268"/>
      <c r="Y209" s="268"/>
      <c r="Z209" s="268"/>
      <c r="AA209" s="268"/>
      <c r="AB209" s="268"/>
      <c r="AC209" s="268"/>
      <c r="AD209" s="268"/>
      <c r="AE209" s="268"/>
      <c r="AF209" s="268"/>
      <c r="AG209" s="268"/>
      <c r="AH209" s="268"/>
      <c r="AI209" s="268"/>
      <c r="AJ209" s="268"/>
      <c r="AK209" s="268"/>
      <c r="AL209" s="268"/>
      <c r="AM209" s="268"/>
      <c r="AN209" s="268"/>
      <c r="AO209" s="268"/>
      <c r="AP209" s="268"/>
      <c r="AQ209" s="268"/>
      <c r="AR209" s="268"/>
      <c r="AS209" s="268"/>
      <c r="AT209" s="268"/>
      <c r="AU209" s="268"/>
      <c r="AV209" s="268"/>
      <c r="AW209" s="275"/>
      <c r="AX209" s="268"/>
      <c r="AY209" s="268"/>
      <c r="AZ209" s="268"/>
      <c r="BA209" s="268"/>
      <c r="BB209" s="268"/>
      <c r="BC209" s="268"/>
      <c r="BD209" s="268"/>
      <c r="BE209" s="268"/>
      <c r="BF209" s="268"/>
      <c r="BG209" s="268"/>
      <c r="BH209" s="268"/>
      <c r="BI209" s="268"/>
      <c r="BJ209" s="268"/>
      <c r="BK209" s="268"/>
      <c r="BL209" s="268"/>
      <c r="BM209" s="268"/>
      <c r="BN209" s="268"/>
      <c r="DA209" s="584"/>
      <c r="EN209" s="207"/>
    </row>
    <row r="210" spans="1:144" ht="13" customHeight="1" outlineLevel="1">
      <c r="A210" s="687"/>
      <c r="B210" s="299" t="s">
        <v>125</v>
      </c>
      <c r="C210" s="263">
        <v>9400</v>
      </c>
      <c r="D210" s="211">
        <f>C210*0.8</f>
        <v>7520</v>
      </c>
      <c r="E210" s="519"/>
      <c r="F210" s="268"/>
      <c r="G210" s="268"/>
      <c r="H210" s="268"/>
      <c r="I210" s="268"/>
      <c r="J210" s="268"/>
      <c r="K210" s="268"/>
      <c r="L210" s="268"/>
      <c r="M210" s="268"/>
      <c r="N210" s="269">
        <v>7527</v>
      </c>
      <c r="O210" s="268"/>
      <c r="P210" s="268"/>
      <c r="Q210" s="268"/>
      <c r="R210" s="268"/>
      <c r="S210" s="268"/>
      <c r="T210" s="268"/>
      <c r="U210" s="268"/>
      <c r="V210" s="268"/>
      <c r="W210" s="268"/>
      <c r="X210" s="268"/>
      <c r="Y210" s="268"/>
      <c r="Z210" s="268"/>
      <c r="AA210" s="268"/>
      <c r="AB210" s="268"/>
      <c r="AC210" s="268"/>
      <c r="AD210" s="268"/>
      <c r="AE210" s="268"/>
      <c r="AF210" s="268"/>
      <c r="AG210" s="268"/>
      <c r="AH210" s="268"/>
      <c r="AI210" s="268"/>
      <c r="AJ210" s="268"/>
      <c r="AK210" s="268"/>
      <c r="AL210" s="268"/>
      <c r="AM210" s="268"/>
      <c r="AN210" s="268"/>
      <c r="AO210" s="268"/>
      <c r="AP210" s="268"/>
      <c r="AQ210" s="268"/>
      <c r="AR210" s="268"/>
      <c r="AS210" s="268"/>
      <c r="AT210" s="268"/>
      <c r="AU210" s="268"/>
      <c r="AV210" s="268"/>
      <c r="AW210" s="275"/>
      <c r="AX210" s="268" t="s">
        <v>0</v>
      </c>
      <c r="AY210" s="268"/>
      <c r="AZ210" s="268"/>
      <c r="BA210" s="268"/>
      <c r="BB210" s="268"/>
      <c r="BC210" s="268"/>
      <c r="BD210" s="268"/>
      <c r="BE210" s="268"/>
      <c r="BF210" s="268"/>
      <c r="BG210" s="268"/>
      <c r="BH210" s="268"/>
      <c r="BI210" s="268"/>
      <c r="BJ210" s="268"/>
      <c r="BK210" s="268"/>
      <c r="BL210" s="268"/>
      <c r="BM210" s="268"/>
      <c r="BN210" s="268"/>
      <c r="DA210" s="584"/>
      <c r="EN210" s="207"/>
    </row>
    <row r="211" spans="1:144" ht="13" customHeight="1" outlineLevel="1">
      <c r="A211" s="687"/>
      <c r="B211" s="299" t="s">
        <v>126</v>
      </c>
      <c r="C211" s="263">
        <v>53300</v>
      </c>
      <c r="D211" s="211">
        <f>'Job Calculations'!J63</f>
        <v>41904</v>
      </c>
      <c r="E211" s="519"/>
      <c r="F211" s="268"/>
      <c r="G211" s="268"/>
      <c r="H211" s="268"/>
      <c r="I211" s="269">
        <f>D211</f>
        <v>41904</v>
      </c>
      <c r="J211" s="268"/>
      <c r="K211" s="268"/>
      <c r="L211" s="268"/>
      <c r="M211" s="268"/>
      <c r="N211" s="268"/>
      <c r="O211" s="268"/>
      <c r="P211" s="268"/>
      <c r="Q211" s="268"/>
      <c r="R211" s="268"/>
      <c r="S211" s="268"/>
      <c r="T211" s="268"/>
      <c r="U211" s="268"/>
      <c r="V211" s="268"/>
      <c r="W211" s="268"/>
      <c r="X211" s="268"/>
      <c r="Y211" s="268"/>
      <c r="Z211" s="268"/>
      <c r="AA211" s="268"/>
      <c r="AB211" s="268"/>
      <c r="AC211" s="268"/>
      <c r="AD211" s="268"/>
      <c r="AE211" s="268"/>
      <c r="AF211" s="268"/>
      <c r="AG211" s="268"/>
      <c r="AH211" s="268"/>
      <c r="AI211" s="268"/>
      <c r="AJ211" s="268"/>
      <c r="AK211" s="268"/>
      <c r="AL211" s="268"/>
      <c r="AM211" s="268"/>
      <c r="AN211" s="268"/>
      <c r="AO211" s="268"/>
      <c r="AP211" s="268"/>
      <c r="AQ211" s="268"/>
      <c r="AR211" s="268"/>
      <c r="AS211" s="268"/>
      <c r="AT211" s="268"/>
      <c r="AU211" s="268"/>
      <c r="AV211" s="268"/>
      <c r="AW211" s="275"/>
      <c r="AX211" s="268" t="s">
        <v>0</v>
      </c>
      <c r="AY211" s="268"/>
      <c r="AZ211" s="268"/>
      <c r="BA211" s="268"/>
      <c r="BB211" s="268"/>
      <c r="BC211" s="268"/>
      <c r="BD211" s="268"/>
      <c r="BE211" s="268"/>
      <c r="BF211" s="268"/>
      <c r="BG211" s="268"/>
      <c r="BH211" s="268"/>
      <c r="BI211" s="268"/>
      <c r="BJ211" s="268"/>
      <c r="BK211" s="268"/>
      <c r="BL211" s="268"/>
      <c r="BM211" s="268"/>
      <c r="BN211" s="268"/>
      <c r="DA211" s="584"/>
      <c r="EN211" s="207"/>
    </row>
    <row r="212" spans="1:144" ht="13" customHeight="1" outlineLevel="1">
      <c r="A212" s="687"/>
      <c r="B212" s="299" t="s">
        <v>127</v>
      </c>
      <c r="C212" s="263"/>
      <c r="D212" s="211">
        <f>'Job Calculations'!I78</f>
        <v>24000</v>
      </c>
      <c r="E212" s="519"/>
      <c r="F212" s="268">
        <v>0</v>
      </c>
      <c r="G212" s="268"/>
      <c r="H212" s="268"/>
      <c r="I212" s="269">
        <f>D212*0.97</f>
        <v>23280</v>
      </c>
      <c r="J212" s="268"/>
      <c r="K212" s="268"/>
      <c r="L212" s="268"/>
      <c r="M212" s="268"/>
      <c r="N212" s="268"/>
      <c r="O212" s="268"/>
      <c r="P212" s="268"/>
      <c r="Q212" s="268"/>
      <c r="R212" s="268"/>
      <c r="S212" s="268"/>
      <c r="T212" s="268"/>
      <c r="U212" s="268"/>
      <c r="V212" s="268"/>
      <c r="W212" s="268"/>
      <c r="X212" s="268"/>
      <c r="Y212" s="268"/>
      <c r="Z212" s="268"/>
      <c r="AA212" s="268"/>
      <c r="AB212" s="268"/>
      <c r="AC212" s="268"/>
      <c r="AD212" s="268"/>
      <c r="AE212" s="268"/>
      <c r="AF212" s="268"/>
      <c r="AG212" s="268"/>
      <c r="AH212" s="268"/>
      <c r="AI212" s="268"/>
      <c r="AJ212" s="268"/>
      <c r="AK212" s="268"/>
      <c r="AL212" s="268"/>
      <c r="AM212" s="268"/>
      <c r="AN212" s="268"/>
      <c r="AO212" s="268"/>
      <c r="AP212" s="268"/>
      <c r="AQ212" s="268"/>
      <c r="AR212" s="268"/>
      <c r="AS212" s="268"/>
      <c r="AT212" s="268"/>
      <c r="AU212" s="268"/>
      <c r="AV212" s="268"/>
      <c r="AW212" s="275"/>
      <c r="AX212" s="268" t="s">
        <v>0</v>
      </c>
      <c r="AY212" s="268"/>
      <c r="AZ212" s="268"/>
      <c r="BA212" s="268"/>
      <c r="BB212" s="268"/>
      <c r="BC212" s="268"/>
      <c r="BD212" s="268"/>
      <c r="BE212" s="268"/>
      <c r="BF212" s="268"/>
      <c r="BG212" s="268"/>
      <c r="BH212" s="268"/>
      <c r="BI212" s="268"/>
      <c r="BJ212" s="268"/>
      <c r="BK212" s="268"/>
      <c r="BL212" s="268"/>
      <c r="BM212" s="268"/>
      <c r="BN212" s="268"/>
      <c r="DA212" s="584"/>
      <c r="EN212" s="207"/>
    </row>
    <row r="213" spans="1:144" ht="25.5" customHeight="1" outlineLevel="1">
      <c r="A213" s="687"/>
      <c r="B213" s="299" t="s">
        <v>128</v>
      </c>
      <c r="C213" s="263">
        <v>27700</v>
      </c>
      <c r="D213" s="211">
        <f>C213*0.8</f>
        <v>22160</v>
      </c>
      <c r="E213" s="519"/>
      <c r="F213" s="268">
        <v>0</v>
      </c>
      <c r="G213" s="268"/>
      <c r="H213" s="268"/>
      <c r="I213" s="269">
        <f>D213*0.97</f>
        <v>21495.200000000001</v>
      </c>
      <c r="J213" s="268"/>
      <c r="K213" s="268"/>
      <c r="L213" s="268"/>
      <c r="M213" s="268"/>
      <c r="N213" s="268"/>
      <c r="O213" s="268"/>
      <c r="P213" s="268"/>
      <c r="Q213" s="268"/>
      <c r="R213" s="268"/>
      <c r="S213" s="268"/>
      <c r="T213" s="268"/>
      <c r="U213" s="268"/>
      <c r="V213" s="268"/>
      <c r="W213" s="268"/>
      <c r="X213" s="268"/>
      <c r="Y213" s="268"/>
      <c r="Z213" s="268"/>
      <c r="AA213" s="268"/>
      <c r="AB213" s="268"/>
      <c r="AC213" s="268"/>
      <c r="AD213" s="268"/>
      <c r="AE213" s="268"/>
      <c r="AF213" s="268"/>
      <c r="AG213" s="268"/>
      <c r="AH213" s="268"/>
      <c r="AI213" s="268"/>
      <c r="AJ213" s="268"/>
      <c r="AK213" s="268"/>
      <c r="AL213" s="268"/>
      <c r="AM213" s="268"/>
      <c r="AN213" s="268"/>
      <c r="AO213" s="268"/>
      <c r="AP213" s="268"/>
      <c r="AQ213" s="268"/>
      <c r="AR213" s="268"/>
      <c r="AS213" s="268"/>
      <c r="AT213" s="268"/>
      <c r="AU213" s="268"/>
      <c r="AV213" s="268"/>
      <c r="AW213" s="275"/>
      <c r="AX213" s="268"/>
      <c r="AY213" s="268"/>
      <c r="AZ213" s="268"/>
      <c r="BA213" s="268"/>
      <c r="BB213" s="268"/>
      <c r="BC213" s="268"/>
      <c r="BD213" s="268"/>
      <c r="BE213" s="268"/>
      <c r="BF213" s="268"/>
      <c r="BG213" s="268"/>
      <c r="BH213" s="268"/>
      <c r="BI213" s="268"/>
      <c r="BJ213" s="268"/>
      <c r="BK213" s="268"/>
      <c r="BL213" s="268"/>
      <c r="BM213" s="268"/>
      <c r="BN213" s="268"/>
      <c r="DA213" s="584"/>
      <c r="EN213" s="207"/>
    </row>
    <row r="214" spans="1:144" ht="13" customHeight="1" outlineLevel="1">
      <c r="A214" s="687"/>
      <c r="B214" s="299" t="s">
        <v>129</v>
      </c>
      <c r="C214" s="546">
        <v>16065</v>
      </c>
      <c r="D214" s="211">
        <f>C214*0.8</f>
        <v>12852</v>
      </c>
      <c r="E214" s="519"/>
      <c r="F214" s="268"/>
      <c r="G214" s="268"/>
      <c r="H214" s="268"/>
      <c r="I214" s="268"/>
      <c r="J214" s="269">
        <f>D214</f>
        <v>12852</v>
      </c>
      <c r="L214" s="268"/>
      <c r="M214" s="268"/>
      <c r="N214" s="268" t="s">
        <v>0</v>
      </c>
      <c r="O214" s="268" t="s">
        <v>0</v>
      </c>
      <c r="P214" s="268"/>
      <c r="Q214" s="268"/>
      <c r="R214" s="268"/>
      <c r="S214" s="268"/>
      <c r="T214" s="268"/>
      <c r="U214" s="268"/>
      <c r="V214" s="268"/>
      <c r="W214" s="268"/>
      <c r="X214" s="268"/>
      <c r="Y214" s="268"/>
      <c r="Z214" s="268"/>
      <c r="AA214" s="268"/>
      <c r="AB214" s="268"/>
      <c r="AC214" s="268"/>
      <c r="AD214" s="268"/>
      <c r="AE214" s="268"/>
      <c r="AF214" s="268"/>
      <c r="AG214" s="268"/>
      <c r="AH214" s="268"/>
      <c r="AI214" s="268"/>
      <c r="AJ214" s="268"/>
      <c r="AK214" s="268"/>
      <c r="AL214" s="268"/>
      <c r="AM214" s="268"/>
      <c r="AN214" s="268"/>
      <c r="AO214" s="268"/>
      <c r="AP214" s="268"/>
      <c r="AQ214" s="268"/>
      <c r="AR214" s="268"/>
      <c r="AS214" s="268"/>
      <c r="AT214" s="268"/>
      <c r="AU214" s="268"/>
      <c r="AV214" s="268"/>
      <c r="AW214" s="275"/>
      <c r="AX214" s="268"/>
      <c r="AY214" s="268"/>
      <c r="AZ214" s="268"/>
      <c r="BA214" s="268"/>
      <c r="BB214" s="268"/>
      <c r="BC214" s="268"/>
      <c r="BD214" s="268"/>
      <c r="BE214" s="268"/>
      <c r="BF214" s="268"/>
      <c r="BG214" s="268"/>
      <c r="BH214" s="268"/>
      <c r="BI214" s="268"/>
      <c r="BJ214" s="268"/>
      <c r="BK214" s="268"/>
      <c r="BL214" s="268"/>
      <c r="BM214" s="268"/>
      <c r="BN214" s="268"/>
      <c r="DA214" s="584"/>
      <c r="EN214" s="207"/>
    </row>
    <row r="215" spans="1:144" ht="13" customHeight="1" outlineLevel="1">
      <c r="A215" s="687"/>
      <c r="B215" s="299" t="s">
        <v>130</v>
      </c>
      <c r="C215" s="263">
        <v>18326</v>
      </c>
      <c r="D215" s="211">
        <f>C215*0.8</f>
        <v>14660.800000000001</v>
      </c>
      <c r="E215" s="519"/>
      <c r="F215" s="268"/>
      <c r="G215" s="268"/>
      <c r="H215" s="268"/>
      <c r="I215" s="268"/>
      <c r="K215" s="269">
        <f>D215*0.5</f>
        <v>7330.4000000000005</v>
      </c>
      <c r="L215" s="269">
        <f>D215*0.5</f>
        <v>7330.4000000000005</v>
      </c>
      <c r="N215" s="268"/>
      <c r="O215" s="268"/>
      <c r="P215" s="268"/>
      <c r="Q215" s="268"/>
      <c r="R215" s="268"/>
      <c r="S215" s="268"/>
      <c r="T215" s="268"/>
      <c r="U215" s="268"/>
      <c r="V215" s="268"/>
      <c r="W215" s="268"/>
      <c r="X215" s="268"/>
      <c r="Y215" s="268"/>
      <c r="Z215" s="268"/>
      <c r="AA215" s="268"/>
      <c r="AB215" s="268"/>
      <c r="AC215" s="268" t="s">
        <v>0</v>
      </c>
      <c r="AD215" s="268"/>
      <c r="AE215" s="268"/>
      <c r="AF215" s="268"/>
      <c r="AG215" s="268"/>
      <c r="AH215" s="268"/>
      <c r="AI215" s="268"/>
      <c r="AJ215" s="268"/>
      <c r="AK215" s="268"/>
      <c r="AL215" s="268"/>
      <c r="AM215" s="268"/>
      <c r="AN215" s="268"/>
      <c r="AO215" s="268"/>
      <c r="AP215" s="268"/>
      <c r="AQ215" s="268"/>
      <c r="AR215" s="268"/>
      <c r="AS215" s="268"/>
      <c r="AT215" s="268"/>
      <c r="AU215" s="268"/>
      <c r="AV215" s="268"/>
      <c r="AW215" s="275"/>
      <c r="AX215" s="268"/>
      <c r="AY215" s="268"/>
      <c r="AZ215" s="268"/>
      <c r="BA215" s="268"/>
      <c r="BB215" s="268"/>
      <c r="BC215" s="268"/>
      <c r="BD215" s="268"/>
      <c r="BE215" s="268"/>
      <c r="BF215" s="268"/>
      <c r="BG215" s="268"/>
      <c r="BH215" s="268"/>
      <c r="BI215" s="268"/>
      <c r="BJ215" s="268"/>
      <c r="BK215" s="268"/>
      <c r="BL215" s="268"/>
      <c r="BM215" s="268"/>
      <c r="BN215" s="268"/>
      <c r="BT215" s="3" t="s">
        <v>0</v>
      </c>
      <c r="DA215" s="584"/>
      <c r="EN215" s="207"/>
    </row>
    <row r="216" spans="1:144" ht="13" customHeight="1" outlineLevel="1">
      <c r="A216" s="687"/>
      <c r="B216" s="299" t="s">
        <v>131</v>
      </c>
      <c r="C216" s="263"/>
      <c r="D216" s="211">
        <v>4697</v>
      </c>
      <c r="E216" s="519"/>
      <c r="F216" s="268"/>
      <c r="G216" s="268"/>
      <c r="H216" s="268"/>
      <c r="I216" s="268"/>
      <c r="L216" s="268"/>
      <c r="N216" s="268"/>
      <c r="O216" s="268"/>
      <c r="P216" s="268"/>
      <c r="Q216" s="268"/>
      <c r="R216" s="269">
        <v>4697</v>
      </c>
      <c r="S216" s="268"/>
      <c r="T216" s="268"/>
      <c r="U216" s="268">
        <v>0</v>
      </c>
      <c r="V216" s="268"/>
      <c r="W216" s="268"/>
      <c r="X216" s="268"/>
      <c r="Y216" s="268"/>
      <c r="Z216" s="268"/>
      <c r="AA216" s="268"/>
      <c r="AB216" s="268"/>
      <c r="AC216" s="268"/>
      <c r="AD216" s="268"/>
      <c r="AE216" s="268"/>
      <c r="AF216" s="268"/>
      <c r="AG216" s="268"/>
      <c r="AH216" s="268"/>
      <c r="AI216" s="268"/>
      <c r="AJ216" s="268"/>
      <c r="AK216" s="268"/>
      <c r="AL216" s="268"/>
      <c r="AM216" s="268"/>
      <c r="AN216" s="268"/>
      <c r="AO216" s="268"/>
      <c r="AP216" s="268"/>
      <c r="AQ216" s="268"/>
      <c r="AR216" s="268"/>
      <c r="AS216" s="268"/>
      <c r="AT216" s="268"/>
      <c r="AU216" s="268"/>
      <c r="AV216" s="268"/>
      <c r="AW216" s="275"/>
      <c r="AX216" s="268"/>
      <c r="AY216" s="268"/>
      <c r="AZ216" s="268"/>
      <c r="BA216" s="268"/>
      <c r="BB216" s="268"/>
      <c r="BC216" s="268"/>
      <c r="BD216" s="268"/>
      <c r="BE216" s="268"/>
      <c r="BF216" s="268"/>
      <c r="BG216" s="268"/>
      <c r="BH216" s="268"/>
      <c r="BI216" s="268"/>
      <c r="BJ216" s="268"/>
      <c r="BK216" s="268"/>
      <c r="BL216" s="268"/>
      <c r="BM216" s="268"/>
      <c r="BN216" s="268"/>
      <c r="BT216" s="3" t="s">
        <v>0</v>
      </c>
      <c r="DA216" s="584"/>
      <c r="EN216" s="207"/>
    </row>
    <row r="217" spans="1:144" ht="13" customHeight="1" outlineLevel="1">
      <c r="A217" s="687"/>
      <c r="B217" s="299" t="s">
        <v>132</v>
      </c>
      <c r="C217" s="263">
        <f>(D217/80)*100</f>
        <v>81005</v>
      </c>
      <c r="D217" s="211">
        <f>H217+L217+S217</f>
        <v>64804</v>
      </c>
      <c r="E217" s="519"/>
      <c r="F217" s="268">
        <v>0</v>
      </c>
      <c r="G217" s="268"/>
      <c r="H217" s="269">
        <f>32543*0.8</f>
        <v>26034.400000000001</v>
      </c>
      <c r="I217" s="268"/>
      <c r="J217" s="268"/>
      <c r="L217" s="269">
        <f>25012*0.8</f>
        <v>20009.600000000002</v>
      </c>
      <c r="M217" s="268"/>
      <c r="O217" s="268" t="s">
        <v>0</v>
      </c>
      <c r="P217" s="268"/>
      <c r="Q217" s="268"/>
      <c r="R217" s="268"/>
      <c r="S217" s="269">
        <f>18760</f>
        <v>18760</v>
      </c>
      <c r="T217" s="268"/>
      <c r="U217" s="268"/>
      <c r="V217" s="268"/>
      <c r="W217" s="268"/>
      <c r="X217" s="268"/>
      <c r="Y217" s="268"/>
      <c r="Z217" s="268"/>
      <c r="AA217" s="268"/>
      <c r="AB217" s="268"/>
      <c r="AC217" s="268"/>
      <c r="AD217" s="268"/>
      <c r="AE217" s="268"/>
      <c r="AF217" s="268"/>
      <c r="AG217" s="268"/>
      <c r="AH217" s="268"/>
      <c r="AI217" s="268"/>
      <c r="AJ217" s="268"/>
      <c r="AK217" s="268"/>
      <c r="AL217" s="268"/>
      <c r="AM217" s="268"/>
      <c r="AN217" s="268"/>
      <c r="AO217" s="268"/>
      <c r="AP217" s="268"/>
      <c r="AQ217" s="268"/>
      <c r="AR217" s="268"/>
      <c r="AS217" s="268"/>
      <c r="AT217" s="268"/>
      <c r="AU217" s="268"/>
      <c r="AV217" s="268"/>
      <c r="AW217" s="275"/>
      <c r="AX217" s="268"/>
      <c r="AY217" s="268"/>
      <c r="AZ217" s="268"/>
      <c r="BA217" s="268"/>
      <c r="BB217" s="268"/>
      <c r="BC217" s="268"/>
      <c r="BD217" s="268"/>
      <c r="BE217" s="268"/>
      <c r="BF217" s="268"/>
      <c r="BG217" s="268"/>
      <c r="BH217" s="268"/>
      <c r="BI217" s="268"/>
      <c r="BJ217" s="268"/>
      <c r="BK217" s="268"/>
      <c r="BL217" s="268"/>
      <c r="BM217" s="268"/>
      <c r="BN217" s="268"/>
      <c r="BT217" s="3" t="s">
        <v>0</v>
      </c>
      <c r="DA217" s="584"/>
      <c r="EN217" s="207"/>
    </row>
    <row r="218" spans="1:144" ht="13" customHeight="1" outlineLevel="1">
      <c r="A218" s="687"/>
      <c r="B218" s="299" t="s">
        <v>133</v>
      </c>
      <c r="C218" s="263">
        <v>10582</v>
      </c>
      <c r="D218" s="211">
        <f>C218*0.8</f>
        <v>8465.6</v>
      </c>
      <c r="E218" s="519"/>
      <c r="F218" s="268"/>
      <c r="G218" s="268"/>
      <c r="H218" s="268"/>
      <c r="I218" s="268"/>
      <c r="J218" s="268"/>
      <c r="K218" s="268"/>
      <c r="L218" s="268"/>
      <c r="M218" s="268"/>
      <c r="N218" s="269">
        <f>D218</f>
        <v>8465.6</v>
      </c>
      <c r="O218" s="268"/>
      <c r="P218" s="268"/>
      <c r="Q218" s="268"/>
      <c r="R218" s="269">
        <v>8859</v>
      </c>
      <c r="S218" s="268" t="s">
        <v>0</v>
      </c>
      <c r="T218" s="268"/>
      <c r="U218" s="268"/>
      <c r="V218" s="268"/>
      <c r="W218" s="268"/>
      <c r="X218" s="268"/>
      <c r="Y218" s="268"/>
      <c r="Z218" s="268"/>
      <c r="AA218" s="268"/>
      <c r="AB218" s="268"/>
      <c r="AC218" s="268"/>
      <c r="AD218" s="268"/>
      <c r="AE218" s="268"/>
      <c r="AF218" s="268"/>
      <c r="AG218" s="268"/>
      <c r="AH218" s="268"/>
      <c r="AI218" s="268"/>
      <c r="AJ218" s="268"/>
      <c r="AK218" s="268"/>
      <c r="AL218" s="268"/>
      <c r="AM218" s="268"/>
      <c r="AN218" s="268"/>
      <c r="AO218" s="268"/>
      <c r="AP218" s="268"/>
      <c r="AQ218" s="268"/>
      <c r="AR218" s="268"/>
      <c r="AS218" s="268"/>
      <c r="AT218" s="268"/>
      <c r="AU218" s="268"/>
      <c r="AV218" s="268"/>
      <c r="AW218" s="275"/>
      <c r="AX218" s="268"/>
      <c r="AY218" s="268"/>
      <c r="AZ218" s="268"/>
      <c r="BA218" s="268"/>
      <c r="BB218" s="268"/>
      <c r="BC218" s="268"/>
      <c r="BD218" s="268"/>
      <c r="BE218" s="268"/>
      <c r="BF218" s="268"/>
      <c r="BG218" s="268"/>
      <c r="BH218" s="268"/>
      <c r="BI218" s="268"/>
      <c r="BJ218" s="268"/>
      <c r="BK218" s="268"/>
      <c r="BL218" s="268"/>
      <c r="BM218" s="268"/>
      <c r="BN218" s="268"/>
      <c r="BT218" s="3" t="s">
        <v>0</v>
      </c>
      <c r="DA218" s="584"/>
      <c r="EN218" s="207"/>
    </row>
    <row r="219" spans="1:144" ht="12.75" customHeight="1" outlineLevel="1">
      <c r="A219" s="687"/>
      <c r="B219" s="299" t="s">
        <v>134</v>
      </c>
      <c r="C219" s="263"/>
      <c r="D219" s="211"/>
      <c r="E219" s="519"/>
      <c r="F219" s="268"/>
      <c r="G219" s="268"/>
      <c r="H219" s="268"/>
      <c r="I219" s="268"/>
      <c r="J219" s="268"/>
      <c r="K219" s="326"/>
      <c r="L219" s="268"/>
      <c r="M219" s="337"/>
      <c r="N219" s="269">
        <f>33806*0.8</f>
        <v>27044.800000000003</v>
      </c>
      <c r="P219" s="268"/>
      <c r="Q219" s="268"/>
      <c r="R219" s="268"/>
      <c r="S219" s="268"/>
      <c r="T219" s="268"/>
      <c r="U219" s="268"/>
      <c r="V219" s="268"/>
      <c r="W219" s="268"/>
      <c r="X219" s="268"/>
      <c r="Y219" s="268"/>
      <c r="Z219" s="268"/>
      <c r="AA219" s="268"/>
      <c r="AB219" s="268"/>
      <c r="AC219" s="268"/>
      <c r="AD219" s="268"/>
      <c r="AE219" s="268"/>
      <c r="AF219" s="268"/>
      <c r="AG219" s="268"/>
      <c r="AH219" s="268"/>
      <c r="AI219" s="268"/>
      <c r="AJ219" s="268"/>
      <c r="AK219" s="268"/>
      <c r="AL219" s="268"/>
      <c r="AM219" s="268"/>
      <c r="AN219" s="268"/>
      <c r="AO219" s="268"/>
      <c r="AP219" s="268"/>
      <c r="AQ219" s="268"/>
      <c r="AR219" s="268"/>
      <c r="AS219" s="268"/>
      <c r="AT219" s="268"/>
      <c r="AU219" s="268"/>
      <c r="AV219" s="268"/>
      <c r="AW219" s="275"/>
      <c r="AX219" s="268"/>
      <c r="AY219" s="268"/>
      <c r="AZ219" s="268"/>
      <c r="BA219" s="268"/>
      <c r="BB219" s="268"/>
      <c r="BC219" s="268"/>
      <c r="BD219" s="268"/>
      <c r="BE219" s="268"/>
      <c r="BF219" s="268"/>
      <c r="BG219" s="268"/>
      <c r="BH219" s="268"/>
      <c r="BI219" s="268"/>
      <c r="BJ219" s="268"/>
      <c r="BK219" s="268"/>
      <c r="BL219" s="268"/>
      <c r="BM219" s="268"/>
      <c r="BN219" s="268"/>
      <c r="BO219" s="268"/>
      <c r="BP219" s="268"/>
      <c r="BQ219" s="268"/>
      <c r="BR219" s="268"/>
      <c r="BS219" s="268"/>
      <c r="BT219" s="3" t="s">
        <v>0</v>
      </c>
      <c r="DA219" s="584"/>
      <c r="EN219" s="207"/>
    </row>
    <row r="220" spans="1:144" ht="13.25" customHeight="1" outlineLevel="1">
      <c r="A220" s="687"/>
      <c r="B220" s="299" t="s">
        <v>135</v>
      </c>
      <c r="C220" s="263"/>
      <c r="D220" s="211">
        <v>7480</v>
      </c>
      <c r="E220" s="519"/>
      <c r="F220" s="268"/>
      <c r="G220" s="268"/>
      <c r="H220" s="268"/>
      <c r="I220" s="268"/>
      <c r="J220" s="268"/>
      <c r="K220" s="268"/>
      <c r="M220" s="268"/>
      <c r="N220" s="268"/>
      <c r="O220" s="269">
        <f>7480*0.8</f>
        <v>5984</v>
      </c>
      <c r="Q220" s="268"/>
      <c r="R220" s="268"/>
      <c r="S220" s="268"/>
      <c r="T220" s="268"/>
      <c r="U220" s="268"/>
      <c r="V220" s="268"/>
      <c r="W220" s="268"/>
      <c r="X220" s="268"/>
      <c r="Y220" s="268"/>
      <c r="Z220" s="268"/>
      <c r="AA220" s="268"/>
      <c r="AB220" s="268"/>
      <c r="AC220" s="268"/>
      <c r="AD220" s="268"/>
      <c r="AE220" s="268"/>
      <c r="AF220" s="268"/>
      <c r="AG220" s="268"/>
      <c r="AH220" s="268"/>
      <c r="AI220" s="268"/>
      <c r="AJ220" s="268"/>
      <c r="AK220" s="268"/>
      <c r="AL220" s="268"/>
      <c r="AM220" s="268"/>
      <c r="AN220" s="268"/>
      <c r="AO220" s="268"/>
      <c r="AP220" s="268"/>
      <c r="AQ220" s="268"/>
      <c r="AR220" s="268"/>
      <c r="AS220" s="268"/>
      <c r="AT220" s="268"/>
      <c r="AU220" s="268"/>
      <c r="AV220" s="268"/>
      <c r="AW220" s="275"/>
      <c r="AX220" s="268"/>
      <c r="AY220" s="268"/>
      <c r="AZ220" s="268"/>
      <c r="BA220" s="268"/>
      <c r="BB220" s="268"/>
      <c r="BC220" s="268"/>
      <c r="BD220" s="268"/>
      <c r="BE220" s="268"/>
      <c r="BF220" s="268"/>
      <c r="BG220" s="268"/>
      <c r="BH220" s="268"/>
      <c r="BI220" s="268"/>
      <c r="BJ220" s="268"/>
      <c r="BK220" s="268"/>
      <c r="BL220" s="268"/>
      <c r="BM220" s="268"/>
      <c r="BN220" s="268"/>
      <c r="DA220" s="584"/>
      <c r="EN220" s="207"/>
    </row>
    <row r="221" spans="1:144" ht="13" customHeight="1" outlineLevel="1">
      <c r="A221" s="687"/>
      <c r="B221" s="282" t="s">
        <v>136</v>
      </c>
      <c r="AW221" s="561"/>
      <c r="DA221" s="584"/>
      <c r="EN221" s="207"/>
    </row>
    <row r="222" spans="1:144" s="211" customFormat="1" ht="13.25" customHeight="1" outlineLevel="1">
      <c r="A222" s="687"/>
      <c r="B222" s="519"/>
      <c r="E222" s="519"/>
      <c r="F222" s="268"/>
      <c r="G222" s="268"/>
      <c r="H222" s="268"/>
      <c r="I222" s="268"/>
      <c r="J222" s="268"/>
      <c r="K222" s="268"/>
      <c r="L222" s="268"/>
      <c r="M222" s="268"/>
      <c r="N222" s="268"/>
      <c r="O222" s="268"/>
      <c r="P222" s="275"/>
      <c r="Q222" s="275"/>
      <c r="R222" s="275"/>
      <c r="S222" s="275"/>
      <c r="T222" s="310"/>
      <c r="U222" s="275"/>
      <c r="V222" s="275"/>
      <c r="W222" s="310"/>
      <c r="X222" s="275"/>
      <c r="Y222" s="275"/>
      <c r="Z222" s="275"/>
      <c r="AA222" s="275"/>
      <c r="AB222" s="275"/>
      <c r="AC222" s="275"/>
      <c r="AD222" s="310"/>
      <c r="AE222" s="275"/>
      <c r="AF222" s="275"/>
      <c r="AG222" s="275"/>
      <c r="AH222" s="275"/>
      <c r="AI222" s="275"/>
      <c r="AJ222" s="275"/>
      <c r="AK222" s="275"/>
      <c r="AL222" s="275"/>
      <c r="AM222" s="275"/>
      <c r="AN222" s="275"/>
      <c r="AO222" s="275"/>
      <c r="AP222" s="275"/>
      <c r="AQ222" s="275"/>
      <c r="AR222" s="275"/>
      <c r="AS222" s="275"/>
      <c r="AT222" s="275"/>
      <c r="AU222" s="275"/>
      <c r="AV222" s="275"/>
      <c r="AX222" s="275"/>
      <c r="AY222" s="275"/>
      <c r="AZ222" s="275"/>
      <c r="BA222" s="275"/>
      <c r="BB222" s="310"/>
      <c r="BC222" s="275"/>
      <c r="BD222" s="275"/>
      <c r="BE222" s="275"/>
      <c r="BF222" s="275"/>
      <c r="BG222" s="275"/>
      <c r="BH222" s="275"/>
      <c r="BI222" s="275"/>
      <c r="BJ222" s="275"/>
      <c r="BK222" s="275"/>
      <c r="BL222" s="275"/>
      <c r="BM222" s="275"/>
      <c r="BN222" s="275"/>
      <c r="DA222" s="583"/>
      <c r="EN222" s="351"/>
    </row>
    <row r="223" spans="1:144" s="211" customFormat="1" ht="14.25" hidden="1" customHeight="1">
      <c r="A223" s="687"/>
      <c r="B223" s="701" t="s">
        <v>194</v>
      </c>
      <c r="E223" s="519"/>
      <c r="F223" s="268"/>
      <c r="G223" s="268"/>
      <c r="H223" s="268"/>
      <c r="I223" s="268"/>
      <c r="J223" s="268"/>
      <c r="K223" s="268"/>
      <c r="L223" s="268"/>
      <c r="M223" s="268"/>
      <c r="N223" s="268"/>
      <c r="O223" s="268"/>
      <c r="P223" s="275"/>
      <c r="Q223" s="275"/>
      <c r="R223" s="275"/>
      <c r="S223" s="275"/>
      <c r="T223" s="275"/>
      <c r="U223" s="275"/>
      <c r="V223" s="275"/>
      <c r="W223" s="275"/>
      <c r="X223" s="275"/>
      <c r="Y223" s="275"/>
      <c r="Z223" s="275"/>
      <c r="AA223" s="275"/>
      <c r="AB223" s="275"/>
      <c r="AC223" s="275"/>
      <c r="AD223" s="275"/>
      <c r="AE223" s="275"/>
      <c r="AF223" s="275"/>
      <c r="AG223" s="275"/>
      <c r="AH223" s="275"/>
      <c r="AI223" s="275"/>
      <c r="AJ223" s="275"/>
      <c r="AK223" s="275"/>
      <c r="AL223" s="275"/>
      <c r="AM223" s="275"/>
      <c r="AN223" s="275"/>
      <c r="AO223" s="275"/>
      <c r="AP223" s="275"/>
      <c r="AQ223" s="275"/>
      <c r="AR223" s="275"/>
      <c r="AS223" s="275"/>
      <c r="AT223" s="275"/>
      <c r="AU223" s="275"/>
      <c r="AV223" s="275"/>
      <c r="AW223" s="275"/>
      <c r="AX223" s="275"/>
      <c r="AY223" s="275"/>
      <c r="AZ223" s="275"/>
      <c r="BA223" s="275"/>
      <c r="BB223" s="275"/>
      <c r="BC223" s="275"/>
      <c r="BD223" s="275"/>
      <c r="BE223" s="275"/>
      <c r="BF223" s="275"/>
      <c r="BG223" s="275"/>
      <c r="BH223" s="275"/>
      <c r="BI223" s="275"/>
      <c r="BJ223" s="275"/>
      <c r="BK223" s="275"/>
      <c r="BL223" s="275"/>
      <c r="BM223" s="275"/>
      <c r="BN223" s="275"/>
      <c r="DA223" s="583"/>
      <c r="EN223" s="351"/>
    </row>
    <row r="224" spans="1:144" ht="13.25" hidden="1" customHeight="1">
      <c r="A224" s="687"/>
      <c r="B224" s="621" t="s">
        <v>195</v>
      </c>
      <c r="C224" s="211">
        <v>-8794</v>
      </c>
      <c r="F224" s="269">
        <v>-3800</v>
      </c>
      <c r="G224" s="269">
        <f>-2000*0.8</f>
        <v>-1600</v>
      </c>
      <c r="H224" s="269">
        <v>-2000</v>
      </c>
      <c r="I224" s="268" t="s">
        <v>0</v>
      </c>
      <c r="J224" s="269">
        <f>-800-594</f>
        <v>-1394</v>
      </c>
      <c r="K224" s="268" t="s">
        <v>0</v>
      </c>
      <c r="L224" s="268" t="s">
        <v>0</v>
      </c>
      <c r="M224" s="268" t="s">
        <v>0</v>
      </c>
      <c r="N224" s="268" t="s">
        <v>0</v>
      </c>
      <c r="O224" s="268" t="s">
        <v>0</v>
      </c>
      <c r="P224" s="268" t="s">
        <v>0</v>
      </c>
      <c r="Q224" s="268" t="s">
        <v>0</v>
      </c>
      <c r="R224" s="268" t="s">
        <v>0</v>
      </c>
      <c r="S224" s="268" t="s">
        <v>0</v>
      </c>
      <c r="T224" s="268" t="s">
        <v>0</v>
      </c>
      <c r="U224" s="268" t="s">
        <v>0</v>
      </c>
      <c r="V224" s="268" t="s">
        <v>0</v>
      </c>
      <c r="W224" s="268" t="s">
        <v>0</v>
      </c>
      <c r="X224" s="268"/>
      <c r="Y224" s="268"/>
      <c r="Z224" s="268"/>
      <c r="AA224" s="268"/>
      <c r="AB224" s="268" t="s">
        <v>0</v>
      </c>
      <c r="AC224" s="268"/>
      <c r="AD224" s="268"/>
      <c r="AE224" s="268"/>
      <c r="AF224" s="268" t="s">
        <v>0</v>
      </c>
      <c r="AG224" s="268"/>
      <c r="AH224" s="268"/>
      <c r="AI224" s="268"/>
      <c r="AJ224" s="268" t="s">
        <v>0</v>
      </c>
      <c r="AK224" s="268"/>
      <c r="AL224" s="268"/>
      <c r="AM224" s="268"/>
      <c r="AN224" s="268"/>
      <c r="AO224" s="268" t="s">
        <v>0</v>
      </c>
      <c r="AP224" s="268"/>
      <c r="AQ224" s="268"/>
      <c r="AR224" s="268"/>
      <c r="AS224" s="268"/>
      <c r="AT224" s="268"/>
      <c r="AU224" s="268"/>
      <c r="AV224" s="268" t="s">
        <v>0</v>
      </c>
      <c r="AW224" s="275" t="s">
        <v>0</v>
      </c>
      <c r="AX224" s="268"/>
      <c r="AY224" s="268"/>
      <c r="AZ224" s="268"/>
      <c r="BA224" s="268"/>
      <c r="BB224" s="268" t="s">
        <v>0</v>
      </c>
      <c r="BC224" s="268"/>
      <c r="BD224" s="268"/>
      <c r="BE224" s="268"/>
      <c r="BF224" s="268"/>
      <c r="BG224" s="268" t="s">
        <v>0</v>
      </c>
      <c r="BH224" s="268"/>
      <c r="BI224" s="268"/>
      <c r="BJ224" s="268"/>
      <c r="BK224" s="268"/>
      <c r="BL224" s="268"/>
      <c r="BM224" s="268"/>
      <c r="BN224" s="268"/>
      <c r="DA224" s="584"/>
      <c r="EN224" s="207"/>
    </row>
    <row r="225" spans="1:144" ht="13.25" hidden="1" customHeight="1">
      <c r="A225" s="687"/>
      <c r="B225" s="621" t="s">
        <v>196</v>
      </c>
      <c r="C225" s="211">
        <f>-10315-12625</f>
        <v>-22940</v>
      </c>
      <c r="F225" s="268">
        <v>-4000</v>
      </c>
      <c r="G225" s="268">
        <v>-2000</v>
      </c>
      <c r="H225" s="268">
        <v>-2000</v>
      </c>
      <c r="I225" s="268">
        <v>-2000</v>
      </c>
      <c r="J225" s="268">
        <v>-2000</v>
      </c>
      <c r="K225" s="268">
        <v>-2000</v>
      </c>
      <c r="L225" s="268">
        <v>-2000</v>
      </c>
      <c r="M225" s="268">
        <v>-2000</v>
      </c>
      <c r="O225" s="268">
        <v>-2000</v>
      </c>
      <c r="P225" s="268">
        <v>-2940</v>
      </c>
      <c r="Q225" s="268" t="s">
        <v>0</v>
      </c>
      <c r="R225" s="268" t="s">
        <v>0</v>
      </c>
      <c r="S225" s="268" t="s">
        <v>0</v>
      </c>
      <c r="T225" s="268" t="s">
        <v>0</v>
      </c>
      <c r="U225" s="268" t="s">
        <v>0</v>
      </c>
      <c r="V225" s="268" t="s">
        <v>0</v>
      </c>
      <c r="W225" s="268" t="s">
        <v>0</v>
      </c>
      <c r="X225" s="268"/>
      <c r="Y225" s="268"/>
      <c r="Z225" s="268"/>
      <c r="AA225" s="268"/>
      <c r="AB225" s="268" t="s">
        <v>0</v>
      </c>
      <c r="AC225" s="268"/>
      <c r="AD225" s="268"/>
      <c r="AE225" s="268"/>
      <c r="AF225" s="268" t="s">
        <v>0</v>
      </c>
      <c r="AG225" s="268"/>
      <c r="AH225" s="268"/>
      <c r="AI225" s="268"/>
      <c r="AJ225" s="268" t="s">
        <v>0</v>
      </c>
      <c r="AK225" s="268"/>
      <c r="AL225" s="268"/>
      <c r="AM225" s="268" t="s">
        <v>0</v>
      </c>
      <c r="AN225" s="268"/>
      <c r="AO225" s="268" t="s">
        <v>0</v>
      </c>
      <c r="AP225" s="268"/>
      <c r="AQ225" s="268"/>
      <c r="AR225" s="268"/>
      <c r="AS225" s="268"/>
      <c r="AT225" s="268"/>
      <c r="AU225" s="268"/>
      <c r="AV225" s="268" t="s">
        <v>0</v>
      </c>
      <c r="AW225" s="275" t="s">
        <v>0</v>
      </c>
      <c r="AX225" s="268"/>
      <c r="AY225" s="268"/>
      <c r="AZ225" s="268"/>
      <c r="BA225" s="268"/>
      <c r="BB225" s="268" t="s">
        <v>0</v>
      </c>
      <c r="BC225" s="268"/>
      <c r="BD225" s="268"/>
      <c r="BE225" s="268"/>
      <c r="BF225" s="268"/>
      <c r="BG225" s="268" t="s">
        <v>0</v>
      </c>
      <c r="BH225" s="268"/>
      <c r="BI225" s="268"/>
      <c r="BJ225" s="268"/>
      <c r="BK225" s="268"/>
      <c r="BL225" s="268"/>
      <c r="BM225" s="268"/>
      <c r="BN225" s="268"/>
      <c r="BT225" s="3" t="s">
        <v>0</v>
      </c>
      <c r="DA225" s="584"/>
      <c r="EN225" s="207"/>
    </row>
    <row r="226" spans="1:144" ht="13.25" customHeight="1" outlineLevel="1">
      <c r="A226" s="687"/>
      <c r="B226" s="282" t="s">
        <v>147</v>
      </c>
      <c r="C226" s="211"/>
      <c r="F226" s="268"/>
      <c r="G226" s="268"/>
      <c r="H226" s="268"/>
      <c r="I226" s="268"/>
      <c r="J226" s="268"/>
      <c r="K226" s="268"/>
      <c r="L226" s="268"/>
      <c r="M226" s="268"/>
      <c r="N226" s="268"/>
      <c r="O226" s="268"/>
      <c r="P226" s="268"/>
      <c r="Q226" s="268"/>
      <c r="R226" s="268"/>
      <c r="S226" s="268"/>
      <c r="T226" s="268"/>
      <c r="U226" s="269">
        <v>-11308</v>
      </c>
      <c r="V226" s="268"/>
      <c r="W226" s="268"/>
      <c r="Y226" s="268"/>
      <c r="Z226" s="268"/>
      <c r="AA226" s="268"/>
      <c r="AB226" s="268" t="s">
        <v>148</v>
      </c>
      <c r="AC226" s="268"/>
      <c r="AD226" s="268"/>
      <c r="AE226" s="268"/>
      <c r="AF226" s="268"/>
      <c r="AG226" s="268"/>
      <c r="AH226" s="268"/>
      <c r="AI226" s="268"/>
      <c r="AJ226" s="268"/>
      <c r="AK226" s="268"/>
      <c r="AL226" s="268"/>
      <c r="AM226" s="268"/>
      <c r="AN226" s="268"/>
      <c r="AO226" s="268"/>
      <c r="AP226" s="268"/>
      <c r="AQ226" s="268"/>
      <c r="AR226" s="268"/>
      <c r="AS226" s="268"/>
      <c r="AT226" s="268"/>
      <c r="AU226" s="268"/>
      <c r="AV226" s="268"/>
      <c r="AW226" s="275"/>
      <c r="AX226" s="268"/>
      <c r="AY226" s="268"/>
      <c r="AZ226" s="268"/>
      <c r="BA226" s="268"/>
      <c r="BB226" s="268"/>
      <c r="BC226" s="268"/>
      <c r="BD226" s="268"/>
      <c r="BE226" s="268"/>
      <c r="BF226" s="268"/>
      <c r="BG226" s="268"/>
      <c r="BH226" s="268"/>
      <c r="BI226" s="268"/>
      <c r="BJ226" s="268"/>
      <c r="BK226" s="268"/>
      <c r="BL226" s="268"/>
      <c r="BM226" s="268"/>
      <c r="BN226" s="268"/>
      <c r="CP226" s="3" t="s">
        <v>0</v>
      </c>
      <c r="DA226" s="584"/>
      <c r="EN226" s="207"/>
    </row>
    <row r="227" spans="1:144" ht="13.25" customHeight="1" outlineLevel="1">
      <c r="A227" s="687"/>
      <c r="B227" s="282" t="s">
        <v>707</v>
      </c>
      <c r="C227" s="211"/>
      <c r="F227" s="268"/>
      <c r="G227" s="268"/>
      <c r="H227" s="268"/>
      <c r="I227" s="268"/>
      <c r="J227" s="268"/>
      <c r="K227" s="268"/>
      <c r="L227" s="268"/>
      <c r="M227" s="268"/>
      <c r="N227" s="268"/>
      <c r="O227" s="268"/>
      <c r="P227" s="268"/>
      <c r="Q227" s="268"/>
      <c r="R227" s="268"/>
      <c r="S227" s="268"/>
      <c r="T227" s="268"/>
      <c r="U227" s="269"/>
      <c r="V227" s="268"/>
      <c r="W227" s="268"/>
      <c r="Y227" s="268"/>
      <c r="Z227" s="268"/>
      <c r="AA227" s="268"/>
      <c r="AB227" s="268"/>
      <c r="AC227" s="268"/>
      <c r="AD227" s="268"/>
      <c r="AE227" s="268"/>
      <c r="AF227" s="268"/>
      <c r="AG227" s="268"/>
      <c r="AH227" s="268"/>
      <c r="AI227" s="268"/>
      <c r="AJ227" s="268"/>
      <c r="AK227" s="268"/>
      <c r="AL227" s="268"/>
      <c r="AM227" s="268"/>
      <c r="AN227" s="268"/>
      <c r="AO227" s="268"/>
      <c r="AP227" s="268"/>
      <c r="AQ227" s="268"/>
      <c r="AR227" s="268"/>
      <c r="AS227" s="269">
        <v>-4608</v>
      </c>
      <c r="AT227" s="269">
        <v>-2880</v>
      </c>
      <c r="AU227" s="268"/>
      <c r="AV227" s="268"/>
      <c r="AW227" s="275"/>
      <c r="AX227" s="268"/>
      <c r="AY227" s="268"/>
      <c r="AZ227" s="268"/>
      <c r="BA227" s="268"/>
      <c r="BB227" s="268"/>
      <c r="BC227" s="268"/>
      <c r="BD227" s="268"/>
      <c r="BE227" s="268"/>
      <c r="BF227" s="268"/>
      <c r="BG227" s="268"/>
      <c r="BH227" s="268"/>
      <c r="BI227" s="268"/>
      <c r="BJ227" s="268"/>
      <c r="BK227" s="268"/>
      <c r="BL227" s="268"/>
      <c r="BM227" s="268"/>
      <c r="BN227" s="268"/>
      <c r="DA227" s="584"/>
      <c r="EF227" s="3" t="s">
        <v>0</v>
      </c>
      <c r="EN227" s="207"/>
    </row>
    <row r="228" spans="1:144" ht="13.25" customHeight="1" outlineLevel="1">
      <c r="A228" s="687"/>
      <c r="B228" s="282" t="s">
        <v>708</v>
      </c>
      <c r="C228" s="211"/>
      <c r="F228" s="268"/>
      <c r="G228" s="268"/>
      <c r="H228" s="268"/>
      <c r="I228" s="268"/>
      <c r="J228" s="268"/>
      <c r="K228" s="268"/>
      <c r="L228" s="268"/>
      <c r="M228" s="268"/>
      <c r="N228" s="268"/>
      <c r="O228" s="268"/>
      <c r="P228" s="268"/>
      <c r="Q228" s="268"/>
      <c r="R228" s="268"/>
      <c r="S228" s="268"/>
      <c r="T228" s="268"/>
      <c r="U228" s="269">
        <f>-2468-3704</f>
        <v>-6172</v>
      </c>
      <c r="V228" s="268"/>
      <c r="W228" s="268"/>
      <c r="X228" s="268"/>
      <c r="Y228" s="268"/>
      <c r="Z228" s="268"/>
      <c r="AA228" s="268"/>
      <c r="AB228" s="268"/>
      <c r="AC228" s="268"/>
      <c r="AD228" s="268"/>
      <c r="AE228" s="268"/>
      <c r="AF228" s="268"/>
      <c r="AG228" s="268"/>
      <c r="AH228" s="268"/>
      <c r="AI228" s="268"/>
      <c r="AJ228" s="268"/>
      <c r="AK228" s="268"/>
      <c r="AL228" s="268"/>
      <c r="AM228" s="268"/>
      <c r="AN228" s="268"/>
      <c r="AO228" s="268"/>
      <c r="AP228" s="268"/>
      <c r="AQ228" s="268"/>
      <c r="AR228" s="268"/>
      <c r="AS228" s="269">
        <v>-2120</v>
      </c>
      <c r="AT228" s="268"/>
      <c r="AU228" s="268"/>
      <c r="AV228" s="268"/>
      <c r="AW228" s="275"/>
      <c r="AX228" s="268"/>
      <c r="AY228" s="268"/>
      <c r="AZ228" s="268"/>
      <c r="BA228" s="268"/>
      <c r="BB228" s="268"/>
      <c r="BC228" s="268"/>
      <c r="BD228" s="268"/>
      <c r="BE228" s="268"/>
      <c r="BF228" s="268"/>
      <c r="BG228" s="268"/>
      <c r="BH228" s="268"/>
      <c r="BI228" s="268"/>
      <c r="BJ228" s="268"/>
      <c r="BK228" s="268"/>
      <c r="BL228" s="268"/>
      <c r="BM228" s="268"/>
      <c r="BN228" s="268"/>
      <c r="DA228" s="584"/>
      <c r="EN228" s="207"/>
    </row>
    <row r="229" spans="1:144" ht="13.25" customHeight="1" outlineLevel="1">
      <c r="A229" s="687"/>
      <c r="B229" s="282" t="s">
        <v>149</v>
      </c>
      <c r="C229" s="211"/>
      <c r="F229" s="268"/>
      <c r="G229" s="268"/>
      <c r="H229" s="268"/>
      <c r="I229" s="268"/>
      <c r="J229" s="268"/>
      <c r="K229" s="268"/>
      <c r="L229" s="268"/>
      <c r="M229" s="268"/>
      <c r="N229" s="268"/>
      <c r="O229" s="268"/>
      <c r="P229" s="268"/>
      <c r="Q229" s="268"/>
      <c r="R229" s="268"/>
      <c r="S229" s="268"/>
      <c r="T229" s="268"/>
      <c r="U229" s="268"/>
      <c r="V229" s="268"/>
      <c r="W229" s="268"/>
      <c r="X229" s="268"/>
      <c r="Y229" s="268"/>
      <c r="Z229" s="268"/>
      <c r="AA229" s="268"/>
      <c r="AB229" s="268"/>
      <c r="AC229" s="268">
        <v>-6448</v>
      </c>
      <c r="AD229" s="268">
        <v>0</v>
      </c>
      <c r="AE229" s="269">
        <v>-9880</v>
      </c>
      <c r="AF229" s="269">
        <v>-7592</v>
      </c>
      <c r="AG229" s="268"/>
      <c r="AH229" s="269">
        <v>-7612.8</v>
      </c>
      <c r="AI229" s="268"/>
      <c r="AJ229" s="269">
        <v>-7000</v>
      </c>
      <c r="AK229" s="268"/>
      <c r="AL229" s="269">
        <v>-4160</v>
      </c>
      <c r="AM229" s="268"/>
      <c r="AN229" s="269">
        <v>-1081.5999999999999</v>
      </c>
      <c r="AO229" s="268" t="s">
        <v>0</v>
      </c>
      <c r="AP229" s="268"/>
      <c r="AQ229" s="268"/>
      <c r="AR229" s="268"/>
      <c r="AS229" s="269">
        <v>-1600</v>
      </c>
      <c r="AT229" s="269">
        <v>-2985.6</v>
      </c>
      <c r="AU229" s="268"/>
      <c r="AV229" s="557"/>
      <c r="AW229" s="620"/>
      <c r="AX229" s="557"/>
      <c r="AY229" s="557"/>
      <c r="AZ229" s="557"/>
      <c r="BA229" s="557"/>
      <c r="BB229" s="557"/>
      <c r="BC229" s="557"/>
      <c r="BD229" s="557"/>
      <c r="BE229" s="557"/>
      <c r="BF229" s="557"/>
      <c r="BG229" s="557"/>
      <c r="BH229" s="557"/>
      <c r="BI229" s="557"/>
      <c r="BJ229" s="557"/>
      <c r="BK229" s="557"/>
      <c r="BL229" s="557"/>
      <c r="BM229" s="557"/>
      <c r="BN229" s="557"/>
      <c r="DA229" s="584"/>
      <c r="EN229" s="207"/>
    </row>
    <row r="230" spans="1:144" ht="13.25" customHeight="1" outlineLevel="1">
      <c r="A230" s="687"/>
      <c r="B230" s="282" t="s">
        <v>150</v>
      </c>
      <c r="C230" s="211"/>
      <c r="F230" s="268"/>
      <c r="G230" s="268"/>
      <c r="H230" s="268"/>
      <c r="I230" s="268"/>
      <c r="J230" s="268"/>
      <c r="K230" s="268"/>
      <c r="L230" s="268"/>
      <c r="M230" s="268"/>
      <c r="N230" s="268"/>
      <c r="O230" s="268"/>
      <c r="P230" s="268"/>
      <c r="Q230" s="268"/>
      <c r="R230" s="268"/>
      <c r="S230" s="268"/>
      <c r="T230" s="268"/>
      <c r="U230" s="268"/>
      <c r="V230" s="268"/>
      <c r="W230" s="268"/>
      <c r="X230" s="268"/>
      <c r="Y230" s="268"/>
      <c r="Z230" s="268"/>
      <c r="AA230" s="268"/>
      <c r="AB230" s="268"/>
      <c r="AC230" s="268">
        <f>-6864*0.8</f>
        <v>-5491.2000000000007</v>
      </c>
      <c r="AD230" s="268"/>
      <c r="AE230" s="268"/>
      <c r="AF230" s="268"/>
      <c r="AG230" s="268"/>
      <c r="AH230" s="268"/>
      <c r="AI230" s="268"/>
      <c r="AJ230" s="268"/>
      <c r="AK230" s="268"/>
      <c r="AL230" s="268"/>
      <c r="AM230" s="268"/>
      <c r="AN230" s="268"/>
      <c r="AO230" s="268"/>
      <c r="AP230" s="268"/>
      <c r="AQ230" s="268"/>
      <c r="AR230" s="268"/>
      <c r="AS230" s="268"/>
      <c r="AT230" s="268"/>
      <c r="AU230" s="268"/>
      <c r="AV230" s="557"/>
      <c r="AW230" s="620"/>
      <c r="AX230" s="557"/>
      <c r="AY230" s="557"/>
      <c r="AZ230" s="557"/>
      <c r="BA230" s="557"/>
      <c r="BB230" s="557"/>
      <c r="BC230" s="557"/>
      <c r="BD230" s="557"/>
      <c r="BE230" s="557"/>
      <c r="BF230" s="557"/>
      <c r="BG230" s="557"/>
      <c r="BH230" s="557"/>
      <c r="BI230" s="557"/>
      <c r="BJ230" s="557"/>
      <c r="BK230" s="557"/>
      <c r="BL230" s="557"/>
      <c r="BM230" s="557"/>
      <c r="BN230" s="557"/>
      <c r="DA230" s="584"/>
      <c r="EN230" s="207"/>
    </row>
    <row r="231" spans="1:144" s="518" customFormat="1" ht="12" customHeight="1" outlineLevel="1">
      <c r="A231" s="687"/>
      <c r="B231" s="621" t="s">
        <v>151</v>
      </c>
      <c r="C231" s="614"/>
      <c r="E231" s="594"/>
      <c r="F231" s="557"/>
      <c r="G231" s="557"/>
      <c r="H231" s="557"/>
      <c r="I231" s="557"/>
      <c r="J231" s="557"/>
      <c r="K231" s="557"/>
      <c r="L231" s="557"/>
      <c r="M231" s="557"/>
      <c r="N231" s="557"/>
      <c r="O231" s="557"/>
      <c r="P231" s="557"/>
      <c r="Q231" s="557"/>
      <c r="S231" s="557"/>
      <c r="T231" s="557"/>
      <c r="U231" s="268">
        <v>0</v>
      </c>
      <c r="V231" s="557"/>
      <c r="W231" s="557"/>
      <c r="X231" s="557"/>
      <c r="Y231" s="557" t="s">
        <v>0</v>
      </c>
      <c r="Z231" s="557" t="s">
        <v>0</v>
      </c>
      <c r="AA231" s="557"/>
      <c r="AB231" s="557"/>
      <c r="AC231" s="557"/>
      <c r="AD231" s="557"/>
      <c r="AE231" s="557"/>
      <c r="AF231" s="557"/>
      <c r="AG231" s="557"/>
      <c r="AH231" s="557"/>
      <c r="AI231" s="557"/>
      <c r="AJ231" s="557"/>
      <c r="AK231" s="557"/>
      <c r="AL231" s="557"/>
      <c r="AM231" s="557"/>
      <c r="AN231" s="557"/>
      <c r="AO231" s="557"/>
      <c r="AP231" s="557"/>
      <c r="AQ231" s="557"/>
      <c r="AR231" s="557"/>
      <c r="AS231" s="557"/>
      <c r="AT231" s="557"/>
      <c r="AU231" s="557"/>
      <c r="AV231" s="268"/>
      <c r="AW231" s="275"/>
      <c r="AX231" s="268"/>
      <c r="AY231" s="268"/>
      <c r="AZ231" s="268"/>
      <c r="BA231" s="268"/>
      <c r="BB231" s="268"/>
      <c r="BC231" s="268"/>
      <c r="BD231" s="268"/>
      <c r="BE231" s="268"/>
      <c r="BF231" s="268"/>
      <c r="BG231" s="268"/>
      <c r="BH231" s="268"/>
      <c r="BI231" s="268"/>
      <c r="BJ231" s="268"/>
      <c r="BK231" s="268"/>
      <c r="BL231" s="268"/>
      <c r="BM231" s="268"/>
      <c r="BN231" s="268"/>
      <c r="BX231" s="3"/>
      <c r="BY231" s="3"/>
      <c r="BZ231" s="3"/>
      <c r="CA231" s="3"/>
      <c r="CB231" s="3"/>
      <c r="CW231" s="597"/>
      <c r="DA231" s="586"/>
      <c r="EN231" s="547"/>
    </row>
    <row r="232" spans="1:144" ht="13.25" customHeight="1" outlineLevel="1">
      <c r="A232" s="687"/>
      <c r="B232" s="621" t="s">
        <v>152</v>
      </c>
      <c r="C232" s="211">
        <v>0</v>
      </c>
      <c r="D232" s="211">
        <f>-75500*0.8</f>
        <v>-60400</v>
      </c>
      <c r="E232" s="519"/>
      <c r="F232" s="268"/>
      <c r="G232" s="268"/>
      <c r="H232" s="268"/>
      <c r="I232" s="268"/>
      <c r="J232" s="268"/>
      <c r="K232" s="268"/>
      <c r="L232" s="268"/>
      <c r="M232" s="268"/>
      <c r="N232" s="268"/>
      <c r="O232" s="268"/>
      <c r="P232" s="268"/>
      <c r="Q232" s="268"/>
      <c r="S232" s="268" t="s">
        <v>0</v>
      </c>
      <c r="T232" s="268">
        <v>0</v>
      </c>
      <c r="U232" s="268">
        <v>0</v>
      </c>
      <c r="W232" s="268">
        <v>0</v>
      </c>
      <c r="X232" s="268">
        <v>0</v>
      </c>
      <c r="Y232" s="268">
        <v>0</v>
      </c>
      <c r="Z232" s="268">
        <v>0</v>
      </c>
      <c r="AA232" s="268"/>
      <c r="AB232" s="268">
        <v>0</v>
      </c>
      <c r="AC232" s="269">
        <v>-11200</v>
      </c>
      <c r="AD232" s="268"/>
      <c r="AE232" s="269">
        <v>-8000</v>
      </c>
      <c r="AF232" s="268" t="s">
        <v>0</v>
      </c>
      <c r="AG232" s="268" t="s">
        <v>0</v>
      </c>
      <c r="AH232" s="269">
        <v>-10000</v>
      </c>
      <c r="AJ232" s="269">
        <v>-15000</v>
      </c>
      <c r="AL232" s="268" t="s">
        <v>0</v>
      </c>
      <c r="AM232" s="268" t="s">
        <v>0</v>
      </c>
      <c r="AN232" s="269">
        <v>-15000</v>
      </c>
      <c r="AO232" s="268"/>
      <c r="AP232" s="268"/>
      <c r="AQ232" s="268"/>
      <c r="AR232" s="268"/>
      <c r="AS232" s="268"/>
      <c r="AT232" s="268"/>
      <c r="AU232" s="268"/>
      <c r="AV232" s="268"/>
      <c r="AW232" s="275"/>
      <c r="AX232" s="268"/>
      <c r="AY232" s="268"/>
      <c r="AZ232" s="268"/>
      <c r="BA232" s="268"/>
      <c r="BB232" s="268"/>
      <c r="BC232" s="268"/>
      <c r="BD232" s="268"/>
      <c r="BE232" s="268"/>
      <c r="BF232" s="268"/>
      <c r="BG232" s="268"/>
      <c r="BH232" s="268"/>
      <c r="BI232" s="268"/>
      <c r="BJ232" s="268"/>
      <c r="BK232" s="268"/>
      <c r="BL232" s="268"/>
      <c r="BM232" s="268"/>
      <c r="BN232" s="268"/>
      <c r="DA232" s="584"/>
      <c r="EN232" s="207"/>
    </row>
    <row r="233" spans="1:144" ht="12" customHeight="1" outlineLevel="1">
      <c r="A233" s="687"/>
      <c r="B233" s="621" t="s">
        <v>153</v>
      </c>
      <c r="D233" s="211">
        <f>-7000*6.5</f>
        <v>-45500</v>
      </c>
      <c r="E233" s="519"/>
      <c r="F233" s="268"/>
      <c r="G233" s="268"/>
      <c r="H233" s="268"/>
      <c r="I233" s="268"/>
      <c r="J233" s="268"/>
      <c r="K233" s="268"/>
      <c r="L233" s="268"/>
      <c r="M233" s="268"/>
      <c r="N233" s="268"/>
      <c r="O233" s="268"/>
      <c r="P233" s="268"/>
      <c r="Q233" s="268"/>
      <c r="S233" s="268"/>
      <c r="T233" s="268"/>
      <c r="U233" s="268"/>
      <c r="W233" s="268"/>
      <c r="X233" s="268"/>
      <c r="Y233" s="268"/>
      <c r="Z233" s="268"/>
      <c r="AA233" s="268"/>
      <c r="AB233" s="268">
        <v>0</v>
      </c>
      <c r="AC233" s="268"/>
      <c r="AD233" s="268"/>
      <c r="AE233" s="268"/>
      <c r="AF233" s="268" t="s">
        <v>0</v>
      </c>
      <c r="AG233" s="268"/>
      <c r="AH233" s="268"/>
      <c r="AI233" s="268"/>
      <c r="AJ233" s="268" t="s">
        <v>0</v>
      </c>
      <c r="AK233" s="268"/>
      <c r="AL233" s="268"/>
      <c r="AM233" s="268"/>
      <c r="AN233" s="268"/>
      <c r="AO233" s="268">
        <v>0</v>
      </c>
      <c r="AP233" s="268" t="s">
        <v>0</v>
      </c>
      <c r="AQ233" s="268"/>
      <c r="AR233" s="268"/>
      <c r="AS233" s="268"/>
      <c r="AT233" s="268"/>
      <c r="AU233" s="268"/>
      <c r="AW233" s="275" t="s">
        <v>0</v>
      </c>
      <c r="BB233" s="268" t="s">
        <v>0</v>
      </c>
      <c r="BC233" s="269">
        <v>-10000</v>
      </c>
      <c r="BD233" s="268"/>
      <c r="BG233" s="268"/>
      <c r="BH233" s="268"/>
      <c r="BJ233" s="269">
        <v>-20000</v>
      </c>
      <c r="BK233" s="268" t="s">
        <v>0</v>
      </c>
      <c r="BM233" s="269">
        <v>-13000</v>
      </c>
      <c r="BN233" s="268"/>
      <c r="BX233" s="518"/>
      <c r="BY233" s="518"/>
      <c r="BZ233" s="518"/>
      <c r="CA233" s="518"/>
      <c r="CB233" s="518"/>
      <c r="DA233" s="584"/>
      <c r="EN233" s="207"/>
    </row>
    <row r="234" spans="1:144" ht="12" customHeight="1" outlineLevel="1">
      <c r="A234" s="687"/>
      <c r="B234" s="621" t="s">
        <v>154</v>
      </c>
      <c r="D234" s="211"/>
      <c r="E234" s="519"/>
      <c r="F234" s="268"/>
      <c r="G234" s="268"/>
      <c r="H234" s="268"/>
      <c r="I234" s="268"/>
      <c r="J234" s="268"/>
      <c r="K234" s="268"/>
      <c r="L234" s="268"/>
      <c r="M234" s="268"/>
      <c r="N234" s="268"/>
      <c r="O234" s="268"/>
      <c r="P234" s="268"/>
      <c r="Q234" s="268"/>
      <c r="S234" s="268"/>
      <c r="T234" s="268"/>
      <c r="U234" s="268"/>
      <c r="W234" s="268"/>
      <c r="X234" s="268"/>
      <c r="Y234" s="268"/>
      <c r="Z234" s="268"/>
      <c r="AA234" s="268"/>
      <c r="AB234" s="268"/>
      <c r="AC234" s="268"/>
      <c r="AD234" s="268"/>
      <c r="AE234" s="268"/>
      <c r="AF234" s="268"/>
      <c r="AG234" s="268"/>
      <c r="AH234" s="268"/>
      <c r="AI234" s="268"/>
      <c r="AJ234" s="268"/>
      <c r="AK234" s="268"/>
      <c r="AL234" s="268"/>
      <c r="AM234" s="268"/>
      <c r="AN234" s="268"/>
      <c r="AO234" s="268"/>
      <c r="AP234" s="269">
        <v>-2000</v>
      </c>
      <c r="AQ234" s="268"/>
      <c r="AR234" s="268"/>
      <c r="AS234" s="268"/>
      <c r="AT234" s="268"/>
      <c r="AU234" s="268"/>
      <c r="AV234" s="268"/>
      <c r="AW234" s="275"/>
      <c r="AX234" s="268"/>
      <c r="AY234" s="268"/>
      <c r="AZ234" s="268"/>
      <c r="BA234" s="268"/>
      <c r="BB234" s="268"/>
      <c r="BC234" s="268"/>
      <c r="BD234" s="268"/>
      <c r="BE234" s="268"/>
      <c r="BF234" s="268"/>
      <c r="BG234" s="268"/>
      <c r="BH234" s="268"/>
      <c r="BI234" s="268"/>
      <c r="BJ234" s="268"/>
      <c r="BK234" s="268"/>
      <c r="BL234" s="268"/>
      <c r="BM234" s="268"/>
      <c r="BN234" s="268"/>
      <c r="DA234" s="584"/>
      <c r="EN234" s="207"/>
    </row>
    <row r="235" spans="1:144" ht="12" customHeight="1" outlineLevel="1">
      <c r="A235" s="687"/>
      <c r="B235" s="621" t="s">
        <v>155</v>
      </c>
      <c r="D235" s="211"/>
      <c r="E235" s="519"/>
      <c r="F235" s="268"/>
      <c r="G235" s="268"/>
      <c r="H235" s="268"/>
      <c r="I235" s="268"/>
      <c r="J235" s="268"/>
      <c r="K235" s="268"/>
      <c r="L235" s="268"/>
      <c r="M235" s="268"/>
      <c r="N235" s="268"/>
      <c r="O235" s="268"/>
      <c r="P235" s="268"/>
      <c r="Q235" s="268"/>
      <c r="S235" s="268"/>
      <c r="T235" s="268"/>
      <c r="U235" s="268"/>
      <c r="W235" s="268"/>
      <c r="X235" s="268"/>
      <c r="Y235" s="268"/>
      <c r="Z235" s="268"/>
      <c r="AA235" s="268"/>
      <c r="AB235" s="268"/>
      <c r="AC235" s="268"/>
      <c r="AD235" s="268"/>
      <c r="AE235" s="268"/>
      <c r="AF235" s="269">
        <v>-3600</v>
      </c>
      <c r="AG235" s="268"/>
      <c r="AH235" s="268"/>
      <c r="AI235" s="268"/>
      <c r="AJ235" s="268"/>
      <c r="AK235" s="268"/>
      <c r="AL235" s="268"/>
      <c r="AM235" s="268"/>
      <c r="AN235" s="268"/>
      <c r="AO235" s="268"/>
      <c r="AP235" s="268"/>
      <c r="AQ235" s="268"/>
      <c r="AR235" s="268"/>
      <c r="AS235" s="268"/>
      <c r="AT235" s="268"/>
      <c r="AU235" s="268"/>
      <c r="AV235" s="268"/>
      <c r="AW235" s="275"/>
      <c r="AX235" s="268"/>
      <c r="AY235" s="268"/>
      <c r="AZ235" s="268"/>
      <c r="BA235" s="268"/>
      <c r="BB235" s="268"/>
      <c r="BC235" s="268"/>
      <c r="BD235" s="268"/>
      <c r="BE235" s="268"/>
      <c r="BF235" s="268"/>
      <c r="BG235" s="268"/>
      <c r="BH235" s="268"/>
      <c r="BI235" s="268"/>
      <c r="BJ235" s="268"/>
      <c r="BK235" s="268"/>
      <c r="BL235" s="268"/>
      <c r="BM235" s="268"/>
      <c r="BN235" s="268"/>
      <c r="DA235" s="584"/>
      <c r="EN235" s="207"/>
    </row>
    <row r="236" spans="1:144" ht="13.25" customHeight="1" outlineLevel="1">
      <c r="A236" s="687"/>
      <c r="B236" s="621" t="s">
        <v>156</v>
      </c>
      <c r="C236" s="211"/>
      <c r="F236" s="268"/>
      <c r="G236" s="268"/>
      <c r="H236" s="268"/>
      <c r="I236" s="268"/>
      <c r="J236" s="268"/>
      <c r="K236" s="268"/>
      <c r="L236" s="268"/>
      <c r="M236" s="268"/>
      <c r="N236" s="268"/>
      <c r="O236" s="268"/>
      <c r="P236" s="268"/>
      <c r="Q236" s="268"/>
      <c r="S236" s="268"/>
      <c r="T236" s="268"/>
      <c r="U236" s="268"/>
      <c r="W236" s="268"/>
      <c r="X236" s="268"/>
      <c r="Y236" s="268"/>
      <c r="Z236" s="268"/>
      <c r="AA236" s="269">
        <v>-3224</v>
      </c>
      <c r="AB236" s="268"/>
      <c r="AC236" s="268">
        <v>0</v>
      </c>
      <c r="AD236" s="268"/>
      <c r="AE236" s="268">
        <v>0</v>
      </c>
      <c r="AF236" s="268" t="s">
        <v>0</v>
      </c>
      <c r="AG236" s="268"/>
      <c r="AH236" s="268"/>
      <c r="AI236" s="268"/>
      <c r="AJ236" s="268"/>
      <c r="AK236" s="268"/>
      <c r="AL236" s="268"/>
      <c r="AM236" s="268"/>
      <c r="AN236" s="268"/>
      <c r="AO236" s="268"/>
      <c r="AP236" s="268"/>
      <c r="AQ236" s="268"/>
      <c r="AR236" s="268"/>
      <c r="AS236" s="268"/>
      <c r="AT236" s="268"/>
      <c r="AU236" s="268"/>
      <c r="AV236" s="268"/>
      <c r="AW236" s="275"/>
      <c r="AX236" s="268"/>
      <c r="AY236" s="268"/>
      <c r="AZ236" s="268"/>
      <c r="BA236" s="268"/>
      <c r="BB236" s="268"/>
      <c r="BC236" s="268"/>
      <c r="BD236" s="268"/>
      <c r="BE236" s="268"/>
      <c r="BF236" s="268"/>
      <c r="BG236" s="268"/>
      <c r="BH236" s="268"/>
      <c r="BI236" s="268"/>
      <c r="BJ236" s="268"/>
      <c r="BK236" s="268"/>
      <c r="BL236" s="268"/>
      <c r="BM236" s="268"/>
      <c r="BN236" s="268"/>
      <c r="DA236" s="584"/>
      <c r="EN236" s="207"/>
    </row>
    <row r="237" spans="1:144" ht="13.25" customHeight="1" outlineLevel="1">
      <c r="A237" s="687"/>
      <c r="B237" s="622" t="s">
        <v>157</v>
      </c>
      <c r="C237" s="211"/>
      <c r="F237" s="268"/>
      <c r="G237" s="268"/>
      <c r="H237" s="268"/>
      <c r="I237" s="268"/>
      <c r="J237" s="268"/>
      <c r="K237" s="268"/>
      <c r="L237" s="268"/>
      <c r="M237" s="268"/>
      <c r="N237" s="268"/>
      <c r="O237" s="268"/>
      <c r="P237" s="268"/>
      <c r="Q237" s="268"/>
      <c r="S237" s="268"/>
      <c r="T237" s="268"/>
      <c r="U237" s="268"/>
      <c r="W237" s="268"/>
      <c r="X237" s="268"/>
      <c r="Y237" s="268"/>
      <c r="Z237" s="268"/>
      <c r="AA237" s="269"/>
      <c r="AB237" s="268"/>
      <c r="AC237" s="268"/>
      <c r="AD237" s="268"/>
      <c r="AE237" s="268"/>
      <c r="AF237" s="268"/>
      <c r="AG237" s="268"/>
      <c r="AH237" s="268"/>
      <c r="AI237" s="268"/>
      <c r="AJ237" s="269">
        <f>35433-28117.74</f>
        <v>7315.2599999999984</v>
      </c>
      <c r="AK237" s="268"/>
      <c r="AL237" s="268"/>
      <c r="AM237" s="268"/>
      <c r="AN237" s="268"/>
      <c r="AO237" s="268"/>
      <c r="AP237" s="268"/>
      <c r="AQ237" s="268"/>
      <c r="AR237" s="268"/>
      <c r="AS237" s="268"/>
      <c r="AT237" s="268"/>
      <c r="AU237" s="268"/>
      <c r="AV237" s="268"/>
      <c r="AW237" s="275"/>
      <c r="AX237" s="268"/>
      <c r="AY237" s="268"/>
      <c r="AZ237" s="268"/>
      <c r="BA237" s="268"/>
      <c r="BB237" s="268"/>
      <c r="BC237" s="268"/>
      <c r="BD237" s="268"/>
      <c r="BE237" s="268"/>
      <c r="BF237" s="268"/>
      <c r="BG237" s="268"/>
      <c r="BH237" s="268"/>
      <c r="BI237" s="268"/>
      <c r="BJ237" s="268"/>
      <c r="BK237" s="268"/>
      <c r="BL237" s="268"/>
      <c r="BM237" s="268"/>
      <c r="BN237" s="268"/>
      <c r="DA237" s="584"/>
      <c r="EN237" s="207"/>
    </row>
    <row r="238" spans="1:144" s="211" customFormat="1" ht="13.25" hidden="1" customHeight="1">
      <c r="A238" s="687"/>
      <c r="B238" s="519"/>
      <c r="E238" s="519"/>
      <c r="F238" s="268"/>
      <c r="G238" s="268"/>
      <c r="H238" s="268"/>
      <c r="I238" s="268"/>
      <c r="J238" s="268"/>
      <c r="K238" s="268"/>
      <c r="L238" s="268"/>
      <c r="M238" s="268"/>
      <c r="N238" s="268"/>
      <c r="O238" s="268"/>
      <c r="P238" s="275"/>
      <c r="Q238" s="275"/>
      <c r="R238" s="275"/>
      <c r="S238" s="275"/>
      <c r="T238" s="275"/>
      <c r="U238" s="275"/>
      <c r="V238" s="275"/>
      <c r="W238" s="275"/>
      <c r="X238" s="275"/>
      <c r="Y238" s="275"/>
      <c r="Z238" s="275"/>
      <c r="AA238" s="275"/>
      <c r="AB238" s="275"/>
      <c r="AC238" s="275"/>
      <c r="AD238" s="275"/>
      <c r="AE238" s="275"/>
      <c r="AF238" s="275"/>
      <c r="AG238" s="275"/>
      <c r="AH238" s="275"/>
      <c r="AI238" s="275"/>
      <c r="AJ238" s="275"/>
      <c r="AK238" s="275"/>
      <c r="AL238" s="275"/>
      <c r="AM238" s="275"/>
      <c r="AN238" s="275"/>
      <c r="AO238" s="275"/>
      <c r="AP238" s="275"/>
      <c r="AQ238" s="275"/>
      <c r="AR238" s="275"/>
      <c r="AS238" s="275"/>
      <c r="AT238" s="275"/>
      <c r="AU238" s="275"/>
      <c r="AV238" s="275"/>
      <c r="AW238" s="275"/>
      <c r="AX238" s="275"/>
      <c r="AY238" s="275"/>
      <c r="AZ238" s="275"/>
      <c r="BA238" s="275"/>
      <c r="BB238" s="275"/>
      <c r="BC238" s="275"/>
      <c r="BD238" s="275"/>
      <c r="BE238" s="275"/>
      <c r="BF238" s="275"/>
      <c r="BG238" s="275"/>
      <c r="BH238" s="275"/>
      <c r="BI238" s="275"/>
      <c r="BJ238" s="275"/>
      <c r="BK238" s="275"/>
      <c r="BL238" s="275"/>
      <c r="BM238" s="275"/>
      <c r="BN238" s="275"/>
      <c r="CP238" s="211" t="s">
        <v>0</v>
      </c>
      <c r="DA238" s="583"/>
      <c r="EN238" s="351"/>
    </row>
    <row r="239" spans="1:144" s="211" customFormat="1" ht="17" hidden="1">
      <c r="A239" s="687"/>
      <c r="B239" s="701" t="s">
        <v>898</v>
      </c>
      <c r="E239" s="519"/>
      <c r="F239" s="268"/>
      <c r="G239" s="268"/>
      <c r="H239" s="268"/>
      <c r="I239" s="268"/>
      <c r="J239" s="268"/>
      <c r="K239" s="268"/>
      <c r="L239" s="268"/>
      <c r="M239" s="268"/>
      <c r="N239" s="268"/>
      <c r="O239" s="268"/>
      <c r="P239" s="275"/>
      <c r="Q239" s="275"/>
      <c r="R239" s="275"/>
      <c r="S239" s="275"/>
      <c r="T239" s="275"/>
      <c r="U239" s="275"/>
      <c r="V239" s="275"/>
      <c r="W239" s="275"/>
      <c r="X239" s="275"/>
      <c r="Y239" s="275"/>
      <c r="Z239" s="275"/>
      <c r="AA239" s="275"/>
      <c r="AB239" s="275"/>
      <c r="AC239" s="275"/>
      <c r="AD239" s="275"/>
      <c r="AE239" s="275"/>
      <c r="AF239" s="275"/>
      <c r="AG239" s="275"/>
      <c r="AH239" s="275"/>
      <c r="AI239" s="275"/>
      <c r="AJ239" s="275"/>
      <c r="AK239" s="275"/>
      <c r="AL239" s="275"/>
      <c r="AM239" s="275"/>
      <c r="AN239" s="275"/>
      <c r="AO239" s="275"/>
      <c r="AP239" s="275"/>
      <c r="AQ239" s="275"/>
      <c r="AR239" s="275"/>
      <c r="AS239" s="275"/>
      <c r="AT239" s="275"/>
      <c r="AU239" s="275"/>
      <c r="AV239" s="275"/>
      <c r="AW239" s="275"/>
      <c r="AX239" s="275"/>
      <c r="AY239" s="275"/>
      <c r="AZ239" s="275"/>
      <c r="BA239" s="275"/>
      <c r="BB239" s="275"/>
      <c r="BC239" s="275"/>
      <c r="BD239" s="275"/>
      <c r="BE239" s="275"/>
      <c r="BF239" s="275"/>
      <c r="BG239" s="275"/>
      <c r="BH239" s="275"/>
      <c r="BI239" s="275"/>
      <c r="BJ239" s="275"/>
      <c r="BK239" s="275"/>
      <c r="BL239" s="275"/>
      <c r="BM239" s="275"/>
      <c r="BN239" s="275"/>
      <c r="DA239" s="583"/>
      <c r="EN239" s="351"/>
    </row>
    <row r="240" spans="1:144" s="211" customFormat="1" ht="15" outlineLevel="1">
      <c r="A240" s="323"/>
      <c r="B240" s="519" t="s">
        <v>52</v>
      </c>
      <c r="E240" s="519"/>
      <c r="F240" s="268"/>
      <c r="G240" s="268"/>
      <c r="H240" s="268"/>
      <c r="I240" s="268"/>
      <c r="J240" s="268"/>
      <c r="K240" s="268"/>
      <c r="L240" s="268"/>
      <c r="N240" s="268"/>
      <c r="X240" s="268"/>
      <c r="Y240" s="268" t="s">
        <v>0</v>
      </c>
      <c r="AC240" s="268"/>
      <c r="AD240" s="268">
        <v>0</v>
      </c>
      <c r="AE240" s="268"/>
      <c r="AG240" s="268"/>
      <c r="AI240" s="268"/>
      <c r="AJ240" s="269">
        <v>57244.75</v>
      </c>
      <c r="AK240" s="268"/>
      <c r="AL240" s="268"/>
      <c r="AM240" s="268"/>
      <c r="AN240" s="268"/>
      <c r="AO240" s="268"/>
      <c r="AP240" s="268"/>
      <c r="AQ240" s="268"/>
      <c r="AR240" s="268"/>
      <c r="AS240" s="268"/>
      <c r="AT240" s="268"/>
      <c r="AU240" s="268"/>
      <c r="AV240" s="268"/>
      <c r="AW240" s="275"/>
      <c r="AX240" s="268"/>
      <c r="AY240" s="268"/>
      <c r="AZ240" s="268"/>
      <c r="BA240" s="268"/>
      <c r="BB240" s="268"/>
      <c r="BC240" s="268"/>
      <c r="BD240" s="268"/>
      <c r="BE240" s="268"/>
      <c r="BF240" s="268"/>
      <c r="BG240" s="268"/>
      <c r="BH240" s="268"/>
      <c r="BI240" s="268"/>
      <c r="BJ240" s="268"/>
      <c r="BK240" s="268"/>
      <c r="BL240" s="268"/>
      <c r="BM240" s="268"/>
      <c r="BN240" s="268"/>
      <c r="DA240" s="583"/>
      <c r="EN240" s="351"/>
    </row>
    <row r="241" spans="1:144" s="211" customFormat="1" ht="15" outlineLevel="1">
      <c r="A241" s="323"/>
      <c r="B241" s="519" t="s">
        <v>53</v>
      </c>
      <c r="E241" s="519"/>
      <c r="F241" s="268"/>
      <c r="G241" s="268"/>
      <c r="H241" s="268"/>
      <c r="I241" s="268"/>
      <c r="J241" s="268"/>
      <c r="K241" s="268"/>
      <c r="L241" s="268"/>
      <c r="M241" s="268"/>
      <c r="O241" s="268"/>
      <c r="P241" s="268"/>
      <c r="Q241" s="268"/>
      <c r="R241" s="268"/>
      <c r="S241" s="268"/>
      <c r="T241" s="268"/>
      <c r="U241" s="268"/>
      <c r="V241" s="268"/>
      <c r="W241" s="268"/>
      <c r="X241" s="268"/>
      <c r="Y241" s="268"/>
      <c r="Z241" s="268"/>
      <c r="AA241" s="268"/>
      <c r="AB241" s="268"/>
      <c r="AC241" s="268"/>
      <c r="AD241" s="268"/>
      <c r="AE241" s="268"/>
      <c r="AG241" s="268"/>
      <c r="AH241" s="269">
        <v>16950</v>
      </c>
      <c r="AI241" s="268"/>
      <c r="AJ241" s="268"/>
      <c r="AK241" s="268"/>
      <c r="AL241" s="268"/>
      <c r="AM241" s="268"/>
      <c r="AN241" s="268"/>
      <c r="AO241" s="268"/>
      <c r="AP241" s="268"/>
      <c r="AQ241" s="268"/>
      <c r="AR241" s="268"/>
      <c r="AS241" s="268"/>
      <c r="AT241" s="268"/>
      <c r="AU241" s="268"/>
      <c r="AV241" s="268"/>
      <c r="AW241" s="275"/>
      <c r="AX241" s="268"/>
      <c r="AY241" s="268"/>
      <c r="AZ241" s="268"/>
      <c r="BA241" s="268"/>
      <c r="BB241" s="268"/>
      <c r="BC241" s="268"/>
      <c r="BD241" s="268"/>
      <c r="BE241" s="268"/>
      <c r="BF241" s="268"/>
      <c r="BG241" s="268"/>
      <c r="BH241" s="268"/>
      <c r="BI241" s="268"/>
      <c r="BJ241" s="268"/>
      <c r="BK241" s="268"/>
      <c r="BL241" s="268"/>
      <c r="BM241" s="268"/>
      <c r="BN241" s="268"/>
      <c r="DA241" s="583"/>
      <c r="EN241" s="351"/>
    </row>
    <row r="242" spans="1:144" s="211" customFormat="1" ht="15" outlineLevel="1">
      <c r="A242" s="323"/>
      <c r="B242" s="519" t="s">
        <v>54</v>
      </c>
      <c r="E242" s="519"/>
      <c r="F242" s="268"/>
      <c r="G242" s="268"/>
      <c r="H242" s="268"/>
      <c r="I242" s="268"/>
      <c r="J242" s="268" t="s">
        <v>0</v>
      </c>
      <c r="K242" s="268"/>
      <c r="L242" s="268"/>
      <c r="M242" s="268"/>
      <c r="O242" s="268"/>
      <c r="P242" s="268">
        <v>0</v>
      </c>
      <c r="Q242" s="268"/>
      <c r="R242" s="268"/>
      <c r="S242" s="268"/>
      <c r="T242" s="268"/>
      <c r="U242" s="268"/>
      <c r="V242" s="268"/>
      <c r="W242" s="268"/>
      <c r="X242" s="268"/>
      <c r="Y242" s="268"/>
      <c r="Z242" s="268">
        <v>0</v>
      </c>
      <c r="AA242" s="268">
        <v>0</v>
      </c>
      <c r="AB242" s="269">
        <v>5812</v>
      </c>
      <c r="AC242" s="268"/>
      <c r="AD242" s="268"/>
      <c r="AE242" s="268"/>
      <c r="AF242" s="268"/>
      <c r="AG242" s="268"/>
      <c r="AH242" s="268"/>
      <c r="AI242" s="268"/>
      <c r="AJ242" s="268"/>
      <c r="AK242" s="268"/>
      <c r="AL242" s="268"/>
      <c r="AM242" s="268"/>
      <c r="AN242" s="268"/>
      <c r="AO242" s="268"/>
      <c r="AP242" s="268"/>
      <c r="AQ242" s="268"/>
      <c r="AR242" s="268"/>
      <c r="AS242" s="268"/>
      <c r="AT242" s="268"/>
      <c r="AU242" s="268"/>
      <c r="AV242" s="268"/>
      <c r="AW242" s="275"/>
      <c r="AX242" s="268"/>
      <c r="AY242" s="268"/>
      <c r="AZ242" s="268"/>
      <c r="BA242" s="268"/>
      <c r="BB242" s="268"/>
      <c r="BC242" s="268"/>
      <c r="BD242" s="268"/>
      <c r="BE242" s="268"/>
      <c r="BF242" s="268"/>
      <c r="BG242" s="268"/>
      <c r="BH242" s="268"/>
      <c r="BI242" s="268"/>
      <c r="BJ242" s="268"/>
      <c r="BK242" s="268"/>
      <c r="BL242" s="268"/>
      <c r="BM242" s="268"/>
      <c r="BN242" s="268"/>
      <c r="DA242" s="583"/>
      <c r="EN242" s="351"/>
    </row>
    <row r="243" spans="1:144" s="211" customFormat="1" ht="15" outlineLevel="1">
      <c r="A243" s="323"/>
      <c r="B243" s="519" t="s">
        <v>55</v>
      </c>
      <c r="E243" s="519"/>
      <c r="F243" s="268"/>
      <c r="G243" s="268"/>
      <c r="H243" s="268"/>
      <c r="I243" s="268"/>
      <c r="J243" s="268" t="s">
        <v>0</v>
      </c>
      <c r="K243" s="268"/>
      <c r="L243" s="268"/>
      <c r="M243" s="268"/>
      <c r="P243" s="268"/>
      <c r="Q243" s="268"/>
      <c r="R243" s="268"/>
      <c r="S243" s="268" t="s">
        <v>0</v>
      </c>
      <c r="T243" s="268"/>
      <c r="U243" s="268" t="s">
        <v>0</v>
      </c>
      <c r="V243" s="268"/>
      <c r="X243" s="268"/>
      <c r="Z243" s="268"/>
      <c r="AA243" s="268"/>
      <c r="AB243" s="268"/>
      <c r="AC243" s="268">
        <v>0</v>
      </c>
      <c r="AD243" s="268"/>
      <c r="AE243" s="268"/>
      <c r="AF243" s="268">
        <v>0</v>
      </c>
      <c r="AH243" s="607">
        <v>5369.91</v>
      </c>
      <c r="AI243" s="268">
        <v>0</v>
      </c>
      <c r="AJ243" s="268"/>
      <c r="AK243" s="268"/>
      <c r="AL243" s="268"/>
      <c r="AM243" s="268"/>
      <c r="AN243" s="268"/>
      <c r="AO243" s="268"/>
      <c r="AP243" s="268"/>
      <c r="AQ243" s="268"/>
      <c r="AR243" s="268"/>
      <c r="AS243" s="268"/>
      <c r="AT243" s="268"/>
      <c r="AU243" s="268"/>
      <c r="AV243" s="268"/>
      <c r="AW243" s="275"/>
      <c r="AX243" s="268"/>
      <c r="AY243" s="268"/>
      <c r="AZ243" s="268"/>
      <c r="BA243" s="268"/>
      <c r="BB243" s="268"/>
      <c r="BC243" s="268"/>
      <c r="BD243" s="268"/>
      <c r="BE243" s="268"/>
      <c r="BF243" s="268"/>
      <c r="BG243" s="268"/>
      <c r="BH243" s="268"/>
      <c r="BI243" s="268"/>
      <c r="BJ243" s="268"/>
      <c r="BK243" s="268"/>
      <c r="BL243" s="268"/>
      <c r="BM243" s="268"/>
      <c r="BN243" s="268"/>
      <c r="DA243" s="583"/>
      <c r="EN243" s="351"/>
    </row>
    <row r="244" spans="1:144" s="211" customFormat="1" ht="15" outlineLevel="1">
      <c r="A244" s="323"/>
      <c r="B244" s="519" t="s">
        <v>56</v>
      </c>
      <c r="C244" s="211" t="s">
        <v>0</v>
      </c>
      <c r="E244" s="519"/>
      <c r="F244" s="268"/>
      <c r="G244" s="268"/>
      <c r="H244" s="268"/>
      <c r="I244" s="268"/>
      <c r="J244" s="268"/>
      <c r="K244" s="268"/>
      <c r="L244" s="268"/>
      <c r="M244" s="268"/>
      <c r="O244" s="268"/>
      <c r="P244" s="268"/>
      <c r="Q244" s="268"/>
      <c r="R244" s="268"/>
      <c r="S244" s="268"/>
      <c r="T244" s="268"/>
      <c r="U244" s="268"/>
      <c r="V244" s="268"/>
      <c r="W244" s="268"/>
      <c r="X244" s="268"/>
      <c r="Y244" s="268"/>
      <c r="Z244" s="268"/>
      <c r="AA244" s="268"/>
      <c r="AB244" s="268"/>
      <c r="AC244" s="268"/>
      <c r="AD244" s="268"/>
      <c r="AE244" s="268"/>
      <c r="AF244" s="268"/>
      <c r="AG244" s="268"/>
      <c r="AH244" s="268"/>
      <c r="AI244" s="268"/>
      <c r="AJ244" s="268"/>
      <c r="AK244" s="268"/>
      <c r="AL244" s="268"/>
      <c r="AM244" s="268"/>
      <c r="AN244" s="268"/>
      <c r="AO244" s="268"/>
      <c r="AP244" s="268"/>
      <c r="AQ244" s="268"/>
      <c r="AR244" s="268"/>
      <c r="AS244" s="268"/>
      <c r="AT244" s="268"/>
      <c r="AU244" s="268"/>
      <c r="AV244" s="268"/>
      <c r="AW244" s="275"/>
      <c r="AX244" s="268"/>
      <c r="AY244" s="268"/>
      <c r="AZ244" s="268"/>
      <c r="BA244" s="268"/>
      <c r="BB244" s="268"/>
      <c r="BC244" s="268"/>
      <c r="BD244" s="268"/>
      <c r="BE244" s="268"/>
      <c r="BF244" s="268"/>
      <c r="BG244" s="268"/>
      <c r="BH244" s="268"/>
      <c r="BI244" s="268"/>
      <c r="BJ244" s="268"/>
      <c r="BK244" s="268"/>
      <c r="BL244" s="268"/>
      <c r="BM244" s="268"/>
      <c r="BN244" s="268"/>
      <c r="DA244" s="583"/>
      <c r="EN244" s="351"/>
    </row>
    <row r="245" spans="1:144" s="211" customFormat="1" ht="15" outlineLevel="1">
      <c r="A245" s="323"/>
      <c r="B245" s="519" t="s">
        <v>57</v>
      </c>
      <c r="C245" s="211" t="s">
        <v>0</v>
      </c>
      <c r="E245" s="519"/>
      <c r="F245" s="268"/>
      <c r="G245" s="268"/>
      <c r="H245" s="268"/>
      <c r="I245" s="268"/>
      <c r="J245" s="268"/>
      <c r="K245" s="268"/>
      <c r="L245" s="268"/>
      <c r="M245" s="268"/>
      <c r="N245" s="268"/>
      <c r="O245" s="268"/>
      <c r="P245" s="268"/>
      <c r="Q245" s="268"/>
      <c r="R245" s="268"/>
      <c r="S245" s="268"/>
      <c r="T245" s="268"/>
      <c r="U245" s="268"/>
      <c r="V245" s="268"/>
      <c r="W245" s="268"/>
      <c r="X245" s="268"/>
      <c r="Y245" s="268"/>
      <c r="Z245" s="268"/>
      <c r="AA245" s="268"/>
      <c r="AB245" s="268">
        <v>0</v>
      </c>
      <c r="AC245" s="268"/>
      <c r="AD245" s="268"/>
      <c r="AE245" s="268"/>
      <c r="AF245" s="268"/>
      <c r="AG245" s="268"/>
      <c r="AH245" s="268"/>
      <c r="AK245" s="268"/>
      <c r="AL245" s="268"/>
      <c r="AM245" s="268"/>
      <c r="AN245" s="268"/>
      <c r="AP245" s="268"/>
      <c r="AR245" s="268"/>
      <c r="AS245" s="268"/>
      <c r="AT245" s="268"/>
      <c r="AU245" s="268"/>
      <c r="AV245" s="268"/>
      <c r="AW245" s="275"/>
      <c r="AX245" s="268"/>
      <c r="AY245" s="268"/>
      <c r="AZ245" s="268"/>
      <c r="BA245" s="268"/>
      <c r="BC245" s="268"/>
      <c r="BD245" s="268"/>
      <c r="BF245" s="268"/>
      <c r="BH245" s="268"/>
      <c r="BI245" s="269">
        <v>4921.67</v>
      </c>
      <c r="BJ245" s="268"/>
      <c r="BK245" s="268"/>
      <c r="BL245" s="268"/>
      <c r="BM245" s="268"/>
      <c r="BN245" s="268"/>
      <c r="DA245" s="583"/>
      <c r="EN245" s="351"/>
    </row>
    <row r="246" spans="1:144" s="211" customFormat="1" ht="15" outlineLevel="1">
      <c r="A246" s="323"/>
      <c r="B246" s="519" t="s">
        <v>763</v>
      </c>
      <c r="E246" s="519"/>
      <c r="F246" s="268"/>
      <c r="G246" s="268"/>
      <c r="H246" s="268"/>
      <c r="I246" s="268"/>
      <c r="J246" s="268"/>
      <c r="K246" s="268"/>
      <c r="L246" s="268"/>
      <c r="M246" s="268"/>
      <c r="N246" s="268"/>
      <c r="O246" s="268"/>
      <c r="P246" s="268"/>
      <c r="Q246" s="268"/>
      <c r="R246" s="268"/>
      <c r="S246" s="268"/>
      <c r="T246" s="268"/>
      <c r="U246" s="268"/>
      <c r="V246" s="268"/>
      <c r="W246" s="268"/>
      <c r="X246" s="268"/>
      <c r="Y246" s="268"/>
      <c r="Z246" s="268"/>
      <c r="AA246" s="268"/>
      <c r="AB246" s="268"/>
      <c r="AC246" s="268"/>
      <c r="AD246" s="268"/>
      <c r="AE246" s="268"/>
      <c r="AF246" s="268"/>
      <c r="AG246" s="268"/>
      <c r="AH246" s="268"/>
      <c r="AK246" s="268"/>
      <c r="AL246" s="268"/>
      <c r="AM246" s="268"/>
      <c r="AN246" s="268"/>
      <c r="AP246" s="268"/>
      <c r="AR246" s="268"/>
      <c r="AS246" s="268"/>
      <c r="AT246" s="268"/>
      <c r="AU246" s="268"/>
      <c r="AV246" s="268"/>
      <c r="AW246" s="275"/>
      <c r="AX246" s="268"/>
      <c r="AY246" s="268"/>
      <c r="AZ246" s="268"/>
      <c r="BA246" s="268"/>
      <c r="BC246" s="268"/>
      <c r="BD246" s="268"/>
      <c r="BE246" s="269">
        <v>2362.5</v>
      </c>
      <c r="BF246" s="268"/>
      <c r="BG246" s="268"/>
      <c r="BH246" s="268"/>
      <c r="BI246" s="268"/>
      <c r="BJ246" s="268"/>
      <c r="BK246" s="268"/>
      <c r="BL246" s="268"/>
      <c r="BM246" s="268"/>
      <c r="BN246" s="268"/>
      <c r="DA246" s="583"/>
      <c r="EN246" s="351"/>
    </row>
    <row r="247" spans="1:144" s="211" customFormat="1" ht="15" outlineLevel="1">
      <c r="A247" s="323"/>
      <c r="B247" s="519" t="s">
        <v>59</v>
      </c>
      <c r="E247" s="519"/>
      <c r="F247" s="268"/>
      <c r="G247" s="268"/>
      <c r="H247" s="268"/>
      <c r="I247" s="268"/>
      <c r="J247" s="268"/>
      <c r="K247" s="268"/>
      <c r="L247" s="268"/>
      <c r="M247" s="268"/>
      <c r="N247" s="268"/>
      <c r="O247" s="268"/>
      <c r="P247" s="268"/>
      <c r="Q247" s="268"/>
      <c r="R247" s="268"/>
      <c r="S247" s="268"/>
      <c r="T247" s="268"/>
      <c r="U247" s="268"/>
      <c r="V247" s="268"/>
      <c r="W247" s="268" t="s">
        <v>0</v>
      </c>
      <c r="X247" s="268"/>
      <c r="Y247" s="268"/>
      <c r="Z247" s="268"/>
      <c r="AA247" s="268"/>
      <c r="AB247" s="268"/>
      <c r="AC247" s="268"/>
      <c r="AD247" s="268"/>
      <c r="AE247" s="268"/>
      <c r="AG247" s="268"/>
      <c r="AJ247" s="269">
        <f>26000-1400</f>
        <v>24600</v>
      </c>
      <c r="AK247" s="268"/>
      <c r="AL247" s="268"/>
      <c r="AM247" s="268"/>
      <c r="AN247" s="268"/>
      <c r="AO247" s="268"/>
      <c r="AP247" s="268"/>
      <c r="AQ247" s="268"/>
      <c r="AR247" s="268"/>
      <c r="AS247" s="268"/>
      <c r="AT247" s="268"/>
      <c r="AU247" s="268"/>
      <c r="AV247" s="268"/>
      <c r="AW247" s="275"/>
      <c r="AX247" s="268"/>
      <c r="AY247" s="268"/>
      <c r="AZ247" s="268"/>
      <c r="BA247" s="268"/>
      <c r="BB247" s="268"/>
      <c r="BC247" s="268"/>
      <c r="BD247" s="268"/>
      <c r="BE247" s="268"/>
      <c r="BF247" s="268"/>
      <c r="BG247" s="268"/>
      <c r="BH247" s="268"/>
      <c r="BI247" s="268"/>
      <c r="BJ247" s="268"/>
      <c r="BK247" s="268"/>
      <c r="BL247" s="268"/>
      <c r="BN247" s="268"/>
      <c r="BS247" s="268"/>
      <c r="DA247" s="583"/>
      <c r="EN247" s="351"/>
    </row>
    <row r="248" spans="1:144" s="211" customFormat="1" ht="15" outlineLevel="1">
      <c r="A248" s="323"/>
      <c r="B248" s="519" t="s">
        <v>61</v>
      </c>
      <c r="E248" s="519"/>
      <c r="F248" s="268"/>
      <c r="G248" s="268"/>
      <c r="H248" s="268"/>
      <c r="I248" s="268"/>
      <c r="J248" s="268"/>
      <c r="K248" s="268"/>
      <c r="L248" s="268"/>
      <c r="M248" s="268"/>
      <c r="N248" s="268"/>
      <c r="O248" s="268"/>
      <c r="P248" s="268"/>
      <c r="Q248" s="268"/>
      <c r="R248" s="268"/>
      <c r="S248" s="268"/>
      <c r="T248" s="269">
        <v>6396</v>
      </c>
      <c r="U248" s="268"/>
      <c r="V248" s="268"/>
      <c r="W248" s="268"/>
      <c r="X248" s="268"/>
      <c r="Y248" s="268"/>
      <c r="Z248" s="268"/>
      <c r="AA248" s="268"/>
      <c r="AB248" s="268"/>
      <c r="AC248" s="268"/>
      <c r="AD248" s="268"/>
      <c r="AE248" s="268"/>
      <c r="AF248" s="268"/>
      <c r="AG248" s="268"/>
      <c r="AH248" s="268"/>
      <c r="AI248" s="268"/>
      <c r="AJ248" s="268"/>
      <c r="AK248" s="268"/>
      <c r="AL248" s="268"/>
      <c r="AM248" s="268"/>
      <c r="AN248" s="268"/>
      <c r="AO248" s="268"/>
      <c r="AP248" s="268"/>
      <c r="AQ248" s="268"/>
      <c r="AR248" s="268"/>
      <c r="AS248" s="268"/>
      <c r="AT248" s="268"/>
      <c r="AU248" s="268"/>
      <c r="AV248" s="268"/>
      <c r="AW248" s="275"/>
      <c r="AX248" s="268"/>
      <c r="AY248" s="268"/>
      <c r="AZ248" s="268"/>
      <c r="BA248" s="268"/>
      <c r="BB248" s="268"/>
      <c r="BC248" s="268"/>
      <c r="BD248" s="268"/>
      <c r="BE248" s="268"/>
      <c r="BF248" s="268"/>
      <c r="BG248" s="268"/>
      <c r="BH248" s="268"/>
      <c r="BI248" s="268"/>
      <c r="BJ248" s="268"/>
      <c r="BK248" s="268"/>
      <c r="BL248" s="268"/>
      <c r="BM248" s="268"/>
      <c r="BN248" s="268"/>
      <c r="DA248" s="583"/>
      <c r="EN248" s="351"/>
    </row>
    <row r="249" spans="1:144" s="211" customFormat="1" ht="15" outlineLevel="1">
      <c r="A249" s="323"/>
      <c r="B249" s="519" t="s">
        <v>62</v>
      </c>
      <c r="E249" s="519"/>
      <c r="F249" s="268"/>
      <c r="G249" s="268"/>
      <c r="H249" s="269">
        <f>18250*0.8</f>
        <v>14600</v>
      </c>
      <c r="I249" s="268"/>
      <c r="J249" s="268"/>
      <c r="K249" s="268"/>
      <c r="L249" s="268"/>
      <c r="M249" s="268"/>
      <c r="N249" s="268"/>
      <c r="O249" s="268"/>
      <c r="P249" s="268"/>
      <c r="Q249" s="268"/>
      <c r="R249" s="268"/>
      <c r="S249" s="268"/>
      <c r="T249" s="268"/>
      <c r="U249" s="268"/>
      <c r="V249" s="268"/>
      <c r="W249" s="268"/>
      <c r="X249" s="268"/>
      <c r="Y249" s="268"/>
      <c r="Z249" s="268"/>
      <c r="AA249" s="268"/>
      <c r="AB249" s="268"/>
      <c r="AC249" s="268"/>
      <c r="AD249" s="268"/>
      <c r="AE249" s="268"/>
      <c r="AF249" s="268"/>
      <c r="AG249" s="268"/>
      <c r="AH249" s="268"/>
      <c r="AI249" s="268"/>
      <c r="AJ249" s="268"/>
      <c r="AK249" s="268"/>
      <c r="AL249" s="268"/>
      <c r="AM249" s="268"/>
      <c r="AN249" s="268"/>
      <c r="AO249" s="268"/>
      <c r="AP249" s="268"/>
      <c r="AQ249" s="268"/>
      <c r="AR249" s="268"/>
      <c r="AS249" s="268"/>
      <c r="AT249" s="268"/>
      <c r="AU249" s="268"/>
      <c r="AV249" s="268"/>
      <c r="AW249" s="275"/>
      <c r="AX249" s="268"/>
      <c r="AY249" s="268"/>
      <c r="AZ249" s="268"/>
      <c r="BA249" s="268"/>
      <c r="BB249" s="268"/>
      <c r="BC249" s="268"/>
      <c r="BD249" s="268"/>
      <c r="BE249" s="268"/>
      <c r="BF249" s="268"/>
      <c r="BG249" s="268"/>
      <c r="BH249" s="268"/>
      <c r="BI249" s="268"/>
      <c r="BJ249" s="268"/>
      <c r="BK249" s="268"/>
      <c r="BL249" s="268"/>
      <c r="BM249" s="268"/>
      <c r="BN249" s="268"/>
      <c r="BO249" s="211" t="s">
        <v>0</v>
      </c>
      <c r="DA249" s="583"/>
      <c r="EN249" s="351"/>
    </row>
    <row r="250" spans="1:144" s="211" customFormat="1" ht="16" hidden="1">
      <c r="A250" s="687"/>
      <c r="B250" s="712"/>
      <c r="E250" s="519"/>
      <c r="F250" s="268"/>
      <c r="G250" s="268"/>
      <c r="H250" s="268"/>
      <c r="I250" s="268"/>
      <c r="J250" s="268"/>
      <c r="K250" s="268"/>
      <c r="L250" s="268"/>
      <c r="M250" s="268"/>
      <c r="N250" s="268"/>
      <c r="O250" s="268"/>
      <c r="P250" s="275"/>
      <c r="Q250" s="275"/>
      <c r="R250" s="275"/>
      <c r="S250" s="275"/>
      <c r="T250" s="275"/>
      <c r="U250" s="275"/>
      <c r="V250" s="275"/>
      <c r="W250" s="275"/>
      <c r="X250" s="275"/>
      <c r="Y250" s="275"/>
      <c r="Z250" s="275"/>
      <c r="AA250" s="275"/>
      <c r="AB250" s="275"/>
      <c r="AC250" s="275"/>
      <c r="AD250" s="275"/>
      <c r="AE250" s="275"/>
      <c r="AF250" s="275"/>
      <c r="AG250" s="275"/>
      <c r="AH250" s="275"/>
      <c r="AI250" s="275"/>
      <c r="AJ250" s="275"/>
      <c r="AK250" s="275"/>
      <c r="AL250" s="275"/>
      <c r="AM250" s="275"/>
      <c r="AN250" s="275"/>
      <c r="AO250" s="275"/>
      <c r="AP250" s="275"/>
      <c r="AQ250" s="275"/>
      <c r="AR250" s="275"/>
      <c r="AS250" s="275"/>
      <c r="AT250" s="275"/>
      <c r="AU250" s="275"/>
      <c r="AV250" s="275"/>
      <c r="AW250" s="275"/>
      <c r="AX250" s="275"/>
      <c r="AY250" s="275"/>
      <c r="AZ250" s="275"/>
      <c r="BA250" s="275"/>
      <c r="BB250" s="275"/>
      <c r="BC250" s="275"/>
      <c r="BD250" s="275"/>
      <c r="BE250" s="275"/>
      <c r="BF250" s="275"/>
      <c r="BG250" s="275"/>
      <c r="BH250" s="275"/>
      <c r="BI250" s="275"/>
      <c r="BJ250" s="275"/>
      <c r="BK250" s="275"/>
      <c r="BL250" s="275"/>
      <c r="BM250" s="275"/>
      <c r="BN250" s="275"/>
      <c r="DA250" s="583"/>
      <c r="EN250" s="351"/>
    </row>
    <row r="251" spans="1:144" ht="17" hidden="1">
      <c r="A251" s="687"/>
      <c r="B251" s="701" t="s">
        <v>888</v>
      </c>
      <c r="C251" s="211"/>
      <c r="F251" s="268"/>
      <c r="G251" s="268"/>
      <c r="H251" s="268"/>
      <c r="I251" s="268"/>
      <c r="J251" s="268"/>
      <c r="K251" s="268"/>
      <c r="L251" s="268"/>
      <c r="M251" s="268"/>
      <c r="N251" s="269"/>
      <c r="P251" s="277"/>
      <c r="Q251" s="277"/>
      <c r="R251" s="310"/>
      <c r="T251" s="275"/>
      <c r="U251" s="310"/>
      <c r="V251" s="275"/>
      <c r="W251" s="275"/>
      <c r="X251" s="275"/>
      <c r="Y251" s="275"/>
      <c r="Z251" s="275"/>
      <c r="AA251" s="310"/>
      <c r="AB251" s="275"/>
      <c r="AC251" s="275"/>
      <c r="AD251" s="275"/>
      <c r="AE251" s="275"/>
      <c r="AF251" s="310"/>
      <c r="AG251" s="275"/>
      <c r="AH251" s="275"/>
      <c r="AJ251" s="310"/>
      <c r="AK251" s="275"/>
      <c r="AL251" s="275"/>
      <c r="AM251" s="275"/>
      <c r="AO251" s="310"/>
      <c r="AP251" s="275"/>
      <c r="AQ251" s="275"/>
      <c r="AR251" s="275"/>
      <c r="AS251" s="310"/>
      <c r="AT251" s="275"/>
      <c r="AU251" s="275"/>
      <c r="AV251" s="275"/>
      <c r="AX251" s="310"/>
      <c r="AY251" s="275"/>
      <c r="AZ251" s="275"/>
      <c r="BB251" s="310"/>
      <c r="BC251" s="275"/>
      <c r="BD251" s="275"/>
      <c r="BE251" s="275"/>
      <c r="BF251" s="275"/>
      <c r="BH251" s="310"/>
      <c r="BI251" s="275"/>
      <c r="BJ251" s="275"/>
      <c r="BK251" s="275"/>
      <c r="BL251" s="275"/>
      <c r="BM251" s="275"/>
      <c r="BN251" s="275"/>
      <c r="BO251" s="310"/>
      <c r="BP251" s="275"/>
      <c r="BQ251" s="275"/>
      <c r="BR251" s="275"/>
      <c r="BS251" s="275"/>
      <c r="BW251" s="275"/>
      <c r="BZ251" s="275"/>
      <c r="CC251" s="275"/>
      <c r="CD251" s="275"/>
      <c r="DA251" s="584"/>
      <c r="EN251" s="207"/>
    </row>
    <row r="252" spans="1:144" ht="13.25" hidden="1" customHeight="1">
      <c r="A252" s="687"/>
      <c r="B252" s="282" t="s">
        <v>209</v>
      </c>
      <c r="C252" s="211">
        <v>108000</v>
      </c>
      <c r="F252" s="269">
        <v>-48000</v>
      </c>
      <c r="G252" s="268"/>
      <c r="H252" s="268"/>
      <c r="I252" s="268"/>
      <c r="J252" s="268"/>
      <c r="K252" s="268"/>
      <c r="L252" s="269">
        <v>-10000</v>
      </c>
      <c r="M252" s="268"/>
      <c r="N252" s="268"/>
      <c r="P252" s="277"/>
      <c r="Q252" s="310">
        <v>-10000</v>
      </c>
      <c r="R252" s="268" t="s">
        <v>0</v>
      </c>
      <c r="T252" s="275"/>
      <c r="U252" s="310">
        <f>-10000-441.13</f>
        <v>-10441.129999999999</v>
      </c>
      <c r="V252" s="275"/>
      <c r="X252" s="275"/>
      <c r="Y252" s="275"/>
      <c r="Z252" s="275">
        <v>0</v>
      </c>
      <c r="AA252" s="310">
        <v>-10000</v>
      </c>
      <c r="AB252" s="275">
        <v>0</v>
      </c>
      <c r="AC252" s="275"/>
      <c r="AD252" s="275">
        <v>0</v>
      </c>
      <c r="AE252" s="275">
        <v>0</v>
      </c>
      <c r="AF252" s="310">
        <v>-10000</v>
      </c>
      <c r="AG252" s="275"/>
      <c r="AH252" s="275"/>
      <c r="AJ252" s="310">
        <f>-10873+441-0.61</f>
        <v>-10432.61</v>
      </c>
      <c r="AK252" s="275"/>
      <c r="AL252" s="275"/>
      <c r="AM252" s="275"/>
      <c r="AN252" s="275"/>
      <c r="AO252" s="275"/>
      <c r="AP252" s="275"/>
      <c r="AQ252" s="275"/>
      <c r="AR252" s="275"/>
      <c r="AS252" s="275"/>
      <c r="AT252" s="275"/>
      <c r="AU252" s="275"/>
      <c r="AV252" s="275"/>
      <c r="AW252" s="275"/>
      <c r="AX252" s="275"/>
      <c r="AY252" s="275"/>
      <c r="AZ252" s="275"/>
      <c r="BA252" s="275"/>
      <c r="BB252" s="275"/>
      <c r="BC252" s="275"/>
      <c r="BD252" s="275"/>
      <c r="BE252" s="275"/>
      <c r="BF252" s="275"/>
      <c r="BG252" s="275"/>
      <c r="BH252" s="275"/>
      <c r="BI252" s="275"/>
      <c r="BJ252" s="275"/>
      <c r="BK252" s="275"/>
      <c r="BL252" s="275"/>
      <c r="BM252" s="275"/>
      <c r="BN252" s="275"/>
      <c r="DA252" s="584"/>
      <c r="EN252" s="207"/>
    </row>
    <row r="253" spans="1:144" ht="13.25" hidden="1" customHeight="1">
      <c r="A253" s="687"/>
      <c r="B253" s="282" t="s">
        <v>210</v>
      </c>
      <c r="C253" s="211"/>
      <c r="F253" s="268"/>
      <c r="G253" s="268"/>
      <c r="H253" s="268"/>
      <c r="I253" s="268"/>
      <c r="J253" s="268"/>
      <c r="K253" s="268"/>
      <c r="L253" s="268"/>
      <c r="M253" s="268"/>
      <c r="N253" s="268"/>
      <c r="P253" s="277"/>
      <c r="Q253" s="275"/>
      <c r="R253" s="277"/>
      <c r="T253" s="275"/>
      <c r="U253" s="275"/>
      <c r="V253" s="275"/>
      <c r="W253" s="275">
        <v>0</v>
      </c>
      <c r="X253" s="275"/>
      <c r="Z253" s="275">
        <v>0</v>
      </c>
      <c r="AA253" s="275">
        <v>0</v>
      </c>
      <c r="AB253" s="275">
        <v>0</v>
      </c>
      <c r="AC253" s="275">
        <v>0</v>
      </c>
      <c r="AD253" s="275"/>
      <c r="AE253" s="275">
        <v>0</v>
      </c>
      <c r="AF253" s="310">
        <v>-2849</v>
      </c>
      <c r="AG253" s="275"/>
      <c r="AH253" s="275"/>
      <c r="AJ253" s="310">
        <v>-376.38</v>
      </c>
      <c r="AK253" s="275"/>
      <c r="AL253" s="275"/>
      <c r="AM253" s="275"/>
      <c r="AN253" s="275"/>
      <c r="AO253" s="275"/>
      <c r="AP253" s="275"/>
      <c r="AQ253" s="275"/>
      <c r="AR253" s="275"/>
      <c r="AS253" s="275"/>
      <c r="AT253" s="275"/>
      <c r="AU253" s="275"/>
      <c r="AV253" s="275"/>
      <c r="AW253" s="275"/>
      <c r="AX253" s="275"/>
      <c r="AY253" s="275"/>
      <c r="AZ253" s="275"/>
      <c r="BA253" s="275"/>
      <c r="BB253" s="275"/>
      <c r="BC253" s="275"/>
      <c r="BD253" s="275"/>
      <c r="BE253" s="275"/>
      <c r="BF253" s="275"/>
      <c r="BG253" s="275"/>
      <c r="BH253" s="275"/>
      <c r="BI253" s="275"/>
      <c r="BJ253" s="275"/>
      <c r="BK253" s="275"/>
      <c r="BL253" s="275"/>
      <c r="BM253" s="275"/>
      <c r="BN253" s="275"/>
      <c r="DA253" s="584"/>
      <c r="EN253" s="207"/>
    </row>
    <row r="254" spans="1:144" ht="13.25" hidden="1" customHeight="1">
      <c r="A254" s="687"/>
      <c r="B254" s="282" t="s">
        <v>212</v>
      </c>
      <c r="C254" s="211">
        <v>-5385</v>
      </c>
      <c r="F254" s="268"/>
      <c r="G254" s="268"/>
      <c r="H254" s="268"/>
      <c r="I254" s="269">
        <f>(-4678-707)/2</f>
        <v>-2692.5</v>
      </c>
      <c r="J254" s="268" t="s">
        <v>0</v>
      </c>
      <c r="K254" s="268"/>
      <c r="L254" s="268"/>
      <c r="M254" s="269">
        <f>(-4678-707)/2</f>
        <v>-2692.5</v>
      </c>
      <c r="N254" s="268"/>
      <c r="O254" s="275"/>
      <c r="P254" s="277"/>
      <c r="Q254" s="277"/>
      <c r="R254" s="277"/>
      <c r="S254" s="275"/>
      <c r="T254" s="275"/>
      <c r="U254" s="275" t="s">
        <v>0</v>
      </c>
      <c r="V254" s="275"/>
      <c r="W254" s="275"/>
      <c r="X254" s="275"/>
      <c r="Y254" s="275"/>
      <c r="Z254" s="275"/>
      <c r="AA254" s="275"/>
      <c r="AB254" s="275"/>
      <c r="AC254" s="275"/>
      <c r="AD254" s="275"/>
      <c r="AE254" s="275"/>
      <c r="AF254" s="275"/>
      <c r="AG254" s="275"/>
      <c r="AH254" s="275"/>
      <c r="AI254" s="275"/>
      <c r="AJ254" s="275"/>
      <c r="AK254" s="275"/>
      <c r="AL254" s="275"/>
      <c r="AM254" s="275"/>
      <c r="AN254" s="275"/>
      <c r="AO254" s="275"/>
      <c r="AP254" s="275"/>
      <c r="AQ254" s="275"/>
      <c r="AR254" s="275"/>
      <c r="AS254" s="275"/>
      <c r="AT254" s="275"/>
      <c r="AU254" s="275"/>
      <c r="AV254" s="275"/>
      <c r="AW254" s="275"/>
      <c r="AX254" s="275"/>
      <c r="AY254" s="275"/>
      <c r="AZ254" s="275"/>
      <c r="BA254" s="275"/>
      <c r="BB254" s="275"/>
      <c r="BC254" s="275"/>
      <c r="BD254" s="275"/>
      <c r="BE254" s="275"/>
      <c r="BF254" s="275"/>
      <c r="BG254" s="275"/>
      <c r="BH254" s="275"/>
      <c r="BI254" s="275"/>
      <c r="BJ254" s="275"/>
      <c r="BK254" s="275"/>
      <c r="BL254" s="275"/>
      <c r="BM254" s="275"/>
      <c r="BN254" s="275"/>
      <c r="DA254" s="584"/>
      <c r="EN254" s="207"/>
    </row>
    <row r="255" spans="1:144" ht="26" hidden="1" customHeight="1">
      <c r="A255" s="687"/>
      <c r="B255" s="282" t="s">
        <v>215</v>
      </c>
      <c r="C255" s="211"/>
      <c r="F255" s="268"/>
      <c r="G255" s="269">
        <f>-1049.87-225.19</f>
        <v>-1275.06</v>
      </c>
      <c r="H255" s="268"/>
      <c r="I255" s="268"/>
      <c r="J255" s="269">
        <f>-(3413.12-1049.87-225.19)</f>
        <v>-2138.06</v>
      </c>
      <c r="K255" s="268"/>
      <c r="L255" s="268"/>
      <c r="M255" s="268"/>
      <c r="N255" s="268"/>
      <c r="O255" s="275"/>
      <c r="P255" s="277"/>
      <c r="Q255" s="277"/>
      <c r="R255" s="277"/>
      <c r="S255" s="275"/>
      <c r="T255" s="275"/>
      <c r="U255" s="275"/>
      <c r="V255" s="275"/>
      <c r="W255" s="275"/>
      <c r="X255" s="275"/>
      <c r="Y255" s="275"/>
      <c r="Z255" s="275"/>
      <c r="AA255" s="275"/>
      <c r="AB255" s="275"/>
      <c r="AC255" s="310">
        <v>-6643.39</v>
      </c>
      <c r="AD255" s="275" t="s">
        <v>0</v>
      </c>
      <c r="AE255" s="275"/>
      <c r="AF255" s="275"/>
      <c r="AG255" s="275"/>
      <c r="AH255" s="275"/>
      <c r="AI255" s="275"/>
      <c r="AJ255" s="275"/>
      <c r="AK255" s="275"/>
      <c r="AL255" s="275"/>
      <c r="AM255" s="275"/>
      <c r="AN255" s="275"/>
      <c r="AO255" s="275"/>
      <c r="AP255" s="275"/>
      <c r="AQ255" s="275"/>
      <c r="AR255" s="275"/>
      <c r="AS255" s="275"/>
      <c r="AT255" s="275"/>
      <c r="AU255" s="275"/>
      <c r="AV255" s="275"/>
      <c r="AW255" s="275"/>
      <c r="AX255" s="275"/>
      <c r="AY255" s="275"/>
      <c r="AZ255" s="275"/>
      <c r="BA255" s="275"/>
      <c r="BB255" s="275"/>
      <c r="BC255" s="275"/>
      <c r="BD255" s="275"/>
      <c r="BE255" s="275"/>
      <c r="BH255" s="310">
        <v>-935.71</v>
      </c>
      <c r="BI255" s="275"/>
      <c r="BJ255" s="275"/>
      <c r="BK255" s="275"/>
      <c r="BL255" s="275"/>
      <c r="BM255" s="275"/>
      <c r="BN255" s="275"/>
      <c r="DA255" s="584"/>
      <c r="EN255" s="207"/>
    </row>
    <row r="256" spans="1:144" ht="13.25" hidden="1" customHeight="1">
      <c r="A256" s="687"/>
      <c r="B256" s="282" t="s">
        <v>216</v>
      </c>
      <c r="F256" s="268"/>
      <c r="G256" s="268"/>
      <c r="H256" s="268"/>
      <c r="I256" s="268"/>
      <c r="J256" s="268"/>
      <c r="K256" s="268"/>
      <c r="L256" s="268"/>
      <c r="M256" s="268"/>
      <c r="N256" s="268"/>
      <c r="O256" s="275"/>
      <c r="P256" s="277"/>
      <c r="Q256" s="277"/>
      <c r="R256" s="277"/>
      <c r="S256" s="275"/>
      <c r="T256" s="275"/>
      <c r="U256" s="275"/>
      <c r="W256" s="275" t="s">
        <v>0</v>
      </c>
      <c r="X256" s="275"/>
      <c r="Y256" s="275">
        <v>0</v>
      </c>
      <c r="Z256" s="275">
        <v>0</v>
      </c>
      <c r="AA256" s="275"/>
      <c r="AB256" s="275">
        <v>0</v>
      </c>
      <c r="AC256" s="275"/>
      <c r="AD256" s="275"/>
      <c r="AE256" s="275"/>
      <c r="AF256" s="275" t="s">
        <v>0</v>
      </c>
      <c r="AG256" s="275"/>
      <c r="AH256" s="275"/>
      <c r="AI256" s="275"/>
      <c r="AJ256" s="275" t="s">
        <v>0</v>
      </c>
      <c r="AK256" s="275"/>
      <c r="AL256" s="275"/>
      <c r="AM256" s="275"/>
      <c r="AN256" s="275"/>
      <c r="AO256" s="275" t="s">
        <v>0</v>
      </c>
      <c r="AP256" s="275"/>
      <c r="AQ256" s="275"/>
      <c r="AR256" s="275"/>
      <c r="AS256" s="275"/>
      <c r="AT256" s="275"/>
      <c r="AU256" s="275"/>
      <c r="AV256" s="275"/>
      <c r="AW256" s="275"/>
      <c r="AX256" s="275"/>
      <c r="AY256" s="275"/>
      <c r="AZ256" s="275"/>
      <c r="BA256" s="275"/>
      <c r="BB256" s="275"/>
      <c r="BC256" s="275"/>
      <c r="BD256" s="275"/>
      <c r="BE256" s="275"/>
      <c r="BF256" s="275"/>
      <c r="BG256" s="275"/>
      <c r="BH256" s="275"/>
      <c r="BI256" s="275"/>
      <c r="BJ256" s="275"/>
      <c r="BK256" s="275"/>
      <c r="BL256" s="275"/>
      <c r="BM256" s="275"/>
      <c r="BN256" s="275"/>
      <c r="DA256" s="584"/>
      <c r="EN256" s="207"/>
    </row>
    <row r="257" spans="1:144" ht="13.25" hidden="1" customHeight="1">
      <c r="A257" s="687"/>
      <c r="B257" s="282" t="s">
        <v>217</v>
      </c>
      <c r="C257" s="232">
        <f>-'Job Calculations'!B132</f>
        <v>-35000</v>
      </c>
      <c r="F257" s="268"/>
      <c r="G257" s="268"/>
      <c r="H257" s="268"/>
      <c r="I257" s="268"/>
      <c r="J257" s="268"/>
      <c r="K257" s="268"/>
      <c r="L257" s="268"/>
      <c r="M257" s="268"/>
      <c r="N257" s="268"/>
      <c r="O257" s="275"/>
      <c r="P257" s="277"/>
      <c r="Q257" s="277"/>
      <c r="R257" s="277"/>
      <c r="S257" s="275"/>
      <c r="T257" s="275"/>
      <c r="U257" s="275"/>
      <c r="W257" s="275"/>
      <c r="X257" s="275"/>
      <c r="Y257" s="275"/>
      <c r="Z257" s="275"/>
      <c r="AA257" s="275"/>
      <c r="AB257" s="275"/>
      <c r="AC257" s="275"/>
      <c r="AD257" s="275"/>
      <c r="AE257" s="275"/>
      <c r="AF257" s="275"/>
      <c r="AG257" s="275"/>
      <c r="AH257" s="275"/>
      <c r="AI257" s="275"/>
      <c r="AJ257" s="275" t="s">
        <v>0</v>
      </c>
      <c r="AK257" s="275"/>
      <c r="AL257" s="275"/>
      <c r="AM257" s="275"/>
      <c r="AN257" s="275"/>
      <c r="AO257" s="275" t="s">
        <v>0</v>
      </c>
      <c r="AP257" s="275"/>
      <c r="AQ257" s="275"/>
      <c r="AR257" s="275"/>
      <c r="AS257" s="275"/>
      <c r="AT257" s="275"/>
      <c r="AU257" s="275"/>
      <c r="AV257" s="275"/>
      <c r="AW257" s="275"/>
      <c r="AX257" s="275"/>
      <c r="AY257" s="275"/>
      <c r="AZ257" s="275"/>
      <c r="BA257" s="275"/>
      <c r="BB257" s="275"/>
      <c r="BC257" s="275"/>
      <c r="BD257" s="275"/>
      <c r="BE257" s="275"/>
      <c r="BF257" s="275"/>
      <c r="BG257" s="275"/>
      <c r="BH257" s="275"/>
      <c r="BI257" s="275"/>
      <c r="BJ257" s="275"/>
      <c r="BK257" s="275"/>
      <c r="BL257" s="275"/>
      <c r="BM257" s="275"/>
      <c r="BN257" s="275"/>
      <c r="DA257" s="584"/>
      <c r="EN257" s="207"/>
    </row>
    <row r="258" spans="1:144" ht="13.25" hidden="1" customHeight="1">
      <c r="A258" s="687"/>
      <c r="B258" s="282" t="s">
        <v>218</v>
      </c>
      <c r="C258" s="637">
        <f>(-58196+7354)</f>
        <v>-50842</v>
      </c>
      <c r="D258" s="232">
        <f>C258*1.17</f>
        <v>-59485.14</v>
      </c>
      <c r="E258" s="713"/>
      <c r="F258" s="268"/>
      <c r="G258" s="268"/>
      <c r="H258" s="268"/>
      <c r="I258" s="268"/>
      <c r="J258" s="268"/>
      <c r="K258" s="268"/>
      <c r="L258" s="268"/>
      <c r="M258" s="268"/>
      <c r="N258" s="268"/>
      <c r="O258" s="275"/>
      <c r="P258" s="277"/>
      <c r="Q258" s="277"/>
      <c r="R258" s="277"/>
      <c r="S258" s="275"/>
      <c r="T258" s="275"/>
      <c r="U258" s="275"/>
      <c r="W258" s="275"/>
      <c r="X258" s="275"/>
      <c r="Y258" s="275"/>
      <c r="Z258" s="563" t="s">
        <v>0</v>
      </c>
      <c r="AA258" s="563" t="s">
        <v>0</v>
      </c>
      <c r="AB258" s="310">
        <f>-15286-15</f>
        <v>-15301</v>
      </c>
      <c r="AC258" s="275">
        <v>0</v>
      </c>
      <c r="AD258" s="275" t="s">
        <v>0</v>
      </c>
      <c r="AE258" s="310">
        <f>-15266.85-15</f>
        <v>-15281.85</v>
      </c>
      <c r="AG258" s="275"/>
      <c r="AH258" s="275"/>
      <c r="AS258" s="275"/>
      <c r="AU258" s="275" t="s">
        <v>0</v>
      </c>
      <c r="AV258" s="275"/>
      <c r="AW258" s="275"/>
      <c r="AX258" s="275"/>
      <c r="AZ258" s="310">
        <f>-30533.39-15</f>
        <v>-30548.39</v>
      </c>
      <c r="BC258" s="275"/>
      <c r="BD258" s="275"/>
      <c r="BE258" s="275"/>
      <c r="BF258" s="275"/>
      <c r="BG258" s="275"/>
      <c r="BH258" s="275"/>
      <c r="BI258" s="275"/>
      <c r="BJ258" s="275"/>
      <c r="BK258" s="275"/>
      <c r="BL258" s="275"/>
      <c r="BM258" s="275"/>
      <c r="BN258" s="275"/>
      <c r="DA258" s="584"/>
      <c r="EN258" s="207"/>
    </row>
    <row r="259" spans="1:144" ht="13.25" hidden="1" customHeight="1">
      <c r="A259" s="687"/>
      <c r="B259" s="282" t="s">
        <v>219</v>
      </c>
      <c r="C259" s="637"/>
      <c r="D259" s="232"/>
      <c r="E259" s="713"/>
      <c r="F259" s="268"/>
      <c r="G259" s="268"/>
      <c r="H259" s="268"/>
      <c r="I259" s="268"/>
      <c r="J259" s="268"/>
      <c r="K259" s="268"/>
      <c r="L259" s="268"/>
      <c r="M259" s="268"/>
      <c r="N259" s="268"/>
      <c r="O259" s="275"/>
      <c r="P259" s="277"/>
      <c r="Q259" s="277"/>
      <c r="R259" s="277"/>
      <c r="S259" s="275"/>
      <c r="T259" s="275"/>
      <c r="U259" s="275"/>
      <c r="W259" s="275"/>
      <c r="X259" s="275"/>
      <c r="Y259" s="275"/>
      <c r="Z259" s="563"/>
      <c r="AA259" s="563"/>
      <c r="AB259" s="310"/>
      <c r="AC259" s="275"/>
      <c r="AD259" s="275"/>
      <c r="AE259" s="310"/>
      <c r="AG259" s="275"/>
      <c r="AH259" s="275"/>
      <c r="AI259" s="310">
        <f>-3730-15</f>
        <v>-3745</v>
      </c>
      <c r="AJ259" s="275"/>
      <c r="AK259" s="275"/>
      <c r="AL259" s="275"/>
      <c r="AM259" s="275"/>
      <c r="AN259" s="275"/>
      <c r="AO259" s="275"/>
      <c r="AP259" s="275"/>
      <c r="AQ259" s="275"/>
      <c r="AR259" s="275"/>
      <c r="AS259" s="275"/>
      <c r="AT259" s="275"/>
      <c r="AU259" s="275"/>
      <c r="AV259" s="275"/>
      <c r="AW259" s="275"/>
      <c r="AX259" s="275"/>
      <c r="AY259" s="275"/>
      <c r="AZ259" s="275"/>
      <c r="BA259" s="275"/>
      <c r="BB259" s="275"/>
      <c r="BC259" s="275"/>
      <c r="BD259" s="275"/>
      <c r="BE259" s="275"/>
      <c r="BF259" s="275"/>
      <c r="BG259" s="275"/>
      <c r="BH259" s="275"/>
      <c r="BI259" s="275"/>
      <c r="BJ259" s="275"/>
      <c r="BK259" s="275"/>
      <c r="BL259" s="275"/>
      <c r="BM259" s="275"/>
      <c r="BN259" s="275"/>
      <c r="DA259" s="584"/>
      <c r="EN259" s="207"/>
    </row>
    <row r="260" spans="1:144" ht="13.25" hidden="1" customHeight="1">
      <c r="A260" s="687"/>
      <c r="B260" s="282" t="s">
        <v>220</v>
      </c>
      <c r="C260" s="232">
        <v>-5000</v>
      </c>
      <c r="F260" s="268"/>
      <c r="G260" s="268"/>
      <c r="H260" s="268"/>
      <c r="I260" s="268"/>
      <c r="J260" s="268"/>
      <c r="K260" s="268"/>
      <c r="L260" s="268"/>
      <c r="M260" s="268"/>
      <c r="N260" s="268"/>
      <c r="O260" s="275"/>
      <c r="P260" s="277"/>
      <c r="Q260" s="277"/>
      <c r="R260" s="277"/>
      <c r="S260" s="275"/>
      <c r="T260" s="275"/>
      <c r="U260" s="275"/>
      <c r="W260" s="275"/>
      <c r="X260" s="275"/>
      <c r="Y260" s="275"/>
      <c r="AB260" s="275"/>
      <c r="AC260" s="275"/>
      <c r="AD260" s="275"/>
      <c r="AE260" s="275"/>
      <c r="AF260" s="275"/>
      <c r="AG260" s="275"/>
      <c r="AH260" s="275"/>
      <c r="AI260" s="275"/>
      <c r="AJ260" s="275" t="s">
        <v>0</v>
      </c>
      <c r="AK260" s="275"/>
      <c r="AL260" s="275"/>
      <c r="AM260" s="275"/>
      <c r="AN260" s="275"/>
      <c r="AO260" s="275"/>
      <c r="AP260" s="275"/>
      <c r="AQ260" s="275"/>
      <c r="AR260" s="275"/>
      <c r="AS260" s="275"/>
      <c r="AT260" s="275"/>
      <c r="AU260" s="275"/>
      <c r="AV260" s="275"/>
      <c r="AW260" s="275"/>
      <c r="AX260" s="275"/>
      <c r="AY260" s="275"/>
      <c r="AZ260" s="275"/>
      <c r="BA260" s="275"/>
      <c r="BB260" s="275"/>
      <c r="BC260" s="275"/>
      <c r="BD260" s="275"/>
      <c r="BE260" s="275"/>
      <c r="BF260" s="275"/>
      <c r="BG260" s="275"/>
      <c r="BH260" s="275"/>
      <c r="BI260" s="275"/>
      <c r="BJ260" s="275"/>
      <c r="BK260" s="275"/>
      <c r="BL260" s="275"/>
      <c r="BM260" s="275"/>
      <c r="BN260" s="275"/>
      <c r="DA260" s="584"/>
      <c r="EN260" s="207"/>
    </row>
    <row r="261" spans="1:144" ht="13.25" hidden="1" customHeight="1">
      <c r="A261" s="687"/>
      <c r="B261" s="282" t="s">
        <v>191</v>
      </c>
      <c r="C261" s="232"/>
      <c r="F261" s="268"/>
      <c r="G261" s="268"/>
      <c r="H261" s="268"/>
      <c r="I261" s="268"/>
      <c r="J261" s="268"/>
      <c r="K261" s="268"/>
      <c r="L261" s="268"/>
      <c r="M261" s="268"/>
      <c r="N261" s="268"/>
      <c r="O261" s="275"/>
      <c r="P261" s="277"/>
      <c r="Q261" s="277"/>
      <c r="R261" s="277"/>
      <c r="S261" s="275"/>
      <c r="T261" s="275"/>
      <c r="U261" s="275"/>
      <c r="W261" s="275"/>
      <c r="X261" s="275"/>
      <c r="Y261" s="275"/>
      <c r="AB261" s="275"/>
      <c r="AC261" s="310">
        <f>-1227.18-488.93</f>
        <v>-1716.1100000000001</v>
      </c>
      <c r="AD261" s="275"/>
      <c r="AE261" s="275"/>
      <c r="AF261" s="275"/>
      <c r="AG261" s="275"/>
      <c r="AH261" s="275"/>
      <c r="AI261" s="275"/>
      <c r="AJ261" s="275"/>
      <c r="AK261" s="275"/>
      <c r="AL261" s="275"/>
      <c r="AM261" s="275"/>
      <c r="AN261" s="275"/>
      <c r="AO261" s="275"/>
      <c r="AP261" s="275"/>
      <c r="AQ261" s="275"/>
      <c r="AR261" s="275"/>
      <c r="AS261" s="275"/>
      <c r="AT261" s="275"/>
      <c r="AU261" s="275"/>
      <c r="AV261" s="275"/>
      <c r="AW261" s="275"/>
      <c r="AX261" s="275"/>
      <c r="AY261" s="275"/>
      <c r="AZ261" s="275"/>
      <c r="BA261" s="275"/>
      <c r="BB261" s="275"/>
      <c r="BC261" s="275"/>
      <c r="BD261" s="275"/>
      <c r="BE261" s="275"/>
      <c r="BF261" s="275"/>
      <c r="BG261" s="275"/>
      <c r="BH261" s="275"/>
      <c r="BI261" s="275"/>
      <c r="BJ261" s="275"/>
      <c r="BK261" s="275"/>
      <c r="BL261" s="275"/>
      <c r="BM261" s="275"/>
      <c r="BN261" s="275"/>
      <c r="DA261" s="584"/>
      <c r="EN261" s="207"/>
    </row>
    <row r="262" spans="1:144" ht="13.25" hidden="1" customHeight="1">
      <c r="A262" s="687"/>
      <c r="B262" s="282" t="s">
        <v>738</v>
      </c>
      <c r="C262" s="232"/>
      <c r="F262" s="268"/>
      <c r="G262" s="268"/>
      <c r="H262" s="268"/>
      <c r="I262" s="268"/>
      <c r="J262" s="268"/>
      <c r="K262" s="268"/>
      <c r="L262" s="268"/>
      <c r="M262" s="268"/>
      <c r="N262" s="268"/>
      <c r="O262" s="275"/>
      <c r="P262" s="277"/>
      <c r="Q262" s="277"/>
      <c r="R262" s="277"/>
      <c r="S262" s="275"/>
      <c r="T262" s="275"/>
      <c r="U262" s="275"/>
      <c r="W262" s="275"/>
      <c r="X262" s="275"/>
      <c r="Y262" s="275"/>
      <c r="AB262" s="275"/>
      <c r="AC262" s="310"/>
      <c r="AD262" s="275"/>
      <c r="AE262" s="275"/>
      <c r="AF262" s="275"/>
      <c r="AG262" s="275"/>
      <c r="AH262" s="275"/>
      <c r="AI262" s="275"/>
      <c r="AJ262" s="275"/>
      <c r="AK262" s="275"/>
      <c r="AL262" s="275"/>
      <c r="AM262" s="275"/>
      <c r="AN262" s="275"/>
      <c r="AO262" s="275"/>
      <c r="AP262" s="275"/>
      <c r="AQ262" s="275"/>
      <c r="AR262" s="275"/>
      <c r="AS262" s="275"/>
      <c r="AT262" s="275"/>
      <c r="AU262" s="275"/>
      <c r="AV262" s="275"/>
      <c r="AW262" s="275"/>
      <c r="AX262" s="275"/>
      <c r="AY262" s="275"/>
      <c r="AZ262" s="275"/>
      <c r="BA262" s="275"/>
      <c r="BB262" s="310">
        <v>-2578.52</v>
      </c>
      <c r="BC262" s="275"/>
      <c r="BD262" s="275"/>
      <c r="BE262" s="275"/>
      <c r="BF262" s="275"/>
      <c r="BG262" s="275"/>
      <c r="BH262" s="275"/>
      <c r="BI262" s="275"/>
      <c r="BJ262" s="275"/>
      <c r="BK262" s="275"/>
      <c r="BL262" s="275"/>
      <c r="BM262" s="275"/>
      <c r="BN262" s="275"/>
      <c r="DA262" s="584"/>
      <c r="EN262" s="207"/>
    </row>
    <row r="263" spans="1:144" ht="13.25" hidden="1" customHeight="1">
      <c r="A263" s="687"/>
      <c r="B263" s="282" t="s">
        <v>733</v>
      </c>
      <c r="C263" s="232"/>
      <c r="F263" s="268"/>
      <c r="G263" s="268"/>
      <c r="H263" s="268"/>
      <c r="I263" s="268"/>
      <c r="J263" s="268"/>
      <c r="K263" s="268"/>
      <c r="L263" s="268"/>
      <c r="M263" s="268"/>
      <c r="N263" s="268"/>
      <c r="O263" s="275"/>
      <c r="P263" s="277"/>
      <c r="Q263" s="277"/>
      <c r="R263" s="277"/>
      <c r="S263" s="275"/>
      <c r="T263" s="275"/>
      <c r="U263" s="275"/>
      <c r="W263" s="275"/>
      <c r="X263" s="275"/>
      <c r="Y263" s="275"/>
      <c r="AB263" s="275"/>
      <c r="AC263" s="310"/>
      <c r="AD263" s="275"/>
      <c r="AE263" s="275"/>
      <c r="AF263" s="275"/>
      <c r="AG263" s="275"/>
      <c r="AH263" s="275"/>
      <c r="AI263" s="275"/>
      <c r="AJ263" s="275"/>
      <c r="AK263" s="275"/>
      <c r="AL263" s="275"/>
      <c r="AM263" s="275"/>
      <c r="AN263" s="275"/>
      <c r="AO263" s="275"/>
      <c r="AP263" s="275"/>
      <c r="AQ263" s="275"/>
      <c r="AR263" s="275"/>
      <c r="AS263" s="275"/>
      <c r="AT263" s="275"/>
      <c r="AU263" s="275"/>
      <c r="AV263" s="275"/>
      <c r="AW263" s="275"/>
      <c r="AX263" s="275"/>
      <c r="AY263" s="310">
        <v>-600</v>
      </c>
      <c r="AZ263" s="275"/>
      <c r="BA263" s="310">
        <v>-600</v>
      </c>
      <c r="BB263" s="275"/>
      <c r="BC263" s="275"/>
      <c r="BD263" s="275"/>
      <c r="BE263" s="275"/>
      <c r="BF263" s="275"/>
      <c r="BG263" s="275"/>
      <c r="BH263" s="275"/>
      <c r="BI263" s="275"/>
      <c r="BJ263" s="275"/>
      <c r="BK263" s="275"/>
      <c r="BL263" s="275"/>
      <c r="BM263" s="275"/>
      <c r="BN263" s="275"/>
      <c r="DA263" s="584"/>
      <c r="EN263" s="207"/>
    </row>
    <row r="264" spans="1:144" ht="13.25" hidden="1" customHeight="1">
      <c r="A264" s="687"/>
      <c r="B264" s="282" t="s">
        <v>221</v>
      </c>
      <c r="C264" s="211">
        <v>-12500</v>
      </c>
      <c r="F264" s="268"/>
      <c r="G264" s="268"/>
      <c r="H264" s="268"/>
      <c r="I264" s="268"/>
      <c r="J264" s="269">
        <v>-3000</v>
      </c>
      <c r="K264" s="268"/>
      <c r="L264" s="268"/>
      <c r="P264" s="310">
        <v>-3000</v>
      </c>
      <c r="Q264" s="275" t="s">
        <v>0</v>
      </c>
      <c r="T264" s="310">
        <v>-2000</v>
      </c>
      <c r="U264" s="268" t="s">
        <v>0</v>
      </c>
      <c r="W264" s="275" t="s">
        <v>0</v>
      </c>
      <c r="X264" s="275"/>
      <c r="AB264" s="310">
        <v>-4000</v>
      </c>
      <c r="AF264" s="275"/>
      <c r="AG264" s="275"/>
      <c r="AH264" s="275"/>
      <c r="AI264" s="275"/>
      <c r="AJ264" s="275"/>
      <c r="AK264" s="275"/>
      <c r="AL264" s="275"/>
      <c r="AM264" s="275"/>
      <c r="AN264" s="275"/>
      <c r="AO264" s="275"/>
      <c r="AP264" s="275"/>
      <c r="AQ264" s="275"/>
      <c r="AR264" s="275"/>
      <c r="AS264" s="275"/>
      <c r="AT264" s="275"/>
      <c r="AU264" s="275"/>
      <c r="AV264" s="275"/>
      <c r="AW264" s="275" t="s">
        <v>0</v>
      </c>
      <c r="AX264" s="275"/>
      <c r="AY264" s="275"/>
      <c r="AZ264" s="275"/>
      <c r="BA264" s="275"/>
      <c r="BB264" s="275"/>
      <c r="BC264" s="275"/>
      <c r="BD264" s="275"/>
      <c r="BE264" s="275"/>
      <c r="BF264" s="275"/>
      <c r="BG264" s="275"/>
      <c r="BH264" s="275"/>
      <c r="BI264" s="275"/>
      <c r="BJ264" s="275"/>
      <c r="BK264" s="275"/>
      <c r="BL264" s="275"/>
      <c r="BM264" s="275"/>
      <c r="BN264" s="275"/>
      <c r="DA264" s="584"/>
      <c r="EN264" s="207"/>
    </row>
    <row r="265" spans="1:144" ht="13.25" hidden="1" customHeight="1">
      <c r="A265" s="687"/>
      <c r="B265" s="282" t="s">
        <v>882</v>
      </c>
      <c r="C265" s="211">
        <v>-25000</v>
      </c>
      <c r="F265" s="268"/>
      <c r="G265" s="268"/>
      <c r="H265" s="268"/>
      <c r="I265" s="268"/>
      <c r="J265" s="269">
        <v>-5000</v>
      </c>
      <c r="K265" s="268"/>
      <c r="L265" s="268"/>
      <c r="P265" s="310">
        <v>-7500</v>
      </c>
      <c r="Q265" s="275" t="s">
        <v>0</v>
      </c>
      <c r="T265" s="310">
        <v>-7500</v>
      </c>
      <c r="U265" s="268" t="s">
        <v>0</v>
      </c>
      <c r="W265" s="275" t="s">
        <v>0</v>
      </c>
      <c r="X265" s="275"/>
      <c r="AB265" s="310">
        <v>-5000</v>
      </c>
      <c r="AF265" s="275"/>
      <c r="AG265" s="275"/>
      <c r="AH265" s="275"/>
      <c r="AI265" s="275"/>
      <c r="AJ265" s="275"/>
      <c r="AK265" s="275"/>
      <c r="AL265" s="275"/>
      <c r="AM265" s="275"/>
      <c r="AN265" s="275"/>
      <c r="AO265" s="275"/>
      <c r="AP265" s="275"/>
      <c r="AQ265" s="275"/>
      <c r="AR265" s="275"/>
      <c r="AS265" s="275"/>
      <c r="AT265" s="275"/>
      <c r="AU265" s="275"/>
      <c r="AV265" s="275"/>
      <c r="AW265" s="275"/>
      <c r="AX265" s="275"/>
      <c r="AY265" s="275"/>
      <c r="AZ265" s="275"/>
      <c r="BA265" s="275"/>
      <c r="BB265" s="275"/>
      <c r="BC265" s="275"/>
      <c r="BD265" s="275"/>
      <c r="BE265" s="275"/>
      <c r="BF265" s="275"/>
      <c r="BG265" s="275"/>
      <c r="BH265" s="275"/>
      <c r="BI265" s="275"/>
      <c r="BJ265" s="275"/>
      <c r="BK265" s="275"/>
      <c r="BL265" s="275"/>
      <c r="BM265" s="275"/>
      <c r="BN265" s="275"/>
      <c r="DA265" s="584"/>
      <c r="EN265" s="207"/>
    </row>
    <row r="266" spans="1:144" ht="13.25" hidden="1" customHeight="1">
      <c r="A266" s="687"/>
      <c r="B266" s="282" t="s">
        <v>223</v>
      </c>
      <c r="C266" s="211"/>
      <c r="F266" s="268"/>
      <c r="G266" s="268"/>
      <c r="H266" s="268"/>
      <c r="I266" s="268"/>
      <c r="J266" s="268"/>
      <c r="K266" s="268"/>
      <c r="L266" s="268"/>
      <c r="M266" s="268"/>
      <c r="N266" s="268"/>
      <c r="O266" s="277"/>
      <c r="P266" s="277"/>
      <c r="Q266" s="277"/>
      <c r="R266" s="277"/>
      <c r="S266" s="275"/>
      <c r="T266" s="275"/>
      <c r="U266" s="275"/>
      <c r="V266" s="275"/>
      <c r="W266" s="275"/>
      <c r="X266" s="275"/>
      <c r="Y266" s="275"/>
      <c r="Z266" s="275"/>
      <c r="AA266" s="275"/>
      <c r="AB266" s="275"/>
      <c r="AC266" s="275"/>
      <c r="AD266" s="275"/>
      <c r="AE266" s="275"/>
      <c r="AF266" s="275"/>
      <c r="AG266" s="275"/>
      <c r="AH266" s="275"/>
      <c r="AI266" s="275"/>
      <c r="AJ266" s="275"/>
      <c r="AK266" s="310">
        <v>-1.1599999999999999</v>
      </c>
      <c r="AL266" s="275"/>
      <c r="AM266" s="275"/>
      <c r="AN266" s="275">
        <v>-1.77</v>
      </c>
      <c r="AO266" s="275"/>
      <c r="AP266" s="275"/>
      <c r="AQ266" s="275"/>
      <c r="AR266" s="275"/>
      <c r="AS266" s="275"/>
      <c r="AT266" s="275"/>
      <c r="AU266" s="275"/>
      <c r="AV266" s="275" t="s">
        <v>0</v>
      </c>
      <c r="AW266" s="569">
        <v>-1.67</v>
      </c>
      <c r="AY266" s="275">
        <v>-1.06</v>
      </c>
      <c r="AZ266" s="275"/>
      <c r="BA266" s="275"/>
      <c r="BB266" s="275"/>
      <c r="BC266" s="275"/>
      <c r="BD266" s="275"/>
      <c r="BE266" s="275"/>
      <c r="BF266" s="275"/>
      <c r="BG266" s="275"/>
      <c r="BH266" s="275"/>
      <c r="BI266" s="275"/>
      <c r="BJ266" s="275"/>
      <c r="BK266" s="275"/>
      <c r="BL266" s="275"/>
      <c r="BM266" s="275"/>
      <c r="BN266" s="275"/>
      <c r="CE266" s="3">
        <v>-1</v>
      </c>
      <c r="DA266" s="584"/>
      <c r="EN266" s="207"/>
    </row>
    <row r="267" spans="1:144" hidden="1">
      <c r="A267" s="648"/>
      <c r="C267" s="211"/>
      <c r="F267" s="268"/>
      <c r="G267" s="268"/>
      <c r="H267" s="268"/>
      <c r="I267" s="268"/>
      <c r="J267" s="268"/>
      <c r="K267" s="268"/>
      <c r="L267" s="268"/>
      <c r="M267" s="268"/>
      <c r="N267" s="268"/>
      <c r="O267" s="277"/>
      <c r="P267" s="277"/>
      <c r="Q267" s="277"/>
      <c r="R267" s="277"/>
      <c r="S267" s="275"/>
      <c r="T267" s="275"/>
      <c r="U267" s="275"/>
      <c r="V267" s="275"/>
      <c r="W267" s="275"/>
      <c r="X267" s="275"/>
      <c r="Y267" s="275"/>
      <c r="Z267" s="275"/>
      <c r="AA267" s="275"/>
      <c r="AB267" s="275"/>
      <c r="AC267" s="275"/>
      <c r="AD267" s="275"/>
      <c r="AE267" s="275"/>
      <c r="AF267" s="275"/>
      <c r="AG267" s="275"/>
      <c r="AH267" s="275"/>
      <c r="AI267" s="275"/>
      <c r="AJ267" s="275"/>
      <c r="AK267" s="310"/>
      <c r="AL267" s="275"/>
      <c r="AM267" s="275"/>
      <c r="AN267" s="275"/>
      <c r="AO267" s="275"/>
      <c r="AP267" s="275"/>
      <c r="AQ267" s="275"/>
      <c r="AR267" s="275"/>
      <c r="AS267" s="275"/>
      <c r="AT267" s="275"/>
      <c r="AU267" s="275"/>
      <c r="AV267" s="275"/>
      <c r="AW267" s="569"/>
      <c r="AY267" s="275"/>
      <c r="AZ267" s="275"/>
      <c r="BA267" s="275"/>
      <c r="BB267" s="275"/>
      <c r="BC267" s="275"/>
      <c r="BD267" s="275"/>
      <c r="BE267" s="275"/>
      <c r="BF267" s="275"/>
      <c r="BG267" s="275"/>
      <c r="BH267" s="275"/>
      <c r="BI267" s="275"/>
      <c r="BJ267" s="275"/>
      <c r="BK267" s="275"/>
      <c r="BL267" s="275"/>
      <c r="BM267" s="275"/>
      <c r="BN267" s="275"/>
      <c r="DA267" s="584"/>
      <c r="EN267" s="207"/>
    </row>
    <row r="268" spans="1:144" ht="15">
      <c r="A268" s="648"/>
      <c r="B268" s="282" t="s">
        <v>606</v>
      </c>
      <c r="C268" s="211"/>
      <c r="F268" s="268"/>
      <c r="G268" s="268"/>
      <c r="H268" s="268"/>
      <c r="I268" s="268"/>
      <c r="J268" s="268"/>
      <c r="K268" s="268"/>
      <c r="L268" s="268"/>
      <c r="M268" s="268"/>
      <c r="N268" s="268"/>
      <c r="O268" s="277"/>
      <c r="P268" s="277"/>
      <c r="Q268" s="277"/>
      <c r="R268" s="277"/>
      <c r="S268" s="275"/>
      <c r="T268" s="275"/>
      <c r="U268" s="275"/>
      <c r="V268" s="275"/>
      <c r="W268" s="275"/>
      <c r="X268" s="275"/>
      <c r="Y268" s="275"/>
      <c r="Z268" s="275"/>
      <c r="AA268" s="275"/>
      <c r="AB268" s="275"/>
      <c r="AC268" s="275"/>
      <c r="AD268" s="275"/>
      <c r="AE268" s="275"/>
      <c r="AF268" s="275"/>
      <c r="AG268" s="275"/>
      <c r="AH268" s="275"/>
      <c r="AI268" s="275"/>
      <c r="AJ268" s="275"/>
      <c r="AK268" s="310"/>
      <c r="AL268" s="275"/>
      <c r="AM268" s="275"/>
      <c r="AN268" s="275"/>
      <c r="AO268" s="275"/>
      <c r="AP268" s="275"/>
      <c r="AQ268" s="275"/>
      <c r="AR268" s="275"/>
      <c r="AS268" s="275"/>
      <c r="AT268" s="275"/>
      <c r="AU268" s="275"/>
      <c r="AV268" s="275"/>
      <c r="AW268" s="569"/>
      <c r="AY268" s="275"/>
      <c r="AZ268" s="275"/>
      <c r="BA268" s="275"/>
      <c r="BB268" s="275"/>
      <c r="BC268" s="275"/>
      <c r="BD268" s="275"/>
      <c r="BE268" s="275"/>
      <c r="BF268" s="275"/>
      <c r="BG268" s="275"/>
      <c r="BH268" s="275"/>
      <c r="BI268" s="275"/>
      <c r="BJ268" s="275"/>
      <c r="BK268" s="275"/>
      <c r="BL268" s="275"/>
      <c r="BM268" s="275"/>
      <c r="BN268" s="275"/>
      <c r="CS268" s="310">
        <v>-351.29</v>
      </c>
      <c r="DA268" s="584"/>
      <c r="EN268" s="207"/>
    </row>
    <row r="269" spans="1:144" ht="15">
      <c r="A269" s="648"/>
      <c r="B269" s="282" t="s">
        <v>448</v>
      </c>
      <c r="C269" s="211"/>
      <c r="F269" s="268"/>
      <c r="G269" s="268"/>
      <c r="H269" s="268"/>
      <c r="I269" s="268"/>
      <c r="J269" s="268"/>
      <c r="K269" s="268"/>
      <c r="L269" s="268"/>
      <c r="M269" s="268"/>
      <c r="N269" s="268"/>
      <c r="O269" s="277"/>
      <c r="P269" s="277"/>
      <c r="Q269" s="277"/>
      <c r="R269" s="277"/>
      <c r="S269" s="275"/>
      <c r="T269" s="275"/>
      <c r="U269" s="275"/>
      <c r="V269" s="275"/>
      <c r="W269" s="275"/>
      <c r="X269" s="275"/>
      <c r="Y269" s="275"/>
      <c r="Z269" s="275"/>
      <c r="AA269" s="275"/>
      <c r="AB269" s="275"/>
      <c r="AC269" s="275"/>
      <c r="AD269" s="275"/>
      <c r="AE269" s="275"/>
      <c r="AF269" s="275"/>
      <c r="AG269" s="275"/>
      <c r="AH269" s="275"/>
      <c r="AI269" s="275"/>
      <c r="AJ269" s="275"/>
      <c r="AK269" s="310"/>
      <c r="AL269" s="275"/>
      <c r="AM269" s="275"/>
      <c r="AN269" s="275"/>
      <c r="AO269" s="275"/>
      <c r="AP269" s="275"/>
      <c r="AQ269" s="275"/>
      <c r="AR269" s="275"/>
      <c r="AS269" s="275"/>
      <c r="AT269" s="275"/>
      <c r="AU269" s="275"/>
      <c r="AV269" s="275"/>
      <c r="AW269" s="569"/>
      <c r="AY269" s="275"/>
      <c r="AZ269" s="275"/>
      <c r="BA269" s="275"/>
      <c r="BB269" s="275"/>
      <c r="BC269" s="275"/>
      <c r="BD269" s="275"/>
      <c r="BE269" s="275"/>
      <c r="BF269" s="275"/>
      <c r="BG269" s="275"/>
      <c r="BH269" s="275"/>
      <c r="BI269" s="275"/>
      <c r="BJ269" s="275"/>
      <c r="BK269" s="275"/>
      <c r="BL269" s="275"/>
      <c r="BM269" s="275"/>
      <c r="BN269" s="275"/>
      <c r="CR269" s="310">
        <v>-1054.6400000000001</v>
      </c>
      <c r="CY269" s="310">
        <v>-1700.22</v>
      </c>
      <c r="DA269" s="585">
        <v>-838.16</v>
      </c>
      <c r="EN269" s="207"/>
    </row>
    <row r="270" spans="1:144" ht="16" thickBot="1">
      <c r="A270" s="648"/>
      <c r="B270" s="282" t="s">
        <v>968</v>
      </c>
      <c r="C270" s="211"/>
      <c r="F270" s="268"/>
      <c r="G270" s="268"/>
      <c r="H270" s="268"/>
      <c r="I270" s="268"/>
      <c r="J270" s="268"/>
      <c r="K270" s="268"/>
      <c r="L270" s="268"/>
      <c r="M270" s="268"/>
      <c r="N270" s="268"/>
      <c r="O270" s="277"/>
      <c r="P270" s="277"/>
      <c r="Q270" s="277"/>
      <c r="R270" s="277"/>
      <c r="S270" s="275"/>
      <c r="T270" s="275"/>
      <c r="U270" s="275"/>
      <c r="V270" s="275"/>
      <c r="W270" s="275"/>
      <c r="X270" s="275"/>
      <c r="Y270" s="275"/>
      <c r="Z270" s="275"/>
      <c r="AA270" s="275"/>
      <c r="AB270" s="275"/>
      <c r="AC270" s="275"/>
      <c r="AD270" s="275"/>
      <c r="AE270" s="275"/>
      <c r="AF270" s="275"/>
      <c r="AG270" s="275"/>
      <c r="AH270" s="275"/>
      <c r="AI270" s="275"/>
      <c r="AJ270" s="275"/>
      <c r="AK270" s="310"/>
      <c r="AL270" s="275"/>
      <c r="AM270" s="275"/>
      <c r="AN270" s="275"/>
      <c r="AO270" s="275"/>
      <c r="AP270" s="275"/>
      <c r="AQ270" s="275"/>
      <c r="AR270" s="275"/>
      <c r="AS270" s="275"/>
      <c r="AT270" s="275"/>
      <c r="AU270" s="275"/>
      <c r="AV270" s="275"/>
      <c r="AW270" s="569"/>
      <c r="AY270" s="275"/>
      <c r="AZ270" s="275"/>
      <c r="BA270" s="275"/>
      <c r="BB270" s="275"/>
      <c r="BC270" s="275"/>
      <c r="BD270" s="275"/>
      <c r="BE270" s="275"/>
      <c r="BF270" s="275"/>
      <c r="BG270" s="275"/>
      <c r="BH270" s="275"/>
      <c r="BI270" s="275"/>
      <c r="BJ270" s="275"/>
      <c r="BK270" s="275"/>
      <c r="BL270" s="275"/>
      <c r="BM270" s="275"/>
      <c r="BN270" s="275"/>
      <c r="CR270" s="275"/>
      <c r="CU270" s="275"/>
      <c r="DA270" s="689">
        <v>-250</v>
      </c>
      <c r="EN270" s="207"/>
    </row>
    <row r="271" spans="1:144" ht="15">
      <c r="A271" s="648"/>
      <c r="B271" s="638" t="s">
        <v>224</v>
      </c>
      <c r="C271" s="639"/>
      <c r="D271" s="640"/>
      <c r="E271" s="638"/>
      <c r="F271" s="641">
        <f t="shared" ref="F271:AK271" si="1">SUM(F6:F266)</f>
        <v>45589</v>
      </c>
      <c r="G271" s="641">
        <f t="shared" si="1"/>
        <v>-4627.46</v>
      </c>
      <c r="H271" s="641">
        <f t="shared" si="1"/>
        <v>154.11000000000058</v>
      </c>
      <c r="I271" s="641">
        <f t="shared" si="1"/>
        <v>69108.7</v>
      </c>
      <c r="J271" s="641">
        <f t="shared" si="1"/>
        <v>-14001.199999999999</v>
      </c>
      <c r="K271" s="641">
        <f t="shared" si="1"/>
        <v>18765.13</v>
      </c>
      <c r="L271" s="641">
        <f t="shared" si="1"/>
        <v>-29496.839999999986</v>
      </c>
      <c r="M271" s="641">
        <f t="shared" si="1"/>
        <v>-67716.532399999996</v>
      </c>
      <c r="N271" s="641">
        <f t="shared" si="1"/>
        <v>33259.280000000006</v>
      </c>
      <c r="O271" s="641">
        <f t="shared" si="1"/>
        <v>101124.88999999998</v>
      </c>
      <c r="P271" s="641">
        <f t="shared" si="1"/>
        <v>21741.25</v>
      </c>
      <c r="Q271" s="641">
        <f t="shared" si="1"/>
        <v>-33925.61</v>
      </c>
      <c r="R271" s="641">
        <f t="shared" si="1"/>
        <v>18417.809999999998</v>
      </c>
      <c r="S271" s="642">
        <f t="shared" si="1"/>
        <v>4494.7600000000093</v>
      </c>
      <c r="T271" s="642">
        <f t="shared" si="1"/>
        <v>32310.390000000007</v>
      </c>
      <c r="U271" s="642">
        <f t="shared" si="1"/>
        <v>-57109.29</v>
      </c>
      <c r="V271" s="642">
        <f t="shared" si="1"/>
        <v>-50013.55</v>
      </c>
      <c r="W271" s="642">
        <f t="shared" si="1"/>
        <v>-28733.719999999998</v>
      </c>
      <c r="X271" s="642">
        <f t="shared" si="1"/>
        <v>-60356</v>
      </c>
      <c r="Y271" s="642">
        <f t="shared" si="1"/>
        <v>101587.56</v>
      </c>
      <c r="Z271" s="642">
        <f t="shared" si="1"/>
        <v>-14556.21</v>
      </c>
      <c r="AA271" s="642">
        <f t="shared" si="1"/>
        <v>-59264.42</v>
      </c>
      <c r="AB271" s="642">
        <f t="shared" si="1"/>
        <v>-10042.519999999997</v>
      </c>
      <c r="AC271" s="642">
        <f t="shared" si="1"/>
        <v>12892.169999999995</v>
      </c>
      <c r="AD271" s="642">
        <f t="shared" si="1"/>
        <v>13832.370000000003</v>
      </c>
      <c r="AE271" s="642">
        <f t="shared" si="1"/>
        <v>13569.289999999985</v>
      </c>
      <c r="AF271" s="642">
        <f t="shared" si="1"/>
        <v>148674.60999999999</v>
      </c>
      <c r="AG271" s="642">
        <f t="shared" si="1"/>
        <v>14720.339999999997</v>
      </c>
      <c r="AH271" s="642">
        <f t="shared" si="1"/>
        <v>9609.0500000000029</v>
      </c>
      <c r="AI271" s="642">
        <f t="shared" si="1"/>
        <v>-71130.14</v>
      </c>
      <c r="AJ271" s="642">
        <f t="shared" si="1"/>
        <v>-35576.05999999999</v>
      </c>
      <c r="AK271" s="642">
        <f t="shared" si="1"/>
        <v>10027.79999999999</v>
      </c>
      <c r="AL271" s="642">
        <f t="shared" ref="AL271:BS271" si="2">SUM(AL6:AL266)</f>
        <v>44722.53</v>
      </c>
      <c r="AM271" s="642">
        <f t="shared" si="2"/>
        <v>-127996.57</v>
      </c>
      <c r="AN271" s="642">
        <f t="shared" si="2"/>
        <v>67106.130000000019</v>
      </c>
      <c r="AO271" s="642">
        <f t="shared" si="2"/>
        <v>-86840.589999999982</v>
      </c>
      <c r="AP271" s="642">
        <f t="shared" si="2"/>
        <v>107703.8</v>
      </c>
      <c r="AQ271" s="642">
        <f t="shared" si="2"/>
        <v>-56379.899999999994</v>
      </c>
      <c r="AR271" s="642">
        <f t="shared" si="2"/>
        <v>-339.99000000000524</v>
      </c>
      <c r="AS271" s="642">
        <f t="shared" si="2"/>
        <v>-36573.699999999997</v>
      </c>
      <c r="AT271" s="642">
        <f t="shared" si="2"/>
        <v>52423.859999999993</v>
      </c>
      <c r="AU271" s="642">
        <f t="shared" si="2"/>
        <v>-23762.819999999992</v>
      </c>
      <c r="AV271" s="642">
        <f t="shared" si="2"/>
        <v>-61784.65</v>
      </c>
      <c r="AW271" s="642">
        <f t="shared" si="2"/>
        <v>-601.73999999998512</v>
      </c>
      <c r="AX271" s="642">
        <f t="shared" si="2"/>
        <v>35712.029999999941</v>
      </c>
      <c r="AY271" s="642">
        <f t="shared" si="2"/>
        <v>-11544.099999999995</v>
      </c>
      <c r="AZ271" s="642">
        <f t="shared" si="2"/>
        <v>32863.729999999996</v>
      </c>
      <c r="BA271" s="642">
        <f t="shared" si="2"/>
        <v>-56005.929999999993</v>
      </c>
      <c r="BB271" s="642">
        <f t="shared" si="2"/>
        <v>151207.77999999997</v>
      </c>
      <c r="BC271" s="642">
        <f t="shared" si="2"/>
        <v>-104333.31999999999</v>
      </c>
      <c r="BD271" s="642">
        <f t="shared" si="2"/>
        <v>0</v>
      </c>
      <c r="BE271" s="642">
        <f t="shared" si="2"/>
        <v>73283.92</v>
      </c>
      <c r="BF271" s="642">
        <f t="shared" si="2"/>
        <v>-87248.000000000015</v>
      </c>
      <c r="BG271" s="642">
        <f t="shared" si="2"/>
        <v>36536.230000000003</v>
      </c>
      <c r="BH271" s="642">
        <f t="shared" si="2"/>
        <v>25379.819999999985</v>
      </c>
      <c r="BI271" s="642">
        <f t="shared" si="2"/>
        <v>-47614.680000000008</v>
      </c>
      <c r="BJ271" s="642">
        <f t="shared" si="2"/>
        <v>90397.76999999999</v>
      </c>
      <c r="BK271" s="642">
        <f t="shared" si="2"/>
        <v>0</v>
      </c>
      <c r="BL271" s="642">
        <f t="shared" si="2"/>
        <v>29218.279999999995</v>
      </c>
      <c r="BM271" s="642">
        <f t="shared" si="2"/>
        <v>-18013.949999999993</v>
      </c>
      <c r="BN271" s="642">
        <f t="shared" si="2"/>
        <v>0</v>
      </c>
      <c r="BO271" s="642">
        <f t="shared" si="2"/>
        <v>-76620.160000000003</v>
      </c>
      <c r="BP271" s="642">
        <f t="shared" si="2"/>
        <v>-60817.97</v>
      </c>
      <c r="BQ271" s="642">
        <f t="shared" si="2"/>
        <v>0</v>
      </c>
      <c r="BR271" s="642">
        <f t="shared" si="2"/>
        <v>2491.5300000000025</v>
      </c>
      <c r="BS271" s="642">
        <f t="shared" si="2"/>
        <v>81405.040000000008</v>
      </c>
      <c r="BT271" s="642">
        <f t="shared" ref="BT271:CE271" si="3">SUM(BT5:BT266)</f>
        <v>69485.219999999972</v>
      </c>
      <c r="BU271" s="642">
        <f t="shared" si="3"/>
        <v>0</v>
      </c>
      <c r="BV271" s="642">
        <f t="shared" si="3"/>
        <v>-44497.479999999996</v>
      </c>
      <c r="BW271" s="642">
        <f t="shared" si="3"/>
        <v>0</v>
      </c>
      <c r="BX271" s="642">
        <f t="shared" si="3"/>
        <v>-26349.099999999984</v>
      </c>
      <c r="BY271" s="642">
        <f t="shared" si="3"/>
        <v>-80963.790000000008</v>
      </c>
      <c r="BZ271" s="642">
        <f t="shared" si="3"/>
        <v>64581.36</v>
      </c>
      <c r="CA271" s="642">
        <f t="shared" si="3"/>
        <v>-74413.460000000006</v>
      </c>
      <c r="CB271" s="642">
        <f t="shared" si="3"/>
        <v>0</v>
      </c>
      <c r="CC271" s="642">
        <f t="shared" si="3"/>
        <v>-16033.359999999999</v>
      </c>
      <c r="CD271" s="642">
        <f t="shared" si="3"/>
        <v>0</v>
      </c>
      <c r="CE271" s="642">
        <f t="shared" si="3"/>
        <v>78795.100000000035</v>
      </c>
      <c r="CF271" s="642">
        <f t="shared" ref="CF271:CS271" si="4">SUM(CF5:CF269)</f>
        <v>-47893.380000000012</v>
      </c>
      <c r="CG271" s="642">
        <f t="shared" si="4"/>
        <v>-10837.17</v>
      </c>
      <c r="CH271" s="642">
        <f t="shared" si="4"/>
        <v>-16900.03</v>
      </c>
      <c r="CI271" s="642">
        <f t="shared" si="4"/>
        <v>96209.530000000013</v>
      </c>
      <c r="CJ271" s="642">
        <f t="shared" si="4"/>
        <v>-23197.770000000011</v>
      </c>
      <c r="CK271" s="642">
        <f t="shared" si="4"/>
        <v>-20003.96999999999</v>
      </c>
      <c r="CL271" s="642">
        <f t="shared" si="4"/>
        <v>-9340.1200000000026</v>
      </c>
      <c r="CM271" s="642">
        <f t="shared" si="4"/>
        <v>9543.543499999987</v>
      </c>
      <c r="CN271" s="642">
        <f t="shared" si="4"/>
        <v>-43889.460000000006</v>
      </c>
      <c r="CO271" s="642">
        <f t="shared" si="4"/>
        <v>26711.289999999997</v>
      </c>
      <c r="CP271" s="642">
        <f t="shared" si="4"/>
        <v>-10402.340000000004</v>
      </c>
      <c r="CQ271" s="642">
        <f t="shared" si="4"/>
        <v>3704.6099999999992</v>
      </c>
      <c r="CR271" s="642">
        <f t="shared" si="4"/>
        <v>22406.129999999994</v>
      </c>
      <c r="CS271" s="642">
        <f t="shared" si="4"/>
        <v>83521.319999999992</v>
      </c>
      <c r="CT271" s="642">
        <f t="shared" ref="CT271:EK271" si="5">SUM(CT5:CT270)</f>
        <v>-81310.59</v>
      </c>
      <c r="CU271" s="642">
        <f t="shared" si="5"/>
        <v>25945.310000000012</v>
      </c>
      <c r="CV271" s="642">
        <f t="shared" si="5"/>
        <v>-41007.619999999995</v>
      </c>
      <c r="CW271" s="642">
        <f t="shared" si="5"/>
        <v>-42323.61</v>
      </c>
      <c r="CX271" s="642">
        <f t="shared" si="5"/>
        <v>91269.57</v>
      </c>
      <c r="CY271" s="642">
        <f t="shared" si="5"/>
        <v>183034.28999999998</v>
      </c>
      <c r="CZ271" s="642">
        <f t="shared" si="5"/>
        <v>-25817.549999999996</v>
      </c>
      <c r="DA271" s="642">
        <f t="shared" si="5"/>
        <v>-102057.78000000001</v>
      </c>
      <c r="DB271" s="642">
        <f t="shared" si="5"/>
        <v>-21515.329999999998</v>
      </c>
      <c r="DC271" s="642">
        <f t="shared" si="5"/>
        <v>-86941.08</v>
      </c>
      <c r="DD271" s="642">
        <f t="shared" si="5"/>
        <v>271294.44999999995</v>
      </c>
      <c r="DE271" s="642">
        <f t="shared" si="5"/>
        <v>-23564</v>
      </c>
      <c r="DF271" s="642">
        <f t="shared" si="5"/>
        <v>-93883.87</v>
      </c>
      <c r="DG271" s="642">
        <f t="shared" si="5"/>
        <v>-97297</v>
      </c>
      <c r="DH271" s="642">
        <f t="shared" si="5"/>
        <v>17510.45</v>
      </c>
      <c r="DI271" s="642">
        <f t="shared" si="5"/>
        <v>232684.84000000005</v>
      </c>
      <c r="DJ271" s="642">
        <f t="shared" si="5"/>
        <v>14120.83</v>
      </c>
      <c r="DK271" s="642">
        <f t="shared" si="5"/>
        <v>-89546.87</v>
      </c>
      <c r="DL271" s="642">
        <f t="shared" si="5"/>
        <v>-97297</v>
      </c>
      <c r="DM271" s="642">
        <f t="shared" si="5"/>
        <v>99355.069999999992</v>
      </c>
      <c r="DN271" s="642">
        <f t="shared" si="5"/>
        <v>218655.95</v>
      </c>
      <c r="DO271" s="642">
        <f t="shared" si="5"/>
        <v>-27879.170000000002</v>
      </c>
      <c r="DP271" s="642">
        <f t="shared" si="5"/>
        <v>-62723</v>
      </c>
      <c r="DQ271" s="642">
        <f t="shared" si="5"/>
        <v>-29896.87</v>
      </c>
      <c r="DR271" s="642">
        <f t="shared" si="5"/>
        <v>-70018.55</v>
      </c>
      <c r="DS271" s="642">
        <f t="shared" si="5"/>
        <v>406687.82999999996</v>
      </c>
      <c r="DT271" s="642">
        <f t="shared" si="5"/>
        <v>-51364</v>
      </c>
      <c r="DU271" s="642">
        <f t="shared" si="5"/>
        <v>-34816.870000000003</v>
      </c>
      <c r="DV271" s="642">
        <f t="shared" si="5"/>
        <v>-86364</v>
      </c>
      <c r="DW271" s="642">
        <f t="shared" si="5"/>
        <v>57781.45</v>
      </c>
      <c r="DX271" s="642">
        <f t="shared" si="5"/>
        <v>52026.83</v>
      </c>
      <c r="DY271" s="642">
        <f t="shared" si="5"/>
        <v>-33452.870000000003</v>
      </c>
      <c r="DZ271" s="642">
        <f t="shared" si="5"/>
        <v>-30000</v>
      </c>
      <c r="EA271" s="642">
        <f t="shared" si="5"/>
        <v>85145.45</v>
      </c>
      <c r="EB271" s="642">
        <f t="shared" si="5"/>
        <v>-14990.900000000023</v>
      </c>
      <c r="EC271" s="642">
        <f t="shared" si="5"/>
        <v>-24933</v>
      </c>
      <c r="ED271" s="642">
        <f t="shared" si="5"/>
        <v>-22519.87</v>
      </c>
      <c r="EE271" s="642">
        <f t="shared" si="5"/>
        <v>55145.45</v>
      </c>
      <c r="EF271" s="642">
        <f t="shared" si="5"/>
        <v>-39973.17</v>
      </c>
      <c r="EG271" s="642">
        <f t="shared" si="5"/>
        <v>-11933</v>
      </c>
      <c r="EH271" s="642">
        <f t="shared" si="5"/>
        <v>-9519.869999999999</v>
      </c>
      <c r="EI271" s="642">
        <f t="shared" si="5"/>
        <v>75140</v>
      </c>
      <c r="EJ271" s="642">
        <f t="shared" si="5"/>
        <v>-1000</v>
      </c>
      <c r="EK271" s="642">
        <f t="shared" si="5"/>
        <v>25099.279999999999</v>
      </c>
      <c r="EL271" s="642">
        <f>SUM(EL5:EL270)</f>
        <v>-40911.25</v>
      </c>
      <c r="EM271" s="642">
        <f>SUM(EM5:EM270)</f>
        <v>0</v>
      </c>
      <c r="EN271" s="722">
        <f>SUM(EN5:EN270)</f>
        <v>30000</v>
      </c>
    </row>
    <row r="272" spans="1:144" ht="16" thickBot="1">
      <c r="A272" s="650"/>
      <c r="B272" s="651" t="s">
        <v>225</v>
      </c>
      <c r="C272" s="571"/>
      <c r="D272" s="572"/>
      <c r="E272" s="651"/>
      <c r="F272" s="573">
        <f>F271</f>
        <v>45589</v>
      </c>
      <c r="G272" s="573">
        <v>48154</v>
      </c>
      <c r="H272" s="573">
        <f>G272+H271</f>
        <v>48308.11</v>
      </c>
      <c r="I272" s="573">
        <v>112921.45</v>
      </c>
      <c r="J272" s="573">
        <v>103166</v>
      </c>
      <c r="K272" s="573">
        <f>J272+K271</f>
        <v>121931.13</v>
      </c>
      <c r="L272" s="573">
        <f>K272+L271</f>
        <v>92434.290000000023</v>
      </c>
      <c r="M272" s="573">
        <f>L272+M271</f>
        <v>24717.757600000026</v>
      </c>
      <c r="N272" s="573">
        <f>M272+N271</f>
        <v>57977.037600000032</v>
      </c>
      <c r="O272" s="573">
        <f t="shared" ref="O272:X272" si="6">N272+O271</f>
        <v>159101.92760000002</v>
      </c>
      <c r="P272" s="573">
        <f t="shared" si="6"/>
        <v>180843.17760000002</v>
      </c>
      <c r="Q272" s="573">
        <f t="shared" si="6"/>
        <v>146917.56760000001</v>
      </c>
      <c r="R272" s="573">
        <f>Q272+R271</f>
        <v>165335.37760000001</v>
      </c>
      <c r="S272" s="573">
        <f t="shared" si="6"/>
        <v>169830.13760000002</v>
      </c>
      <c r="T272" s="573">
        <f t="shared" si="6"/>
        <v>202140.52760000003</v>
      </c>
      <c r="U272" s="571">
        <f t="shared" si="6"/>
        <v>145031.23760000002</v>
      </c>
      <c r="V272" s="573">
        <f t="shared" si="6"/>
        <v>95017.687600000019</v>
      </c>
      <c r="W272" s="573">
        <f t="shared" si="6"/>
        <v>66283.967600000018</v>
      </c>
      <c r="X272" s="573">
        <f t="shared" si="6"/>
        <v>5927.9676000000181</v>
      </c>
      <c r="Y272" s="573">
        <f t="shared" ref="Y272:AS272" si="7">X272+Y271</f>
        <v>107515.52760000002</v>
      </c>
      <c r="Z272" s="573">
        <f t="shared" si="7"/>
        <v>92959.317600000009</v>
      </c>
      <c r="AA272" s="573">
        <f t="shared" si="7"/>
        <v>33694.897600000011</v>
      </c>
      <c r="AB272" s="573">
        <f t="shared" si="7"/>
        <v>23652.377600000014</v>
      </c>
      <c r="AC272" s="573">
        <f t="shared" si="7"/>
        <v>36544.547600000005</v>
      </c>
      <c r="AD272" s="573">
        <f t="shared" si="7"/>
        <v>50376.917600000008</v>
      </c>
      <c r="AE272" s="573">
        <f t="shared" si="7"/>
        <v>63946.207599999994</v>
      </c>
      <c r="AF272" s="573">
        <f t="shared" si="7"/>
        <v>212620.81759999998</v>
      </c>
      <c r="AG272" s="573">
        <f t="shared" si="7"/>
        <v>227341.15759999998</v>
      </c>
      <c r="AH272" s="573">
        <f t="shared" si="7"/>
        <v>236950.20759999997</v>
      </c>
      <c r="AI272" s="573">
        <f t="shared" si="7"/>
        <v>165820.06759999995</v>
      </c>
      <c r="AJ272" s="573">
        <f t="shared" si="7"/>
        <v>130244.00759999995</v>
      </c>
      <c r="AK272" s="573">
        <f t="shared" si="7"/>
        <v>140271.80759999994</v>
      </c>
      <c r="AL272" s="573">
        <f t="shared" si="7"/>
        <v>184994.33759999994</v>
      </c>
      <c r="AM272" s="573">
        <f t="shared" si="7"/>
        <v>56997.767599999934</v>
      </c>
      <c r="AN272" s="573">
        <f t="shared" si="7"/>
        <v>124103.89759999995</v>
      </c>
      <c r="AO272" s="573">
        <f t="shared" si="7"/>
        <v>37263.307599999971</v>
      </c>
      <c r="AP272" s="573">
        <f t="shared" si="7"/>
        <v>144967.10759999999</v>
      </c>
      <c r="AQ272" s="573">
        <f t="shared" si="7"/>
        <v>88587.207599999994</v>
      </c>
      <c r="AR272" s="573">
        <f t="shared" si="7"/>
        <v>88247.217599999989</v>
      </c>
      <c r="AS272" s="573">
        <f t="shared" si="7"/>
        <v>51673.517599999992</v>
      </c>
      <c r="AT272" s="573">
        <f t="shared" ref="AT272:BO272" si="8">AS272+AT271</f>
        <v>104097.37759999998</v>
      </c>
      <c r="AU272" s="573">
        <f t="shared" si="8"/>
        <v>80334.557599999986</v>
      </c>
      <c r="AV272" s="573">
        <f t="shared" si="8"/>
        <v>18549.907599999984</v>
      </c>
      <c r="AW272" s="573">
        <f t="shared" si="8"/>
        <v>17948.167600000001</v>
      </c>
      <c r="AX272" s="571">
        <f t="shared" si="8"/>
        <v>53660.197599999941</v>
      </c>
      <c r="AY272" s="573">
        <f t="shared" si="8"/>
        <v>42116.09759999995</v>
      </c>
      <c r="AZ272" s="573">
        <f t="shared" si="8"/>
        <v>74979.827599999946</v>
      </c>
      <c r="BA272" s="573">
        <f t="shared" si="8"/>
        <v>18973.897599999953</v>
      </c>
      <c r="BB272" s="573">
        <f t="shared" si="8"/>
        <v>170181.67759999994</v>
      </c>
      <c r="BC272" s="573">
        <f t="shared" si="8"/>
        <v>65848.357599999945</v>
      </c>
      <c r="BD272" s="573">
        <f t="shared" si="8"/>
        <v>65848.357599999945</v>
      </c>
      <c r="BE272" s="573">
        <f>BD272+BE271</f>
        <v>139132.27759999994</v>
      </c>
      <c r="BF272" s="573">
        <f t="shared" si="8"/>
        <v>51884.277599999928</v>
      </c>
      <c r="BG272" s="573">
        <f t="shared" si="8"/>
        <v>88420.507599999924</v>
      </c>
      <c r="BH272" s="573">
        <f t="shared" si="8"/>
        <v>113800.3275999999</v>
      </c>
      <c r="BI272" s="573">
        <f t="shared" si="8"/>
        <v>66185.647599999895</v>
      </c>
      <c r="BJ272" s="573">
        <f t="shared" si="8"/>
        <v>156583.41759999987</v>
      </c>
      <c r="BK272" s="573">
        <f t="shared" si="8"/>
        <v>156583.41759999987</v>
      </c>
      <c r="BL272" s="573">
        <f t="shared" si="8"/>
        <v>185801.69759999987</v>
      </c>
      <c r="BM272" s="573">
        <f t="shared" si="8"/>
        <v>167787.74759999989</v>
      </c>
      <c r="BN272" s="573">
        <f t="shared" si="8"/>
        <v>167787.74759999989</v>
      </c>
      <c r="BO272" s="573">
        <f t="shared" si="8"/>
        <v>91167.587599999883</v>
      </c>
      <c r="BP272" s="573">
        <f>BO272+BP271</f>
        <v>30349.617599999881</v>
      </c>
      <c r="BQ272" s="573">
        <f>BP272+BQ271</f>
        <v>30349.617599999881</v>
      </c>
      <c r="BR272" s="573">
        <f>BQ272+BR271</f>
        <v>32841.14759999988</v>
      </c>
      <c r="BS272" s="573">
        <f>BR272+BS271</f>
        <v>114246.18759999989</v>
      </c>
      <c r="BT272" s="573">
        <f>BS272+BT271</f>
        <v>183731.40759999986</v>
      </c>
      <c r="BU272" s="573">
        <f t="shared" ref="BU272:CQ272" si="9">BT272+BU271</f>
        <v>183731.40759999986</v>
      </c>
      <c r="BV272" s="573">
        <f t="shared" si="9"/>
        <v>139233.92759999988</v>
      </c>
      <c r="BW272" s="573">
        <f>BV272+BW271</f>
        <v>139233.92759999988</v>
      </c>
      <c r="BX272" s="573">
        <f>BW272+BX271</f>
        <v>112884.8275999999</v>
      </c>
      <c r="BY272" s="573">
        <f>BX272+BY271</f>
        <v>31921.037599999894</v>
      </c>
      <c r="BZ272" s="573">
        <f>BY272+BZ271</f>
        <v>96502.397599999895</v>
      </c>
      <c r="CA272" s="573">
        <f t="shared" si="9"/>
        <v>22088.937599999888</v>
      </c>
      <c r="CB272" s="573">
        <f t="shared" si="9"/>
        <v>22088.937599999888</v>
      </c>
      <c r="CC272" s="573">
        <f t="shared" si="9"/>
        <v>6055.5775999998896</v>
      </c>
      <c r="CD272" s="573">
        <f>CC272+CD271</f>
        <v>6055.5775999998896</v>
      </c>
      <c r="CE272" s="573">
        <f>CD272+CE271</f>
        <v>84850.677599999923</v>
      </c>
      <c r="CF272" s="573">
        <f t="shared" si="9"/>
        <v>36957.297599999911</v>
      </c>
      <c r="CG272" s="573">
        <f>CF272+CG271</f>
        <v>26120.127599999912</v>
      </c>
      <c r="CH272" s="573">
        <f>CG272+CH271</f>
        <v>9220.0975999999137</v>
      </c>
      <c r="CI272" s="573">
        <f t="shared" si="9"/>
        <v>105429.62759999992</v>
      </c>
      <c r="CJ272" s="573">
        <f>CI272+CJ271</f>
        <v>82231.857599999901</v>
      </c>
      <c r="CK272" s="573">
        <f t="shared" si="9"/>
        <v>62227.887599999915</v>
      </c>
      <c r="CL272" s="573">
        <f t="shared" si="9"/>
        <v>52887.767599999912</v>
      </c>
      <c r="CM272" s="573">
        <f t="shared" si="9"/>
        <v>62431.311099999897</v>
      </c>
      <c r="CN272" s="573">
        <f t="shared" si="9"/>
        <v>18541.851099999891</v>
      </c>
      <c r="CO272" s="573">
        <f t="shared" si="9"/>
        <v>45253.141099999892</v>
      </c>
      <c r="CP272" s="573">
        <f t="shared" si="9"/>
        <v>34850.801099999888</v>
      </c>
      <c r="CQ272" s="573">
        <f t="shared" si="9"/>
        <v>38555.411099999888</v>
      </c>
      <c r="CR272" s="571">
        <f>CQ272+CR271</f>
        <v>60961.541099999886</v>
      </c>
      <c r="CS272" s="573">
        <f>CR272+CS271</f>
        <v>144482.86109999986</v>
      </c>
      <c r="CT272" s="573">
        <f>CS272+CT271</f>
        <v>63172.271099999867</v>
      </c>
      <c r="CU272" s="571">
        <f>CT272+CU271</f>
        <v>89117.581099999879</v>
      </c>
      <c r="CV272" s="573">
        <f>CU272+CV271</f>
        <v>48109.961099999884</v>
      </c>
      <c r="CW272" s="573">
        <f t="shared" ref="CW272:EK272" si="10">CV272+CW271</f>
        <v>5786.3510999998834</v>
      </c>
      <c r="CX272" s="573">
        <f>CW272+CX271</f>
        <v>97055.92109999989</v>
      </c>
      <c r="CY272" s="573">
        <f>CX272+CY271</f>
        <v>280090.21109999984</v>
      </c>
      <c r="CZ272" s="573">
        <f t="shared" si="10"/>
        <v>254272.66109999985</v>
      </c>
      <c r="DA272" s="573">
        <f t="shared" si="10"/>
        <v>152214.88109999982</v>
      </c>
      <c r="DB272" s="573">
        <f t="shared" si="10"/>
        <v>130699.55109999982</v>
      </c>
      <c r="DC272" s="573">
        <f t="shared" si="10"/>
        <v>43758.471099999821</v>
      </c>
      <c r="DD272" s="573">
        <f t="shared" si="10"/>
        <v>315052.9210999998</v>
      </c>
      <c r="DE272" s="573">
        <f t="shared" si="10"/>
        <v>291488.9210999998</v>
      </c>
      <c r="DF272" s="573">
        <f>DE272+DF271</f>
        <v>197605.05109999981</v>
      </c>
      <c r="DG272" s="573">
        <f>DF272+DG271</f>
        <v>100308.05109999981</v>
      </c>
      <c r="DH272" s="573">
        <f t="shared" si="10"/>
        <v>117818.5010999998</v>
      </c>
      <c r="DI272" s="573">
        <f t="shared" si="10"/>
        <v>350503.34109999985</v>
      </c>
      <c r="DJ272" s="573">
        <f t="shared" si="10"/>
        <v>364624.17109999986</v>
      </c>
      <c r="DK272" s="573">
        <f t="shared" si="10"/>
        <v>275077.30109999987</v>
      </c>
      <c r="DL272" s="573">
        <f t="shared" si="10"/>
        <v>177780.30109999987</v>
      </c>
      <c r="DM272" s="573">
        <f t="shared" si="10"/>
        <v>277135.37109999987</v>
      </c>
      <c r="DN272" s="573">
        <f t="shared" si="10"/>
        <v>495791.32109999988</v>
      </c>
      <c r="DO272" s="573">
        <f t="shared" si="10"/>
        <v>467912.1510999999</v>
      </c>
      <c r="DP272" s="573">
        <f t="shared" si="10"/>
        <v>405189.1510999999</v>
      </c>
      <c r="DQ272" s="573">
        <f t="shared" si="10"/>
        <v>375292.28109999991</v>
      </c>
      <c r="DR272" s="573">
        <f t="shared" si="10"/>
        <v>305273.73109999992</v>
      </c>
      <c r="DS272" s="573">
        <f t="shared" si="10"/>
        <v>711961.56109999982</v>
      </c>
      <c r="DT272" s="573">
        <f t="shared" si="10"/>
        <v>660597.56109999982</v>
      </c>
      <c r="DU272" s="573">
        <f t="shared" si="10"/>
        <v>625780.69109999982</v>
      </c>
      <c r="DV272" s="573">
        <f t="shared" si="10"/>
        <v>539416.69109999982</v>
      </c>
      <c r="DW272" s="573">
        <f t="shared" si="10"/>
        <v>597198.14109999978</v>
      </c>
      <c r="DX272" s="573">
        <f t="shared" si="10"/>
        <v>649224.97109999973</v>
      </c>
      <c r="DY272" s="573">
        <f t="shared" si="10"/>
        <v>615772.10109999974</v>
      </c>
      <c r="DZ272" s="573">
        <f t="shared" si="10"/>
        <v>585772.10109999974</v>
      </c>
      <c r="EA272" s="573">
        <f t="shared" si="10"/>
        <v>670917.55109999969</v>
      </c>
      <c r="EB272" s="573">
        <f t="shared" si="10"/>
        <v>655926.65109999967</v>
      </c>
      <c r="EC272" s="573">
        <f t="shared" si="10"/>
        <v>630993.65109999967</v>
      </c>
      <c r="ED272" s="573">
        <f t="shared" si="10"/>
        <v>608473.78109999967</v>
      </c>
      <c r="EE272" s="573">
        <f t="shared" si="10"/>
        <v>663619.23109999963</v>
      </c>
      <c r="EF272" s="573">
        <f t="shared" si="10"/>
        <v>623646.06109999958</v>
      </c>
      <c r="EG272" s="573">
        <f t="shared" si="10"/>
        <v>611713.06109999958</v>
      </c>
      <c r="EH272" s="573">
        <f t="shared" si="10"/>
        <v>602193.19109999959</v>
      </c>
      <c r="EI272" s="573">
        <f t="shared" si="10"/>
        <v>677333.19109999959</v>
      </c>
      <c r="EJ272" s="573">
        <f t="shared" si="10"/>
        <v>676333.19109999959</v>
      </c>
      <c r="EK272" s="573">
        <f t="shared" si="10"/>
        <v>701432.47109999962</v>
      </c>
      <c r="EL272" s="573">
        <f>EK272+EL271</f>
        <v>660521.22109999962</v>
      </c>
      <c r="EM272" s="573">
        <f>EL272+EM271</f>
        <v>660521.22109999962</v>
      </c>
      <c r="EN272" s="652">
        <f>EM272+EN271</f>
        <v>690521.22109999962</v>
      </c>
    </row>
    <row r="273" spans="1:145" ht="14.5" customHeight="1" thickBot="1">
      <c r="A273" s="650"/>
      <c r="B273" s="723"/>
      <c r="C273" s="225"/>
      <c r="D273" s="334"/>
      <c r="E273" s="723"/>
      <c r="F273" s="225"/>
      <c r="G273" s="225"/>
      <c r="H273" s="225"/>
      <c r="I273" s="225"/>
      <c r="J273" s="225"/>
      <c r="K273" s="225"/>
      <c r="L273" s="225"/>
      <c r="M273" s="225"/>
      <c r="N273" s="225"/>
      <c r="O273" s="225"/>
      <c r="P273" s="225"/>
      <c r="Q273" s="225"/>
      <c r="R273" s="225"/>
      <c r="S273" s="225"/>
      <c r="T273" s="225"/>
      <c r="U273" s="225"/>
      <c r="V273" s="225"/>
      <c r="W273" s="225"/>
      <c r="X273" s="225"/>
      <c r="Y273" s="225"/>
      <c r="Z273" s="225"/>
      <c r="AA273" s="225"/>
      <c r="AB273" s="225"/>
      <c r="AC273" s="225"/>
      <c r="AD273" s="225"/>
      <c r="AE273" s="225"/>
      <c r="AF273" s="225"/>
      <c r="AG273" s="225"/>
      <c r="AH273" s="225"/>
      <c r="AI273" s="225"/>
      <c r="AJ273" s="225"/>
      <c r="AK273" s="225"/>
      <c r="AL273" s="225"/>
      <c r="AM273" s="225"/>
      <c r="AN273" s="225"/>
      <c r="AO273" s="225"/>
      <c r="AP273" s="225"/>
      <c r="AQ273" s="225"/>
      <c r="AR273" s="225"/>
      <c r="AS273" s="225"/>
      <c r="AT273" s="225"/>
      <c r="AU273" s="225"/>
      <c r="AV273" s="724"/>
      <c r="AW273" s="225"/>
      <c r="AX273" s="225"/>
      <c r="AY273" s="225"/>
      <c r="AZ273" s="225"/>
      <c r="BA273" s="225"/>
      <c r="BB273" s="225"/>
      <c r="BC273" s="225"/>
      <c r="BD273" s="225"/>
      <c r="BE273" s="225"/>
      <c r="BF273" s="225"/>
      <c r="BG273" s="225"/>
      <c r="BH273" s="225"/>
      <c r="BI273" s="225"/>
      <c r="BJ273" s="225"/>
      <c r="BK273" s="225"/>
      <c r="BL273" s="225"/>
      <c r="BM273" s="225"/>
      <c r="BN273" s="225"/>
      <c r="BO273" s="334"/>
      <c r="BP273" s="334"/>
      <c r="BQ273" s="334"/>
      <c r="BR273" s="334"/>
      <c r="BS273" s="334"/>
      <c r="BT273" s="334"/>
      <c r="BU273" s="334"/>
      <c r="BV273" s="334"/>
      <c r="BW273" s="334"/>
      <c r="BX273" s="334"/>
      <c r="BY273" s="334"/>
      <c r="BZ273" s="334"/>
      <c r="CA273" s="334"/>
      <c r="CB273" s="334"/>
      <c r="CC273" s="334"/>
      <c r="CD273" s="334"/>
      <c r="CE273" s="334"/>
      <c r="CF273" s="334"/>
      <c r="CG273" s="334"/>
      <c r="CH273" s="334"/>
      <c r="CI273" s="334"/>
      <c r="CJ273" s="334"/>
      <c r="CK273" s="334"/>
      <c r="CL273" s="334"/>
      <c r="CM273" s="334"/>
      <c r="CN273" s="334"/>
      <c r="CO273" s="334"/>
      <c r="CP273" s="334"/>
      <c r="CQ273" s="334"/>
      <c r="CR273" s="334"/>
      <c r="CS273" s="334"/>
      <c r="CT273" s="334"/>
      <c r="CU273" s="334"/>
      <c r="CV273" s="334"/>
      <c r="CW273" s="334"/>
      <c r="CX273" s="334"/>
      <c r="CY273" s="334"/>
      <c r="CZ273" s="334"/>
      <c r="DA273" s="334"/>
      <c r="DB273" s="334"/>
      <c r="DC273" s="334"/>
      <c r="DD273" s="334"/>
      <c r="DE273" s="334"/>
      <c r="DF273" s="334"/>
      <c r="DG273" s="334"/>
      <c r="DH273" s="334"/>
      <c r="DI273" s="334"/>
      <c r="DJ273" s="334"/>
      <c r="DK273" s="334"/>
      <c r="DL273" s="334"/>
      <c r="DM273" s="334"/>
      <c r="DN273" s="334"/>
      <c r="DO273" s="334"/>
      <c r="DP273" s="334"/>
      <c r="DQ273" s="334"/>
      <c r="DR273" s="334"/>
      <c r="DS273" s="334"/>
      <c r="DT273" s="334"/>
      <c r="DU273" s="334"/>
      <c r="DV273" s="334"/>
      <c r="DW273" s="334"/>
      <c r="DX273" s="334"/>
      <c r="DY273" s="334"/>
      <c r="DZ273" s="334"/>
      <c r="EA273" s="334"/>
      <c r="EB273" s="334"/>
      <c r="EC273" s="334"/>
      <c r="ED273" s="334"/>
      <c r="EE273" s="334"/>
      <c r="EF273" s="334"/>
      <c r="EG273" s="334"/>
      <c r="EH273" s="334"/>
      <c r="EI273" s="334"/>
      <c r="EJ273" s="334"/>
      <c r="EK273" s="334"/>
      <c r="EL273" s="334"/>
      <c r="EM273" s="334"/>
      <c r="EN273" s="270"/>
    </row>
    <row r="274" spans="1:145" ht="14" customHeight="1">
      <c r="C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c r="AA274" s="211"/>
      <c r="AB274" s="211"/>
      <c r="AC274" s="211"/>
      <c r="AD274" s="211"/>
      <c r="AE274" s="211"/>
      <c r="AF274" s="211"/>
      <c r="AG274" s="211"/>
      <c r="AH274" s="211"/>
      <c r="AI274" s="211"/>
      <c r="AJ274" s="211"/>
      <c r="AK274" s="211"/>
      <c r="AL274" s="211"/>
      <c r="AM274" s="211"/>
      <c r="AN274" s="211"/>
      <c r="AO274" s="211"/>
      <c r="AP274" s="211"/>
      <c r="AQ274" s="211"/>
      <c r="AR274" s="211"/>
      <c r="AS274" s="211"/>
      <c r="AT274" s="211"/>
      <c r="AU274" s="211"/>
      <c r="AV274" s="569"/>
      <c r="AW274" s="211"/>
      <c r="AX274" s="211"/>
      <c r="AY274" s="211"/>
      <c r="AZ274" s="211"/>
      <c r="BA274" s="211"/>
      <c r="BB274" s="211"/>
      <c r="BC274" s="211"/>
      <c r="BD274" s="211"/>
      <c r="BE274" s="211"/>
      <c r="BF274" s="211"/>
      <c r="BG274" s="211"/>
      <c r="BH274" s="211"/>
      <c r="BI274" s="211"/>
      <c r="BJ274" s="211"/>
      <c r="BK274" s="211"/>
      <c r="BL274" s="211"/>
      <c r="BM274" s="211"/>
      <c r="BN274" s="211"/>
      <c r="DP274" s="275"/>
    </row>
    <row r="275" spans="1:145">
      <c r="A275" s="560" t="s">
        <v>1060</v>
      </c>
    </row>
    <row r="276" spans="1:145" ht="15">
      <c r="A276" s="619" t="s">
        <v>1061</v>
      </c>
      <c r="B276" s="282" t="s">
        <v>350</v>
      </c>
      <c r="DW276" s="618" t="s">
        <v>1041</v>
      </c>
    </row>
    <row r="277" spans="1:145" ht="15">
      <c r="B277" s="282" t="s">
        <v>1044</v>
      </c>
      <c r="DO277" s="275"/>
      <c r="DP277" s="275"/>
      <c r="DQ277" s="275"/>
      <c r="DR277" s="275"/>
      <c r="DS277" s="275">
        <v>-27000</v>
      </c>
      <c r="DT277" s="275"/>
      <c r="DU277" s="275"/>
      <c r="DV277" s="275"/>
      <c r="DW277" s="275">
        <v>-86000</v>
      </c>
      <c r="DX277" s="275"/>
      <c r="DY277" s="275"/>
      <c r="DZ277" s="275"/>
      <c r="EA277" s="275"/>
      <c r="EB277" s="275">
        <v>-71000</v>
      </c>
      <c r="EC277" s="275"/>
      <c r="ED277" s="275"/>
      <c r="EE277" s="275"/>
      <c r="EF277" s="275">
        <v>-143000</v>
      </c>
      <c r="EG277" s="275"/>
      <c r="EH277" s="275"/>
      <c r="EI277" s="275"/>
      <c r="EJ277" s="275"/>
      <c r="EK277" s="275">
        <v>-145000</v>
      </c>
      <c r="EL277" s="275">
        <v>-44000</v>
      </c>
      <c r="EM277" s="275"/>
      <c r="EN277" s="275"/>
      <c r="EO277" s="275"/>
    </row>
    <row r="278" spans="1:145" ht="15">
      <c r="B278" s="282" t="s">
        <v>1045</v>
      </c>
      <c r="DO278" s="275"/>
      <c r="DP278" s="275"/>
      <c r="DQ278" s="275"/>
      <c r="DR278" s="275"/>
      <c r="DS278" s="275"/>
      <c r="DT278" s="275"/>
      <c r="DU278" s="275"/>
      <c r="DV278" s="275"/>
      <c r="DW278" s="275"/>
      <c r="DX278" s="275"/>
      <c r="DY278" s="275"/>
      <c r="DZ278" s="275"/>
      <c r="EA278" s="275"/>
      <c r="EB278" s="275"/>
      <c r="EC278" s="275"/>
      <c r="ED278" s="275"/>
      <c r="EE278" s="275"/>
      <c r="EF278" s="275"/>
      <c r="EG278" s="275"/>
      <c r="EH278" s="275"/>
      <c r="EI278" s="275"/>
      <c r="EJ278" s="275"/>
      <c r="EK278" s="275"/>
      <c r="EL278" s="275"/>
      <c r="EM278" s="275"/>
      <c r="EN278" s="275"/>
      <c r="EO278" s="275"/>
    </row>
    <row r="279" spans="1:145" ht="15">
      <c r="B279" s="282" t="s">
        <v>1062</v>
      </c>
      <c r="DO279" s="275">
        <v>29700</v>
      </c>
      <c r="DP279" s="275"/>
      <c r="DQ279" s="275"/>
      <c r="DR279" s="275"/>
      <c r="DS279" s="275">
        <v>94600</v>
      </c>
      <c r="DT279" s="275"/>
      <c r="DU279" s="275"/>
      <c r="DV279" s="275"/>
      <c r="DW279" s="275">
        <v>78100</v>
      </c>
      <c r="DX279" s="275"/>
      <c r="DY279" s="275"/>
      <c r="DZ279" s="275"/>
      <c r="EA279" s="275"/>
      <c r="EB279" s="275">
        <v>157300</v>
      </c>
      <c r="EC279" s="275"/>
      <c r="ED279" s="275"/>
      <c r="EE279" s="275"/>
      <c r="EF279" s="275">
        <v>159500</v>
      </c>
      <c r="EG279" s="275"/>
      <c r="EH279" s="275"/>
      <c r="EI279" s="275"/>
      <c r="EJ279" s="275"/>
      <c r="EK279" s="275">
        <v>48400</v>
      </c>
      <c r="EL279" s="275"/>
      <c r="EM279" s="275"/>
      <c r="EN279" s="275"/>
      <c r="EO279" s="275"/>
    </row>
    <row r="281" spans="1:145" ht="15">
      <c r="B281" s="638" t="s">
        <v>224</v>
      </c>
      <c r="DD281" s="640"/>
      <c r="DE281" s="640"/>
      <c r="DF281" s="640"/>
      <c r="DG281" s="640"/>
      <c r="DH281" s="640"/>
      <c r="DI281" s="640"/>
      <c r="DJ281" s="640"/>
      <c r="DK281" s="640"/>
      <c r="DL281" s="640"/>
      <c r="DM281" s="640"/>
      <c r="DN281" s="640"/>
      <c r="DO281" s="640"/>
      <c r="DP281" s="640"/>
      <c r="DQ281" s="640"/>
      <c r="DR281" s="640"/>
      <c r="DS281" s="640"/>
      <c r="DT281" s="640"/>
      <c r="DU281" s="640"/>
      <c r="DV281" s="640"/>
      <c r="DW281" s="640"/>
      <c r="DX281" s="640"/>
      <c r="DY281" s="640"/>
      <c r="DZ281" s="640"/>
      <c r="EA281" s="640"/>
      <c r="EB281" s="640"/>
      <c r="EC281" s="640"/>
      <c r="ED281" s="640"/>
      <c r="EE281" s="640"/>
      <c r="EF281" s="640"/>
      <c r="EG281" s="640"/>
      <c r="EH281" s="640"/>
      <c r="EI281" s="640"/>
      <c r="EJ281" s="640"/>
      <c r="EK281" s="640"/>
      <c r="EL281" s="640"/>
      <c r="EM281" s="640"/>
      <c r="EN281" s="640"/>
      <c r="EO281" s="640"/>
    </row>
    <row r="282" spans="1:145" ht="16" thickBot="1">
      <c r="B282" s="651" t="s">
        <v>225</v>
      </c>
      <c r="DD282" s="629"/>
      <c r="DE282" s="629"/>
      <c r="DF282" s="629"/>
      <c r="DG282" s="629"/>
      <c r="DH282" s="629"/>
      <c r="DI282" s="629"/>
      <c r="DJ282" s="629"/>
      <c r="DK282" s="629"/>
      <c r="DL282" s="629"/>
      <c r="DM282" s="629"/>
      <c r="DN282" s="629"/>
      <c r="DO282" s="629"/>
      <c r="DP282" s="629"/>
      <c r="DQ282" s="629"/>
      <c r="DR282" s="629"/>
      <c r="DS282" s="629"/>
      <c r="DT282" s="629"/>
      <c r="DU282" s="629"/>
      <c r="DV282" s="629"/>
      <c r="DW282" s="629"/>
      <c r="DX282" s="629"/>
      <c r="DY282" s="629"/>
      <c r="DZ282" s="629"/>
      <c r="EA282" s="629"/>
      <c r="EB282" s="629"/>
      <c r="EC282" s="629"/>
      <c r="ED282" s="629"/>
      <c r="EE282" s="629"/>
      <c r="EF282" s="629"/>
      <c r="EG282" s="629"/>
      <c r="EH282" s="629"/>
      <c r="EI282" s="629"/>
      <c r="EJ282" s="629"/>
      <c r="EK282" s="629"/>
      <c r="EL282" s="629"/>
      <c r="EM282" s="629"/>
      <c r="EN282" s="629"/>
      <c r="EO282" s="629"/>
    </row>
    <row r="286" spans="1:145">
      <c r="DV286" s="233"/>
      <c r="DW286" s="240"/>
      <c r="DX286" s="240"/>
      <c r="DY286" s="240"/>
      <c r="DZ286" s="240"/>
    </row>
    <row r="287" spans="1:145">
      <c r="DV287" s="235"/>
      <c r="DW287" s="240"/>
      <c r="DX287" s="240"/>
      <c r="DY287" s="240"/>
      <c r="DZ287" s="240"/>
    </row>
    <row r="288" spans="1:145">
      <c r="DV288" s="698"/>
      <c r="DW288" s="240"/>
      <c r="DX288" s="240"/>
      <c r="DY288" s="240"/>
      <c r="DZ288" s="240"/>
    </row>
    <row r="289" spans="126:130">
      <c r="DV289" s="698"/>
      <c r="DW289" s="240"/>
      <c r="DX289" s="240"/>
      <c r="DY289" s="240"/>
      <c r="DZ289" s="240"/>
    </row>
    <row r="290" spans="126:130">
      <c r="DV290" s="698"/>
      <c r="DW290" s="240"/>
      <c r="DX290" s="240"/>
      <c r="DY290" s="240"/>
      <c r="DZ290" s="240"/>
    </row>
    <row r="291" spans="126:130">
      <c r="DV291" s="698"/>
      <c r="DW291" s="240"/>
      <c r="DX291" s="240"/>
      <c r="DY291" s="240"/>
      <c r="DZ291" s="240"/>
    </row>
    <row r="292" spans="126:130">
      <c r="DV292" s="698"/>
      <c r="DW292" s="240"/>
      <c r="DX292" s="240"/>
      <c r="DY292" s="240"/>
      <c r="DZ292" s="240"/>
    </row>
    <row r="293" spans="126:130">
      <c r="DV293" s="698"/>
      <c r="DW293" s="240"/>
      <c r="DX293" s="240"/>
      <c r="DY293" s="240"/>
      <c r="DZ293" s="240"/>
    </row>
  </sheetData>
  <phoneticPr fontId="1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0DD5-42BD-44C7-9A40-C0804D308E1E}">
  <dimension ref="A2:E19"/>
  <sheetViews>
    <sheetView workbookViewId="0">
      <selection activeCell="E10" sqref="E4:E10"/>
    </sheetView>
  </sheetViews>
  <sheetFormatPr baseColWidth="10" defaultColWidth="8.83203125" defaultRowHeight="15"/>
  <cols>
    <col min="2" max="2" width="14.33203125" customWidth="1"/>
    <col min="3" max="3" width="13" customWidth="1"/>
    <col min="4" max="4" width="27" customWidth="1"/>
    <col min="5" max="5" width="20.6640625" customWidth="1"/>
  </cols>
  <sheetData>
    <row r="2" spans="1:5">
      <c r="A2" t="s">
        <v>0</v>
      </c>
      <c r="B2" s="679" t="s">
        <v>1057</v>
      </c>
      <c r="C2" s="679" t="s">
        <v>1058</v>
      </c>
      <c r="D2" s="679" t="s">
        <v>1059</v>
      </c>
      <c r="E2" s="679" t="s">
        <v>1056</v>
      </c>
    </row>
    <row r="3" spans="1:5">
      <c r="E3" s="480"/>
    </row>
    <row r="4" spans="1:5">
      <c r="B4" t="s">
        <v>784</v>
      </c>
      <c r="C4" t="s">
        <v>1049</v>
      </c>
      <c r="D4" t="s">
        <v>1051</v>
      </c>
      <c r="E4" s="52">
        <v>162500</v>
      </c>
    </row>
    <row r="5" spans="1:5">
      <c r="B5" t="s">
        <v>504</v>
      </c>
      <c r="C5" t="s">
        <v>1048</v>
      </c>
      <c r="D5" t="s">
        <v>1050</v>
      </c>
      <c r="E5" s="52">
        <v>25000</v>
      </c>
    </row>
    <row r="6" spans="1:5">
      <c r="B6" t="s">
        <v>475</v>
      </c>
      <c r="C6" t="s">
        <v>1052</v>
      </c>
      <c r="D6" t="s">
        <v>1050</v>
      </c>
      <c r="E6" s="52">
        <v>22000</v>
      </c>
    </row>
    <row r="7" spans="1:5">
      <c r="B7" t="s">
        <v>873</v>
      </c>
      <c r="C7" t="s">
        <v>1052</v>
      </c>
      <c r="D7" t="s">
        <v>1050</v>
      </c>
      <c r="E7" s="52">
        <v>4000</v>
      </c>
    </row>
    <row r="8" spans="1:5">
      <c r="B8" t="s">
        <v>873</v>
      </c>
      <c r="C8" t="s">
        <v>1052</v>
      </c>
      <c r="D8" t="s">
        <v>1050</v>
      </c>
      <c r="E8" s="52">
        <v>2500</v>
      </c>
    </row>
    <row r="9" spans="1:5">
      <c r="B9" t="s">
        <v>873</v>
      </c>
      <c r="C9" t="s">
        <v>1052</v>
      </c>
      <c r="D9" t="s">
        <v>1050</v>
      </c>
      <c r="E9" s="52">
        <v>3000</v>
      </c>
    </row>
    <row r="10" spans="1:5">
      <c r="B10" t="s">
        <v>880</v>
      </c>
      <c r="C10" t="s">
        <v>1053</v>
      </c>
      <c r="D10" t="s">
        <v>1050</v>
      </c>
      <c r="E10" s="52">
        <v>9000</v>
      </c>
    </row>
    <row r="11" spans="1:5">
      <c r="B11" t="s">
        <v>872</v>
      </c>
      <c r="C11" t="s">
        <v>1052</v>
      </c>
      <c r="E11" s="52">
        <v>32000</v>
      </c>
    </row>
    <row r="12" spans="1:5">
      <c r="B12" t="s">
        <v>504</v>
      </c>
      <c r="C12" t="s">
        <v>1048</v>
      </c>
      <c r="D12" t="s">
        <v>384</v>
      </c>
      <c r="E12" s="52">
        <v>44000</v>
      </c>
    </row>
    <row r="13" spans="1:5">
      <c r="B13" t="s">
        <v>784</v>
      </c>
      <c r="C13" t="s">
        <v>1049</v>
      </c>
      <c r="D13" t="s">
        <v>384</v>
      </c>
      <c r="E13" s="52">
        <v>117000</v>
      </c>
    </row>
    <row r="14" spans="1:5">
      <c r="B14" t="s">
        <v>458</v>
      </c>
      <c r="C14" t="s">
        <v>1054</v>
      </c>
      <c r="D14" t="s">
        <v>384</v>
      </c>
      <c r="E14" s="52">
        <v>42000</v>
      </c>
    </row>
    <row r="15" spans="1:5">
      <c r="B15" t="s">
        <v>504</v>
      </c>
      <c r="C15" t="s">
        <v>1055</v>
      </c>
      <c r="D15" t="s">
        <v>384</v>
      </c>
      <c r="E15" s="52">
        <v>8500</v>
      </c>
    </row>
    <row r="16" spans="1:5">
      <c r="B16" t="s">
        <v>495</v>
      </c>
      <c r="C16" t="s">
        <v>1052</v>
      </c>
      <c r="D16" t="s">
        <v>384</v>
      </c>
      <c r="E16" s="52">
        <v>12000</v>
      </c>
    </row>
    <row r="17" spans="2:5">
      <c r="B17" t="s">
        <v>504</v>
      </c>
      <c r="C17" t="s">
        <v>456</v>
      </c>
      <c r="D17" t="s">
        <v>384</v>
      </c>
      <c r="E17" s="52">
        <v>3600</v>
      </c>
    </row>
    <row r="18" spans="2:5" ht="16" thickBot="1">
      <c r="E18" s="726">
        <f>SUM(E4:E17)</f>
        <v>487100</v>
      </c>
    </row>
    <row r="19" spans="2:5" ht="16" thickTop="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81F1D-02DE-44F2-BA5D-1A5ED95809E5}">
  <dimension ref="A1:I18"/>
  <sheetViews>
    <sheetView workbookViewId="0">
      <selection activeCell="B30" sqref="B30"/>
    </sheetView>
  </sheetViews>
  <sheetFormatPr baseColWidth="10" defaultColWidth="8.83203125" defaultRowHeight="15"/>
  <cols>
    <col min="2" max="2" width="37.1640625" bestFit="1" customWidth="1"/>
  </cols>
  <sheetData>
    <row r="1" spans="1:9">
      <c r="A1" s="254" t="s">
        <v>850</v>
      </c>
      <c r="B1" s="254"/>
      <c r="C1" s="254"/>
      <c r="D1" s="254"/>
      <c r="E1" s="254"/>
      <c r="F1" s="254"/>
      <c r="G1" s="254"/>
      <c r="H1" s="254"/>
      <c r="I1" s="254"/>
    </row>
    <row r="2" spans="1:9">
      <c r="A2" s="254" t="s">
        <v>851</v>
      </c>
      <c r="B2" s="254"/>
      <c r="C2" s="254"/>
      <c r="D2" s="254"/>
      <c r="E2" s="254"/>
      <c r="F2" s="254"/>
      <c r="G2" s="254"/>
      <c r="H2" s="254"/>
      <c r="I2" s="254"/>
    </row>
    <row r="3" spans="1:9">
      <c r="A3" s="254" t="s">
        <v>852</v>
      </c>
      <c r="B3" s="254"/>
      <c r="C3" s="254"/>
      <c r="D3" s="254"/>
      <c r="E3" s="1">
        <v>8370168</v>
      </c>
      <c r="F3" s="1">
        <v>8370209</v>
      </c>
      <c r="G3" s="677">
        <v>8370210</v>
      </c>
      <c r="H3" s="1">
        <v>8370211</v>
      </c>
      <c r="I3" s="254"/>
    </row>
    <row r="4" spans="1:9">
      <c r="A4" s="254"/>
      <c r="B4" s="254"/>
      <c r="C4" s="254"/>
      <c r="D4" s="254"/>
      <c r="E4" s="678">
        <v>3223</v>
      </c>
      <c r="F4" s="678">
        <v>3133</v>
      </c>
      <c r="G4" s="678">
        <v>3192</v>
      </c>
      <c r="H4" s="678">
        <v>3210</v>
      </c>
      <c r="I4" s="254"/>
    </row>
    <row r="5" spans="1:9">
      <c r="A5" s="679"/>
      <c r="B5" s="679"/>
      <c r="C5" s="679"/>
      <c r="D5" s="679"/>
      <c r="E5" s="679"/>
      <c r="F5" s="254"/>
      <c r="G5" s="254"/>
      <c r="H5" s="254"/>
      <c r="I5" s="254"/>
    </row>
    <row r="6" spans="1:9">
      <c r="A6" s="680" t="s">
        <v>853</v>
      </c>
      <c r="B6" s="680" t="s">
        <v>854</v>
      </c>
      <c r="C6" s="682">
        <v>770</v>
      </c>
      <c r="D6" s="681"/>
      <c r="E6" s="681">
        <v>770</v>
      </c>
      <c r="F6" s="681"/>
      <c r="G6" s="681"/>
      <c r="H6" s="681"/>
      <c r="I6" s="254"/>
    </row>
    <row r="7" spans="1:9">
      <c r="A7" s="680" t="s">
        <v>855</v>
      </c>
      <c r="B7" s="680" t="s">
        <v>856</v>
      </c>
      <c r="C7" s="682">
        <v>850</v>
      </c>
      <c r="D7" s="681"/>
      <c r="E7" s="681"/>
      <c r="F7" s="681">
        <v>850</v>
      </c>
      <c r="G7" s="681"/>
      <c r="H7" s="681"/>
      <c r="I7" s="254"/>
    </row>
    <row r="8" spans="1:9">
      <c r="A8" s="680" t="s">
        <v>857</v>
      </c>
      <c r="B8" s="680" t="s">
        <v>858</v>
      </c>
      <c r="C8" s="682">
        <v>2649.6</v>
      </c>
      <c r="D8" s="681"/>
      <c r="E8" s="681"/>
      <c r="F8" s="681"/>
      <c r="G8" s="681">
        <v>2649.6</v>
      </c>
      <c r="H8" s="681"/>
      <c r="I8" s="254"/>
    </row>
    <row r="9" spans="1:9">
      <c r="A9" s="680" t="s">
        <v>859</v>
      </c>
      <c r="B9" s="680" t="s">
        <v>860</v>
      </c>
      <c r="C9" s="682">
        <v>693</v>
      </c>
      <c r="D9" s="681"/>
      <c r="E9" s="681"/>
      <c r="F9" s="681"/>
      <c r="G9" s="681"/>
      <c r="H9" s="681">
        <v>693</v>
      </c>
      <c r="I9" s="254"/>
    </row>
    <row r="10" spans="1:9">
      <c r="A10" s="254"/>
      <c r="B10" s="254"/>
      <c r="C10" s="681"/>
      <c r="D10" s="681"/>
      <c r="E10" s="681"/>
      <c r="F10" s="681"/>
      <c r="G10" s="681"/>
      <c r="H10" s="681"/>
      <c r="I10" s="254"/>
    </row>
    <row r="11" spans="1:9">
      <c r="A11" s="254"/>
      <c r="B11" s="254"/>
      <c r="C11" s="681">
        <f t="shared" ref="C11:H11" si="0">SUM(C6:C10)</f>
        <v>4962.6000000000004</v>
      </c>
      <c r="D11" s="681">
        <f t="shared" si="0"/>
        <v>0</v>
      </c>
      <c r="E11" s="681">
        <f t="shared" si="0"/>
        <v>770</v>
      </c>
      <c r="F11" s="681">
        <f t="shared" si="0"/>
        <v>850</v>
      </c>
      <c r="G11" s="681">
        <f t="shared" si="0"/>
        <v>2649.6</v>
      </c>
      <c r="H11" s="681">
        <f t="shared" si="0"/>
        <v>693</v>
      </c>
      <c r="I11" s="254"/>
    </row>
    <row r="12" spans="1:9">
      <c r="A12" s="254"/>
      <c r="B12" s="254"/>
      <c r="C12" s="681"/>
      <c r="D12" s="681"/>
      <c r="E12" s="681"/>
      <c r="F12" s="681"/>
      <c r="G12" s="681"/>
      <c r="H12" s="681"/>
      <c r="I12" s="254"/>
    </row>
    <row r="13" spans="1:9">
      <c r="A13" s="254"/>
      <c r="B13" s="254" t="s">
        <v>868</v>
      </c>
      <c r="C13" s="254">
        <v>847</v>
      </c>
      <c r="D13" s="254"/>
      <c r="E13" s="254"/>
      <c r="F13" s="254"/>
      <c r="G13" s="254"/>
      <c r="H13" s="254"/>
      <c r="I13" s="254"/>
    </row>
    <row r="14" spans="1:9">
      <c r="A14" s="254"/>
      <c r="B14" s="254" t="s">
        <v>869</v>
      </c>
      <c r="C14" s="254">
        <v>4466</v>
      </c>
      <c r="D14" s="254"/>
      <c r="E14" s="254"/>
      <c r="F14" s="254"/>
      <c r="G14" s="254"/>
      <c r="H14" s="254"/>
      <c r="I14" s="254"/>
    </row>
    <row r="15" spans="1:9">
      <c r="A15" s="254"/>
      <c r="B15" s="254" t="s">
        <v>870</v>
      </c>
      <c r="C15" s="254">
        <v>2649</v>
      </c>
      <c r="D15" s="254"/>
      <c r="E15" s="254"/>
      <c r="F15" s="254"/>
      <c r="G15" s="254"/>
      <c r="H15" s="254"/>
      <c r="I15" s="254"/>
    </row>
    <row r="16" spans="1:9">
      <c r="A16" s="254"/>
      <c r="B16" s="254"/>
      <c r="C16" s="681">
        <f>SUM(C13:C15)</f>
        <v>7962</v>
      </c>
      <c r="D16" s="254"/>
      <c r="E16" s="254"/>
      <c r="F16" s="254"/>
      <c r="G16" s="254"/>
      <c r="H16" s="254"/>
      <c r="I16" s="254"/>
    </row>
    <row r="17" spans="1:9">
      <c r="A17" s="254"/>
      <c r="B17" s="254"/>
      <c r="C17" s="254"/>
      <c r="D17" s="254"/>
      <c r="E17" s="254"/>
      <c r="F17" s="254"/>
      <c r="G17" s="254"/>
      <c r="H17" s="254"/>
      <c r="I17" s="254"/>
    </row>
    <row r="18" spans="1:9">
      <c r="A18" s="254"/>
      <c r="B18" s="254"/>
      <c r="C18" s="254"/>
      <c r="D18" s="254"/>
      <c r="E18" s="254"/>
      <c r="F18" s="254"/>
      <c r="G18" s="254"/>
      <c r="H18" s="254"/>
      <c r="I18" s="2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B183-AA82-48DB-B790-B69DC5124F02}">
  <dimension ref="A1:X241"/>
  <sheetViews>
    <sheetView topLeftCell="A214" zoomScale="120" zoomScaleNormal="120" workbookViewId="0">
      <selection activeCell="B238" sqref="B233:B238"/>
    </sheetView>
  </sheetViews>
  <sheetFormatPr baseColWidth="10" defaultColWidth="9.1640625" defaultRowHeight="11"/>
  <cols>
    <col min="1" max="1" width="41" style="235" customWidth="1"/>
    <col min="2" max="2" width="8.5" style="240" customWidth="1"/>
    <col min="3" max="3" width="10.1640625" style="240" customWidth="1"/>
    <col min="4" max="4" width="16.1640625" style="240" customWidth="1"/>
    <col min="5" max="5" width="29.5" style="240" customWidth="1"/>
    <col min="6" max="6" width="16.83203125" style="240" customWidth="1"/>
    <col min="7" max="7" width="12.83203125" style="574" customWidth="1"/>
    <col min="8" max="8" width="10.1640625" style="240" customWidth="1"/>
    <col min="9" max="9" width="17" style="240" customWidth="1"/>
    <col min="10" max="12" width="10.1640625" style="240" customWidth="1"/>
    <col min="13" max="13" width="12.83203125" style="240" customWidth="1"/>
    <col min="14" max="16" width="10.1640625" style="240" customWidth="1"/>
    <col min="17" max="22" width="9.1640625" style="240"/>
    <col min="23" max="16384" width="9.1640625" style="235"/>
  </cols>
  <sheetData>
    <row r="1" spans="1:24" ht="12" thickBot="1">
      <c r="A1" s="233"/>
    </row>
    <row r="2" spans="1:24" ht="13" thickBot="1">
      <c r="A2" s="247" t="s">
        <v>316</v>
      </c>
      <c r="B2" s="240" t="s">
        <v>317</v>
      </c>
      <c r="C2" s="240" t="s">
        <v>318</v>
      </c>
      <c r="D2" s="240" t="s">
        <v>318</v>
      </c>
      <c r="E2" s="240" t="s">
        <v>318</v>
      </c>
      <c r="F2" s="240" t="s">
        <v>318</v>
      </c>
      <c r="G2" s="574" t="s">
        <v>319</v>
      </c>
      <c r="H2" s="240" t="s">
        <v>319</v>
      </c>
      <c r="I2" s="240" t="s">
        <v>319</v>
      </c>
      <c r="J2" s="240" t="s">
        <v>320</v>
      </c>
      <c r="K2" s="240" t="s">
        <v>319</v>
      </c>
      <c r="L2" s="240" t="s">
        <v>321</v>
      </c>
      <c r="M2" s="240" t="s">
        <v>321</v>
      </c>
      <c r="N2" s="240" t="s">
        <v>321</v>
      </c>
      <c r="O2" s="240" t="s">
        <v>321</v>
      </c>
      <c r="P2" s="240" t="s">
        <v>321</v>
      </c>
      <c r="Q2" s="240" t="s">
        <v>322</v>
      </c>
      <c r="R2" s="240" t="s">
        <v>322</v>
      </c>
      <c r="S2" s="240" t="s">
        <v>322</v>
      </c>
      <c r="T2" s="240" t="s">
        <v>322</v>
      </c>
      <c r="U2" s="240" t="s">
        <v>322</v>
      </c>
      <c r="V2" s="240" t="s">
        <v>322</v>
      </c>
    </row>
    <row r="3" spans="1:24" ht="12">
      <c r="B3" s="248">
        <v>280000</v>
      </c>
      <c r="C3" s="240" t="s">
        <v>323</v>
      </c>
      <c r="D3" s="240" t="s">
        <v>324</v>
      </c>
      <c r="E3" s="240" t="s">
        <v>325</v>
      </c>
      <c r="F3" s="240" t="s">
        <v>326</v>
      </c>
      <c r="G3" s="574" t="s">
        <v>327</v>
      </c>
      <c r="H3" s="240" t="s">
        <v>328</v>
      </c>
      <c r="I3" s="240" t="s">
        <v>329</v>
      </c>
      <c r="J3" s="240" t="s">
        <v>330</v>
      </c>
      <c r="K3" s="240" t="s">
        <v>331</v>
      </c>
      <c r="L3" s="240" t="s">
        <v>332</v>
      </c>
      <c r="M3" s="240" t="s">
        <v>333</v>
      </c>
      <c r="N3" s="240" t="s">
        <v>334</v>
      </c>
      <c r="O3" s="240" t="s">
        <v>335</v>
      </c>
      <c r="P3" s="240" t="s">
        <v>336</v>
      </c>
      <c r="Q3" s="240" t="s">
        <v>337</v>
      </c>
      <c r="R3" s="240" t="s">
        <v>338</v>
      </c>
      <c r="S3" s="240" t="s">
        <v>339</v>
      </c>
      <c r="T3" s="240" t="s">
        <v>340</v>
      </c>
      <c r="U3" s="240" t="s">
        <v>341</v>
      </c>
      <c r="V3" s="240" t="s">
        <v>342</v>
      </c>
      <c r="W3" s="235" t="s">
        <v>0</v>
      </c>
      <c r="X3" s="234" t="s">
        <v>0</v>
      </c>
    </row>
    <row r="4" spans="1:24">
      <c r="A4" s="233" t="s">
        <v>343</v>
      </c>
      <c r="B4" s="249">
        <v>60000</v>
      </c>
      <c r="C4" s="244"/>
      <c r="D4" s="244"/>
      <c r="E4" s="244"/>
      <c r="F4" s="244"/>
      <c r="G4" s="575"/>
      <c r="H4" s="244"/>
      <c r="I4" s="244"/>
      <c r="J4" s="244"/>
      <c r="K4" s="244"/>
      <c r="L4" s="244"/>
      <c r="M4" s="244"/>
      <c r="N4" s="244"/>
      <c r="O4" s="244"/>
      <c r="P4" s="244"/>
      <c r="Q4" s="240" t="s">
        <v>344</v>
      </c>
      <c r="V4" s="240" t="s">
        <v>345</v>
      </c>
      <c r="X4" s="234"/>
    </row>
    <row r="5" spans="1:24">
      <c r="A5" s="235" t="s">
        <v>346</v>
      </c>
      <c r="B5" s="244"/>
      <c r="C5" s="244">
        <v>-4200</v>
      </c>
      <c r="D5" s="244"/>
      <c r="E5" s="244"/>
      <c r="F5" s="244"/>
      <c r="G5" s="575"/>
      <c r="H5" s="244"/>
      <c r="I5" s="244"/>
      <c r="J5" s="244"/>
      <c r="K5" s="244"/>
      <c r="L5" s="244"/>
      <c r="M5" s="244"/>
      <c r="N5" s="244"/>
      <c r="O5" s="244"/>
      <c r="P5" s="244"/>
    </row>
    <row r="6" spans="1:24">
      <c r="A6" s="235" t="s">
        <v>347</v>
      </c>
      <c r="B6" s="244"/>
      <c r="C6" s="245"/>
      <c r="D6" s="245"/>
      <c r="E6" s="246"/>
      <c r="F6" s="246"/>
      <c r="G6" s="576"/>
      <c r="H6" s="246"/>
      <c r="I6" s="246"/>
      <c r="J6" s="246"/>
      <c r="K6" s="246"/>
      <c r="L6" s="246"/>
      <c r="M6" s="246"/>
      <c r="N6" s="246"/>
      <c r="O6" s="246"/>
      <c r="P6" s="246">
        <v>-3500</v>
      </c>
      <c r="Q6" s="244"/>
      <c r="R6" s="244"/>
      <c r="S6" s="244"/>
      <c r="T6" s="244"/>
      <c r="U6" s="244"/>
      <c r="V6" s="244"/>
    </row>
    <row r="7" spans="1:24">
      <c r="A7" s="235" t="s">
        <v>348</v>
      </c>
      <c r="B7" s="244"/>
      <c r="C7" s="244"/>
      <c r="D7" s="245"/>
      <c r="E7" s="246"/>
      <c r="F7" s="246"/>
      <c r="G7" s="576"/>
      <c r="H7" s="246"/>
      <c r="I7" s="246"/>
      <c r="J7" s="246"/>
      <c r="K7" s="246"/>
      <c r="L7" s="246"/>
      <c r="M7" s="246"/>
      <c r="N7" s="246"/>
      <c r="O7" s="246"/>
      <c r="P7" s="246">
        <v>-2500</v>
      </c>
      <c r="Q7" s="244"/>
      <c r="R7" s="244"/>
      <c r="S7" s="244"/>
      <c r="T7" s="244"/>
      <c r="U7" s="244"/>
      <c r="V7" s="244"/>
    </row>
    <row r="8" spans="1:24">
      <c r="A8" s="235" t="s">
        <v>349</v>
      </c>
      <c r="B8" s="244"/>
      <c r="C8" s="244"/>
      <c r="D8" s="244"/>
      <c r="E8" s="244"/>
      <c r="F8" s="244"/>
      <c r="G8" s="577"/>
      <c r="H8" s="246"/>
      <c r="I8" s="246"/>
      <c r="J8" s="246"/>
      <c r="K8" s="246"/>
      <c r="L8" s="246"/>
      <c r="M8" s="246"/>
      <c r="N8" s="246"/>
      <c r="O8" s="246"/>
      <c r="P8" s="246"/>
      <c r="Q8" s="246"/>
      <c r="R8" s="246"/>
      <c r="S8" s="246"/>
      <c r="T8" s="246"/>
      <c r="U8" s="246"/>
      <c r="V8" s="246">
        <v>-2000</v>
      </c>
    </row>
    <row r="9" spans="1:24">
      <c r="B9" s="244"/>
      <c r="C9" s="244"/>
      <c r="D9" s="244"/>
      <c r="E9" s="244"/>
      <c r="F9" s="244"/>
      <c r="G9" s="577"/>
      <c r="H9" s="246"/>
      <c r="I9" s="246"/>
      <c r="J9" s="246"/>
      <c r="K9" s="246"/>
      <c r="L9" s="246"/>
      <c r="M9" s="246"/>
      <c r="N9" s="246"/>
      <c r="O9" s="246"/>
      <c r="P9" s="246"/>
      <c r="Q9" s="246"/>
      <c r="R9" s="246"/>
      <c r="S9" s="246"/>
      <c r="T9" s="246"/>
      <c r="U9" s="246"/>
      <c r="V9" s="246">
        <v>-15000</v>
      </c>
    </row>
    <row r="10" spans="1:24">
      <c r="A10" s="235" t="s">
        <v>350</v>
      </c>
      <c r="B10" s="244"/>
      <c r="C10" s="244">
        <v>-6000</v>
      </c>
      <c r="D10" s="244">
        <v>-4000</v>
      </c>
      <c r="E10" s="244">
        <v>-4000</v>
      </c>
      <c r="F10" s="244">
        <v>-4000</v>
      </c>
      <c r="G10" s="575">
        <v>-5000</v>
      </c>
      <c r="H10" s="244">
        <v>-5000</v>
      </c>
      <c r="I10" s="244">
        <v>-5000</v>
      </c>
      <c r="J10" s="244">
        <v>-5000</v>
      </c>
      <c r="K10" s="244">
        <v>-5000</v>
      </c>
      <c r="L10" s="244">
        <v>-5000</v>
      </c>
      <c r="M10" s="244">
        <v>-5000</v>
      </c>
      <c r="N10" s="244">
        <v>-5000</v>
      </c>
      <c r="O10" s="244" t="s">
        <v>0</v>
      </c>
      <c r="P10" s="244" t="s">
        <v>0</v>
      </c>
      <c r="Q10" s="244"/>
      <c r="R10" s="244"/>
      <c r="S10" s="244"/>
      <c r="T10" s="244"/>
      <c r="U10" s="244"/>
      <c r="V10" s="244"/>
    </row>
    <row r="11" spans="1:24">
      <c r="A11" s="235" t="s">
        <v>351</v>
      </c>
      <c r="B11" s="244"/>
      <c r="C11" s="246"/>
      <c r="D11" s="246"/>
      <c r="E11" s="246"/>
      <c r="F11" s="246">
        <f>Cashflow!I26</f>
        <v>40000</v>
      </c>
      <c r="G11" s="576"/>
      <c r="H11" s="246"/>
      <c r="I11" s="246"/>
      <c r="J11" s="246"/>
      <c r="K11" s="244"/>
      <c r="L11" s="244"/>
      <c r="M11" s="244"/>
      <c r="N11" s="244"/>
      <c r="O11" s="244"/>
      <c r="P11" s="244"/>
      <c r="Q11" s="244"/>
      <c r="R11" s="244"/>
      <c r="S11" s="244"/>
      <c r="T11" s="244"/>
      <c r="U11" s="244"/>
      <c r="V11" s="244"/>
    </row>
    <row r="12" spans="1:24">
      <c r="A12" s="235" t="s">
        <v>352</v>
      </c>
      <c r="B12" s="244"/>
      <c r="C12" s="244"/>
      <c r="E12" s="244"/>
      <c r="F12" s="245"/>
      <c r="G12" s="576"/>
      <c r="H12" s="246"/>
      <c r="I12" s="246"/>
      <c r="J12" s="241"/>
      <c r="K12" s="246">
        <v>40000</v>
      </c>
      <c r="L12" s="244"/>
      <c r="M12" s="244"/>
      <c r="N12" s="244"/>
      <c r="O12" s="244"/>
      <c r="P12" s="244"/>
      <c r="Q12" s="244"/>
      <c r="R12" s="244"/>
      <c r="S12" s="244"/>
      <c r="T12" s="244"/>
      <c r="U12" s="244"/>
      <c r="V12" s="244"/>
    </row>
    <row r="13" spans="1:24">
      <c r="A13" s="235" t="s">
        <v>353</v>
      </c>
      <c r="B13" s="244"/>
      <c r="C13" s="244"/>
      <c r="D13" s="244"/>
      <c r="E13" s="244"/>
      <c r="F13" s="244"/>
      <c r="G13" s="575"/>
      <c r="I13" s="244"/>
      <c r="K13" s="245"/>
      <c r="L13" s="246"/>
      <c r="M13" s="246"/>
      <c r="N13" s="246"/>
      <c r="O13" s="246"/>
      <c r="P13" s="246">
        <v>150000</v>
      </c>
    </row>
    <row r="14" spans="1:24">
      <c r="B14" s="244"/>
      <c r="C14" s="244"/>
      <c r="D14" s="244"/>
      <c r="E14" s="244"/>
      <c r="F14" s="244"/>
      <c r="G14" s="575"/>
      <c r="H14" s="244"/>
      <c r="I14" s="244"/>
      <c r="J14" s="244"/>
      <c r="K14" s="244"/>
      <c r="L14" s="244"/>
      <c r="M14" s="244"/>
      <c r="N14" s="244"/>
      <c r="O14" s="244"/>
      <c r="P14" s="244"/>
    </row>
    <row r="15" spans="1:24" ht="12" thickBot="1"/>
    <row r="16" spans="1:24" ht="13" thickBot="1">
      <c r="A16" s="247" t="s">
        <v>354</v>
      </c>
      <c r="B16" s="240" t="s">
        <v>317</v>
      </c>
      <c r="C16" s="240" t="s">
        <v>318</v>
      </c>
      <c r="D16" s="240" t="s">
        <v>318</v>
      </c>
      <c r="E16" s="240" t="s">
        <v>318</v>
      </c>
      <c r="F16" s="240" t="s">
        <v>318</v>
      </c>
      <c r="G16" s="574" t="s">
        <v>319</v>
      </c>
      <c r="H16" s="240" t="s">
        <v>319</v>
      </c>
      <c r="I16" s="240" t="s">
        <v>319</v>
      </c>
      <c r="J16" s="240" t="s">
        <v>320</v>
      </c>
      <c r="K16" s="240" t="s">
        <v>319</v>
      </c>
      <c r="L16" s="240" t="s">
        <v>321</v>
      </c>
      <c r="M16" s="240" t="s">
        <v>321</v>
      </c>
      <c r="N16" s="240" t="s">
        <v>321</v>
      </c>
      <c r="O16" s="240" t="s">
        <v>321</v>
      </c>
      <c r="P16" s="240" t="s">
        <v>321</v>
      </c>
      <c r="Q16" s="240" t="s">
        <v>322</v>
      </c>
      <c r="R16" s="240" t="s">
        <v>322</v>
      </c>
      <c r="S16" s="240" t="s">
        <v>322</v>
      </c>
      <c r="T16" s="240" t="s">
        <v>322</v>
      </c>
      <c r="U16" s="240" t="s">
        <v>322</v>
      </c>
      <c r="V16" s="240" t="s">
        <v>322</v>
      </c>
    </row>
    <row r="17" spans="1:24" ht="12">
      <c r="B17" s="248">
        <v>0</v>
      </c>
      <c r="C17" s="240" t="s">
        <v>323</v>
      </c>
      <c r="D17" s="240" t="s">
        <v>324</v>
      </c>
      <c r="E17" s="240" t="s">
        <v>325</v>
      </c>
      <c r="F17" s="240" t="s">
        <v>326</v>
      </c>
      <c r="G17" s="574" t="s">
        <v>327</v>
      </c>
      <c r="H17" s="240" t="s">
        <v>328</v>
      </c>
      <c r="I17" s="240" t="s">
        <v>329</v>
      </c>
      <c r="J17" s="240" t="s">
        <v>330</v>
      </c>
      <c r="K17" s="240" t="s">
        <v>331</v>
      </c>
      <c r="L17" s="240" t="s">
        <v>332</v>
      </c>
      <c r="M17" s="240" t="s">
        <v>333</v>
      </c>
      <c r="N17" s="240" t="s">
        <v>334</v>
      </c>
      <c r="O17" s="240" t="s">
        <v>335</v>
      </c>
      <c r="P17" s="240" t="s">
        <v>336</v>
      </c>
      <c r="Q17" s="240" t="s">
        <v>337</v>
      </c>
      <c r="R17" s="240" t="s">
        <v>338</v>
      </c>
      <c r="S17" s="240" t="s">
        <v>339</v>
      </c>
      <c r="T17" s="240" t="s">
        <v>340</v>
      </c>
      <c r="U17" s="240" t="s">
        <v>341</v>
      </c>
      <c r="V17" s="240" t="s">
        <v>342</v>
      </c>
      <c r="W17" s="235" t="s">
        <v>0</v>
      </c>
      <c r="X17" s="234" t="s">
        <v>0</v>
      </c>
    </row>
    <row r="18" spans="1:24">
      <c r="A18" s="233" t="s">
        <v>343</v>
      </c>
      <c r="B18" s="249">
        <v>0</v>
      </c>
      <c r="C18" s="244"/>
      <c r="D18" s="244"/>
      <c r="E18" s="244"/>
      <c r="F18" s="244"/>
      <c r="G18" s="575"/>
      <c r="H18" s="244"/>
      <c r="I18" s="244"/>
      <c r="J18" s="244"/>
      <c r="K18" s="244"/>
      <c r="L18" s="244"/>
      <c r="M18" s="244"/>
      <c r="N18" s="244"/>
      <c r="O18" s="244"/>
      <c r="P18" s="244"/>
      <c r="Q18" s="240" t="s">
        <v>344</v>
      </c>
      <c r="V18" s="240" t="s">
        <v>345</v>
      </c>
      <c r="X18" s="234"/>
    </row>
    <row r="19" spans="1:24">
      <c r="A19" s="235" t="s">
        <v>346</v>
      </c>
      <c r="B19" s="244"/>
      <c r="C19" s="244">
        <v>0</v>
      </c>
      <c r="D19" s="244"/>
      <c r="E19" s="244"/>
      <c r="F19" s="244"/>
      <c r="G19" s="575"/>
      <c r="H19" s="244"/>
      <c r="I19" s="244"/>
      <c r="J19" s="244"/>
      <c r="K19" s="244"/>
      <c r="L19" s="244"/>
      <c r="M19" s="244"/>
      <c r="N19" s="244"/>
      <c r="O19" s="244"/>
      <c r="P19" s="244"/>
    </row>
    <row r="20" spans="1:24">
      <c r="A20" s="235" t="s">
        <v>347</v>
      </c>
      <c r="B20" s="244"/>
      <c r="C20" s="245"/>
      <c r="D20" s="245"/>
      <c r="E20" s="246"/>
      <c r="F20" s="246"/>
      <c r="G20" s="576"/>
      <c r="H20" s="246"/>
      <c r="I20" s="246"/>
      <c r="J20" s="246"/>
      <c r="K20" s="246"/>
      <c r="L20" s="246"/>
      <c r="M20" s="246"/>
      <c r="N20" s="246"/>
      <c r="O20" s="246"/>
      <c r="P20" s="246">
        <v>0</v>
      </c>
      <c r="Q20" s="244"/>
      <c r="R20" s="244"/>
      <c r="S20" s="244"/>
      <c r="T20" s="244"/>
      <c r="U20" s="244"/>
      <c r="V20" s="244"/>
    </row>
    <row r="21" spans="1:24">
      <c r="A21" s="235" t="s">
        <v>348</v>
      </c>
      <c r="B21" s="244"/>
      <c r="C21" s="244"/>
      <c r="D21" s="245"/>
      <c r="E21" s="246"/>
      <c r="F21" s="246"/>
      <c r="G21" s="576"/>
      <c r="H21" s="246"/>
      <c r="I21" s="246"/>
      <c r="J21" s="246"/>
      <c r="K21" s="246"/>
      <c r="L21" s="246"/>
      <c r="M21" s="246"/>
      <c r="N21" s="246"/>
      <c r="O21" s="246"/>
      <c r="P21" s="246">
        <v>0</v>
      </c>
      <c r="Q21" s="244"/>
      <c r="R21" s="244"/>
      <c r="S21" s="244"/>
      <c r="T21" s="244"/>
      <c r="U21" s="244"/>
      <c r="V21" s="244"/>
    </row>
    <row r="22" spans="1:24">
      <c r="A22" s="235" t="s">
        <v>349</v>
      </c>
      <c r="B22" s="244"/>
      <c r="C22" s="244"/>
      <c r="D22" s="244"/>
      <c r="E22" s="244"/>
      <c r="F22" s="244"/>
      <c r="G22" s="577"/>
      <c r="H22" s="246"/>
      <c r="I22" s="246"/>
      <c r="J22" s="246"/>
      <c r="K22" s="246"/>
      <c r="L22" s="246"/>
      <c r="M22" s="246"/>
      <c r="N22" s="246"/>
      <c r="O22" s="246"/>
      <c r="P22" s="246"/>
      <c r="Q22" s="246"/>
      <c r="R22" s="246"/>
      <c r="S22" s="246"/>
      <c r="T22" s="246"/>
      <c r="U22" s="246"/>
      <c r="V22" s="246">
        <v>-2000</v>
      </c>
    </row>
    <row r="23" spans="1:24">
      <c r="B23" s="244"/>
      <c r="C23" s="244"/>
      <c r="D23" s="244"/>
      <c r="E23" s="244"/>
      <c r="F23" s="244"/>
      <c r="G23" s="577"/>
      <c r="H23" s="246"/>
      <c r="I23" s="246"/>
      <c r="J23" s="246"/>
      <c r="K23" s="246"/>
      <c r="L23" s="246"/>
      <c r="M23" s="246"/>
      <c r="N23" s="246"/>
      <c r="O23" s="246"/>
      <c r="P23" s="246"/>
      <c r="Q23" s="246"/>
      <c r="R23" s="246"/>
      <c r="S23" s="246"/>
      <c r="T23" s="246"/>
      <c r="U23" s="246"/>
      <c r="V23" s="246">
        <v>-15000</v>
      </c>
    </row>
    <row r="24" spans="1:24">
      <c r="A24" s="235" t="s">
        <v>350</v>
      </c>
      <c r="B24" s="244"/>
      <c r="C24" s="244">
        <v>0</v>
      </c>
      <c r="D24" s="244">
        <v>0</v>
      </c>
      <c r="E24" s="244">
        <v>0</v>
      </c>
      <c r="F24" s="244">
        <v>0</v>
      </c>
      <c r="G24" s="575">
        <v>0</v>
      </c>
      <c r="H24" s="244">
        <v>0</v>
      </c>
      <c r="I24" s="244">
        <v>0</v>
      </c>
      <c r="J24" s="244">
        <v>0</v>
      </c>
      <c r="K24" s="244">
        <v>0</v>
      </c>
      <c r="L24" s="244">
        <v>0</v>
      </c>
      <c r="M24" s="244">
        <v>0</v>
      </c>
      <c r="N24" s="244">
        <v>0</v>
      </c>
      <c r="O24" s="244" t="s">
        <v>0</v>
      </c>
      <c r="P24" s="244" t="s">
        <v>0</v>
      </c>
      <c r="Q24" s="244"/>
      <c r="R24" s="244"/>
      <c r="S24" s="244"/>
      <c r="T24" s="244"/>
      <c r="U24" s="244"/>
      <c r="V24" s="244"/>
    </row>
    <row r="25" spans="1:24">
      <c r="A25" s="235" t="s">
        <v>351</v>
      </c>
      <c r="B25" s="244"/>
      <c r="C25" s="246"/>
      <c r="D25" s="246"/>
      <c r="E25" s="246"/>
      <c r="F25" s="246">
        <v>0</v>
      </c>
      <c r="G25" s="576"/>
      <c r="H25" s="246"/>
      <c r="I25" s="246"/>
      <c r="J25" s="246"/>
      <c r="K25" s="244"/>
      <c r="L25" s="244"/>
      <c r="M25" s="244"/>
      <c r="N25" s="244"/>
      <c r="O25" s="244"/>
      <c r="P25" s="244"/>
      <c r="Q25" s="244"/>
      <c r="R25" s="244"/>
      <c r="S25" s="244"/>
      <c r="T25" s="244"/>
      <c r="U25" s="244"/>
      <c r="V25" s="244"/>
    </row>
    <row r="26" spans="1:24">
      <c r="A26" s="235" t="s">
        <v>352</v>
      </c>
      <c r="B26" s="244"/>
      <c r="C26" s="244"/>
      <c r="E26" s="244"/>
      <c r="F26" s="245"/>
      <c r="G26" s="576"/>
      <c r="H26" s="246"/>
      <c r="I26" s="246"/>
      <c r="J26" s="241"/>
      <c r="K26" s="246">
        <v>0</v>
      </c>
      <c r="L26" s="244"/>
      <c r="M26" s="244"/>
      <c r="N26" s="244"/>
      <c r="O26" s="244"/>
      <c r="P26" s="244"/>
      <c r="Q26" s="244"/>
      <c r="R26" s="244"/>
      <c r="S26" s="244"/>
      <c r="T26" s="244"/>
      <c r="U26" s="244"/>
      <c r="V26" s="244"/>
    </row>
    <row r="27" spans="1:24">
      <c r="A27" s="235" t="s">
        <v>353</v>
      </c>
      <c r="B27" s="244"/>
      <c r="C27" s="244"/>
      <c r="D27" s="244"/>
      <c r="E27" s="244"/>
      <c r="F27" s="244"/>
      <c r="G27" s="575"/>
      <c r="I27" s="244"/>
      <c r="K27" s="245"/>
      <c r="L27" s="246"/>
      <c r="M27" s="246"/>
      <c r="N27" s="246"/>
      <c r="O27" s="246"/>
      <c r="P27" s="246">
        <v>0</v>
      </c>
    </row>
    <row r="28" spans="1:24">
      <c r="A28" s="237"/>
      <c r="G28" s="578"/>
    </row>
    <row r="29" spans="1:24" ht="12">
      <c r="A29" s="238" t="s">
        <v>355</v>
      </c>
      <c r="B29" s="248"/>
      <c r="D29" s="240" t="s">
        <v>356</v>
      </c>
      <c r="E29" s="240" t="s">
        <v>357</v>
      </c>
      <c r="F29" s="240" t="s">
        <v>358</v>
      </c>
      <c r="G29" s="578" t="s">
        <v>359</v>
      </c>
      <c r="H29" s="240" t="s">
        <v>360</v>
      </c>
    </row>
    <row r="30" spans="1:24">
      <c r="A30" s="237" t="s">
        <v>361</v>
      </c>
      <c r="C30" s="240">
        <f>12*2</f>
        <v>24</v>
      </c>
      <c r="D30" s="240">
        <v>24</v>
      </c>
      <c r="E30" s="240">
        <v>40</v>
      </c>
      <c r="F30" s="240">
        <f>D30*E30</f>
        <v>960</v>
      </c>
      <c r="G30" s="578">
        <f>F30*C30</f>
        <v>23040</v>
      </c>
      <c r="H30" s="240">
        <f>F30*42.5</f>
        <v>40800</v>
      </c>
    </row>
    <row r="31" spans="1:24">
      <c r="A31" s="237" t="s">
        <v>362</v>
      </c>
      <c r="C31" s="240">
        <f>6*2</f>
        <v>12</v>
      </c>
      <c r="D31" s="240">
        <v>22</v>
      </c>
      <c r="E31" s="240">
        <v>40</v>
      </c>
      <c r="F31" s="240">
        <f>D31*E31</f>
        <v>880</v>
      </c>
      <c r="G31" s="578">
        <f>F31*C31</f>
        <v>10560</v>
      </c>
      <c r="H31" s="240">
        <f>F31*36</f>
        <v>31680</v>
      </c>
    </row>
    <row r="32" spans="1:24">
      <c r="A32" s="237"/>
      <c r="G32" s="578">
        <f>SUM(G30:G31)</f>
        <v>33600</v>
      </c>
      <c r="H32" s="240">
        <f>SUM(H30:H31)</f>
        <v>72480</v>
      </c>
    </row>
    <row r="33" spans="1:7">
      <c r="A33" s="237"/>
      <c r="G33" s="578"/>
    </row>
    <row r="34" spans="1:7" ht="12" thickBot="1">
      <c r="A34" s="239"/>
      <c r="B34" s="243"/>
      <c r="C34" s="243"/>
      <c r="D34" s="243"/>
      <c r="E34" s="243"/>
      <c r="F34" s="243"/>
      <c r="G34" s="579">
        <f>G26-G32</f>
        <v>-33600</v>
      </c>
    </row>
    <row r="37" spans="1:7" ht="12" thickBot="1">
      <c r="A37" s="233" t="s">
        <v>96</v>
      </c>
      <c r="B37" s="248"/>
    </row>
    <row r="38" spans="1:7" ht="12">
      <c r="A38" s="236" t="s">
        <v>363</v>
      </c>
      <c r="B38" s="250"/>
      <c r="C38" s="242" t="s">
        <v>364</v>
      </c>
      <c r="D38" s="242" t="s">
        <v>356</v>
      </c>
      <c r="E38" s="242" t="s">
        <v>357</v>
      </c>
      <c r="F38" s="242" t="s">
        <v>358</v>
      </c>
      <c r="G38" s="580" t="s">
        <v>359</v>
      </c>
    </row>
    <row r="39" spans="1:7">
      <c r="A39" s="237" t="s">
        <v>361</v>
      </c>
      <c r="C39" s="240">
        <v>10</v>
      </c>
      <c r="D39" s="240">
        <v>38.5</v>
      </c>
      <c r="E39" s="240">
        <v>40</v>
      </c>
      <c r="F39" s="240">
        <f>D39*E39</f>
        <v>1540</v>
      </c>
      <c r="G39" s="578">
        <f>F39*C39</f>
        <v>15400</v>
      </c>
    </row>
    <row r="40" spans="1:7">
      <c r="A40" s="237" t="s">
        <v>362</v>
      </c>
      <c r="C40" s="240">
        <v>0</v>
      </c>
      <c r="D40" s="240">
        <v>0</v>
      </c>
      <c r="E40" s="240">
        <v>0</v>
      </c>
      <c r="F40" s="240">
        <f>D40*E40</f>
        <v>0</v>
      </c>
      <c r="G40" s="578">
        <f>F40*C40</f>
        <v>0</v>
      </c>
    </row>
    <row r="41" spans="1:7">
      <c r="A41" s="237" t="s">
        <v>365</v>
      </c>
      <c r="C41" s="240">
        <v>10</v>
      </c>
      <c r="D41" s="240">
        <v>38.5</v>
      </c>
      <c r="E41" s="240">
        <v>5</v>
      </c>
      <c r="F41" s="240">
        <f>D41*E41</f>
        <v>192.5</v>
      </c>
      <c r="G41" s="578">
        <f>F41*C41</f>
        <v>1925</v>
      </c>
    </row>
    <row r="42" spans="1:7">
      <c r="A42" s="237"/>
      <c r="G42" s="578">
        <f>SUM(G39:G41)</f>
        <v>17325</v>
      </c>
    </row>
    <row r="43" spans="1:7">
      <c r="A43" s="237"/>
      <c r="G43" s="578"/>
    </row>
    <row r="44" spans="1:7" ht="12">
      <c r="A44" s="233" t="s">
        <v>366</v>
      </c>
      <c r="B44" s="248"/>
      <c r="D44" s="240" t="s">
        <v>356</v>
      </c>
      <c r="E44" s="240" t="s">
        <v>357</v>
      </c>
      <c r="F44" s="240" t="s">
        <v>358</v>
      </c>
      <c r="G44" s="578" t="s">
        <v>359</v>
      </c>
    </row>
    <row r="45" spans="1:7">
      <c r="A45" s="237" t="s">
        <v>361</v>
      </c>
      <c r="C45" s="240">
        <v>10</v>
      </c>
      <c r="D45" s="240">
        <v>24</v>
      </c>
      <c r="E45" s="240">
        <v>40</v>
      </c>
      <c r="F45" s="240">
        <f>D45*E45</f>
        <v>960</v>
      </c>
      <c r="G45" s="578">
        <f>F45*C45</f>
        <v>9600</v>
      </c>
    </row>
    <row r="46" spans="1:7">
      <c r="A46" s="237" t="s">
        <v>362</v>
      </c>
      <c r="C46" s="240">
        <v>0</v>
      </c>
      <c r="D46" s="240">
        <v>0</v>
      </c>
      <c r="E46" s="240">
        <v>0</v>
      </c>
      <c r="F46" s="240">
        <f>D46*E46</f>
        <v>0</v>
      </c>
      <c r="G46" s="578">
        <f>F46*C46</f>
        <v>0</v>
      </c>
    </row>
    <row r="47" spans="1:7">
      <c r="A47" s="237" t="s">
        <v>365</v>
      </c>
      <c r="C47" s="240">
        <v>10</v>
      </c>
      <c r="D47" s="240">
        <v>25</v>
      </c>
      <c r="E47" s="240">
        <v>5</v>
      </c>
      <c r="F47" s="240">
        <f>D47*E47</f>
        <v>125</v>
      </c>
      <c r="G47" s="578">
        <f>F47*C47</f>
        <v>1250</v>
      </c>
    </row>
    <row r="48" spans="1:7">
      <c r="A48" s="237"/>
      <c r="G48" s="578">
        <f>SUM(G45:G47)</f>
        <v>10850</v>
      </c>
    </row>
    <row r="49" spans="1:18" ht="12" thickBot="1">
      <c r="A49" s="239"/>
      <c r="B49" s="243"/>
      <c r="C49" s="243"/>
      <c r="D49" s="243"/>
      <c r="E49" s="243"/>
      <c r="F49" s="243"/>
      <c r="G49" s="579">
        <f>G42-G48</f>
        <v>6475</v>
      </c>
    </row>
    <row r="51" spans="1:18" ht="12" thickBot="1">
      <c r="A51" s="233" t="s">
        <v>367</v>
      </c>
      <c r="B51" s="248"/>
    </row>
    <row r="52" spans="1:18" ht="12">
      <c r="A52" s="236" t="s">
        <v>368</v>
      </c>
      <c r="B52" s="250"/>
      <c r="C52" s="242" t="s">
        <v>364</v>
      </c>
      <c r="D52" s="242" t="s">
        <v>356</v>
      </c>
      <c r="E52" s="242" t="s">
        <v>357</v>
      </c>
      <c r="F52" s="242" t="s">
        <v>358</v>
      </c>
      <c r="G52" s="580" t="s">
        <v>359</v>
      </c>
    </row>
    <row r="53" spans="1:18">
      <c r="A53" s="237" t="s">
        <v>368</v>
      </c>
      <c r="C53" s="240" t="s">
        <v>0</v>
      </c>
      <c r="D53" s="240" t="s">
        <v>0</v>
      </c>
      <c r="E53" s="240" t="s">
        <v>0</v>
      </c>
      <c r="F53" s="240" t="s">
        <v>0</v>
      </c>
      <c r="G53" s="578">
        <v>45000</v>
      </c>
    </row>
    <row r="54" spans="1:18">
      <c r="A54" s="237"/>
      <c r="G54" s="578"/>
    </row>
    <row r="55" spans="1:18" ht="12">
      <c r="A55" s="238" t="s">
        <v>369</v>
      </c>
      <c r="B55" s="248"/>
      <c r="D55" s="240" t="s">
        <v>356</v>
      </c>
      <c r="E55" s="240" t="s">
        <v>357</v>
      </c>
      <c r="F55" s="240" t="s">
        <v>358</v>
      </c>
      <c r="G55" s="578" t="s">
        <v>359</v>
      </c>
    </row>
    <row r="56" spans="1:18">
      <c r="A56" s="237" t="s">
        <v>361</v>
      </c>
      <c r="C56" s="240">
        <f>12*2</f>
        <v>24</v>
      </c>
      <c r="D56" s="240">
        <v>24</v>
      </c>
      <c r="E56" s="240">
        <v>45</v>
      </c>
      <c r="F56" s="240">
        <f>D56*E56</f>
        <v>1080</v>
      </c>
      <c r="G56" s="578">
        <f>F56*C56</f>
        <v>25920</v>
      </c>
    </row>
    <row r="57" spans="1:18">
      <c r="A57" s="237"/>
      <c r="G57" s="578">
        <f>SUM(G56:G56)</f>
        <v>25920</v>
      </c>
    </row>
    <row r="58" spans="1:18">
      <c r="A58" s="237"/>
      <c r="G58" s="578"/>
    </row>
    <row r="59" spans="1:18" ht="12" thickBot="1">
      <c r="A59" s="239"/>
      <c r="B59" s="243"/>
      <c r="C59" s="243"/>
      <c r="D59" s="243"/>
      <c r="E59" s="243"/>
      <c r="F59" s="243"/>
      <c r="G59" s="579">
        <f>G53-G57</f>
        <v>19080</v>
      </c>
    </row>
    <row r="61" spans="1:18">
      <c r="A61" s="235" t="s">
        <v>314</v>
      </c>
      <c r="D61" s="240" t="s">
        <v>370</v>
      </c>
      <c r="E61" s="240" t="s">
        <v>371</v>
      </c>
    </row>
    <row r="62" spans="1:18" ht="12">
      <c r="A62" s="235" t="s">
        <v>372</v>
      </c>
      <c r="C62" s="240">
        <v>340000</v>
      </c>
      <c r="D62" s="240">
        <f>C62*0.95</f>
        <v>323000</v>
      </c>
      <c r="E62" s="240">
        <f>D62*0.8</f>
        <v>258400</v>
      </c>
      <c r="G62" s="574" t="s">
        <v>373</v>
      </c>
      <c r="I62" s="240" t="s">
        <v>371</v>
      </c>
      <c r="J62" s="240" t="s">
        <v>374</v>
      </c>
      <c r="M62" s="240" t="s">
        <v>354</v>
      </c>
      <c r="O62" s="240" t="s">
        <v>371</v>
      </c>
    </row>
    <row r="63" spans="1:18" ht="12">
      <c r="A63" s="235" t="s">
        <v>375</v>
      </c>
      <c r="C63" s="240">
        <f>C62*0.25</f>
        <v>85000</v>
      </c>
      <c r="D63" s="240">
        <f>C63*0.8</f>
        <v>68000</v>
      </c>
      <c r="G63" s="574" t="s">
        <v>372</v>
      </c>
      <c r="H63" s="240">
        <v>54000</v>
      </c>
      <c r="I63" s="240">
        <f>H63*0.8</f>
        <v>43200</v>
      </c>
      <c r="J63" s="240">
        <f>I63*0.97</f>
        <v>41904</v>
      </c>
      <c r="M63" s="240" t="s">
        <v>372</v>
      </c>
      <c r="N63" s="240">
        <v>0</v>
      </c>
      <c r="O63" s="240">
        <f>N63*0.8</f>
        <v>0</v>
      </c>
    </row>
    <row r="64" spans="1:18" ht="12">
      <c r="C64" s="240">
        <f>C62-C63</f>
        <v>255000</v>
      </c>
      <c r="D64" s="240">
        <f>C64*0.8</f>
        <v>204000</v>
      </c>
      <c r="G64" s="574" t="s">
        <v>375</v>
      </c>
      <c r="H64" s="240">
        <v>0</v>
      </c>
      <c r="I64" s="240" t="s">
        <v>0</v>
      </c>
      <c r="M64" s="240" t="s">
        <v>375</v>
      </c>
      <c r="N64" s="240">
        <f>N63*0.25</f>
        <v>0</v>
      </c>
      <c r="O64" s="240">
        <f>N64*0.8</f>
        <v>0</v>
      </c>
      <c r="R64" s="240">
        <f>20*22</f>
        <v>440</v>
      </c>
    </row>
    <row r="65" spans="1:15">
      <c r="A65" s="235" t="s">
        <v>230</v>
      </c>
      <c r="C65" s="240">
        <f>C64*0.33</f>
        <v>84150</v>
      </c>
      <c r="D65" s="240">
        <f>C65*0.8</f>
        <v>67320</v>
      </c>
      <c r="H65" s="240" t="s">
        <v>0</v>
      </c>
      <c r="I65" s="240" t="e">
        <f>H65*0.8</f>
        <v>#VALUE!</v>
      </c>
      <c r="N65" s="240">
        <f>N63-N64</f>
        <v>0</v>
      </c>
      <c r="O65" s="240">
        <f>N65*0.8</f>
        <v>0</v>
      </c>
    </row>
    <row r="66" spans="1:15" ht="12">
      <c r="A66" s="235" t="s">
        <v>376</v>
      </c>
      <c r="C66" s="240">
        <f>C64*0.67</f>
        <v>170850</v>
      </c>
      <c r="D66" s="240">
        <f>C66*0.8</f>
        <v>136680</v>
      </c>
      <c r="G66" s="574" t="s">
        <v>230</v>
      </c>
      <c r="H66" s="240" t="e">
        <f>H65*0.33</f>
        <v>#VALUE!</v>
      </c>
      <c r="I66" s="240" t="e">
        <f>H66*0.8</f>
        <v>#VALUE!</v>
      </c>
      <c r="M66" s="240" t="s">
        <v>230</v>
      </c>
      <c r="N66" s="240">
        <f>N65*0.33</f>
        <v>0</v>
      </c>
      <c r="O66" s="240">
        <f>N66*0.8</f>
        <v>0</v>
      </c>
    </row>
    <row r="67" spans="1:15" ht="12">
      <c r="G67" s="574" t="s">
        <v>376</v>
      </c>
      <c r="H67" s="240" t="e">
        <f>H65*0.67</f>
        <v>#VALUE!</v>
      </c>
      <c r="I67" s="240" t="e">
        <f>H67*0.8</f>
        <v>#VALUE!</v>
      </c>
      <c r="M67" s="240" t="s">
        <v>376</v>
      </c>
      <c r="N67" s="240">
        <f>N65*0.67</f>
        <v>0</v>
      </c>
      <c r="O67" s="240">
        <f>N67*0.8</f>
        <v>0</v>
      </c>
    </row>
    <row r="69" spans="1:15" ht="12">
      <c r="A69" s="235" t="s">
        <v>354</v>
      </c>
      <c r="D69" s="240" t="s">
        <v>371</v>
      </c>
      <c r="G69" s="574" t="s">
        <v>377</v>
      </c>
      <c r="I69" s="240" t="s">
        <v>371</v>
      </c>
      <c r="M69" s="240" t="s">
        <v>354</v>
      </c>
      <c r="O69" s="240" t="s">
        <v>371</v>
      </c>
    </row>
    <row r="70" spans="1:15" ht="12">
      <c r="A70" s="235" t="s">
        <v>372</v>
      </c>
      <c r="C70" s="240">
        <v>100000</v>
      </c>
      <c r="D70" s="240">
        <f>C70*0.8</f>
        <v>80000</v>
      </c>
      <c r="G70" s="574" t="s">
        <v>372</v>
      </c>
      <c r="H70" s="240">
        <v>9400</v>
      </c>
      <c r="I70" s="240" t="s">
        <v>0</v>
      </c>
      <c r="M70" s="240" t="s">
        <v>372</v>
      </c>
      <c r="N70" s="240">
        <v>0</v>
      </c>
      <c r="O70" s="240">
        <f>N70*0.8</f>
        <v>0</v>
      </c>
    </row>
    <row r="71" spans="1:15" ht="12">
      <c r="A71" s="235" t="s">
        <v>375</v>
      </c>
      <c r="C71" s="240">
        <f>C70*0.25</f>
        <v>25000</v>
      </c>
      <c r="D71" s="240">
        <f>C71*0.8</f>
        <v>20000</v>
      </c>
      <c r="G71" s="574" t="s">
        <v>375</v>
      </c>
      <c r="H71" s="240">
        <f>H70/125*25</f>
        <v>1880</v>
      </c>
      <c r="I71" s="240">
        <f>H71*0.8</f>
        <v>1504</v>
      </c>
      <c r="M71" s="240" t="s">
        <v>375</v>
      </c>
      <c r="N71" s="240">
        <f>N70*0.25</f>
        <v>0</v>
      </c>
      <c r="O71" s="240">
        <f>N71*0.8</f>
        <v>0</v>
      </c>
    </row>
    <row r="72" spans="1:15">
      <c r="C72" s="240">
        <f>C70-C71</f>
        <v>75000</v>
      </c>
      <c r="D72" s="240">
        <f>C72*0.8</f>
        <v>60000</v>
      </c>
      <c r="H72" s="240">
        <v>0</v>
      </c>
      <c r="I72" s="240">
        <f>H72*0.8</f>
        <v>0</v>
      </c>
      <c r="N72" s="240">
        <f>N70-N71</f>
        <v>0</v>
      </c>
      <c r="O72" s="240">
        <f>N72*0.8</f>
        <v>0</v>
      </c>
    </row>
    <row r="73" spans="1:15" ht="12">
      <c r="A73" s="235" t="s">
        <v>230</v>
      </c>
      <c r="C73" s="240">
        <f>C72*0.33</f>
        <v>24750</v>
      </c>
      <c r="D73" s="240">
        <f>C73*0.8</f>
        <v>19800</v>
      </c>
      <c r="G73" s="574" t="s">
        <v>230</v>
      </c>
      <c r="H73" s="240">
        <v>0</v>
      </c>
      <c r="I73" s="240">
        <f>H73*0.8</f>
        <v>0</v>
      </c>
      <c r="M73" s="240" t="s">
        <v>230</v>
      </c>
      <c r="N73" s="240">
        <f>N72*0.33</f>
        <v>0</v>
      </c>
      <c r="O73" s="240">
        <f>N73*0.8</f>
        <v>0</v>
      </c>
    </row>
    <row r="74" spans="1:15" ht="12">
      <c r="A74" s="235" t="s">
        <v>376</v>
      </c>
      <c r="C74" s="240">
        <f>C72*0.67</f>
        <v>50250</v>
      </c>
      <c r="D74" s="240">
        <f>C74*0.8</f>
        <v>40200</v>
      </c>
      <c r="G74" s="574" t="s">
        <v>376</v>
      </c>
      <c r="H74" s="240">
        <f>H72*0.67</f>
        <v>0</v>
      </c>
      <c r="I74" s="240">
        <f>H74*0.8</f>
        <v>0</v>
      </c>
      <c r="M74" s="240" t="s">
        <v>376</v>
      </c>
      <c r="N74" s="240">
        <f>N72*0.67</f>
        <v>0</v>
      </c>
      <c r="O74" s="240">
        <f>N74*0.8</f>
        <v>0</v>
      </c>
    </row>
    <row r="76" spans="1:15">
      <c r="A76" s="252" t="s">
        <v>132</v>
      </c>
      <c r="D76" s="240" t="s">
        <v>371</v>
      </c>
    </row>
    <row r="77" spans="1:15" ht="12">
      <c r="A77" s="235" t="s">
        <v>372</v>
      </c>
      <c r="C77" s="240">
        <v>76315</v>
      </c>
      <c r="D77" s="240">
        <f>C77*0.8</f>
        <v>61052</v>
      </c>
      <c r="G77" s="581" t="s">
        <v>378</v>
      </c>
      <c r="I77" s="240" t="s">
        <v>371</v>
      </c>
      <c r="M77" s="240" t="s">
        <v>354</v>
      </c>
      <c r="O77" s="240" t="s">
        <v>371</v>
      </c>
    </row>
    <row r="78" spans="1:15" ht="12">
      <c r="A78" s="235" t="s">
        <v>375</v>
      </c>
      <c r="C78" s="240" t="s">
        <v>0</v>
      </c>
      <c r="D78" s="240" t="s">
        <v>0</v>
      </c>
      <c r="G78" s="574" t="s">
        <v>372</v>
      </c>
      <c r="H78" s="240">
        <v>30000</v>
      </c>
      <c r="I78" s="240">
        <f>H78*0.8</f>
        <v>24000</v>
      </c>
      <c r="J78" s="240">
        <f>I78*0.97</f>
        <v>23280</v>
      </c>
      <c r="M78" s="240" t="s">
        <v>372</v>
      </c>
      <c r="N78" s="240">
        <v>0</v>
      </c>
      <c r="O78" s="240">
        <f>N78*0.8</f>
        <v>0</v>
      </c>
    </row>
    <row r="79" spans="1:15" ht="12">
      <c r="C79" s="240" t="e">
        <f>C77-C78</f>
        <v>#VALUE!</v>
      </c>
      <c r="D79" s="240" t="e">
        <f>C79*0.8</f>
        <v>#VALUE!</v>
      </c>
      <c r="G79" s="574" t="s">
        <v>375</v>
      </c>
      <c r="H79" s="240">
        <v>0</v>
      </c>
      <c r="I79" s="240">
        <f>H79*0.8</f>
        <v>0</v>
      </c>
      <c r="M79" s="240" t="s">
        <v>375</v>
      </c>
      <c r="N79" s="240">
        <f>N78*0.25</f>
        <v>0</v>
      </c>
      <c r="O79" s="240">
        <f>N79*0.8</f>
        <v>0</v>
      </c>
    </row>
    <row r="80" spans="1:15">
      <c r="A80" s="235" t="s">
        <v>230</v>
      </c>
      <c r="C80" s="240">
        <v>0</v>
      </c>
      <c r="D80" s="240">
        <f>C80*0.8</f>
        <v>0</v>
      </c>
      <c r="H80" s="240">
        <v>0</v>
      </c>
      <c r="I80" s="240">
        <f>H80*0.8</f>
        <v>0</v>
      </c>
      <c r="N80" s="240">
        <f>N78-N79</f>
        <v>0</v>
      </c>
      <c r="O80" s="240">
        <f>N80*0.8</f>
        <v>0</v>
      </c>
    </row>
    <row r="81" spans="1:18" ht="12">
      <c r="A81" s="235" t="s">
        <v>376</v>
      </c>
      <c r="C81" s="240" t="e">
        <f>C79*0.67</f>
        <v>#VALUE!</v>
      </c>
      <c r="D81" s="240" t="e">
        <f>C81*0.8</f>
        <v>#VALUE!</v>
      </c>
      <c r="G81" s="574" t="s">
        <v>230</v>
      </c>
      <c r="H81" s="240">
        <f>H80*0.33</f>
        <v>0</v>
      </c>
      <c r="I81" s="240">
        <f>H81*0.8</f>
        <v>0</v>
      </c>
      <c r="M81" s="240" t="s">
        <v>230</v>
      </c>
      <c r="N81" s="240">
        <f>N80*0.33</f>
        <v>0</v>
      </c>
      <c r="O81" s="240">
        <f>N81*0.8</f>
        <v>0</v>
      </c>
    </row>
    <row r="82" spans="1:18" ht="12">
      <c r="G82" s="574" t="s">
        <v>376</v>
      </c>
      <c r="H82" s="240">
        <v>0</v>
      </c>
      <c r="I82" s="240">
        <f>H82*0.8</f>
        <v>0</v>
      </c>
      <c r="M82" s="240" t="s">
        <v>376</v>
      </c>
      <c r="N82" s="240">
        <f>N80*0.67</f>
        <v>0</v>
      </c>
      <c r="O82" s="240">
        <f>N82*0.8</f>
        <v>0</v>
      </c>
    </row>
    <row r="84" spans="1:18">
      <c r="A84" s="251" t="s">
        <v>379</v>
      </c>
    </row>
    <row r="85" spans="1:18">
      <c r="A85" s="235" t="s">
        <v>372</v>
      </c>
      <c r="C85" s="240">
        <v>28658</v>
      </c>
      <c r="D85" s="240">
        <f>C85*0.8</f>
        <v>22926.400000000001</v>
      </c>
      <c r="E85" s="240">
        <f>C85*0.95</f>
        <v>27225.1</v>
      </c>
      <c r="F85" s="240">
        <f>E85*0.8</f>
        <v>21780.080000000002</v>
      </c>
    </row>
    <row r="86" spans="1:18">
      <c r="A86" s="235" t="s">
        <v>230</v>
      </c>
      <c r="C86" s="240">
        <f>6500+(14*120)</f>
        <v>8180</v>
      </c>
      <c r="D86" s="240" t="s">
        <v>0</v>
      </c>
    </row>
    <row r="87" spans="1:18">
      <c r="A87" s="235" t="s">
        <v>376</v>
      </c>
      <c r="C87" s="240">
        <v>0</v>
      </c>
      <c r="D87" s="240">
        <f>C87*0.8</f>
        <v>0</v>
      </c>
    </row>
    <row r="88" spans="1:18">
      <c r="A88" s="235" t="s">
        <v>375</v>
      </c>
      <c r="D88" s="240">
        <f>D85-C86</f>
        <v>14746.400000000001</v>
      </c>
      <c r="M88" s="240" t="s">
        <v>380</v>
      </c>
      <c r="R88" s="240">
        <v>800000</v>
      </c>
    </row>
    <row r="89" spans="1:18">
      <c r="M89" s="240" t="s">
        <v>381</v>
      </c>
      <c r="R89" s="240">
        <f>C93/125</f>
        <v>2816</v>
      </c>
    </row>
    <row r="90" spans="1:18">
      <c r="A90" s="251" t="s">
        <v>382</v>
      </c>
      <c r="D90" s="240" t="s">
        <v>383</v>
      </c>
      <c r="F90" s="240" t="s">
        <v>384</v>
      </c>
      <c r="R90" s="240">
        <f>R89*100</f>
        <v>281600</v>
      </c>
    </row>
    <row r="91" spans="1:18">
      <c r="A91" s="235" t="s">
        <v>372</v>
      </c>
      <c r="B91" s="240">
        <v>800000</v>
      </c>
      <c r="C91" s="240">
        <v>793000</v>
      </c>
      <c r="D91" s="240">
        <f>C91*0.95</f>
        <v>753350</v>
      </c>
      <c r="E91" s="240">
        <f>D91*0.8</f>
        <v>602680</v>
      </c>
      <c r="F91" s="240">
        <f>C91-D91</f>
        <v>39650</v>
      </c>
      <c r="G91" s="574">
        <f>E91*F91</f>
        <v>23896262000</v>
      </c>
      <c r="H91" s="240" t="s">
        <v>0</v>
      </c>
      <c r="R91" s="240">
        <f>C93-R90</f>
        <v>70400</v>
      </c>
    </row>
    <row r="92" spans="1:18" ht="12">
      <c r="A92" s="235" t="s">
        <v>230</v>
      </c>
      <c r="C92" s="240">
        <v>150000</v>
      </c>
      <c r="D92" s="240">
        <f>C92</f>
        <v>150000</v>
      </c>
      <c r="G92" s="574" t="s">
        <v>0</v>
      </c>
    </row>
    <row r="93" spans="1:18">
      <c r="A93" s="235" t="s">
        <v>376</v>
      </c>
      <c r="C93" s="240">
        <f>(20*22)*800</f>
        <v>352000</v>
      </c>
      <c r="D93" s="240">
        <f>C93</f>
        <v>352000</v>
      </c>
      <c r="I93" s="240">
        <f>D93/D91</f>
        <v>0.46724629986062255</v>
      </c>
    </row>
    <row r="94" spans="1:18">
      <c r="A94" s="235" t="s">
        <v>375</v>
      </c>
      <c r="C94" s="240">
        <f>C91-C92-C93</f>
        <v>291000</v>
      </c>
      <c r="D94" s="240">
        <f>C94*0.8</f>
        <v>232800</v>
      </c>
      <c r="E94" s="240">
        <f>C94/C91</f>
        <v>0.36696090794451452</v>
      </c>
      <c r="F94" s="240">
        <f>D94/C91</f>
        <v>0.2935687263556116</v>
      </c>
      <c r="G94" s="574">
        <f>C91-D92-D93</f>
        <v>291000</v>
      </c>
      <c r="I94" s="240">
        <f>C93/C91</f>
        <v>0.44388398486759145</v>
      </c>
      <c r="J94" s="240">
        <f>G94/C91</f>
        <v>0.36696090794451452</v>
      </c>
    </row>
    <row r="95" spans="1:18">
      <c r="D95" s="240" t="s">
        <v>0</v>
      </c>
    </row>
    <row r="96" spans="1:18">
      <c r="A96" s="251" t="s">
        <v>385</v>
      </c>
    </row>
    <row r="97" spans="1:18">
      <c r="A97" s="235" t="s">
        <v>372</v>
      </c>
      <c r="B97" s="240">
        <v>19553</v>
      </c>
      <c r="C97" s="240">
        <v>0</v>
      </c>
      <c r="D97" s="240">
        <f>B97*0.8</f>
        <v>15642.400000000001</v>
      </c>
      <c r="E97" s="240">
        <f>D97-C98</f>
        <v>7414.4000000000015</v>
      </c>
      <c r="G97" s="574">
        <f>B97*0.67</f>
        <v>13100.51</v>
      </c>
      <c r="H97" s="240">
        <f>(G97/125)*100</f>
        <v>10480.407999999999</v>
      </c>
    </row>
    <row r="98" spans="1:18">
      <c r="A98" s="235" t="s">
        <v>230</v>
      </c>
      <c r="C98" s="240">
        <f>17*484</f>
        <v>8228</v>
      </c>
      <c r="D98" s="240" t="s">
        <v>0</v>
      </c>
      <c r="E98" s="240">
        <f>E97+D99</f>
        <v>12448.000000000002</v>
      </c>
      <c r="G98" s="574">
        <f>B97*0.33</f>
        <v>6452.4900000000007</v>
      </c>
      <c r="N98" s="240">
        <v>5000000</v>
      </c>
    </row>
    <row r="99" spans="1:18">
      <c r="A99" s="235" t="s">
        <v>376</v>
      </c>
      <c r="C99" s="240">
        <f>13*484</f>
        <v>6292</v>
      </c>
      <c r="D99" s="240">
        <f>C99*0.8</f>
        <v>5033.6000000000004</v>
      </c>
      <c r="E99" s="240">
        <f>B97-C98</f>
        <v>11325</v>
      </c>
      <c r="N99" s="240">
        <f>N98/100000</f>
        <v>50</v>
      </c>
    </row>
    <row r="100" spans="1:18">
      <c r="A100" s="235" t="s">
        <v>375</v>
      </c>
      <c r="C100" s="240">
        <f>B97-C98-C99</f>
        <v>5033</v>
      </c>
      <c r="D100" s="240">
        <f>D97-C98</f>
        <v>7414.4000000000015</v>
      </c>
    </row>
    <row r="102" spans="1:18">
      <c r="A102" s="251" t="s">
        <v>386</v>
      </c>
      <c r="C102" s="240" t="s">
        <v>384</v>
      </c>
      <c r="E102" s="240" t="s">
        <v>387</v>
      </c>
      <c r="I102" s="240" t="s">
        <v>388</v>
      </c>
    </row>
    <row r="103" spans="1:18">
      <c r="A103" s="235" t="s">
        <v>389</v>
      </c>
      <c r="B103" s="240">
        <v>1740000</v>
      </c>
      <c r="C103" s="240">
        <f>B103*0.03</f>
        <v>52200</v>
      </c>
      <c r="D103" s="240">
        <f>B103-C103</f>
        <v>1687800</v>
      </c>
      <c r="E103" s="240">
        <f>D103</f>
        <v>1687800</v>
      </c>
      <c r="F103" s="240" t="e">
        <f>E103-E105</f>
        <v>#VALUE!</v>
      </c>
      <c r="G103" s="574">
        <f>B103*0.67</f>
        <v>1165800</v>
      </c>
      <c r="H103" s="240">
        <f>(G103/125)*100</f>
        <v>932640</v>
      </c>
      <c r="I103" s="240">
        <f>B105+B106+B107</f>
        <v>1325000</v>
      </c>
    </row>
    <row r="104" spans="1:18">
      <c r="A104" s="235" t="s">
        <v>390</v>
      </c>
      <c r="B104" s="240">
        <v>235000</v>
      </c>
      <c r="I104" s="240">
        <f>I103/B103</f>
        <v>0.7614942528735632</v>
      </c>
    </row>
    <row r="105" spans="1:18" ht="12">
      <c r="A105" s="235" t="s">
        <v>391</v>
      </c>
      <c r="B105" s="240">
        <v>575000</v>
      </c>
      <c r="C105" s="240" t="s">
        <v>0</v>
      </c>
      <c r="D105" s="240" t="s">
        <v>0</v>
      </c>
      <c r="E105" s="240" t="e">
        <f>D108*0.33</f>
        <v>#VALUE!</v>
      </c>
      <c r="G105" s="574" t="s">
        <v>0</v>
      </c>
      <c r="I105" s="240">
        <f>B103-I103</f>
        <v>415000</v>
      </c>
    </row>
    <row r="106" spans="1:18">
      <c r="A106" s="235" t="s">
        <v>392</v>
      </c>
      <c r="B106" s="240">
        <v>725000</v>
      </c>
      <c r="C106" s="240" t="s">
        <v>0</v>
      </c>
      <c r="D106" s="235"/>
      <c r="I106" s="240">
        <f>I105/B103</f>
        <v>0.23850574712643677</v>
      </c>
    </row>
    <row r="107" spans="1:18">
      <c r="A107" s="235" t="s">
        <v>393</v>
      </c>
      <c r="B107" s="240">
        <v>25000</v>
      </c>
      <c r="D107" s="235"/>
    </row>
    <row r="108" spans="1:18">
      <c r="A108" s="235" t="s">
        <v>375</v>
      </c>
      <c r="B108" s="240" t="s">
        <v>0</v>
      </c>
      <c r="C108" s="240" t="s">
        <v>163</v>
      </c>
      <c r="D108" s="240" t="e">
        <f>B103-B108</f>
        <v>#VALUE!</v>
      </c>
    </row>
    <row r="109" spans="1:18">
      <c r="A109" s="235" t="s">
        <v>394</v>
      </c>
      <c r="B109" s="240" t="s">
        <v>0</v>
      </c>
    </row>
    <row r="110" spans="1:18">
      <c r="A110" s="235" t="s">
        <v>395</v>
      </c>
      <c r="B110" s="240" t="s">
        <v>0</v>
      </c>
    </row>
    <row r="112" spans="1:18">
      <c r="A112" s="251" t="s">
        <v>396</v>
      </c>
      <c r="D112" s="240" t="s">
        <v>397</v>
      </c>
      <c r="E112" s="240" t="s">
        <v>398</v>
      </c>
      <c r="F112" s="240" t="s">
        <v>384</v>
      </c>
      <c r="R112" s="240" t="s">
        <v>0</v>
      </c>
    </row>
    <row r="113" spans="1:18" ht="12">
      <c r="A113" s="235" t="s">
        <v>399</v>
      </c>
      <c r="B113" s="240" t="s">
        <v>0</v>
      </c>
      <c r="C113" s="240">
        <f>694000-C119</f>
        <v>518000</v>
      </c>
      <c r="D113" s="240">
        <f>C113*0.95</f>
        <v>492100</v>
      </c>
      <c r="E113" s="240">
        <f>D113</f>
        <v>492100</v>
      </c>
      <c r="F113" s="240">
        <f>C113-D113</f>
        <v>25900</v>
      </c>
      <c r="G113" s="574" t="s">
        <v>400</v>
      </c>
      <c r="H113" s="240">
        <v>141000</v>
      </c>
      <c r="R113" s="240" t="s">
        <v>0</v>
      </c>
    </row>
    <row r="114" spans="1:18" ht="12">
      <c r="A114" s="235" t="s">
        <v>230</v>
      </c>
      <c r="C114" s="240">
        <f>C113*0.25</f>
        <v>129500</v>
      </c>
      <c r="D114" s="240">
        <f>C114</f>
        <v>129500</v>
      </c>
      <c r="E114" s="240">
        <f>E113-C114</f>
        <v>362600</v>
      </c>
      <c r="G114" s="574" t="s">
        <v>401</v>
      </c>
      <c r="H114" s="240">
        <f>D113-H113-H115</f>
        <v>301100</v>
      </c>
      <c r="R114" s="240" t="s">
        <v>0</v>
      </c>
    </row>
    <row r="115" spans="1:18" ht="12">
      <c r="A115" s="235" t="s">
        <v>402</v>
      </c>
      <c r="C115" s="240">
        <v>0</v>
      </c>
      <c r="D115" s="240">
        <f>C115</f>
        <v>0</v>
      </c>
      <c r="G115" s="574" t="s">
        <v>403</v>
      </c>
      <c r="H115" s="240">
        <v>50000</v>
      </c>
      <c r="I115" s="240">
        <f>D115/D113</f>
        <v>0</v>
      </c>
    </row>
    <row r="116" spans="1:18">
      <c r="A116" s="235" t="s">
        <v>404</v>
      </c>
      <c r="C116" s="240">
        <f>7000*6.5</f>
        <v>45500</v>
      </c>
    </row>
    <row r="117" spans="1:18">
      <c r="A117" s="235" t="s">
        <v>375</v>
      </c>
      <c r="C117" s="240">
        <f>C113-C114-C115-C116</f>
        <v>343000</v>
      </c>
      <c r="D117" s="240">
        <f>C117*0.975</f>
        <v>334425</v>
      </c>
      <c r="E117" s="240" t="s">
        <v>0</v>
      </c>
      <c r="F117" s="240">
        <f>D117/C113</f>
        <v>0.64560810810810809</v>
      </c>
      <c r="G117" s="574">
        <f>C113-D114-D115</f>
        <v>388500</v>
      </c>
      <c r="I117" s="240">
        <f>C115/C113</f>
        <v>0</v>
      </c>
      <c r="J117" s="240">
        <f>G117/C113</f>
        <v>0.75</v>
      </c>
    </row>
    <row r="119" spans="1:18" ht="12">
      <c r="A119" s="235" t="s">
        <v>405</v>
      </c>
      <c r="B119" s="240" t="s">
        <v>0</v>
      </c>
      <c r="C119" s="240">
        <v>176000</v>
      </c>
      <c r="D119" s="240">
        <f>C119*0.95</f>
        <v>167200</v>
      </c>
      <c r="E119" s="240">
        <f>D119*0.8</f>
        <v>133760</v>
      </c>
      <c r="F119" s="240" t="s">
        <v>0</v>
      </c>
      <c r="G119" s="574" t="s">
        <v>0</v>
      </c>
    </row>
    <row r="120" spans="1:18" ht="12">
      <c r="A120" s="235" t="s">
        <v>230</v>
      </c>
      <c r="B120" s="240" t="s">
        <v>0</v>
      </c>
      <c r="C120" s="240">
        <v>30000</v>
      </c>
      <c r="D120" s="240">
        <f>C120</f>
        <v>30000</v>
      </c>
      <c r="F120" s="240" t="s">
        <v>0</v>
      </c>
      <c r="G120" s="574" t="s">
        <v>0</v>
      </c>
      <c r="R120" s="240" t="s">
        <v>0</v>
      </c>
    </row>
    <row r="121" spans="1:18">
      <c r="A121" s="235" t="s">
        <v>376</v>
      </c>
      <c r="C121" s="240">
        <v>124000</v>
      </c>
      <c r="D121" s="240">
        <f>C121</f>
        <v>124000</v>
      </c>
      <c r="I121" s="240" t="e">
        <f>D121/D118</f>
        <v>#DIV/0!</v>
      </c>
    </row>
    <row r="122" spans="1:18">
      <c r="A122" s="235" t="s">
        <v>375</v>
      </c>
      <c r="C122" s="240">
        <f>C119-C120-C121</f>
        <v>22000</v>
      </c>
      <c r="D122" s="240">
        <f>C122*0.975</f>
        <v>21450</v>
      </c>
      <c r="E122" s="240" t="s">
        <v>0</v>
      </c>
      <c r="F122" s="240" t="s">
        <v>0</v>
      </c>
      <c r="G122" s="574">
        <f>C118-D120-D121</f>
        <v>-154000</v>
      </c>
      <c r="I122" s="240" t="e">
        <f>C121/C118</f>
        <v>#DIV/0!</v>
      </c>
      <c r="J122" s="240" t="e">
        <f>G122/C118</f>
        <v>#DIV/0!</v>
      </c>
    </row>
    <row r="124" spans="1:18">
      <c r="A124" s="235" t="s">
        <v>406</v>
      </c>
      <c r="C124" s="240">
        <f>223655*0.95</f>
        <v>212472.25</v>
      </c>
      <c r="D124" s="240">
        <f>C124*0.975</f>
        <v>207160.44375000001</v>
      </c>
      <c r="E124" s="240">
        <f>D124*0.8</f>
        <v>165728.35500000001</v>
      </c>
    </row>
    <row r="125" spans="1:18" ht="12">
      <c r="A125" s="235" t="s">
        <v>230</v>
      </c>
      <c r="C125" s="240">
        <v>0</v>
      </c>
      <c r="D125" s="240">
        <f>C125</f>
        <v>0</v>
      </c>
      <c r="G125" s="574" t="s">
        <v>0</v>
      </c>
      <c r="R125" s="240" t="s">
        <v>0</v>
      </c>
    </row>
    <row r="126" spans="1:18">
      <c r="A126" s="235" t="s">
        <v>376</v>
      </c>
      <c r="C126" s="240">
        <v>0</v>
      </c>
      <c r="D126" s="240">
        <f>C126</f>
        <v>0</v>
      </c>
      <c r="I126" s="240" t="e">
        <f>D126/D123</f>
        <v>#DIV/0!</v>
      </c>
    </row>
    <row r="127" spans="1:18">
      <c r="A127" s="235" t="s">
        <v>375</v>
      </c>
      <c r="C127" s="240">
        <f>C123-C125-C126</f>
        <v>0</v>
      </c>
      <c r="D127" s="240">
        <f>C127*0.8</f>
        <v>0</v>
      </c>
      <c r="E127" s="240" t="e">
        <f>C127/C123</f>
        <v>#DIV/0!</v>
      </c>
      <c r="F127" s="240" t="e">
        <f>D127/C123</f>
        <v>#DIV/0!</v>
      </c>
      <c r="G127" s="574">
        <f>C123-D125-D126</f>
        <v>0</v>
      </c>
      <c r="I127" s="240" t="e">
        <f>C126/C123</f>
        <v>#DIV/0!</v>
      </c>
      <c r="J127" s="240" t="e">
        <f>G127/C123</f>
        <v>#DIV/0!</v>
      </c>
    </row>
    <row r="130" spans="1:13">
      <c r="A130" s="251" t="s">
        <v>407</v>
      </c>
      <c r="C130" s="240" t="s">
        <v>384</v>
      </c>
    </row>
    <row r="131" spans="1:13">
      <c r="A131" s="235" t="s">
        <v>372</v>
      </c>
      <c r="B131" s="240">
        <v>140000</v>
      </c>
      <c r="C131" s="240">
        <f>B131*0.025</f>
        <v>3500</v>
      </c>
      <c r="D131" s="240">
        <f>B131-C131</f>
        <v>136500</v>
      </c>
      <c r="E131" s="240" t="s">
        <v>408</v>
      </c>
      <c r="F131" s="240">
        <f>1000*6</f>
        <v>6000</v>
      </c>
    </row>
    <row r="132" spans="1:13">
      <c r="A132" s="235" t="s">
        <v>230</v>
      </c>
      <c r="B132" s="240">
        <f>B131*0.25</f>
        <v>35000</v>
      </c>
      <c r="E132" s="240" t="s">
        <v>409</v>
      </c>
      <c r="F132" s="240">
        <f>450*11.5</f>
        <v>5175</v>
      </c>
    </row>
    <row r="133" spans="1:13">
      <c r="A133" s="235" t="s">
        <v>376</v>
      </c>
      <c r="B133" s="240">
        <v>50000</v>
      </c>
    </row>
    <row r="134" spans="1:13">
      <c r="A134" s="235" t="s">
        <v>375</v>
      </c>
    </row>
    <row r="135" spans="1:13">
      <c r="A135" s="235" t="s">
        <v>394</v>
      </c>
    </row>
    <row r="136" spans="1:13">
      <c r="A136" s="235" t="s">
        <v>395</v>
      </c>
    </row>
    <row r="138" spans="1:13">
      <c r="F138" s="240" t="s">
        <v>410</v>
      </c>
    </row>
    <row r="139" spans="1:13" ht="12">
      <c r="A139" s="251" t="s">
        <v>411</v>
      </c>
      <c r="C139" s="240" t="s">
        <v>384</v>
      </c>
      <c r="F139" s="240" t="s">
        <v>412</v>
      </c>
      <c r="G139" s="574" t="s">
        <v>413</v>
      </c>
      <c r="H139" s="240" t="s">
        <v>414</v>
      </c>
      <c r="I139" s="240" t="s">
        <v>415</v>
      </c>
      <c r="J139" s="240" t="s">
        <v>416</v>
      </c>
      <c r="K139" s="240" t="s">
        <v>417</v>
      </c>
      <c r="L139" s="240">
        <v>500000</v>
      </c>
      <c r="M139" s="240">
        <f>L139*0.42</f>
        <v>210000</v>
      </c>
    </row>
    <row r="140" spans="1:13">
      <c r="A140" s="235" t="s">
        <v>372</v>
      </c>
      <c r="B140" s="240">
        <v>500000</v>
      </c>
      <c r="C140" s="240">
        <f>B140*0.05</f>
        <v>25000</v>
      </c>
      <c r="D140" s="240">
        <f>B140-C140</f>
        <v>475000</v>
      </c>
    </row>
    <row r="141" spans="1:13">
      <c r="A141" s="235" t="s">
        <v>230</v>
      </c>
      <c r="C141" s="240">
        <v>217000</v>
      </c>
      <c r="D141" s="240">
        <f>D140-C141</f>
        <v>258000</v>
      </c>
      <c r="E141" s="240">
        <v>200000</v>
      </c>
      <c r="F141" s="240">
        <f>E141/B140</f>
        <v>0.4</v>
      </c>
    </row>
    <row r="142" spans="1:13">
      <c r="A142" s="235" t="s">
        <v>376</v>
      </c>
      <c r="C142" s="240">
        <v>160000</v>
      </c>
      <c r="E142" s="240">
        <f>C142*0.85</f>
        <v>136000</v>
      </c>
    </row>
    <row r="143" spans="1:13">
      <c r="A143" s="235" t="s">
        <v>375</v>
      </c>
      <c r="B143" s="240">
        <f>B145-C141-C142</f>
        <v>110500</v>
      </c>
      <c r="C143" s="240">
        <f>B140-C141-C142</f>
        <v>123000</v>
      </c>
      <c r="D143" s="240">
        <f>B140-C143</f>
        <v>377000</v>
      </c>
      <c r="E143" s="240">
        <f>B140-E141-E142</f>
        <v>164000</v>
      </c>
    </row>
    <row r="144" spans="1:13">
      <c r="C144" s="240">
        <f>C143/B140</f>
        <v>0.246</v>
      </c>
      <c r="E144" s="240">
        <f>E143/B140</f>
        <v>0.32800000000000001</v>
      </c>
    </row>
    <row r="145" spans="1:7">
      <c r="B145" s="240">
        <f>B140*0.975</f>
        <v>487500</v>
      </c>
      <c r="C145" s="520">
        <f>B143/B145</f>
        <v>0.22666666666666666</v>
      </c>
    </row>
    <row r="147" spans="1:7">
      <c r="A147" s="235" t="s">
        <v>418</v>
      </c>
    </row>
    <row r="149" spans="1:7">
      <c r="A149" s="235" t="s">
        <v>419</v>
      </c>
    </row>
    <row r="150" spans="1:7">
      <c r="A150" s="235" t="s">
        <v>350</v>
      </c>
      <c r="G150" s="574">
        <v>120000</v>
      </c>
    </row>
    <row r="151" spans="1:7">
      <c r="A151" s="235" t="s">
        <v>420</v>
      </c>
      <c r="E151" s="240" t="s">
        <v>421</v>
      </c>
      <c r="G151" s="574">
        <f>C141*0.4</f>
        <v>86800</v>
      </c>
    </row>
    <row r="153" spans="1:7">
      <c r="A153" s="252" t="s">
        <v>422</v>
      </c>
      <c r="B153" s="240" t="s">
        <v>0</v>
      </c>
    </row>
    <row r="154" spans="1:7">
      <c r="A154" s="235" t="s">
        <v>317</v>
      </c>
      <c r="B154" s="240">
        <v>72000</v>
      </c>
    </row>
    <row r="155" spans="1:7">
      <c r="A155" s="235" t="s">
        <v>230</v>
      </c>
    </row>
    <row r="157" spans="1:7">
      <c r="A157" s="251" t="s">
        <v>423</v>
      </c>
      <c r="B157" s="240" t="s">
        <v>317</v>
      </c>
      <c r="C157" s="240" t="s">
        <v>384</v>
      </c>
      <c r="D157" s="240" t="s">
        <v>424</v>
      </c>
      <c r="F157" s="240">
        <f>2838*2</f>
        <v>5676</v>
      </c>
    </row>
    <row r="158" spans="1:7">
      <c r="A158" s="235" t="s">
        <v>425</v>
      </c>
      <c r="B158" s="240">
        <v>516000</v>
      </c>
      <c r="C158" s="240">
        <v>0</v>
      </c>
      <c r="D158" s="240">
        <f>B158-C158</f>
        <v>516000</v>
      </c>
      <c r="F158" s="240">
        <f>1350*2</f>
        <v>2700</v>
      </c>
    </row>
    <row r="159" spans="1:7">
      <c r="A159" s="235" t="s">
        <v>426</v>
      </c>
      <c r="B159" s="240">
        <v>144000</v>
      </c>
      <c r="F159" s="240">
        <f>900*2</f>
        <v>1800</v>
      </c>
    </row>
    <row r="160" spans="1:7" ht="12">
      <c r="A160" s="235" t="s">
        <v>427</v>
      </c>
      <c r="B160" s="240">
        <f>-F164</f>
        <v>-100056</v>
      </c>
      <c r="F160" s="240">
        <f>SUM(F157:F159)</f>
        <v>10176</v>
      </c>
      <c r="G160" s="574" t="s">
        <v>428</v>
      </c>
    </row>
    <row r="161" spans="1:7" ht="12">
      <c r="A161" s="235" t="s">
        <v>429</v>
      </c>
      <c r="B161" s="240">
        <f>-12*6*42.5*25</f>
        <v>-76500</v>
      </c>
      <c r="F161" s="240">
        <f>F160*6</f>
        <v>61056</v>
      </c>
      <c r="G161" s="574" t="s">
        <v>430</v>
      </c>
    </row>
    <row r="162" spans="1:7">
      <c r="A162" s="235" t="s">
        <v>431</v>
      </c>
      <c r="B162" s="240">
        <v>-271440</v>
      </c>
      <c r="C162" s="555" t="s">
        <v>432</v>
      </c>
    </row>
    <row r="163" spans="1:7" ht="12">
      <c r="B163" s="240">
        <v>-200000</v>
      </c>
      <c r="F163" s="240">
        <v>39000</v>
      </c>
      <c r="G163" s="574" t="s">
        <v>433</v>
      </c>
    </row>
    <row r="164" spans="1:7" ht="24">
      <c r="A164" s="235" t="s">
        <v>0</v>
      </c>
      <c r="B164" s="240" t="s">
        <v>0</v>
      </c>
      <c r="F164" s="240">
        <f>SUM(F161:F163)</f>
        <v>100056</v>
      </c>
      <c r="G164" s="574" t="s">
        <v>434</v>
      </c>
    </row>
    <row r="165" spans="1:7">
      <c r="A165" s="235" t="s">
        <v>0</v>
      </c>
      <c r="B165" s="240" t="s">
        <v>0</v>
      </c>
    </row>
    <row r="166" spans="1:7">
      <c r="B166" s="240" t="s">
        <v>0</v>
      </c>
    </row>
    <row r="167" spans="1:7">
      <c r="A167" s="235" t="s">
        <v>0</v>
      </c>
      <c r="B167" s="554" t="s">
        <v>0</v>
      </c>
    </row>
    <row r="170" spans="1:7">
      <c r="A170" s="252" t="s">
        <v>771</v>
      </c>
    </row>
    <row r="171" spans="1:7">
      <c r="A171" s="235" t="s">
        <v>65</v>
      </c>
      <c r="B171" s="690">
        <v>810000</v>
      </c>
      <c r="C171" s="690"/>
    </row>
    <row r="172" spans="1:7" ht="12">
      <c r="A172" s="235" t="s">
        <v>350</v>
      </c>
      <c r="B172" s="690">
        <f>F176</f>
        <v>541200</v>
      </c>
      <c r="C172" s="690"/>
      <c r="F172" s="240">
        <v>10</v>
      </c>
      <c r="G172" s="574" t="s">
        <v>772</v>
      </c>
    </row>
    <row r="173" spans="1:7" ht="84">
      <c r="A173" s="235" t="s">
        <v>774</v>
      </c>
      <c r="B173" s="690">
        <f>F177</f>
        <v>30000</v>
      </c>
      <c r="C173" s="690"/>
      <c r="F173" s="240">
        <f>54*26*F172</f>
        <v>14040</v>
      </c>
      <c r="G173" s="574" t="s">
        <v>780</v>
      </c>
    </row>
    <row r="174" spans="1:7" ht="24">
      <c r="A174" s="235" t="s">
        <v>778</v>
      </c>
      <c r="B174" s="690">
        <f>B171-B173-B172</f>
        <v>238800</v>
      </c>
      <c r="C174" s="690"/>
      <c r="F174" s="240">
        <f>F173*30</f>
        <v>421200</v>
      </c>
      <c r="G174" s="574" t="s">
        <v>773</v>
      </c>
    </row>
    <row r="175" spans="1:7" ht="36">
      <c r="B175" s="690"/>
      <c r="C175" s="690"/>
      <c r="F175" s="240">
        <v>120000</v>
      </c>
      <c r="G175" s="574" t="s">
        <v>775</v>
      </c>
    </row>
    <row r="176" spans="1:7" ht="12">
      <c r="B176" s="690"/>
      <c r="C176" s="690"/>
      <c r="F176" s="240">
        <f>SUM(F174:F175)</f>
        <v>541200</v>
      </c>
      <c r="G176" s="574" t="s">
        <v>776</v>
      </c>
    </row>
    <row r="177" spans="1:7" ht="12">
      <c r="A177" s="235" t="s">
        <v>958</v>
      </c>
      <c r="B177" s="690"/>
      <c r="C177" s="690"/>
      <c r="F177" s="240">
        <v>30000</v>
      </c>
      <c r="G177" s="574" t="s">
        <v>777</v>
      </c>
    </row>
    <row r="178" spans="1:7">
      <c r="B178" s="690"/>
      <c r="C178" s="690"/>
    </row>
    <row r="179" spans="1:7">
      <c r="A179" s="235" t="s">
        <v>959</v>
      </c>
      <c r="B179" s="690">
        <v>480000</v>
      </c>
      <c r="C179" s="690">
        <v>27000</v>
      </c>
      <c r="D179" s="240" t="s">
        <v>960</v>
      </c>
      <c r="E179" s="240" t="s">
        <v>961</v>
      </c>
    </row>
    <row r="181" spans="1:7">
      <c r="A181" s="251" t="s">
        <v>990</v>
      </c>
      <c r="B181" s="240" t="s">
        <v>275</v>
      </c>
      <c r="C181" s="240" t="s">
        <v>992</v>
      </c>
      <c r="D181" s="240" t="s">
        <v>999</v>
      </c>
    </row>
    <row r="182" spans="1:7">
      <c r="A182" s="235" t="s">
        <v>986</v>
      </c>
      <c r="B182" s="690">
        <v>778000</v>
      </c>
    </row>
    <row r="183" spans="1:7">
      <c r="B183" s="690"/>
    </row>
    <row r="184" spans="1:7">
      <c r="A184" s="235" t="s">
        <v>985</v>
      </c>
      <c r="B184" s="690">
        <v>500000</v>
      </c>
      <c r="C184" s="249">
        <f>B184*0.95</f>
        <v>475000</v>
      </c>
    </row>
    <row r="185" spans="1:7">
      <c r="A185" s="235" t="s">
        <v>996</v>
      </c>
      <c r="B185" s="690">
        <f>A219*B214</f>
        <v>212394.28571428571</v>
      </c>
      <c r="C185" s="692">
        <f>C215+C216+C217+C218</f>
        <v>182564.28571428568</v>
      </c>
    </row>
    <row r="186" spans="1:7">
      <c r="A186" s="235" t="s">
        <v>997</v>
      </c>
      <c r="B186" s="690">
        <v>278000</v>
      </c>
      <c r="C186" s="692">
        <f>C211+C212</f>
        <v>137790.84006857703</v>
      </c>
      <c r="D186" s="692">
        <f>C186+C185</f>
        <v>320355.12578286271</v>
      </c>
    </row>
    <row r="187" spans="1:7">
      <c r="A187" s="235" t="s">
        <v>1000</v>
      </c>
      <c r="B187" s="694">
        <f>(B184-D186)/B184</f>
        <v>0.35928974843427458</v>
      </c>
      <c r="D187" s="692">
        <f>C184-D186</f>
        <v>154644.87421713729</v>
      </c>
    </row>
    <row r="188" spans="1:7">
      <c r="A188" s="235" t="s">
        <v>1003</v>
      </c>
      <c r="B188" s="690">
        <f>B187*0.7</f>
        <v>0.2515028239039922</v>
      </c>
      <c r="C188" s="692">
        <f>C215+C211+C218</f>
        <v>159950.39974108673</v>
      </c>
      <c r="D188" s="244" t="s">
        <v>0</v>
      </c>
      <c r="E188" s="696" t="s">
        <v>1021</v>
      </c>
      <c r="F188" s="696" t="s">
        <v>1023</v>
      </c>
    </row>
    <row r="189" spans="1:7">
      <c r="A189" s="235" t="s">
        <v>1005</v>
      </c>
      <c r="C189" s="692">
        <f>C188*0.3</f>
        <v>47985.119922326019</v>
      </c>
      <c r="D189" s="240">
        <v>9</v>
      </c>
      <c r="E189" s="249">
        <f>C189/9</f>
        <v>5331.6799913695577</v>
      </c>
      <c r="F189" s="249">
        <f>E189*2</f>
        <v>10663.359982739115</v>
      </c>
      <c r="G189" s="575">
        <f>9*E189</f>
        <v>47985.119922326019</v>
      </c>
    </row>
    <row r="190" spans="1:7">
      <c r="A190" s="235" t="s">
        <v>1006</v>
      </c>
      <c r="C190" s="692">
        <f>C188*0.4</f>
        <v>63980.159896434692</v>
      </c>
      <c r="D190" s="240">
        <v>9</v>
      </c>
      <c r="E190" s="249">
        <f>C190/9</f>
        <v>7108.9066551594105</v>
      </c>
      <c r="F190" s="249">
        <f>E190*2</f>
        <v>14217.813310318821</v>
      </c>
      <c r="G190" s="575">
        <f>9*E190</f>
        <v>63980.159896434692</v>
      </c>
    </row>
    <row r="191" spans="1:7">
      <c r="A191" s="235" t="s">
        <v>1007</v>
      </c>
      <c r="C191" s="692">
        <f>C188*0.3</f>
        <v>47985.119922326019</v>
      </c>
      <c r="D191" s="240">
        <v>9</v>
      </c>
      <c r="E191" s="249">
        <f>C191/9</f>
        <v>5331.6799913695577</v>
      </c>
      <c r="F191" s="249">
        <f>E191*2</f>
        <v>10663.359982739115</v>
      </c>
      <c r="G191" s="575">
        <f>9*E191</f>
        <v>47985.119922326019</v>
      </c>
    </row>
    <row r="192" spans="1:7">
      <c r="A192" s="235" t="s">
        <v>1002</v>
      </c>
    </row>
    <row r="194" spans="1:8">
      <c r="A194" s="233" t="s">
        <v>1015</v>
      </c>
      <c r="C194" s="695">
        <f>C212+C216+C217</f>
        <v>160404.72604177601</v>
      </c>
    </row>
    <row r="195" spans="1:8">
      <c r="A195" s="235" t="s">
        <v>1014</v>
      </c>
      <c r="C195" s="692">
        <f>C212</f>
        <v>64144.011756061722</v>
      </c>
      <c r="E195" s="696" t="s">
        <v>1022</v>
      </c>
      <c r="F195" s="240" t="s">
        <v>615</v>
      </c>
      <c r="H195" s="240" t="s">
        <v>1024</v>
      </c>
    </row>
    <row r="196" spans="1:8">
      <c r="A196" s="235" t="s">
        <v>1008</v>
      </c>
      <c r="C196" s="692">
        <f>C195*0.6</f>
        <v>38486.407053637035</v>
      </c>
      <c r="D196" s="240" t="s">
        <v>1010</v>
      </c>
      <c r="E196" s="248" t="s">
        <v>1011</v>
      </c>
      <c r="F196" s="240" t="s">
        <v>416</v>
      </c>
      <c r="G196" s="249">
        <f>19000</f>
        <v>19000</v>
      </c>
      <c r="H196" s="240" t="s">
        <v>1025</v>
      </c>
    </row>
    <row r="197" spans="1:8">
      <c r="A197" s="235" t="s">
        <v>1009</v>
      </c>
      <c r="C197" s="692">
        <f>C195-C196</f>
        <v>25657.604702424687</v>
      </c>
      <c r="D197" s="240" t="s">
        <v>1012</v>
      </c>
      <c r="E197" s="248" t="s">
        <v>1013</v>
      </c>
      <c r="F197" s="240" t="s">
        <v>417</v>
      </c>
      <c r="G197" s="249">
        <f>19000+22000</f>
        <v>41000</v>
      </c>
      <c r="H197" s="240" t="s">
        <v>1026</v>
      </c>
    </row>
    <row r="198" spans="1:8">
      <c r="C198" s="692"/>
      <c r="F198" s="240" t="s">
        <v>721</v>
      </c>
      <c r="G198" s="249">
        <f>13000+22000</f>
        <v>35000</v>
      </c>
      <c r="H198" s="240" t="s">
        <v>1027</v>
      </c>
    </row>
    <row r="199" spans="1:8">
      <c r="A199" s="235" t="s">
        <v>1016</v>
      </c>
      <c r="C199" s="692">
        <f>C216+C217</f>
        <v>96260.714285714275</v>
      </c>
      <c r="E199" s="696" t="s">
        <v>1022</v>
      </c>
      <c r="F199" s="240" t="s">
        <v>826</v>
      </c>
      <c r="G199" s="249">
        <f>13000+10000</f>
        <v>23000</v>
      </c>
      <c r="H199" s="240" t="s">
        <v>1029</v>
      </c>
    </row>
    <row r="200" spans="1:8">
      <c r="A200" s="235" t="s">
        <v>1017</v>
      </c>
      <c r="C200" s="692">
        <f>(A219*4)+C217</f>
        <v>44717.857142857145</v>
      </c>
      <c r="E200" s="248" t="s">
        <v>1019</v>
      </c>
      <c r="F200" s="240" t="s">
        <v>827</v>
      </c>
      <c r="G200" s="249">
        <v>0</v>
      </c>
      <c r="H200" s="240" t="s">
        <v>0</v>
      </c>
    </row>
    <row r="201" spans="1:8">
      <c r="A201" s="235" t="s">
        <v>1018</v>
      </c>
      <c r="C201" s="692">
        <f>C199-C200</f>
        <v>51542.85714285713</v>
      </c>
      <c r="E201" s="248" t="s">
        <v>1020</v>
      </c>
      <c r="F201" s="240" t="s">
        <v>821</v>
      </c>
      <c r="G201" s="249">
        <v>41000</v>
      </c>
      <c r="H201" s="240" t="s">
        <v>1028</v>
      </c>
    </row>
    <row r="202" spans="1:8" ht="12" thickBot="1">
      <c r="G202" s="697">
        <f>SUM(G196:G201)</f>
        <v>159000</v>
      </c>
    </row>
    <row r="203" spans="1:8" ht="12" thickTop="1">
      <c r="A203" s="233" t="s">
        <v>991</v>
      </c>
    </row>
    <row r="204" spans="1:8">
      <c r="A204" s="235" t="s">
        <v>987</v>
      </c>
      <c r="B204" s="691">
        <f>B207*8176</f>
        <v>433423.82120468793</v>
      </c>
    </row>
    <row r="205" spans="1:8">
      <c r="A205" s="235" t="s">
        <v>988</v>
      </c>
      <c r="B205" s="691">
        <f>B207*4500</f>
        <v>238552.73916598526</v>
      </c>
    </row>
    <row r="206" spans="1:8">
      <c r="A206" s="235" t="s">
        <v>989</v>
      </c>
      <c r="B206" s="691">
        <f>B207*2000</f>
        <v>106023.43962932679</v>
      </c>
    </row>
    <row r="207" spans="1:8">
      <c r="B207" s="692">
        <f>B182/14676</f>
        <v>53.011719814663394</v>
      </c>
    </row>
    <row r="209" spans="1:6">
      <c r="A209" s="233" t="s">
        <v>993</v>
      </c>
      <c r="B209" s="692">
        <v>81.66</v>
      </c>
      <c r="C209" s="692">
        <v>194000</v>
      </c>
      <c r="D209" s="240">
        <f>C209/B209</f>
        <v>2375.7041391133971</v>
      </c>
    </row>
    <row r="210" spans="1:6">
      <c r="A210" s="235" t="s">
        <v>992</v>
      </c>
      <c r="B210" s="692">
        <v>57.98</v>
      </c>
      <c r="C210" s="692">
        <f>B210*D209</f>
        <v>137743.32598579477</v>
      </c>
      <c r="E210" s="554">
        <f>(C209-C210)/C209</f>
        <v>0.28998285574332594</v>
      </c>
      <c r="F210" s="240" t="s">
        <v>375</v>
      </c>
    </row>
    <row r="211" spans="1:6">
      <c r="A211" s="235" t="s">
        <v>376</v>
      </c>
      <c r="B211" s="692">
        <v>31</v>
      </c>
      <c r="C211" s="692">
        <f>B211*D209</f>
        <v>73646.82831251531</v>
      </c>
      <c r="E211" s="554">
        <f>C211/C210</f>
        <v>0.53466712659537774</v>
      </c>
      <c r="F211" s="240" t="s">
        <v>998</v>
      </c>
    </row>
    <row r="212" spans="1:6">
      <c r="A212" s="235" t="s">
        <v>230</v>
      </c>
      <c r="B212" s="692">
        <v>27</v>
      </c>
      <c r="C212" s="692">
        <f>B212*D209</f>
        <v>64144.011756061722</v>
      </c>
      <c r="E212" s="554">
        <f>C212/C210</f>
        <v>0.46567781993790958</v>
      </c>
      <c r="F212" s="240" t="s">
        <v>998</v>
      </c>
    </row>
    <row r="213" spans="1:6">
      <c r="B213" s="692"/>
      <c r="C213" s="693"/>
    </row>
    <row r="214" spans="1:6">
      <c r="A214" s="233" t="s">
        <v>995</v>
      </c>
      <c r="B214" s="692">
        <v>33.79</v>
      </c>
      <c r="C214" s="693"/>
    </row>
    <row r="215" spans="1:6">
      <c r="A215" s="235" t="s">
        <v>829</v>
      </c>
      <c r="B215" s="692">
        <v>12</v>
      </c>
      <c r="C215" s="692">
        <f>B215*A219</f>
        <v>75428.57142857142</v>
      </c>
    </row>
    <row r="216" spans="1:6">
      <c r="A216" s="235" t="s">
        <v>994</v>
      </c>
      <c r="B216" s="692">
        <v>12.2</v>
      </c>
      <c r="C216" s="692">
        <f>B216*A219</f>
        <v>76685.714285714275</v>
      </c>
      <c r="E216" s="554">
        <f>(C216+C212)/B184</f>
        <v>0.28165945208355203</v>
      </c>
    </row>
    <row r="217" spans="1:6">
      <c r="A217" s="235" t="s">
        <v>1001</v>
      </c>
      <c r="B217" s="692">
        <v>4.5</v>
      </c>
      <c r="C217" s="692">
        <f>B217*4350</f>
        <v>19575</v>
      </c>
    </row>
    <row r="218" spans="1:6">
      <c r="A218" s="235" t="s">
        <v>1004</v>
      </c>
      <c r="B218" s="692">
        <v>2.5</v>
      </c>
      <c r="C218" s="692">
        <f>B218*4350</f>
        <v>10875</v>
      </c>
    </row>
    <row r="219" spans="1:6">
      <c r="A219" s="235">
        <f>(11000/7)*4</f>
        <v>6285.7142857142853</v>
      </c>
    </row>
    <row r="221" spans="1:6">
      <c r="A221" s="235" t="s">
        <v>1031</v>
      </c>
      <c r="B221" s="244">
        <f>C184</f>
        <v>475000</v>
      </c>
    </row>
    <row r="222" spans="1:6">
      <c r="A222" s="235" t="s">
        <v>1032</v>
      </c>
    </row>
    <row r="223" spans="1:6">
      <c r="A223" s="235" t="s">
        <v>1033</v>
      </c>
    </row>
    <row r="225" spans="1:5">
      <c r="A225" s="251" t="s">
        <v>1036</v>
      </c>
      <c r="B225" s="240" t="s">
        <v>1037</v>
      </c>
      <c r="C225" s="240" t="s">
        <v>1038</v>
      </c>
      <c r="D225" s="240" t="s">
        <v>65</v>
      </c>
      <c r="E225" s="240" t="s">
        <v>1039</v>
      </c>
    </row>
    <row r="226" spans="1:5">
      <c r="A226" s="233"/>
    </row>
    <row r="227" spans="1:5">
      <c r="A227" s="233" t="s">
        <v>1043</v>
      </c>
      <c r="B227" s="240">
        <v>4800000</v>
      </c>
    </row>
    <row r="228" spans="1:5">
      <c r="A228" s="235" t="s">
        <v>350</v>
      </c>
    </row>
    <row r="229" spans="1:5">
      <c r="A229" s="233"/>
    </row>
    <row r="230" spans="1:5">
      <c r="A230" s="233"/>
    </row>
    <row r="231" spans="1:5">
      <c r="A231" s="233"/>
    </row>
    <row r="232" spans="1:5">
      <c r="A232" s="235" t="s">
        <v>1035</v>
      </c>
    </row>
    <row r="233" spans="1:5">
      <c r="A233" s="698" t="s">
        <v>416</v>
      </c>
      <c r="B233" s="240">
        <v>27000</v>
      </c>
      <c r="C233" s="240" t="s">
        <v>318</v>
      </c>
      <c r="D233" s="240" t="s">
        <v>721</v>
      </c>
      <c r="E233" s="240">
        <f t="shared" ref="E233:E238" si="0">B233*1.1</f>
        <v>29700.000000000004</v>
      </c>
    </row>
    <row r="234" spans="1:5">
      <c r="A234" s="698" t="s">
        <v>417</v>
      </c>
      <c r="B234" s="240">
        <v>86000</v>
      </c>
      <c r="C234" s="240" t="s">
        <v>319</v>
      </c>
      <c r="D234" s="240" t="s">
        <v>826</v>
      </c>
      <c r="E234" s="240">
        <f t="shared" si="0"/>
        <v>94600.000000000015</v>
      </c>
    </row>
    <row r="235" spans="1:5">
      <c r="A235" s="698" t="s">
        <v>721</v>
      </c>
      <c r="B235" s="240">
        <v>71000</v>
      </c>
      <c r="C235" s="240" t="s">
        <v>321</v>
      </c>
      <c r="D235" s="240" t="s">
        <v>827</v>
      </c>
      <c r="E235" s="240">
        <f t="shared" si="0"/>
        <v>78100</v>
      </c>
    </row>
    <row r="236" spans="1:5">
      <c r="A236" s="698" t="s">
        <v>826</v>
      </c>
      <c r="B236" s="240">
        <v>143000</v>
      </c>
      <c r="C236" s="240" t="s">
        <v>322</v>
      </c>
      <c r="D236" s="240" t="s">
        <v>821</v>
      </c>
      <c r="E236" s="240">
        <f t="shared" si="0"/>
        <v>157300</v>
      </c>
    </row>
    <row r="237" spans="1:5">
      <c r="A237" s="698" t="s">
        <v>827</v>
      </c>
      <c r="B237" s="240">
        <v>145000</v>
      </c>
      <c r="C237" s="240" t="s">
        <v>514</v>
      </c>
      <c r="D237" s="240" t="s">
        <v>822</v>
      </c>
      <c r="E237" s="240">
        <f t="shared" si="0"/>
        <v>159500</v>
      </c>
    </row>
    <row r="238" spans="1:5">
      <c r="A238" s="698" t="s">
        <v>821</v>
      </c>
      <c r="B238" s="240">
        <v>44000</v>
      </c>
      <c r="C238" s="240" t="s">
        <v>412</v>
      </c>
      <c r="D238" s="240" t="s">
        <v>823</v>
      </c>
      <c r="E238" s="240">
        <f t="shared" si="0"/>
        <v>48400.000000000007</v>
      </c>
    </row>
    <row r="239" spans="1:5">
      <c r="A239" s="235" t="s">
        <v>0</v>
      </c>
    </row>
    <row r="240" spans="1:5">
      <c r="A240" s="235" t="s">
        <v>350</v>
      </c>
    </row>
    <row r="241" spans="1:1">
      <c r="A241" s="235" t="s">
        <v>1042</v>
      </c>
    </row>
  </sheetData>
  <phoneticPr fontId="12" type="noConversion"/>
  <pageMargins left="0.7" right="0.7" top="0.75" bottom="0.75" header="0.3" footer="0.3"/>
  <pageSetup paperSize="9" orientation="portrait" horizontalDpi="4294967293"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3F674-8A2F-4034-9A26-64896B8EC4D8}">
  <dimension ref="A2:Q26"/>
  <sheetViews>
    <sheetView zoomScale="90" zoomScaleNormal="90" workbookViewId="0">
      <selection activeCell="P5" sqref="P5"/>
    </sheetView>
  </sheetViews>
  <sheetFormatPr baseColWidth="10" defaultColWidth="8.83203125" defaultRowHeight="15"/>
  <cols>
    <col min="1" max="1" width="16.1640625" bestFit="1" customWidth="1"/>
    <col min="2" max="2" width="19.83203125" customWidth="1"/>
    <col min="3" max="3" width="20.33203125" customWidth="1"/>
    <col min="4" max="4" width="21.1640625" customWidth="1"/>
    <col min="5" max="5" width="20" customWidth="1"/>
    <col min="6" max="6" width="19.1640625" customWidth="1"/>
    <col min="7" max="7" width="19" customWidth="1"/>
    <col min="8" max="8" width="14.33203125" bestFit="1" customWidth="1"/>
    <col min="9" max="15" width="12.5" bestFit="1" customWidth="1"/>
    <col min="16" max="16" width="15.5" customWidth="1"/>
    <col min="17" max="17" width="18.33203125" customWidth="1"/>
  </cols>
  <sheetData>
    <row r="2" spans="1:17">
      <c r="B2" s="96" t="s">
        <v>821</v>
      </c>
      <c r="C2" s="96" t="s">
        <v>822</v>
      </c>
      <c r="D2" s="96" t="s">
        <v>823</v>
      </c>
      <c r="E2" s="96" t="s">
        <v>824</v>
      </c>
      <c r="F2" s="96" t="s">
        <v>825</v>
      </c>
      <c r="G2" s="96" t="s">
        <v>414</v>
      </c>
      <c r="H2" s="96" t="s">
        <v>415</v>
      </c>
      <c r="I2" s="96" t="s">
        <v>416</v>
      </c>
      <c r="J2" s="96" t="s">
        <v>417</v>
      </c>
      <c r="K2" s="96" t="s">
        <v>721</v>
      </c>
      <c r="L2" s="96" t="s">
        <v>826</v>
      </c>
      <c r="M2" s="96" t="s">
        <v>827</v>
      </c>
      <c r="N2" s="96" t="s">
        <v>821</v>
      </c>
      <c r="O2" s="96" t="s">
        <v>822</v>
      </c>
    </row>
    <row r="3" spans="1:17">
      <c r="A3" s="96" t="s">
        <v>828</v>
      </c>
      <c r="B3" s="657">
        <v>-20000</v>
      </c>
      <c r="C3" s="658">
        <v>-80000</v>
      </c>
      <c r="D3" s="659">
        <v>-100000</v>
      </c>
      <c r="E3" s="660">
        <v>-100000</v>
      </c>
      <c r="F3" s="661">
        <v>-100000</v>
      </c>
      <c r="G3" s="662">
        <v>-100000</v>
      </c>
      <c r="H3" s="660">
        <v>-30000</v>
      </c>
      <c r="I3" s="663">
        <v>-30000</v>
      </c>
      <c r="J3" s="657">
        <v>-30000</v>
      </c>
      <c r="K3" s="658">
        <v>-10000</v>
      </c>
      <c r="L3" s="664">
        <v>-10000</v>
      </c>
      <c r="M3" s="665">
        <v>-10000</v>
      </c>
      <c r="N3" s="666">
        <v>0</v>
      </c>
      <c r="O3" s="666">
        <v>0</v>
      </c>
      <c r="P3" s="666">
        <f>SUM(B3:O3)</f>
        <v>-620000</v>
      </c>
    </row>
    <row r="4" spans="1:17">
      <c r="A4" s="96" t="s">
        <v>829</v>
      </c>
      <c r="B4" s="666">
        <v>0</v>
      </c>
      <c r="C4" s="666">
        <v>-4000</v>
      </c>
      <c r="D4" s="666">
        <v>-16000</v>
      </c>
      <c r="E4" s="666">
        <v>-160000</v>
      </c>
      <c r="F4" s="666">
        <v>-160000</v>
      </c>
      <c r="G4" s="666">
        <v>-160000</v>
      </c>
      <c r="H4" s="666">
        <v>-160000</v>
      </c>
      <c r="I4" s="666">
        <v>-160000</v>
      </c>
      <c r="J4" s="666">
        <v>-160000</v>
      </c>
      <c r="K4" s="666">
        <v>-160000</v>
      </c>
      <c r="L4" s="666">
        <v>-80000</v>
      </c>
      <c r="M4" s="666">
        <v>-40000</v>
      </c>
      <c r="N4" s="666">
        <v>0</v>
      </c>
      <c r="O4" s="666">
        <v>0</v>
      </c>
      <c r="P4" s="666">
        <f>SUM(B4:O4)</f>
        <v>-1260000</v>
      </c>
    </row>
    <row r="5" spans="1:17">
      <c r="A5" s="96" t="s">
        <v>65</v>
      </c>
      <c r="B5" s="666"/>
      <c r="C5" s="666">
        <v>30000</v>
      </c>
      <c r="D5" s="666">
        <v>100000</v>
      </c>
      <c r="E5" s="666">
        <v>180000</v>
      </c>
      <c r="F5" s="666">
        <v>329375</v>
      </c>
      <c r="G5" s="666">
        <v>329375</v>
      </c>
      <c r="H5" s="666">
        <v>329375</v>
      </c>
      <c r="I5" s="666">
        <v>329375</v>
      </c>
      <c r="J5" s="666">
        <v>329375</v>
      </c>
      <c r="K5" s="666">
        <v>329375</v>
      </c>
      <c r="L5" s="666">
        <v>100000</v>
      </c>
      <c r="M5" s="666">
        <v>100000</v>
      </c>
      <c r="N5" s="666">
        <v>0</v>
      </c>
      <c r="O5" s="666">
        <v>0</v>
      </c>
      <c r="P5" s="666">
        <f>SUM(B5:O5)</f>
        <v>2486250</v>
      </c>
      <c r="Q5" t="s">
        <v>840</v>
      </c>
    </row>
    <row r="6" spans="1:17">
      <c r="A6" s="96" t="s">
        <v>830</v>
      </c>
      <c r="B6" s="666"/>
      <c r="C6" s="667">
        <f>C3+C4+C5</f>
        <v>-54000</v>
      </c>
      <c r="D6" s="667">
        <f>D3+D4-D5</f>
        <v>-216000</v>
      </c>
      <c r="E6" s="667">
        <f>E3+E4+E5</f>
        <v>-80000</v>
      </c>
      <c r="F6" s="666">
        <f>F3+F4+F5</f>
        <v>69375</v>
      </c>
      <c r="G6" s="666">
        <f t="shared" ref="G6:L6" si="0">G3+G4+G5</f>
        <v>69375</v>
      </c>
      <c r="H6" s="666">
        <f t="shared" si="0"/>
        <v>139375</v>
      </c>
      <c r="I6" s="666">
        <f t="shared" si="0"/>
        <v>139375</v>
      </c>
      <c r="J6" s="666">
        <f t="shared" si="0"/>
        <v>139375</v>
      </c>
      <c r="K6" s="666">
        <f t="shared" si="0"/>
        <v>159375</v>
      </c>
      <c r="L6" s="666">
        <f t="shared" si="0"/>
        <v>10000</v>
      </c>
      <c r="M6" s="666">
        <f>M3+M4+M5</f>
        <v>50000</v>
      </c>
      <c r="N6" s="666">
        <v>0</v>
      </c>
      <c r="O6" s="666">
        <v>0</v>
      </c>
      <c r="P6" s="666">
        <f>SUM(B6:O6)</f>
        <v>426250</v>
      </c>
    </row>
    <row r="7" spans="1:17">
      <c r="A7" s="96" t="s">
        <v>831</v>
      </c>
      <c r="B7" s="666">
        <v>0</v>
      </c>
      <c r="C7" s="668">
        <f>C4+C5+B7</f>
        <v>26000</v>
      </c>
      <c r="D7" s="669">
        <f>B3+D4+D5+C7</f>
        <v>90000</v>
      </c>
      <c r="E7" s="670">
        <f>E4+E5+D7+C3</f>
        <v>30000</v>
      </c>
      <c r="F7" s="671">
        <f>D3+F4+F5+E7</f>
        <v>99375</v>
      </c>
      <c r="G7" s="672">
        <f t="shared" ref="G7:M7" si="1">E3+G4+G5+F7</f>
        <v>168750</v>
      </c>
      <c r="H7" s="661">
        <f t="shared" si="1"/>
        <v>238125</v>
      </c>
      <c r="I7" s="662">
        <f t="shared" si="1"/>
        <v>307500</v>
      </c>
      <c r="J7" s="660">
        <f t="shared" si="1"/>
        <v>446875</v>
      </c>
      <c r="K7" s="663">
        <f t="shared" si="1"/>
        <v>586250</v>
      </c>
      <c r="L7" s="657">
        <f t="shared" si="1"/>
        <v>576250</v>
      </c>
      <c r="M7" s="658">
        <f t="shared" si="1"/>
        <v>626250</v>
      </c>
      <c r="N7" s="664">
        <f>L3+M7</f>
        <v>616250</v>
      </c>
      <c r="O7" s="665">
        <f>M3+N7</f>
        <v>606250</v>
      </c>
    </row>
    <row r="8" spans="1:17">
      <c r="O8" t="s">
        <v>839</v>
      </c>
      <c r="P8" s="673" t="s">
        <v>0</v>
      </c>
    </row>
    <row r="9" spans="1:17" s="480" customFormat="1">
      <c r="A9" s="600" t="s">
        <v>832</v>
      </c>
      <c r="B9" s="600" t="s">
        <v>836</v>
      </c>
      <c r="C9" s="480" t="s">
        <v>833</v>
      </c>
      <c r="D9" s="480" t="s">
        <v>834</v>
      </c>
      <c r="E9" s="480" t="s">
        <v>835</v>
      </c>
      <c r="F9" s="480" t="s">
        <v>837</v>
      </c>
      <c r="G9" s="480" t="s">
        <v>838</v>
      </c>
    </row>
    <row r="10" spans="1:17">
      <c r="B10" s="480">
        <v>1579</v>
      </c>
      <c r="C10" s="480">
        <v>2024</v>
      </c>
      <c r="D10" s="480">
        <v>1600</v>
      </c>
      <c r="E10" s="480">
        <v>1937</v>
      </c>
      <c r="F10" s="480">
        <v>1302</v>
      </c>
      <c r="G10" s="480">
        <v>2000</v>
      </c>
      <c r="H10" s="480"/>
      <c r="I10" s="480"/>
      <c r="J10" s="480"/>
      <c r="K10" s="480"/>
      <c r="L10" s="480"/>
      <c r="M10" s="480"/>
      <c r="N10" s="480"/>
      <c r="O10" s="480"/>
      <c r="P10" s="480"/>
    </row>
    <row r="11" spans="1:17">
      <c r="B11" s="480">
        <v>1543</v>
      </c>
      <c r="C11" s="480">
        <v>1856</v>
      </c>
      <c r="D11" s="480">
        <v>1666</v>
      </c>
      <c r="E11" s="480">
        <v>1770</v>
      </c>
      <c r="F11" s="480">
        <v>1517</v>
      </c>
      <c r="G11" s="480">
        <v>1706</v>
      </c>
      <c r="H11" s="480"/>
      <c r="I11" s="480"/>
      <c r="J11" s="480"/>
      <c r="K11" s="480"/>
      <c r="L11" s="480"/>
      <c r="M11" s="480"/>
      <c r="N11" s="480"/>
      <c r="O11" s="480"/>
      <c r="P11" s="480"/>
    </row>
    <row r="12" spans="1:17">
      <c r="B12" s="480">
        <v>2468</v>
      </c>
      <c r="C12" s="480">
        <v>1552</v>
      </c>
      <c r="D12" s="480">
        <v>1384</v>
      </c>
      <c r="E12" s="480">
        <v>1333</v>
      </c>
      <c r="F12" s="480">
        <v>1447</v>
      </c>
      <c r="G12" s="480">
        <v>1845</v>
      </c>
      <c r="H12" s="480"/>
      <c r="I12" s="480"/>
      <c r="J12" s="480"/>
      <c r="K12" s="480"/>
      <c r="L12" s="480"/>
      <c r="M12" s="480"/>
      <c r="N12" s="480"/>
      <c r="O12" s="480"/>
      <c r="P12" s="480"/>
    </row>
    <row r="13" spans="1:17">
      <c r="B13" s="480">
        <v>1442</v>
      </c>
      <c r="C13" s="480">
        <v>2830</v>
      </c>
      <c r="D13" s="480">
        <v>2329</v>
      </c>
      <c r="E13" s="480">
        <v>2884</v>
      </c>
      <c r="F13" s="480">
        <v>3128</v>
      </c>
      <c r="G13" s="480">
        <v>2720</v>
      </c>
      <c r="H13" s="480"/>
      <c r="I13" s="480"/>
      <c r="J13" s="480"/>
      <c r="K13" s="480"/>
      <c r="L13" s="480"/>
      <c r="M13" s="480"/>
      <c r="N13" s="480"/>
      <c r="O13" s="480"/>
      <c r="P13" s="480"/>
    </row>
    <row r="14" spans="1:17">
      <c r="B14" s="480">
        <v>2563</v>
      </c>
      <c r="C14" s="480">
        <v>3599</v>
      </c>
      <c r="D14" s="480">
        <v>3275</v>
      </c>
      <c r="E14" s="480">
        <v>3675</v>
      </c>
      <c r="F14" s="480">
        <v>2452</v>
      </c>
      <c r="G14" s="480">
        <v>3816</v>
      </c>
      <c r="H14" s="480"/>
      <c r="I14" s="480"/>
      <c r="J14" s="480"/>
      <c r="K14" s="480"/>
      <c r="L14" s="480"/>
      <c r="M14" s="480"/>
      <c r="N14" s="480"/>
      <c r="O14" s="480"/>
      <c r="P14" s="480"/>
    </row>
    <row r="15" spans="1:17">
      <c r="B15" s="480">
        <v>2771</v>
      </c>
      <c r="C15" s="480">
        <v>2407</v>
      </c>
      <c r="D15" s="480">
        <v>2291</v>
      </c>
      <c r="E15" s="480">
        <v>2630</v>
      </c>
      <c r="F15" s="480">
        <v>2627</v>
      </c>
      <c r="G15" s="480">
        <v>2696</v>
      </c>
      <c r="H15" s="480"/>
      <c r="I15" s="480"/>
      <c r="J15" s="480"/>
      <c r="K15" s="480"/>
      <c r="L15" s="480"/>
      <c r="M15" s="480"/>
      <c r="N15" s="480"/>
      <c r="O15" s="480"/>
      <c r="P15" s="480"/>
    </row>
    <row r="16" spans="1:17">
      <c r="B16" s="480">
        <v>1735</v>
      </c>
      <c r="C16" s="480">
        <v>3044</v>
      </c>
      <c r="D16" s="480">
        <v>2468</v>
      </c>
      <c r="E16" s="480">
        <v>2665</v>
      </c>
      <c r="F16" s="480">
        <v>1619</v>
      </c>
      <c r="G16" s="480">
        <v>2795</v>
      </c>
      <c r="H16" s="480"/>
      <c r="I16" s="480"/>
      <c r="J16" s="480"/>
      <c r="K16" s="480"/>
      <c r="L16" s="480"/>
      <c r="M16" s="480"/>
      <c r="N16" s="480"/>
      <c r="O16" s="480"/>
      <c r="P16" s="480"/>
    </row>
    <row r="17" spans="2:16">
      <c r="B17" s="480">
        <v>1270</v>
      </c>
      <c r="C17" s="480">
        <v>1660</v>
      </c>
      <c r="D17" s="480">
        <v>1617</v>
      </c>
      <c r="E17" s="480">
        <v>2005</v>
      </c>
      <c r="F17" s="480">
        <v>2257</v>
      </c>
      <c r="G17" s="480">
        <v>1840</v>
      </c>
      <c r="H17" s="480"/>
      <c r="I17" s="480"/>
      <c r="J17" s="480"/>
      <c r="K17" s="480"/>
      <c r="L17" s="480"/>
      <c r="M17" s="480"/>
      <c r="N17" s="480"/>
      <c r="O17" s="480"/>
      <c r="P17" s="480"/>
    </row>
    <row r="18" spans="2:16">
      <c r="B18" s="480"/>
      <c r="C18" s="480">
        <v>2913</v>
      </c>
      <c r="D18" s="480">
        <v>2436</v>
      </c>
      <c r="E18" s="480">
        <v>2676</v>
      </c>
      <c r="F18" s="480"/>
      <c r="G18" s="480">
        <v>3218</v>
      </c>
      <c r="H18" s="480"/>
      <c r="I18" s="480"/>
      <c r="J18" s="480"/>
      <c r="K18" s="480"/>
      <c r="L18" s="480"/>
      <c r="M18" s="480"/>
      <c r="N18" s="480"/>
      <c r="O18" s="480"/>
      <c r="P18" s="480"/>
    </row>
    <row r="19" spans="2:16">
      <c r="B19" s="480"/>
      <c r="C19" s="480">
        <v>3317</v>
      </c>
      <c r="D19" s="480">
        <v>1906</v>
      </c>
      <c r="E19" s="480">
        <v>3387</v>
      </c>
      <c r="F19" s="480"/>
      <c r="G19" s="480">
        <v>2056</v>
      </c>
      <c r="H19" s="480"/>
      <c r="I19" s="480"/>
      <c r="J19" s="480"/>
      <c r="K19" s="480"/>
      <c r="L19" s="480"/>
      <c r="M19" s="480"/>
      <c r="N19" s="480"/>
      <c r="O19" s="480"/>
      <c r="P19" s="480"/>
    </row>
    <row r="20" spans="2:16">
      <c r="B20" s="480"/>
      <c r="C20" s="480">
        <v>1615</v>
      </c>
      <c r="D20" s="480">
        <v>1450</v>
      </c>
      <c r="E20" s="480">
        <v>1846</v>
      </c>
      <c r="F20" s="480"/>
      <c r="G20" s="480">
        <v>2520</v>
      </c>
      <c r="H20" s="480"/>
      <c r="I20" s="480"/>
      <c r="J20" s="480"/>
      <c r="K20" s="480"/>
      <c r="L20" s="480"/>
      <c r="M20" s="480"/>
      <c r="N20" s="480"/>
      <c r="O20" s="480"/>
      <c r="P20" s="480"/>
    </row>
    <row r="21" spans="2:16">
      <c r="B21" s="480"/>
      <c r="C21" s="480">
        <v>1908</v>
      </c>
      <c r="D21" s="480"/>
      <c r="E21" s="480">
        <v>1995</v>
      </c>
      <c r="F21" s="480"/>
      <c r="G21" s="480"/>
      <c r="H21" s="480"/>
      <c r="I21" s="480"/>
      <c r="J21" s="480"/>
      <c r="K21" s="480"/>
      <c r="L21" s="480"/>
      <c r="M21" s="480"/>
      <c r="N21" s="480"/>
      <c r="O21" s="480"/>
      <c r="P21" s="480"/>
    </row>
    <row r="22" spans="2:16" s="480" customFormat="1">
      <c r="B22" s="480" t="s">
        <v>0</v>
      </c>
      <c r="C22" s="480">
        <f>SUM(C10:C21)</f>
        <v>28725</v>
      </c>
      <c r="D22" s="480" t="s">
        <v>0</v>
      </c>
      <c r="E22" s="480">
        <f>SUM(E10:E21)</f>
        <v>28803</v>
      </c>
      <c r="F22" s="480" t="s">
        <v>0</v>
      </c>
      <c r="G22" s="480">
        <f>SUM(G10:G21)</f>
        <v>27212</v>
      </c>
      <c r="H22" s="480" t="s">
        <v>0</v>
      </c>
    </row>
    <row r="23" spans="2:16">
      <c r="B23" s="480">
        <f>SUM(B10:B22)</f>
        <v>15371</v>
      </c>
      <c r="C23" s="480">
        <f>C22*5</f>
        <v>143625</v>
      </c>
      <c r="D23" s="480">
        <f>SUM(D10:D22)</f>
        <v>22422</v>
      </c>
      <c r="E23" s="480">
        <f>E22*5</f>
        <v>144015</v>
      </c>
      <c r="F23" s="480">
        <f>SUM(F10:F22)</f>
        <v>16349</v>
      </c>
      <c r="G23" s="480">
        <f>G22*5</f>
        <v>136060</v>
      </c>
      <c r="H23" s="480">
        <f>SUM(B23:G23)</f>
        <v>477842</v>
      </c>
      <c r="I23" s="480"/>
      <c r="J23" s="480"/>
      <c r="K23" s="480"/>
      <c r="L23" s="480"/>
      <c r="M23" s="480"/>
      <c r="N23" s="480"/>
      <c r="O23" s="480"/>
    </row>
    <row r="24" spans="2:16">
      <c r="B24" s="480"/>
      <c r="C24" s="480"/>
      <c r="D24" s="480"/>
      <c r="E24" s="480"/>
      <c r="F24" s="480"/>
      <c r="G24" s="480"/>
      <c r="H24" s="480">
        <f>H23/6</f>
        <v>79640.333333333328</v>
      </c>
      <c r="I24" s="480"/>
      <c r="J24" s="480"/>
      <c r="K24" s="480"/>
      <c r="L24" s="480"/>
      <c r="M24" s="480"/>
      <c r="N24" s="480"/>
      <c r="O24" s="480"/>
    </row>
    <row r="25" spans="2:16">
      <c r="B25" s="480"/>
      <c r="C25" s="480"/>
      <c r="D25" s="480"/>
      <c r="E25" s="480"/>
      <c r="F25" s="480"/>
      <c r="G25" s="480"/>
      <c r="H25" s="674">
        <f>P4</f>
        <v>-1260000</v>
      </c>
      <c r="I25" s="480"/>
      <c r="J25" s="480"/>
      <c r="K25" s="480"/>
      <c r="L25" s="480"/>
      <c r="M25" s="480"/>
      <c r="N25" s="480"/>
      <c r="O25" s="480"/>
    </row>
    <row r="26" spans="2:16">
      <c r="B26" s="480"/>
      <c r="C26" s="480"/>
      <c r="D26" s="480"/>
      <c r="E26" s="480"/>
      <c r="F26" s="480"/>
      <c r="G26" s="480"/>
      <c r="H26" s="675">
        <f>H25+H23</f>
        <v>-782158</v>
      </c>
      <c r="I26" s="480"/>
      <c r="J26" s="480"/>
      <c r="K26" s="480"/>
      <c r="L26" s="480"/>
      <c r="M26" s="480"/>
      <c r="N26" s="480"/>
      <c r="O26" s="48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E53D-A659-4C9D-8C99-0878597C2D23}">
  <sheetPr>
    <pageSetUpPr fitToPage="1"/>
  </sheetPr>
  <dimension ref="A1:CZ243"/>
  <sheetViews>
    <sheetView zoomScale="80" zoomScaleNormal="80" workbookViewId="0">
      <pane xSplit="4" ySplit="6" topLeftCell="BX30" activePane="bottomRight" state="frozen"/>
      <selection pane="topRight" activeCell="D1" sqref="D1"/>
      <selection pane="bottomLeft" activeCell="A7" sqref="A7"/>
      <selection pane="bottomRight" activeCell="CI41" sqref="CI41"/>
    </sheetView>
  </sheetViews>
  <sheetFormatPr baseColWidth="10" defaultColWidth="8.83203125" defaultRowHeight="14" outlineLevelRow="1" outlineLevelCol="1"/>
  <cols>
    <col min="1" max="1" width="8.83203125" style="3"/>
    <col min="2" max="2" width="59.83203125" style="282" customWidth="1"/>
    <col min="3" max="3" width="20.5" style="3" customWidth="1"/>
    <col min="4" max="4" width="14.1640625" style="3" customWidth="1"/>
    <col min="5" max="5" width="21.83203125" style="3" customWidth="1"/>
    <col min="6" max="6" width="12.83203125" style="3" customWidth="1" outlineLevel="1"/>
    <col min="7" max="8" width="11.83203125" style="3" customWidth="1" outlineLevel="1"/>
    <col min="9" max="9" width="13.5" style="3" customWidth="1" outlineLevel="1"/>
    <col min="10" max="10" width="12.83203125" style="3" customWidth="1" outlineLevel="1"/>
    <col min="11" max="11" width="16.83203125" style="3" customWidth="1" outlineLevel="1"/>
    <col min="12" max="12" width="18.5" style="3" customWidth="1" outlineLevel="1"/>
    <col min="13" max="13" width="16.1640625" style="3" customWidth="1" outlineLevel="1"/>
    <col min="14" max="14" width="19.83203125" style="3" customWidth="1" outlineLevel="1"/>
    <col min="15" max="15" width="20.1640625" style="3" customWidth="1" outlineLevel="1"/>
    <col min="16" max="16" width="19.83203125" style="3" customWidth="1" outlineLevel="1"/>
    <col min="17" max="17" width="20.1640625" style="3" customWidth="1" outlineLevel="1"/>
    <col min="18" max="18" width="20.83203125" style="3" customWidth="1" outlineLevel="1"/>
    <col min="19" max="20" width="19.1640625" style="3" customWidth="1" outlineLevel="1"/>
    <col min="21" max="21" width="16.5" style="3" customWidth="1" outlineLevel="1"/>
    <col min="22" max="22" width="19.1640625" style="3" customWidth="1" outlineLevel="1"/>
    <col min="23" max="23" width="15.5" style="3" customWidth="1" outlineLevel="1"/>
    <col min="24" max="25" width="16.5" style="3" customWidth="1" outlineLevel="1"/>
    <col min="26" max="26" width="17" style="3" customWidth="1" outlineLevel="1"/>
    <col min="27" max="27" width="18.5" style="3" customWidth="1" outlineLevel="1"/>
    <col min="28" max="31" width="17.83203125" style="3" customWidth="1" outlineLevel="1"/>
    <col min="32" max="32" width="18.1640625" style="3" customWidth="1" outlineLevel="1"/>
    <col min="33" max="33" width="17.83203125" style="3" customWidth="1" outlineLevel="1"/>
    <col min="34" max="34" width="18.83203125" style="3" customWidth="1" outlineLevel="1"/>
    <col min="35" max="35" width="19.5" style="3" customWidth="1" outlineLevel="1"/>
    <col min="36" max="36" width="18.1640625" style="3" customWidth="1" outlineLevel="1"/>
    <col min="37" max="37" width="18.5" style="3" customWidth="1" outlineLevel="1"/>
    <col min="38" max="39" width="19.1640625" style="3" customWidth="1" outlineLevel="1"/>
    <col min="40" max="40" width="19.5" style="3" customWidth="1" outlineLevel="1"/>
    <col min="41" max="42" width="18.5" style="3" customWidth="1" outlineLevel="1"/>
    <col min="43" max="43" width="14.5" style="3" customWidth="1" outlineLevel="1"/>
    <col min="44" max="44" width="20" style="3" customWidth="1" outlineLevel="1"/>
    <col min="45" max="45" width="16.5" style="3" customWidth="1" outlineLevel="1"/>
    <col min="46" max="47" width="19.1640625" style="3" customWidth="1" outlineLevel="1"/>
    <col min="48" max="48" width="18.83203125" style="3" customWidth="1" outlineLevel="1"/>
    <col min="49" max="49" width="13.5" style="3" customWidth="1" outlineLevel="1"/>
    <col min="50" max="50" width="14.33203125" style="3" customWidth="1" outlineLevel="1"/>
    <col min="51" max="51" width="14.5" style="3" customWidth="1" outlineLevel="1"/>
    <col min="52" max="52" width="13.1640625" style="3" customWidth="1" outlineLevel="1"/>
    <col min="53" max="53" width="16.5" style="3" customWidth="1" outlineLevel="1"/>
    <col min="54" max="54" width="13" style="3" customWidth="1" outlineLevel="1"/>
    <col min="55" max="56" width="15.6640625" style="3" customWidth="1" outlineLevel="1"/>
    <col min="57" max="57" width="16.33203125" style="3" customWidth="1" outlineLevel="1"/>
    <col min="58" max="58" width="15.1640625" style="3" customWidth="1" outlineLevel="1"/>
    <col min="59" max="63" width="12.83203125" style="3" customWidth="1" outlineLevel="1"/>
    <col min="64" max="64" width="17.5" style="3" customWidth="1" outlineLevel="1"/>
    <col min="65" max="66" width="12.83203125" style="3" customWidth="1" outlineLevel="1"/>
    <col min="67" max="69" width="13.1640625" style="3" customWidth="1" outlineLevel="1"/>
    <col min="70" max="70" width="12" style="3" customWidth="1" outlineLevel="1"/>
    <col min="71" max="71" width="13.1640625" style="3" customWidth="1"/>
    <col min="72" max="76" width="14.1640625" style="3" customWidth="1"/>
    <col min="77" max="81" width="13.5" style="3" customWidth="1"/>
    <col min="82" max="82" width="17.5" style="3" customWidth="1"/>
    <col min="83" max="85" width="13.83203125" style="3" customWidth="1"/>
    <col min="86" max="86" width="10.83203125" style="3" bestFit="1" customWidth="1"/>
    <col min="87" max="87" width="14.5" style="3" customWidth="1"/>
    <col min="88" max="88" width="17.5" style="3" customWidth="1"/>
    <col min="89" max="89" width="16.6640625" style="3" customWidth="1"/>
    <col min="90" max="90" width="14.6640625" style="3" customWidth="1"/>
    <col min="91" max="91" width="13.5" style="3" customWidth="1"/>
    <col min="92" max="92" width="17.33203125" style="3" customWidth="1"/>
    <col min="93" max="93" width="18.83203125" style="3" customWidth="1"/>
    <col min="94" max="94" width="17.33203125" style="3" customWidth="1"/>
    <col min="95" max="95" width="17.6640625" style="3" customWidth="1"/>
    <col min="96" max="96" width="11.5" style="3" customWidth="1"/>
    <col min="97" max="97" width="12.33203125" style="3" customWidth="1"/>
    <col min="98" max="100" width="10.5" style="3" bestFit="1" customWidth="1"/>
    <col min="101" max="101" width="10.5" style="3" customWidth="1"/>
    <col min="102" max="104" width="9.5" style="3" bestFit="1" customWidth="1"/>
    <col min="105" max="16384" width="8.83203125" style="3"/>
  </cols>
  <sheetData>
    <row r="1" spans="1:104">
      <c r="A1" s="3">
        <f>11411.94-922.03-317.06</f>
        <v>10172.85</v>
      </c>
      <c r="AO1" s="3" t="s">
        <v>0</v>
      </c>
      <c r="AT1" s="3" t="s">
        <v>0</v>
      </c>
      <c r="BY1" s="590"/>
    </row>
    <row r="2" spans="1:104">
      <c r="BY2" s="590"/>
    </row>
    <row r="3" spans="1:104" s="201" customFormat="1" ht="15">
      <c r="B3" s="594" t="s">
        <v>1</v>
      </c>
      <c r="C3" s="518"/>
      <c r="BG3" s="518"/>
      <c r="BH3" s="518"/>
      <c r="BJ3" s="595"/>
      <c r="BL3" s="518"/>
      <c r="BR3" s="518"/>
      <c r="BS3" s="560" t="s">
        <v>785</v>
      </c>
    </row>
    <row r="4" spans="1:104" ht="16" thickBot="1">
      <c r="B4" s="596" t="s">
        <v>2</v>
      </c>
      <c r="BG4" s="597"/>
      <c r="BH4" s="597"/>
      <c r="BJ4" s="561"/>
      <c r="BL4" s="597"/>
      <c r="BR4" s="597"/>
      <c r="BS4" s="598" t="s">
        <v>384</v>
      </c>
      <c r="BT4" s="599" t="s">
        <v>0</v>
      </c>
      <c r="BU4" s="599"/>
      <c r="BZ4" s="600" t="s">
        <v>784</v>
      </c>
    </row>
    <row r="5" spans="1:104">
      <c r="A5" s="643"/>
      <c r="B5" s="644"/>
      <c r="C5" s="645"/>
      <c r="D5" s="645"/>
      <c r="E5" s="645"/>
      <c r="F5" s="646">
        <v>45170</v>
      </c>
      <c r="G5" s="646">
        <v>45170</v>
      </c>
      <c r="H5" s="646">
        <v>45170</v>
      </c>
      <c r="I5" s="646">
        <v>45170</v>
      </c>
      <c r="J5" s="646">
        <v>45200</v>
      </c>
      <c r="K5" s="646">
        <v>45200</v>
      </c>
      <c r="L5" s="646">
        <v>45200</v>
      </c>
      <c r="M5" s="646">
        <v>45200</v>
      </c>
      <c r="N5" s="646">
        <v>45200</v>
      </c>
      <c r="O5" s="646">
        <v>45231</v>
      </c>
      <c r="P5" s="646">
        <v>45231</v>
      </c>
      <c r="Q5" s="646">
        <v>45231</v>
      </c>
      <c r="R5" s="646">
        <v>45231</v>
      </c>
      <c r="S5" s="646">
        <v>45261</v>
      </c>
      <c r="T5" s="646">
        <v>45261</v>
      </c>
      <c r="U5" s="646">
        <v>45261</v>
      </c>
      <c r="V5" s="646">
        <v>45261</v>
      </c>
      <c r="W5" s="646">
        <v>45292</v>
      </c>
      <c r="X5" s="646">
        <v>45292</v>
      </c>
      <c r="Y5" s="646">
        <v>45292</v>
      </c>
      <c r="Z5" s="646">
        <v>45292</v>
      </c>
      <c r="AA5" s="646">
        <v>45292</v>
      </c>
      <c r="AB5" s="646">
        <v>45323</v>
      </c>
      <c r="AC5" s="646">
        <v>45323</v>
      </c>
      <c r="AD5" s="646">
        <v>45323</v>
      </c>
      <c r="AE5" s="646">
        <v>45323</v>
      </c>
      <c r="AF5" s="646">
        <v>45352</v>
      </c>
      <c r="AG5" s="646">
        <v>45352</v>
      </c>
      <c r="AH5" s="646">
        <v>45352</v>
      </c>
      <c r="AI5" s="646">
        <v>45352</v>
      </c>
      <c r="AJ5" s="646">
        <v>45383</v>
      </c>
      <c r="AK5" s="646">
        <v>45383</v>
      </c>
      <c r="AL5" s="646">
        <v>45383</v>
      </c>
      <c r="AM5" s="646">
        <v>45383</v>
      </c>
      <c r="AN5" s="646">
        <v>45383</v>
      </c>
      <c r="AO5" s="646">
        <v>45413</v>
      </c>
      <c r="AP5" s="646">
        <v>45413</v>
      </c>
      <c r="AQ5" s="646">
        <v>45413</v>
      </c>
      <c r="AR5" s="646">
        <v>45413</v>
      </c>
      <c r="AS5" s="646">
        <v>45444</v>
      </c>
      <c r="AT5" s="646">
        <v>45444</v>
      </c>
      <c r="AU5" s="646">
        <v>45444</v>
      </c>
      <c r="AV5" s="646">
        <v>45444</v>
      </c>
      <c r="AW5" s="646">
        <v>45474</v>
      </c>
      <c r="AX5" s="646">
        <v>45474</v>
      </c>
      <c r="AY5" s="646">
        <v>45474</v>
      </c>
      <c r="AZ5" s="646">
        <v>45474</v>
      </c>
      <c r="BA5" s="646">
        <v>45474</v>
      </c>
      <c r="BB5" s="646">
        <v>45505</v>
      </c>
      <c r="BC5" s="646">
        <v>45505</v>
      </c>
      <c r="BD5" s="646"/>
      <c r="BE5" s="646">
        <v>45505</v>
      </c>
      <c r="BF5" s="646">
        <v>45505</v>
      </c>
      <c r="BG5" s="646">
        <v>45536</v>
      </c>
      <c r="BH5" s="646"/>
      <c r="BI5" s="646">
        <v>45536</v>
      </c>
      <c r="BJ5" s="646">
        <v>45536</v>
      </c>
      <c r="BK5" s="646"/>
      <c r="BL5" s="646">
        <v>45536</v>
      </c>
      <c r="BM5" s="646">
        <v>45536</v>
      </c>
      <c r="BN5" s="646"/>
      <c r="BO5" s="646">
        <v>45566</v>
      </c>
      <c r="BP5" s="646">
        <v>45566</v>
      </c>
      <c r="BQ5" s="646"/>
      <c r="BR5" s="646">
        <v>45566</v>
      </c>
      <c r="BS5" s="646">
        <v>45566</v>
      </c>
      <c r="BT5" s="646">
        <v>45597</v>
      </c>
      <c r="BU5" s="646">
        <v>45597</v>
      </c>
      <c r="BV5" s="646">
        <v>45597</v>
      </c>
      <c r="BW5" s="646">
        <v>45597</v>
      </c>
      <c r="BX5" s="646">
        <v>45597</v>
      </c>
      <c r="BY5" s="646">
        <v>45627</v>
      </c>
      <c r="BZ5" s="646">
        <v>45627</v>
      </c>
      <c r="CA5" s="646">
        <v>45627</v>
      </c>
      <c r="CB5" s="646">
        <v>45627</v>
      </c>
      <c r="CC5" s="646">
        <v>45627</v>
      </c>
      <c r="CD5" s="646">
        <v>45627</v>
      </c>
      <c r="CE5" s="646">
        <v>45658</v>
      </c>
      <c r="CF5" s="646">
        <v>45658</v>
      </c>
      <c r="CG5" s="646">
        <v>45658</v>
      </c>
      <c r="CH5" s="646">
        <v>45658</v>
      </c>
      <c r="CI5" s="646">
        <v>45689</v>
      </c>
      <c r="CJ5" s="646">
        <v>45689</v>
      </c>
      <c r="CK5" s="646">
        <v>45689</v>
      </c>
      <c r="CL5" s="646">
        <v>45689</v>
      </c>
      <c r="CM5" s="646">
        <v>45717</v>
      </c>
      <c r="CN5" s="646">
        <v>45717</v>
      </c>
      <c r="CO5" s="646">
        <v>45717</v>
      </c>
      <c r="CP5" s="646">
        <v>45717</v>
      </c>
      <c r="CQ5" s="646">
        <v>45717</v>
      </c>
      <c r="CR5" s="646">
        <v>45748</v>
      </c>
      <c r="CS5" s="646">
        <v>45778</v>
      </c>
      <c r="CT5" s="646">
        <v>45809</v>
      </c>
      <c r="CU5" s="646">
        <v>45839</v>
      </c>
      <c r="CV5" s="646">
        <v>45870</v>
      </c>
      <c r="CW5" s="646">
        <v>45901</v>
      </c>
      <c r="CX5" s="646">
        <v>45931</v>
      </c>
      <c r="CY5" s="646">
        <v>45962</v>
      </c>
      <c r="CZ5" s="647">
        <v>45992</v>
      </c>
    </row>
    <row r="6" spans="1:104" s="556" customFormat="1" ht="33.5" customHeight="1" thickBot="1">
      <c r="A6" s="293"/>
      <c r="C6" s="601"/>
      <c r="F6" s="602" t="s">
        <v>3</v>
      </c>
      <c r="G6" s="602" t="s">
        <v>4</v>
      </c>
      <c r="H6" s="602" t="s">
        <v>5</v>
      </c>
      <c r="I6" s="602" t="s">
        <v>6</v>
      </c>
      <c r="J6" s="602" t="s">
        <v>7</v>
      </c>
      <c r="K6" s="602" t="s">
        <v>8</v>
      </c>
      <c r="L6" s="602" t="s">
        <v>9</v>
      </c>
      <c r="M6" s="602" t="s">
        <v>10</v>
      </c>
      <c r="N6" s="602" t="s">
        <v>11</v>
      </c>
      <c r="O6" s="602" t="s">
        <v>12</v>
      </c>
      <c r="P6" s="602" t="s">
        <v>13</v>
      </c>
      <c r="Q6" s="602" t="s">
        <v>14</v>
      </c>
      <c r="R6" s="602" t="s">
        <v>15</v>
      </c>
      <c r="S6" s="602" t="s">
        <v>16</v>
      </c>
      <c r="T6" s="602" t="s">
        <v>17</v>
      </c>
      <c r="U6" s="602" t="s">
        <v>18</v>
      </c>
      <c r="V6" s="602" t="s">
        <v>19</v>
      </c>
      <c r="W6" s="602" t="s">
        <v>20</v>
      </c>
      <c r="X6" s="602" t="s">
        <v>21</v>
      </c>
      <c r="Y6" s="602" t="s">
        <v>22</v>
      </c>
      <c r="Z6" s="602" t="s">
        <v>23</v>
      </c>
      <c r="AA6" s="602" t="s">
        <v>24</v>
      </c>
      <c r="AB6" s="602" t="s">
        <v>25</v>
      </c>
      <c r="AC6" s="602" t="s">
        <v>26</v>
      </c>
      <c r="AD6" s="602" t="s">
        <v>27</v>
      </c>
      <c r="AE6" s="602" t="s">
        <v>28</v>
      </c>
      <c r="AF6" s="602" t="s">
        <v>29</v>
      </c>
      <c r="AG6" s="602" t="s">
        <v>30</v>
      </c>
      <c r="AH6" s="602" t="s">
        <v>31</v>
      </c>
      <c r="AI6" s="602" t="s">
        <v>32</v>
      </c>
      <c r="AJ6" s="602" t="s">
        <v>33</v>
      </c>
      <c r="AK6" s="602" t="s">
        <v>34</v>
      </c>
      <c r="AL6" s="602" t="s">
        <v>35</v>
      </c>
      <c r="AM6" s="602" t="s">
        <v>36</v>
      </c>
      <c r="AN6" s="602" t="s">
        <v>37</v>
      </c>
      <c r="AO6" s="602" t="s">
        <v>38</v>
      </c>
      <c r="AP6" s="602" t="s">
        <v>39</v>
      </c>
      <c r="AQ6" s="602" t="s">
        <v>40</v>
      </c>
      <c r="AR6" s="602" t="s">
        <v>41</v>
      </c>
      <c r="AS6" s="602" t="s">
        <v>42</v>
      </c>
      <c r="AT6" s="602" t="s">
        <v>43</v>
      </c>
      <c r="AU6" s="602" t="s">
        <v>44</v>
      </c>
      <c r="AV6" s="602" t="s">
        <v>45</v>
      </c>
      <c r="AW6" s="602" t="s">
        <v>697</v>
      </c>
      <c r="AX6" s="602" t="s">
        <v>699</v>
      </c>
      <c r="AY6" s="602" t="s">
        <v>698</v>
      </c>
      <c r="AZ6" s="602" t="s">
        <v>700</v>
      </c>
      <c r="BA6" s="602" t="s">
        <v>701</v>
      </c>
      <c r="BB6" s="602" t="s">
        <v>702</v>
      </c>
      <c r="BC6" s="602" t="s">
        <v>746</v>
      </c>
      <c r="BD6" s="602" t="s">
        <v>747</v>
      </c>
      <c r="BE6" s="602" t="s">
        <v>744</v>
      </c>
      <c r="BF6" s="602" t="s">
        <v>745</v>
      </c>
      <c r="BG6" s="602" t="s">
        <v>725</v>
      </c>
      <c r="BH6" s="602" t="s">
        <v>743</v>
      </c>
      <c r="BI6" s="602" t="s">
        <v>726</v>
      </c>
      <c r="BJ6" s="602" t="s">
        <v>727</v>
      </c>
      <c r="BK6" s="602" t="s">
        <v>757</v>
      </c>
      <c r="BL6" s="602" t="s">
        <v>728</v>
      </c>
      <c r="BM6" s="602" t="s">
        <v>729</v>
      </c>
      <c r="BN6" s="602" t="s">
        <v>758</v>
      </c>
      <c r="BO6" s="602" t="s">
        <v>748</v>
      </c>
      <c r="BP6" s="602" t="s">
        <v>749</v>
      </c>
      <c r="BQ6" s="602" t="s">
        <v>762</v>
      </c>
      <c r="BR6" s="602" t="s">
        <v>750</v>
      </c>
      <c r="BS6" s="602" t="s">
        <v>751</v>
      </c>
      <c r="BT6" s="602" t="s">
        <v>752</v>
      </c>
      <c r="BU6" s="602" t="s">
        <v>793</v>
      </c>
      <c r="BV6" s="602" t="s">
        <v>753</v>
      </c>
      <c r="BW6" s="602" t="s">
        <v>754</v>
      </c>
      <c r="BX6" s="602" t="s">
        <v>755</v>
      </c>
      <c r="BY6" s="602" t="s">
        <v>759</v>
      </c>
      <c r="BZ6" s="602" t="s">
        <v>743</v>
      </c>
      <c r="CA6" s="602" t="s">
        <v>760</v>
      </c>
      <c r="CB6" s="602" t="s">
        <v>761</v>
      </c>
      <c r="CC6" s="602" t="s">
        <v>814</v>
      </c>
      <c r="CD6" s="602" t="s">
        <v>815</v>
      </c>
      <c r="CE6" s="602" t="s">
        <v>810</v>
      </c>
      <c r="CF6" s="602" t="s">
        <v>811</v>
      </c>
      <c r="CG6" s="602" t="s">
        <v>812</v>
      </c>
      <c r="CH6" s="602" t="s">
        <v>813</v>
      </c>
      <c r="CI6" s="602" t="s">
        <v>799</v>
      </c>
      <c r="CJ6" s="602" t="s">
        <v>800</v>
      </c>
      <c r="CK6" s="602" t="s">
        <v>801</v>
      </c>
      <c r="CL6" s="602" t="s">
        <v>802</v>
      </c>
      <c r="CM6" s="602" t="s">
        <v>803</v>
      </c>
      <c r="CN6" s="602" t="s">
        <v>804</v>
      </c>
      <c r="CO6" s="602" t="s">
        <v>805</v>
      </c>
      <c r="CP6" s="602" t="s">
        <v>806</v>
      </c>
      <c r="CQ6" s="602" t="s">
        <v>807</v>
      </c>
      <c r="CZ6" s="570"/>
    </row>
    <row r="7" spans="1:104">
      <c r="A7" s="648"/>
      <c r="C7" s="603"/>
      <c r="F7" s="267"/>
      <c r="G7" s="267"/>
      <c r="H7" s="267"/>
      <c r="I7" s="267"/>
      <c r="J7" s="267"/>
      <c r="K7" s="267"/>
      <c r="L7" s="267"/>
      <c r="M7" s="267"/>
      <c r="N7" s="267"/>
      <c r="O7" s="267"/>
      <c r="P7" s="267"/>
      <c r="Q7" s="267"/>
      <c r="R7" s="267"/>
      <c r="S7" s="267"/>
      <c r="T7" s="267"/>
      <c r="U7" s="267"/>
      <c r="V7" s="267"/>
      <c r="W7" s="267"/>
      <c r="X7" s="267"/>
      <c r="Y7" s="267"/>
      <c r="Z7" s="267"/>
      <c r="AA7" s="267"/>
      <c r="AB7" s="267"/>
      <c r="AC7" s="267"/>
      <c r="AD7" s="267"/>
      <c r="AE7" s="267"/>
      <c r="AF7" s="267"/>
      <c r="AG7" s="267"/>
      <c r="AH7" s="267"/>
      <c r="AI7" s="267"/>
      <c r="AJ7" s="267"/>
      <c r="AK7" s="267"/>
      <c r="AL7" s="267"/>
      <c r="AM7" s="267"/>
      <c r="AN7" s="267"/>
      <c r="AO7" s="267"/>
      <c r="AP7" s="267"/>
      <c r="AQ7" s="267"/>
      <c r="AR7" s="267"/>
      <c r="AS7" s="267"/>
      <c r="AT7" s="267"/>
      <c r="AU7" s="267"/>
      <c r="AV7" s="267"/>
      <c r="AW7" s="604" t="s">
        <v>710</v>
      </c>
      <c r="AX7" s="267"/>
      <c r="AY7" s="605" t="s">
        <v>709</v>
      </c>
      <c r="AZ7" s="605"/>
      <c r="BA7" s="605" t="s">
        <v>0</v>
      </c>
      <c r="BB7" s="605"/>
      <c r="BC7" s="605" t="s">
        <v>0</v>
      </c>
      <c r="BD7" s="605"/>
      <c r="BE7" s="267"/>
      <c r="BF7" s="267"/>
      <c r="BG7" s="267" t="s">
        <v>0</v>
      </c>
      <c r="BH7" s="267"/>
      <c r="BI7" s="267"/>
      <c r="BJ7" s="267"/>
      <c r="BK7" s="267"/>
      <c r="BL7" s="267"/>
      <c r="BM7" s="267"/>
      <c r="BN7" s="267"/>
      <c r="BV7" s="588"/>
      <c r="CZ7" s="207"/>
    </row>
    <row r="8" spans="1:104" s="211" customFormat="1" ht="15">
      <c r="A8" s="323"/>
      <c r="B8" s="606" t="s">
        <v>46</v>
      </c>
      <c r="F8" s="272">
        <v>90280</v>
      </c>
      <c r="G8" s="273"/>
      <c r="H8" s="273" t="s">
        <v>0</v>
      </c>
      <c r="I8" s="273"/>
      <c r="J8" s="273"/>
      <c r="K8" s="273"/>
      <c r="L8" s="273"/>
      <c r="M8" s="273"/>
      <c r="N8" s="273"/>
      <c r="O8" s="273"/>
      <c r="P8" s="273"/>
      <c r="Q8" s="273"/>
      <c r="R8" s="273"/>
      <c r="S8" s="273"/>
      <c r="T8" s="273"/>
      <c r="U8" s="273"/>
      <c r="V8" s="273"/>
      <c r="W8" s="273"/>
      <c r="X8" s="273"/>
      <c r="Y8" s="273"/>
      <c r="Z8" s="273"/>
      <c r="AA8" s="273"/>
      <c r="AB8" s="273"/>
      <c r="AC8" s="273"/>
      <c r="AD8" s="273"/>
      <c r="AE8" s="273"/>
      <c r="AF8" s="273"/>
      <c r="AG8" s="273"/>
      <c r="AH8" s="273"/>
      <c r="AI8" s="273"/>
      <c r="AJ8" s="273"/>
      <c r="AK8" s="273"/>
      <c r="AL8" s="273"/>
      <c r="AM8" s="273"/>
      <c r="AN8" s="273"/>
      <c r="AO8" s="268"/>
      <c r="AP8" s="268"/>
      <c r="AQ8" s="268"/>
      <c r="AR8" s="268"/>
      <c r="AS8" s="268"/>
      <c r="AT8" s="268"/>
      <c r="AU8" s="268"/>
      <c r="AV8" s="268"/>
      <c r="AW8" s="275"/>
      <c r="AX8" s="268"/>
      <c r="AY8" s="268"/>
      <c r="AZ8" s="268"/>
      <c r="BA8" s="268"/>
      <c r="BB8" s="268"/>
      <c r="BC8" s="268"/>
      <c r="BD8" s="268"/>
      <c r="BE8" s="268"/>
      <c r="BF8" s="268"/>
      <c r="BG8" s="268"/>
      <c r="BH8" s="268"/>
      <c r="BI8" s="268"/>
      <c r="BJ8" s="268"/>
      <c r="BK8" s="268"/>
      <c r="BL8" s="268"/>
      <c r="BM8" s="268"/>
      <c r="BN8" s="268"/>
      <c r="BV8" s="583"/>
      <c r="CZ8" s="351"/>
    </row>
    <row r="9" spans="1:104" s="211" customFormat="1" ht="15">
      <c r="A9" s="323"/>
      <c r="B9" s="606" t="s">
        <v>47</v>
      </c>
      <c r="F9" s="273"/>
      <c r="G9" s="272">
        <v>46684</v>
      </c>
      <c r="H9" s="273"/>
      <c r="I9" s="273"/>
      <c r="J9" s="273"/>
      <c r="K9" s="273"/>
      <c r="L9" s="273"/>
      <c r="M9" s="273"/>
      <c r="N9" s="273"/>
      <c r="P9" s="607">
        <v>26097</v>
      </c>
      <c r="Q9" s="273">
        <v>0</v>
      </c>
      <c r="R9" s="273"/>
      <c r="S9" s="273"/>
      <c r="T9" s="273"/>
      <c r="U9" s="273"/>
      <c r="V9" s="273"/>
      <c r="W9" s="273" t="s">
        <v>0</v>
      </c>
      <c r="X9" s="273"/>
      <c r="Y9" s="272">
        <f>29291-2419</f>
        <v>26872</v>
      </c>
      <c r="Z9" s="273"/>
      <c r="AA9" s="273"/>
      <c r="AB9" s="273"/>
      <c r="AC9" s="273"/>
      <c r="AD9" s="273"/>
      <c r="AE9" s="273"/>
      <c r="AF9" s="607">
        <v>51074</v>
      </c>
      <c r="AG9" s="273" t="s">
        <v>0</v>
      </c>
      <c r="AH9" s="273" t="s">
        <v>0</v>
      </c>
      <c r="AI9" s="273"/>
      <c r="AJ9" s="273" t="s">
        <v>0</v>
      </c>
      <c r="AK9" s="273"/>
      <c r="AL9" s="273"/>
      <c r="AM9" s="273"/>
      <c r="AN9" s="273"/>
      <c r="AP9" s="269">
        <v>41957</v>
      </c>
      <c r="AR9" s="268"/>
      <c r="AS9" s="268"/>
      <c r="AT9" s="268"/>
      <c r="AU9" s="268"/>
      <c r="AV9" s="268"/>
      <c r="AW9" s="569"/>
      <c r="AY9" s="269">
        <v>56733</v>
      </c>
      <c r="AZ9" s="268"/>
      <c r="BA9" s="268"/>
      <c r="BB9" s="268"/>
      <c r="BC9" s="268"/>
      <c r="BD9" s="268"/>
      <c r="BE9" s="268"/>
      <c r="BF9" s="268"/>
      <c r="BJ9" s="269">
        <v>69845</v>
      </c>
      <c r="BK9" s="268"/>
      <c r="BM9" s="268"/>
      <c r="BN9" s="268"/>
      <c r="BV9" s="583"/>
      <c r="BW9" s="656">
        <v>54989</v>
      </c>
      <c r="CF9" s="211">
        <v>35000</v>
      </c>
      <c r="CM9" s="211">
        <v>60000</v>
      </c>
      <c r="CS9" s="211">
        <v>60000</v>
      </c>
      <c r="CU9" s="211">
        <v>60000</v>
      </c>
      <c r="CW9" s="211">
        <v>50000</v>
      </c>
      <c r="CY9" s="211">
        <v>50000</v>
      </c>
      <c r="CZ9" s="351"/>
    </row>
    <row r="10" spans="1:104" s="211" customFormat="1" ht="15">
      <c r="A10" s="323"/>
      <c r="B10" s="606" t="s">
        <v>48</v>
      </c>
      <c r="F10" s="273"/>
      <c r="G10" s="272"/>
      <c r="H10" s="273"/>
      <c r="I10" s="273"/>
      <c r="J10" s="273"/>
      <c r="K10" s="273"/>
      <c r="L10" s="273"/>
      <c r="M10" s="273"/>
      <c r="N10" s="273"/>
      <c r="P10" s="607"/>
      <c r="Q10" s="273"/>
      <c r="R10" s="273"/>
      <c r="S10" s="273"/>
      <c r="T10" s="273"/>
      <c r="U10" s="273"/>
      <c r="V10" s="273"/>
      <c r="W10" s="273"/>
      <c r="X10" s="273"/>
      <c r="Y10" s="272"/>
      <c r="Z10" s="273"/>
      <c r="AA10" s="273"/>
      <c r="AB10" s="273"/>
      <c r="AC10" s="273"/>
      <c r="AD10" s="273"/>
      <c r="AE10" s="273"/>
      <c r="AF10" s="607"/>
      <c r="AG10" s="273"/>
      <c r="AH10" s="273"/>
      <c r="AI10" s="273"/>
      <c r="AJ10" s="273"/>
      <c r="AK10" s="273"/>
      <c r="AL10" s="273"/>
      <c r="AM10" s="273"/>
      <c r="AN10" s="273"/>
      <c r="AO10" s="268"/>
      <c r="AP10" s="268"/>
      <c r="AQ10" s="268"/>
      <c r="AR10" s="268"/>
      <c r="AS10" s="268"/>
      <c r="AT10" s="268"/>
      <c r="AU10" s="268"/>
      <c r="AV10" s="268"/>
      <c r="AW10" s="275" t="s">
        <v>0</v>
      </c>
      <c r="AX10" s="268"/>
      <c r="AY10" s="268"/>
      <c r="AZ10" s="268"/>
      <c r="BA10" s="268"/>
      <c r="BB10" s="268"/>
      <c r="BC10" s="268"/>
      <c r="BD10" s="268"/>
      <c r="BE10" s="268"/>
      <c r="BF10" s="268"/>
      <c r="BI10" s="268">
        <v>0</v>
      </c>
      <c r="BJ10" s="268"/>
      <c r="BK10" s="268"/>
      <c r="BL10" s="268"/>
      <c r="BM10" s="268"/>
      <c r="BN10" s="268"/>
      <c r="BV10" s="583"/>
      <c r="CZ10" s="351"/>
    </row>
    <row r="11" spans="1:104" s="211" customFormat="1" ht="15">
      <c r="A11" s="323"/>
      <c r="B11" s="606" t="s">
        <v>49</v>
      </c>
      <c r="F11" s="273"/>
      <c r="G11" s="273"/>
      <c r="H11" s="273"/>
      <c r="I11" s="273"/>
      <c r="J11" s="273"/>
      <c r="K11" s="273"/>
      <c r="L11" s="273"/>
      <c r="M11" s="273"/>
      <c r="N11" s="273"/>
      <c r="O11" s="273"/>
      <c r="P11" s="273"/>
      <c r="Q11" s="273"/>
      <c r="R11" s="273"/>
      <c r="S11" s="273"/>
      <c r="T11" s="273"/>
      <c r="U11" s="273"/>
      <c r="V11" s="273"/>
      <c r="W11" s="273"/>
      <c r="X11" s="273"/>
      <c r="Y11" s="273"/>
      <c r="Z11" s="273"/>
      <c r="AA11" s="273"/>
      <c r="AB11" s="273"/>
      <c r="AC11" s="273"/>
      <c r="AD11" s="273"/>
      <c r="AE11" s="273"/>
      <c r="AF11" s="273"/>
      <c r="AG11" s="273"/>
      <c r="AH11" s="273"/>
      <c r="AI11" s="273"/>
      <c r="AJ11" s="273"/>
      <c r="AK11" s="273"/>
      <c r="AL11" s="273"/>
      <c r="AM11" s="273"/>
      <c r="AN11" s="273"/>
      <c r="AO11" s="268"/>
      <c r="AP11" s="268"/>
      <c r="AQ11" s="268"/>
      <c r="AR11" s="268"/>
      <c r="AS11" s="268"/>
      <c r="AT11" s="268"/>
      <c r="AU11" s="268"/>
      <c r="AV11" s="268"/>
      <c r="AW11" s="275"/>
      <c r="AX11" s="268"/>
      <c r="AY11" s="268"/>
      <c r="AZ11" s="268"/>
      <c r="BA11" s="268"/>
      <c r="BB11" s="608" t="s">
        <v>0</v>
      </c>
      <c r="BC11" s="608"/>
      <c r="BD11" s="608"/>
      <c r="BE11" s="608"/>
      <c r="BF11" s="608"/>
      <c r="BG11" s="268"/>
      <c r="BH11" s="268"/>
      <c r="BI11" s="268"/>
      <c r="BJ11" s="268"/>
      <c r="BK11" s="268"/>
      <c r="BL11" s="268"/>
      <c r="BM11" s="268"/>
      <c r="BN11" s="268"/>
      <c r="BV11" s="583"/>
      <c r="CZ11" s="351"/>
    </row>
    <row r="12" spans="1:104" s="211" customFormat="1">
      <c r="A12" s="323"/>
      <c r="B12" s="606"/>
      <c r="F12" s="273"/>
      <c r="G12" s="273"/>
      <c r="H12" s="273"/>
      <c r="I12" s="273"/>
      <c r="J12" s="273"/>
      <c r="K12" s="273"/>
      <c r="L12" s="273"/>
      <c r="M12" s="273"/>
      <c r="N12" s="273"/>
      <c r="O12" s="273"/>
      <c r="P12" s="273"/>
      <c r="Q12" s="273"/>
      <c r="R12" s="273"/>
      <c r="S12" s="273"/>
      <c r="T12" s="273"/>
      <c r="U12" s="273"/>
      <c r="V12" s="273"/>
      <c r="W12" s="273"/>
      <c r="X12" s="273"/>
      <c r="Y12" s="273"/>
      <c r="Z12" s="273"/>
      <c r="AA12" s="273"/>
      <c r="AB12" s="273"/>
      <c r="AC12" s="273"/>
      <c r="AD12" s="273"/>
      <c r="AE12" s="273"/>
      <c r="AF12" s="273"/>
      <c r="AG12" s="273"/>
      <c r="AH12" s="273"/>
      <c r="AI12" s="273"/>
      <c r="AJ12" s="273"/>
      <c r="AK12" s="273"/>
      <c r="AL12" s="273"/>
      <c r="AM12" s="273"/>
      <c r="AN12" s="273"/>
      <c r="AO12" s="268"/>
      <c r="AP12" s="268"/>
      <c r="AQ12" s="268"/>
      <c r="AR12" s="268"/>
      <c r="AS12" s="268"/>
      <c r="AT12" s="268"/>
      <c r="AU12" s="268"/>
      <c r="AV12" s="268"/>
      <c r="AW12" s="275"/>
      <c r="AX12" s="268"/>
      <c r="AY12" s="268"/>
      <c r="AZ12" s="268"/>
      <c r="BA12" s="268"/>
      <c r="BB12" s="268"/>
      <c r="BC12" s="268"/>
      <c r="BD12" s="268"/>
      <c r="BE12" s="268"/>
      <c r="BF12" s="268"/>
      <c r="BG12" s="268"/>
      <c r="BH12" s="268"/>
      <c r="BI12" s="268"/>
      <c r="BJ12" s="268"/>
      <c r="BK12" s="268"/>
      <c r="BL12" s="268"/>
      <c r="BM12" s="268"/>
      <c r="BN12" s="268"/>
      <c r="BV12" s="583"/>
      <c r="CZ12" s="351"/>
    </row>
    <row r="13" spans="1:104" s="211" customFormat="1" ht="15">
      <c r="A13" s="323"/>
      <c r="B13" s="609" t="s">
        <v>50</v>
      </c>
      <c r="F13" s="273"/>
      <c r="G13" s="273"/>
      <c r="H13" s="273"/>
      <c r="I13" s="273"/>
      <c r="J13" s="273"/>
      <c r="K13" s="273"/>
      <c r="L13" s="273"/>
      <c r="M13" s="273"/>
      <c r="N13" s="273"/>
      <c r="O13" s="273"/>
      <c r="P13" s="273"/>
      <c r="Q13" s="273"/>
      <c r="R13" s="273"/>
      <c r="S13" s="273"/>
      <c r="T13" s="273"/>
      <c r="U13" s="273"/>
      <c r="V13" s="273"/>
      <c r="W13" s="273" t="s">
        <v>0</v>
      </c>
      <c r="X13" s="273"/>
      <c r="Y13" s="273"/>
      <c r="Z13" s="273"/>
      <c r="AA13" s="273"/>
      <c r="AB13" s="273"/>
      <c r="AC13" s="273"/>
      <c r="AD13" s="273"/>
      <c r="AE13" s="273"/>
      <c r="AF13" s="273"/>
      <c r="AG13" s="273"/>
      <c r="AH13" s="273"/>
      <c r="AI13" s="273"/>
      <c r="AJ13" s="273"/>
      <c r="AK13" s="273"/>
      <c r="AL13" s="273"/>
      <c r="AM13" s="273"/>
      <c r="AN13" s="273"/>
      <c r="AO13" s="268"/>
      <c r="AP13" s="268"/>
      <c r="AQ13" s="268"/>
      <c r="AR13" s="268"/>
      <c r="AS13" s="268"/>
      <c r="AT13" s="268"/>
      <c r="AU13" s="268"/>
      <c r="AV13" s="268"/>
      <c r="AW13" s="275"/>
      <c r="AX13" s="268"/>
      <c r="AY13" s="268"/>
      <c r="AZ13" s="268"/>
      <c r="BA13" s="268"/>
      <c r="BB13" s="268"/>
      <c r="BC13" s="268"/>
      <c r="BD13" s="268"/>
      <c r="BE13" s="268"/>
      <c r="BF13" s="268"/>
      <c r="BG13" s="268"/>
      <c r="BH13" s="268"/>
      <c r="BI13" s="268"/>
      <c r="BJ13" s="268"/>
      <c r="BK13" s="268"/>
      <c r="BL13" s="268"/>
      <c r="BM13" s="268"/>
      <c r="BN13" s="268"/>
      <c r="BV13" s="583"/>
      <c r="CZ13" s="351"/>
    </row>
    <row r="14" spans="1:104" s="211" customFormat="1" ht="25.5" customHeight="1" outlineLevel="1">
      <c r="A14" s="323"/>
      <c r="B14" s="519" t="s">
        <v>51</v>
      </c>
      <c r="F14" s="268"/>
      <c r="G14" s="268"/>
      <c r="H14" s="268"/>
      <c r="I14" s="268"/>
      <c r="J14" s="268"/>
      <c r="K14" s="268"/>
      <c r="L14" s="268"/>
      <c r="M14" s="268"/>
      <c r="N14" s="268"/>
      <c r="P14" s="275"/>
      <c r="Q14" s="275"/>
      <c r="R14" s="275"/>
      <c r="S14" s="268"/>
      <c r="T14" s="275" t="s">
        <v>0</v>
      </c>
      <c r="U14" s="268"/>
      <c r="V14" s="268"/>
      <c r="W14" s="268"/>
      <c r="Z14" s="268"/>
      <c r="AA14" s="268"/>
      <c r="AC14" s="268"/>
      <c r="AD14" s="268">
        <v>0</v>
      </c>
      <c r="AE14" s="268"/>
      <c r="AF14" s="268"/>
      <c r="AG14" s="268"/>
      <c r="AH14" s="268"/>
      <c r="AJ14" s="268"/>
      <c r="AK14" s="268"/>
      <c r="AL14" s="269">
        <f>18000*0.8</f>
        <v>14400</v>
      </c>
      <c r="AM14" s="268"/>
      <c r="AP14" s="268"/>
      <c r="AQ14" s="268"/>
      <c r="AR14" s="268"/>
      <c r="AS14" s="268"/>
      <c r="AT14" s="268"/>
      <c r="AU14" s="268"/>
      <c r="AV14" s="268"/>
      <c r="AW14" s="275"/>
      <c r="AX14" s="268"/>
      <c r="AY14" s="268"/>
      <c r="AZ14" s="268"/>
      <c r="BA14" s="268"/>
      <c r="BC14" s="268"/>
      <c r="BD14" s="268"/>
      <c r="BF14" s="268"/>
      <c r="BG14" s="268"/>
      <c r="BH14" s="268"/>
      <c r="BI14" s="268"/>
      <c r="BJ14" s="268"/>
      <c r="BK14" s="268"/>
      <c r="BL14" s="268"/>
      <c r="BN14" s="268"/>
      <c r="BV14" s="583"/>
      <c r="BX14" s="268">
        <f>3600</f>
        <v>3600</v>
      </c>
      <c r="CZ14" s="351"/>
    </row>
    <row r="15" spans="1:104" s="211" customFormat="1" ht="15" outlineLevel="1">
      <c r="A15" s="323"/>
      <c r="B15" s="519" t="s">
        <v>52</v>
      </c>
      <c r="F15" s="268"/>
      <c r="G15" s="268"/>
      <c r="H15" s="268"/>
      <c r="I15" s="268"/>
      <c r="J15" s="268"/>
      <c r="K15" s="268"/>
      <c r="L15" s="268"/>
      <c r="N15" s="268"/>
      <c r="X15" s="268"/>
      <c r="Y15" s="268" t="s">
        <v>0</v>
      </c>
      <c r="AC15" s="268"/>
      <c r="AD15" s="268">
        <v>0</v>
      </c>
      <c r="AE15" s="268"/>
      <c r="AG15" s="268"/>
      <c r="AI15" s="268"/>
      <c r="AJ15" s="269">
        <v>57244.75</v>
      </c>
      <c r="AK15" s="268"/>
      <c r="AL15" s="268"/>
      <c r="AM15" s="268"/>
      <c r="AN15" s="268"/>
      <c r="AO15" s="268"/>
      <c r="AP15" s="268"/>
      <c r="AQ15" s="268"/>
      <c r="AR15" s="268"/>
      <c r="AS15" s="268"/>
      <c r="AT15" s="268"/>
      <c r="AU15" s="268"/>
      <c r="AV15" s="268"/>
      <c r="AW15" s="275"/>
      <c r="AX15" s="268"/>
      <c r="AY15" s="268"/>
      <c r="AZ15" s="268"/>
      <c r="BA15" s="268"/>
      <c r="BB15" s="268"/>
      <c r="BC15" s="268"/>
      <c r="BD15" s="268"/>
      <c r="BE15" s="268"/>
      <c r="BF15" s="268"/>
      <c r="BG15" s="268"/>
      <c r="BH15" s="268"/>
      <c r="BI15" s="268"/>
      <c r="BJ15" s="268"/>
      <c r="BK15" s="268"/>
      <c r="BL15" s="268"/>
      <c r="BM15" s="268"/>
      <c r="BN15" s="268"/>
      <c r="BV15" s="583"/>
      <c r="CZ15" s="351"/>
    </row>
    <row r="16" spans="1:104" s="211" customFormat="1" ht="15" outlineLevel="1">
      <c r="A16" s="323"/>
      <c r="B16" s="610" t="s">
        <v>53</v>
      </c>
      <c r="F16" s="268"/>
      <c r="G16" s="268"/>
      <c r="H16" s="268"/>
      <c r="I16" s="268"/>
      <c r="J16" s="268"/>
      <c r="K16" s="268"/>
      <c r="L16" s="268"/>
      <c r="M16" s="268"/>
      <c r="O16" s="268"/>
      <c r="P16" s="268"/>
      <c r="Q16" s="268"/>
      <c r="R16" s="268"/>
      <c r="S16" s="268"/>
      <c r="T16" s="268"/>
      <c r="U16" s="268"/>
      <c r="V16" s="268"/>
      <c r="W16" s="268"/>
      <c r="X16" s="268"/>
      <c r="Y16" s="268"/>
      <c r="Z16" s="268"/>
      <c r="AA16" s="268"/>
      <c r="AB16" s="268"/>
      <c r="AC16" s="268"/>
      <c r="AD16" s="268"/>
      <c r="AE16" s="268"/>
      <c r="AG16" s="268"/>
      <c r="AH16" s="269">
        <v>16950</v>
      </c>
      <c r="AI16" s="268"/>
      <c r="AJ16" s="268"/>
      <c r="AK16" s="268"/>
      <c r="AL16" s="268"/>
      <c r="AM16" s="268"/>
      <c r="AN16" s="268"/>
      <c r="AO16" s="268"/>
      <c r="AP16" s="268"/>
      <c r="AQ16" s="268"/>
      <c r="AR16" s="268"/>
      <c r="AS16" s="268"/>
      <c r="AT16" s="268"/>
      <c r="AU16" s="268"/>
      <c r="AV16" s="268"/>
      <c r="AW16" s="275"/>
      <c r="AX16" s="268"/>
      <c r="AY16" s="268"/>
      <c r="AZ16" s="268"/>
      <c r="BA16" s="268"/>
      <c r="BB16" s="268"/>
      <c r="BC16" s="268"/>
      <c r="BD16" s="268"/>
      <c r="BE16" s="268"/>
      <c r="BF16" s="268"/>
      <c r="BG16" s="268"/>
      <c r="BH16" s="268"/>
      <c r="BI16" s="268"/>
      <c r="BJ16" s="268"/>
      <c r="BK16" s="268"/>
      <c r="BL16" s="268"/>
      <c r="BM16" s="268"/>
      <c r="BN16" s="268"/>
      <c r="BV16" s="583"/>
      <c r="CZ16" s="351"/>
    </row>
    <row r="17" spans="1:104" s="211" customFormat="1" ht="15" outlineLevel="1">
      <c r="A17" s="323"/>
      <c r="B17" s="610" t="s">
        <v>54</v>
      </c>
      <c r="F17" s="268"/>
      <c r="G17" s="268"/>
      <c r="H17" s="268"/>
      <c r="I17" s="268"/>
      <c r="J17" s="268" t="s">
        <v>0</v>
      </c>
      <c r="K17" s="268"/>
      <c r="L17" s="268"/>
      <c r="M17" s="268"/>
      <c r="O17" s="268"/>
      <c r="P17" s="268">
        <v>0</v>
      </c>
      <c r="Q17" s="268"/>
      <c r="R17" s="268"/>
      <c r="S17" s="268"/>
      <c r="T17" s="268"/>
      <c r="U17" s="268"/>
      <c r="V17" s="268"/>
      <c r="W17" s="268"/>
      <c r="X17" s="268"/>
      <c r="Y17" s="268"/>
      <c r="Z17" s="268">
        <v>0</v>
      </c>
      <c r="AA17" s="268">
        <v>0</v>
      </c>
      <c r="AB17" s="269">
        <v>5812</v>
      </c>
      <c r="AC17" s="268"/>
      <c r="AD17" s="268"/>
      <c r="AE17" s="268"/>
      <c r="AF17" s="268"/>
      <c r="AG17" s="268"/>
      <c r="AH17" s="268"/>
      <c r="AI17" s="268"/>
      <c r="AJ17" s="268"/>
      <c r="AK17" s="268"/>
      <c r="AL17" s="268"/>
      <c r="AM17" s="268"/>
      <c r="AN17" s="268"/>
      <c r="AO17" s="268"/>
      <c r="AP17" s="268"/>
      <c r="AQ17" s="268"/>
      <c r="AR17" s="268"/>
      <c r="AS17" s="268"/>
      <c r="AT17" s="268"/>
      <c r="AU17" s="268"/>
      <c r="AV17" s="268"/>
      <c r="AW17" s="275"/>
      <c r="AX17" s="268"/>
      <c r="AY17" s="268"/>
      <c r="AZ17" s="268"/>
      <c r="BA17" s="268"/>
      <c r="BB17" s="268"/>
      <c r="BC17" s="268"/>
      <c r="BD17" s="268"/>
      <c r="BE17" s="268"/>
      <c r="BF17" s="268"/>
      <c r="BG17" s="268"/>
      <c r="BH17" s="268"/>
      <c r="BI17" s="268"/>
      <c r="BJ17" s="268"/>
      <c r="BK17" s="268"/>
      <c r="BL17" s="268"/>
      <c r="BM17" s="268"/>
      <c r="BN17" s="268"/>
      <c r="BV17" s="583"/>
      <c r="CZ17" s="351"/>
    </row>
    <row r="18" spans="1:104" s="211" customFormat="1" ht="15" outlineLevel="1">
      <c r="A18" s="323"/>
      <c r="B18" s="610" t="s">
        <v>55</v>
      </c>
      <c r="F18" s="268"/>
      <c r="G18" s="268"/>
      <c r="H18" s="268"/>
      <c r="I18" s="268"/>
      <c r="J18" s="268" t="s">
        <v>0</v>
      </c>
      <c r="K18" s="268"/>
      <c r="L18" s="268"/>
      <c r="M18" s="268"/>
      <c r="P18" s="268"/>
      <c r="Q18" s="268"/>
      <c r="R18" s="268"/>
      <c r="S18" s="268" t="s">
        <v>0</v>
      </c>
      <c r="T18" s="268"/>
      <c r="U18" s="268" t="s">
        <v>0</v>
      </c>
      <c r="V18" s="268"/>
      <c r="X18" s="268"/>
      <c r="Z18" s="268"/>
      <c r="AA18" s="268"/>
      <c r="AB18" s="268"/>
      <c r="AC18" s="268">
        <v>0</v>
      </c>
      <c r="AD18" s="268"/>
      <c r="AE18" s="268"/>
      <c r="AF18" s="268">
        <v>0</v>
      </c>
      <c r="AH18" s="607">
        <v>5369.91</v>
      </c>
      <c r="AI18" s="268">
        <v>0</v>
      </c>
      <c r="AJ18" s="268"/>
      <c r="AK18" s="268"/>
      <c r="AL18" s="268"/>
      <c r="AM18" s="268"/>
      <c r="AN18" s="268"/>
      <c r="AO18" s="268"/>
      <c r="AP18" s="268"/>
      <c r="AQ18" s="268"/>
      <c r="AR18" s="268"/>
      <c r="AS18" s="268"/>
      <c r="AT18" s="268"/>
      <c r="AU18" s="268"/>
      <c r="AV18" s="268"/>
      <c r="AW18" s="275"/>
      <c r="AX18" s="268"/>
      <c r="AY18" s="268"/>
      <c r="AZ18" s="268"/>
      <c r="BA18" s="268"/>
      <c r="BB18" s="268"/>
      <c r="BC18" s="268"/>
      <c r="BD18" s="268"/>
      <c r="BE18" s="268"/>
      <c r="BF18" s="268"/>
      <c r="BG18" s="268"/>
      <c r="BH18" s="268"/>
      <c r="BI18" s="268"/>
      <c r="BJ18" s="268"/>
      <c r="BK18" s="268"/>
      <c r="BL18" s="268"/>
      <c r="BM18" s="268"/>
      <c r="BN18" s="268"/>
      <c r="BV18" s="583"/>
      <c r="CZ18" s="351"/>
    </row>
    <row r="19" spans="1:104" s="211" customFormat="1" ht="15" outlineLevel="1">
      <c r="A19" s="323"/>
      <c r="B19" s="519" t="s">
        <v>56</v>
      </c>
      <c r="C19" s="211" t="s">
        <v>0</v>
      </c>
      <c r="F19" s="268"/>
      <c r="G19" s="268"/>
      <c r="H19" s="268"/>
      <c r="I19" s="268"/>
      <c r="J19" s="268"/>
      <c r="K19" s="268"/>
      <c r="L19" s="268"/>
      <c r="M19" s="268"/>
      <c r="O19" s="268"/>
      <c r="P19" s="268"/>
      <c r="Q19" s="268"/>
      <c r="R19" s="268"/>
      <c r="S19" s="268"/>
      <c r="T19" s="268"/>
      <c r="U19" s="268"/>
      <c r="V19" s="268"/>
      <c r="W19" s="268"/>
      <c r="X19" s="268"/>
      <c r="Y19" s="268"/>
      <c r="Z19" s="268"/>
      <c r="AA19" s="268"/>
      <c r="AB19" s="268"/>
      <c r="AC19" s="268"/>
      <c r="AD19" s="268"/>
      <c r="AE19" s="268"/>
      <c r="AF19" s="268"/>
      <c r="AG19" s="268"/>
      <c r="AH19" s="268"/>
      <c r="AI19" s="268"/>
      <c r="AJ19" s="268"/>
      <c r="AK19" s="268"/>
      <c r="AL19" s="268"/>
      <c r="AM19" s="268"/>
      <c r="AN19" s="268"/>
      <c r="AO19" s="268"/>
      <c r="AP19" s="268"/>
      <c r="AQ19" s="268"/>
      <c r="AR19" s="268"/>
      <c r="AS19" s="268"/>
      <c r="AT19" s="268"/>
      <c r="AU19" s="268"/>
      <c r="AV19" s="268"/>
      <c r="AW19" s="275"/>
      <c r="AX19" s="268"/>
      <c r="AY19" s="268"/>
      <c r="AZ19" s="268"/>
      <c r="BA19" s="268"/>
      <c r="BB19" s="268"/>
      <c r="BC19" s="268"/>
      <c r="BD19" s="268"/>
      <c r="BE19" s="268"/>
      <c r="BF19" s="268"/>
      <c r="BG19" s="268"/>
      <c r="BH19" s="268"/>
      <c r="BI19" s="268"/>
      <c r="BJ19" s="268"/>
      <c r="BK19" s="268"/>
      <c r="BL19" s="268"/>
      <c r="BM19" s="268"/>
      <c r="BN19" s="268"/>
      <c r="BV19" s="583"/>
      <c r="CZ19" s="351"/>
    </row>
    <row r="20" spans="1:104" s="211" customFormat="1" ht="15" outlineLevel="1">
      <c r="A20" s="323"/>
      <c r="B20" s="519" t="s">
        <v>57</v>
      </c>
      <c r="C20" s="211" t="s">
        <v>0</v>
      </c>
      <c r="F20" s="268"/>
      <c r="G20" s="268"/>
      <c r="H20" s="268"/>
      <c r="I20" s="268"/>
      <c r="J20" s="268"/>
      <c r="K20" s="268"/>
      <c r="L20" s="268"/>
      <c r="M20" s="268"/>
      <c r="N20" s="268"/>
      <c r="O20" s="268"/>
      <c r="P20" s="268"/>
      <c r="Q20" s="268"/>
      <c r="R20" s="268"/>
      <c r="S20" s="268"/>
      <c r="T20" s="268"/>
      <c r="U20" s="268"/>
      <c r="V20" s="268"/>
      <c r="W20" s="268"/>
      <c r="X20" s="268"/>
      <c r="Y20" s="268"/>
      <c r="Z20" s="268"/>
      <c r="AA20" s="268"/>
      <c r="AB20" s="268">
        <v>0</v>
      </c>
      <c r="AC20" s="268"/>
      <c r="AD20" s="268"/>
      <c r="AE20" s="268"/>
      <c r="AF20" s="268"/>
      <c r="AG20" s="268"/>
      <c r="AH20" s="268"/>
      <c r="AK20" s="268"/>
      <c r="AL20" s="268"/>
      <c r="AM20" s="268"/>
      <c r="AN20" s="268"/>
      <c r="AP20" s="268"/>
      <c r="AR20" s="268"/>
      <c r="AS20" s="268"/>
      <c r="AT20" s="268"/>
      <c r="AU20" s="268"/>
      <c r="AV20" s="268"/>
      <c r="AW20" s="275"/>
      <c r="AX20" s="268"/>
      <c r="AY20" s="268"/>
      <c r="AZ20" s="268"/>
      <c r="BA20" s="268"/>
      <c r="BC20" s="268"/>
      <c r="BD20" s="268"/>
      <c r="BF20" s="268"/>
      <c r="BH20" s="268"/>
      <c r="BI20" s="269">
        <v>4921.67</v>
      </c>
      <c r="BJ20" s="268"/>
      <c r="BK20" s="268"/>
      <c r="BL20" s="268"/>
      <c r="BM20" s="268"/>
      <c r="BN20" s="268"/>
      <c r="BV20" s="583"/>
      <c r="CZ20" s="351"/>
    </row>
    <row r="21" spans="1:104" s="211" customFormat="1" ht="15" outlineLevel="1">
      <c r="A21" s="323"/>
      <c r="B21" s="519" t="s">
        <v>763</v>
      </c>
      <c r="F21" s="268"/>
      <c r="G21" s="268"/>
      <c r="H21" s="268"/>
      <c r="I21" s="268"/>
      <c r="J21" s="268"/>
      <c r="K21" s="268"/>
      <c r="L21" s="268"/>
      <c r="M21" s="268"/>
      <c r="N21" s="268"/>
      <c r="O21" s="268"/>
      <c r="P21" s="268"/>
      <c r="Q21" s="268"/>
      <c r="R21" s="268"/>
      <c r="S21" s="268"/>
      <c r="T21" s="268"/>
      <c r="U21" s="268"/>
      <c r="V21" s="268"/>
      <c r="W21" s="268"/>
      <c r="X21" s="268"/>
      <c r="Y21" s="268"/>
      <c r="Z21" s="268"/>
      <c r="AA21" s="268"/>
      <c r="AB21" s="268"/>
      <c r="AC21" s="268"/>
      <c r="AD21" s="268"/>
      <c r="AE21" s="268"/>
      <c r="AF21" s="268"/>
      <c r="AG21" s="268"/>
      <c r="AH21" s="268"/>
      <c r="AK21" s="268"/>
      <c r="AL21" s="268"/>
      <c r="AM21" s="268"/>
      <c r="AN21" s="268"/>
      <c r="AP21" s="268"/>
      <c r="AR21" s="268"/>
      <c r="AS21" s="268"/>
      <c r="AT21" s="268"/>
      <c r="AU21" s="268"/>
      <c r="AV21" s="268"/>
      <c r="AW21" s="275"/>
      <c r="AX21" s="268"/>
      <c r="AY21" s="268"/>
      <c r="AZ21" s="268"/>
      <c r="BA21" s="268"/>
      <c r="BC21" s="268"/>
      <c r="BD21" s="268"/>
      <c r="BE21" s="269">
        <v>2362.5</v>
      </c>
      <c r="BF21" s="268"/>
      <c r="BG21" s="268"/>
      <c r="BH21" s="268"/>
      <c r="BI21" s="268"/>
      <c r="BJ21" s="268"/>
      <c r="BK21" s="268"/>
      <c r="BL21" s="268"/>
      <c r="BM21" s="268"/>
      <c r="BN21" s="268"/>
      <c r="BV21" s="583"/>
      <c r="CZ21" s="351"/>
    </row>
    <row r="22" spans="1:104" s="211" customFormat="1" ht="15" outlineLevel="1">
      <c r="A22" s="323"/>
      <c r="B22" s="519" t="s">
        <v>764</v>
      </c>
      <c r="F22" s="268"/>
      <c r="G22" s="268"/>
      <c r="H22" s="268"/>
      <c r="I22" s="268"/>
      <c r="J22" s="268"/>
      <c r="K22" s="268"/>
      <c r="L22" s="268"/>
      <c r="M22" s="268"/>
      <c r="N22" s="268"/>
      <c r="O22" s="268"/>
      <c r="P22" s="268"/>
      <c r="Q22" s="268"/>
      <c r="R22" s="268"/>
      <c r="S22" s="268"/>
      <c r="T22" s="268"/>
      <c r="U22" s="268"/>
      <c r="V22" s="268"/>
      <c r="W22" s="268"/>
      <c r="X22" s="268"/>
      <c r="Y22" s="268"/>
      <c r="Z22" s="268"/>
      <c r="AA22" s="268"/>
      <c r="AB22" s="268"/>
      <c r="AC22" s="268"/>
      <c r="AD22" s="268"/>
      <c r="AE22" s="268"/>
      <c r="AF22" s="268"/>
      <c r="AG22" s="268"/>
      <c r="AH22" s="268"/>
      <c r="AI22" s="268"/>
      <c r="AJ22" s="268"/>
      <c r="AK22" s="268"/>
      <c r="AL22" s="268"/>
      <c r="AM22" s="268"/>
      <c r="AN22" s="268"/>
      <c r="AP22" s="268"/>
      <c r="AQ22" s="268"/>
      <c r="AW22" s="569"/>
      <c r="BC22" s="268"/>
      <c r="BD22" s="268"/>
      <c r="BF22" s="268"/>
      <c r="BI22" s="268"/>
      <c r="BJ22" s="268"/>
      <c r="BK22" s="268"/>
      <c r="BL22" s="268"/>
      <c r="BN22" s="268"/>
      <c r="BV22" s="583"/>
      <c r="CA22" s="558">
        <f>Retention!I56</f>
        <v>42000</v>
      </c>
      <c r="CZ22" s="351"/>
    </row>
    <row r="23" spans="1:104" s="211" customFormat="1" ht="15" outlineLevel="1">
      <c r="A23" s="323"/>
      <c r="B23" s="519" t="s">
        <v>794</v>
      </c>
      <c r="F23" s="268"/>
      <c r="G23" s="268"/>
      <c r="H23" s="268"/>
      <c r="I23" s="268"/>
      <c r="J23" s="268"/>
      <c r="K23" s="268"/>
      <c r="L23" s="268"/>
      <c r="M23" s="268"/>
      <c r="N23" s="268"/>
      <c r="O23" s="268"/>
      <c r="P23" s="268"/>
      <c r="Q23" s="268"/>
      <c r="R23" s="268"/>
      <c r="S23" s="268"/>
      <c r="T23" s="268"/>
      <c r="U23" s="268"/>
      <c r="V23" s="268"/>
      <c r="W23" s="268"/>
      <c r="X23" s="268"/>
      <c r="Y23" s="268"/>
      <c r="Z23" s="268"/>
      <c r="AA23" s="268"/>
      <c r="AB23" s="268"/>
      <c r="AC23" s="268"/>
      <c r="AD23" s="268"/>
      <c r="AE23" s="268"/>
      <c r="AF23" s="268"/>
      <c r="AG23" s="268"/>
      <c r="AH23" s="268"/>
      <c r="AI23" s="268"/>
      <c r="AJ23" s="268"/>
      <c r="AK23" s="268"/>
      <c r="AL23" s="268"/>
      <c r="AM23" s="268"/>
      <c r="AN23" s="268"/>
      <c r="AO23" s="268"/>
      <c r="AP23" s="268"/>
      <c r="AQ23" s="268"/>
      <c r="AR23" s="268"/>
      <c r="AS23" s="268"/>
      <c r="AT23" s="268"/>
      <c r="AU23" s="268"/>
      <c r="AV23" s="268"/>
      <c r="AW23" s="275"/>
      <c r="AX23" s="268"/>
      <c r="AY23" s="268"/>
      <c r="AZ23" s="268"/>
      <c r="BA23" s="268"/>
      <c r="BC23" s="268"/>
      <c r="BD23" s="268"/>
      <c r="BF23" s="268"/>
      <c r="BG23" s="268" t="s">
        <v>0</v>
      </c>
      <c r="BH23" s="268"/>
      <c r="BI23" s="268"/>
      <c r="BJ23" s="268"/>
      <c r="BK23" s="268"/>
      <c r="BL23" s="268"/>
      <c r="BN23" s="268"/>
      <c r="BV23" s="583"/>
      <c r="CA23" s="559">
        <f>Retention!J56</f>
        <v>11694.62</v>
      </c>
      <c r="CZ23" s="351"/>
    </row>
    <row r="24" spans="1:104" s="211" customFormat="1" ht="15" outlineLevel="1">
      <c r="A24" s="323"/>
      <c r="B24" s="519" t="s">
        <v>59</v>
      </c>
      <c r="F24" s="268"/>
      <c r="G24" s="268"/>
      <c r="H24" s="268"/>
      <c r="I24" s="268"/>
      <c r="J24" s="268"/>
      <c r="K24" s="268"/>
      <c r="L24" s="268"/>
      <c r="M24" s="268"/>
      <c r="N24" s="268"/>
      <c r="O24" s="268"/>
      <c r="P24" s="268"/>
      <c r="Q24" s="268"/>
      <c r="R24" s="268"/>
      <c r="S24" s="268"/>
      <c r="T24" s="268"/>
      <c r="U24" s="268"/>
      <c r="V24" s="268"/>
      <c r="W24" s="268" t="s">
        <v>0</v>
      </c>
      <c r="X24" s="268"/>
      <c r="Y24" s="268"/>
      <c r="Z24" s="268"/>
      <c r="AA24" s="268"/>
      <c r="AB24" s="268"/>
      <c r="AC24" s="268"/>
      <c r="AD24" s="268"/>
      <c r="AE24" s="268"/>
      <c r="AG24" s="268"/>
      <c r="AJ24" s="269">
        <f>26000-1400</f>
        <v>24600</v>
      </c>
      <c r="AK24" s="268"/>
      <c r="AL24" s="268"/>
      <c r="AM24" s="268"/>
      <c r="AN24" s="268"/>
      <c r="AO24" s="268"/>
      <c r="AP24" s="268"/>
      <c r="AQ24" s="268"/>
      <c r="AR24" s="268"/>
      <c r="AS24" s="268"/>
      <c r="AT24" s="268"/>
      <c r="AU24" s="268"/>
      <c r="AV24" s="268"/>
      <c r="AW24" s="275"/>
      <c r="AX24" s="268"/>
      <c r="AY24" s="268"/>
      <c r="AZ24" s="268"/>
      <c r="BA24" s="268"/>
      <c r="BB24" s="268"/>
      <c r="BC24" s="268"/>
      <c r="BD24" s="268"/>
      <c r="BE24" s="268"/>
      <c r="BF24" s="268"/>
      <c r="BG24" s="268"/>
      <c r="BH24" s="268"/>
      <c r="BI24" s="268"/>
      <c r="BJ24" s="268"/>
      <c r="BK24" s="268"/>
      <c r="BL24" s="268"/>
      <c r="BN24" s="268"/>
      <c r="BS24" s="268"/>
      <c r="BV24" s="583"/>
      <c r="CZ24" s="351"/>
    </row>
    <row r="25" spans="1:104" s="211" customFormat="1" ht="15" outlineLevel="1">
      <c r="A25" s="323"/>
      <c r="B25" s="519" t="s">
        <v>60</v>
      </c>
      <c r="F25" s="268"/>
      <c r="G25" s="268"/>
      <c r="H25" s="268"/>
      <c r="I25" s="268"/>
      <c r="J25" s="268"/>
      <c r="K25" s="268"/>
      <c r="L25" s="268"/>
      <c r="M25" s="268"/>
      <c r="N25" s="268"/>
      <c r="O25" s="268"/>
      <c r="P25" s="268"/>
      <c r="Q25" s="268"/>
      <c r="R25" s="268"/>
      <c r="S25" s="268"/>
      <c r="T25" s="268"/>
      <c r="U25" s="268"/>
      <c r="V25" s="268"/>
      <c r="W25" s="268"/>
      <c r="X25" s="268"/>
      <c r="Y25" s="268"/>
      <c r="Z25" s="268"/>
      <c r="AA25" s="268"/>
      <c r="AB25" s="268"/>
      <c r="AC25" s="268"/>
      <c r="AD25" s="268"/>
      <c r="AE25" s="268"/>
      <c r="AF25" s="268"/>
      <c r="AG25" s="268"/>
      <c r="AH25" s="268"/>
      <c r="AI25" s="268"/>
      <c r="AJ25" s="268"/>
      <c r="AK25" s="268"/>
      <c r="AL25" s="268"/>
      <c r="AM25" s="268"/>
      <c r="AN25" s="268"/>
      <c r="AO25" s="268"/>
      <c r="AP25" s="268"/>
      <c r="AQ25" s="268"/>
      <c r="AR25" s="268"/>
      <c r="AS25" s="268"/>
      <c r="AT25" s="268"/>
      <c r="AU25" s="268"/>
      <c r="AV25" s="268"/>
      <c r="AW25" s="275"/>
      <c r="AX25" s="268"/>
      <c r="AY25" s="268"/>
      <c r="AZ25" s="268"/>
      <c r="BA25" s="268"/>
      <c r="BB25" s="268"/>
      <c r="BC25" s="268"/>
      <c r="BD25" s="268"/>
      <c r="BE25" s="268"/>
      <c r="BF25" s="268"/>
      <c r="BG25" s="268"/>
      <c r="BH25" s="268"/>
      <c r="BI25" s="268"/>
      <c r="BJ25" s="268"/>
      <c r="BK25" s="268"/>
      <c r="BL25" s="268"/>
      <c r="BM25" s="268"/>
      <c r="BN25" s="268"/>
      <c r="BV25" s="583"/>
      <c r="CZ25" s="351"/>
    </row>
    <row r="26" spans="1:104" s="211" customFormat="1" ht="15" outlineLevel="1">
      <c r="A26" s="323"/>
      <c r="B26" s="519" t="s">
        <v>61</v>
      </c>
      <c r="F26" s="268"/>
      <c r="G26" s="268"/>
      <c r="H26" s="268"/>
      <c r="I26" s="268"/>
      <c r="J26" s="268"/>
      <c r="K26" s="268"/>
      <c r="L26" s="268"/>
      <c r="M26" s="268"/>
      <c r="N26" s="268"/>
      <c r="O26" s="268"/>
      <c r="P26" s="268"/>
      <c r="Q26" s="268"/>
      <c r="R26" s="268"/>
      <c r="S26" s="268"/>
      <c r="T26" s="269">
        <v>6396</v>
      </c>
      <c r="U26" s="268"/>
      <c r="V26" s="268"/>
      <c r="W26" s="268"/>
      <c r="X26" s="268"/>
      <c r="Y26" s="268"/>
      <c r="Z26" s="268"/>
      <c r="AA26" s="268"/>
      <c r="AB26" s="268"/>
      <c r="AC26" s="268"/>
      <c r="AD26" s="268"/>
      <c r="AE26" s="268"/>
      <c r="AF26" s="268"/>
      <c r="AG26" s="268"/>
      <c r="AH26" s="268"/>
      <c r="AI26" s="268"/>
      <c r="AJ26" s="268"/>
      <c r="AK26" s="268"/>
      <c r="AL26" s="268"/>
      <c r="AM26" s="268"/>
      <c r="AN26" s="268"/>
      <c r="AO26" s="268"/>
      <c r="AP26" s="268"/>
      <c r="AQ26" s="268"/>
      <c r="AR26" s="268"/>
      <c r="AS26" s="268"/>
      <c r="AT26" s="268"/>
      <c r="AU26" s="268"/>
      <c r="AV26" s="268"/>
      <c r="AW26" s="275"/>
      <c r="AX26" s="268"/>
      <c r="AY26" s="268"/>
      <c r="AZ26" s="268"/>
      <c r="BA26" s="268"/>
      <c r="BB26" s="268"/>
      <c r="BC26" s="268"/>
      <c r="BD26" s="268"/>
      <c r="BE26" s="268"/>
      <c r="BF26" s="268"/>
      <c r="BG26" s="268"/>
      <c r="BH26" s="268"/>
      <c r="BI26" s="268"/>
      <c r="BJ26" s="268"/>
      <c r="BK26" s="268"/>
      <c r="BL26" s="268"/>
      <c r="BM26" s="268"/>
      <c r="BN26" s="268"/>
      <c r="BV26" s="583"/>
      <c r="CZ26" s="351"/>
    </row>
    <row r="27" spans="1:104" s="211" customFormat="1" ht="15" outlineLevel="1">
      <c r="A27" s="323"/>
      <c r="B27" s="519" t="s">
        <v>62</v>
      </c>
      <c r="F27" s="268"/>
      <c r="G27" s="268"/>
      <c r="H27" s="269">
        <f>18250*0.8</f>
        <v>14600</v>
      </c>
      <c r="I27" s="268"/>
      <c r="J27" s="268"/>
      <c r="K27" s="268"/>
      <c r="L27" s="268"/>
      <c r="M27" s="268"/>
      <c r="N27" s="268"/>
      <c r="O27" s="268"/>
      <c r="P27" s="268"/>
      <c r="Q27" s="268"/>
      <c r="R27" s="268"/>
      <c r="S27" s="268"/>
      <c r="T27" s="268"/>
      <c r="U27" s="268"/>
      <c r="V27" s="268"/>
      <c r="W27" s="268"/>
      <c r="X27" s="268"/>
      <c r="Y27" s="268"/>
      <c r="Z27" s="268"/>
      <c r="AA27" s="268"/>
      <c r="AB27" s="268"/>
      <c r="AC27" s="268"/>
      <c r="AD27" s="268"/>
      <c r="AE27" s="268"/>
      <c r="AF27" s="268"/>
      <c r="AG27" s="268"/>
      <c r="AH27" s="268"/>
      <c r="AI27" s="268"/>
      <c r="AJ27" s="268"/>
      <c r="AK27" s="268"/>
      <c r="AL27" s="268"/>
      <c r="AM27" s="268"/>
      <c r="AN27" s="268"/>
      <c r="AO27" s="268"/>
      <c r="AP27" s="268"/>
      <c r="AQ27" s="268"/>
      <c r="AR27" s="268"/>
      <c r="AS27" s="268"/>
      <c r="AT27" s="268"/>
      <c r="AU27" s="268"/>
      <c r="AV27" s="268"/>
      <c r="AW27" s="275"/>
      <c r="AX27" s="268"/>
      <c r="AY27" s="268"/>
      <c r="AZ27" s="268"/>
      <c r="BA27" s="268"/>
      <c r="BB27" s="268"/>
      <c r="BC27" s="268"/>
      <c r="BD27" s="268"/>
      <c r="BE27" s="268"/>
      <c r="BF27" s="268"/>
      <c r="BG27" s="268"/>
      <c r="BH27" s="268"/>
      <c r="BI27" s="268"/>
      <c r="BJ27" s="268"/>
      <c r="BK27" s="268"/>
      <c r="BL27" s="268"/>
      <c r="BM27" s="268"/>
      <c r="BN27" s="268"/>
      <c r="BO27" s="211" t="s">
        <v>0</v>
      </c>
      <c r="BV27" s="583"/>
      <c r="CZ27" s="351"/>
    </row>
    <row r="28" spans="1:104" s="211" customFormat="1">
      <c r="A28" s="323"/>
      <c r="B28" s="519"/>
      <c r="F28" s="268"/>
      <c r="G28" s="268"/>
      <c r="H28" s="268"/>
      <c r="I28" s="268"/>
      <c r="J28" s="268"/>
      <c r="K28" s="268"/>
      <c r="L28" s="268"/>
      <c r="M28" s="268"/>
      <c r="N28" s="268"/>
      <c r="O28" s="268"/>
      <c r="P28" s="268"/>
      <c r="Q28" s="268"/>
      <c r="R28" s="268"/>
      <c r="S28" s="268"/>
      <c r="T28" s="268"/>
      <c r="U28" s="268"/>
      <c r="V28" s="268"/>
      <c r="W28" s="268"/>
      <c r="X28" s="268"/>
      <c r="Y28" s="268"/>
      <c r="Z28" s="268"/>
      <c r="AA28" s="268"/>
      <c r="AB28" s="268"/>
      <c r="AC28" s="268"/>
      <c r="AD28" s="268"/>
      <c r="AE28" s="268"/>
      <c r="AF28" s="268"/>
      <c r="AG28" s="268"/>
      <c r="AH28" s="268"/>
      <c r="AI28" s="268"/>
      <c r="AJ28" s="268"/>
      <c r="AK28" s="268"/>
      <c r="AL28" s="268"/>
      <c r="AM28" s="268"/>
      <c r="AN28" s="268"/>
      <c r="AO28" s="268"/>
      <c r="AP28" s="268"/>
      <c r="AQ28" s="268"/>
      <c r="AR28" s="268"/>
      <c r="AS28" s="268"/>
      <c r="AT28" s="268"/>
      <c r="AU28" s="268"/>
      <c r="AV28" s="268"/>
      <c r="AW28" s="275"/>
      <c r="AX28" s="268"/>
      <c r="AY28" s="268"/>
      <c r="AZ28" s="268"/>
      <c r="BA28" s="268"/>
      <c r="BB28" s="268"/>
      <c r="BC28" s="268"/>
      <c r="BD28" s="268"/>
      <c r="BE28" s="268"/>
      <c r="BF28" s="268"/>
      <c r="BG28" s="268"/>
      <c r="BH28" s="268"/>
      <c r="BI28" s="268"/>
      <c r="BJ28" s="268"/>
      <c r="BK28" s="268"/>
      <c r="BL28" s="268"/>
      <c r="BM28" s="268"/>
      <c r="BN28" s="268"/>
      <c r="BV28" s="583"/>
      <c r="CZ28" s="351"/>
    </row>
    <row r="29" spans="1:104" ht="15">
      <c r="A29" s="648"/>
      <c r="B29" s="611" t="s">
        <v>63</v>
      </c>
      <c r="C29" s="560" t="s">
        <v>64</v>
      </c>
      <c r="D29" s="560" t="s">
        <v>65</v>
      </c>
      <c r="E29" s="560" t="s">
        <v>737</v>
      </c>
      <c r="F29" s="268"/>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8"/>
      <c r="AP29" s="268"/>
      <c r="AQ29" s="268"/>
      <c r="AR29" s="268"/>
      <c r="AS29" s="268"/>
      <c r="AT29" s="268"/>
      <c r="AU29" s="268"/>
      <c r="AV29" s="268"/>
      <c r="AW29" s="275"/>
      <c r="AX29" s="268"/>
      <c r="AY29" s="268"/>
      <c r="AZ29" s="268"/>
      <c r="BA29" s="268"/>
      <c r="BB29" s="268"/>
      <c r="BC29" s="268"/>
      <c r="BD29" s="268"/>
      <c r="BE29" s="268"/>
      <c r="BF29" s="268"/>
      <c r="BG29" s="268"/>
      <c r="BH29" s="268"/>
      <c r="BI29" s="268"/>
      <c r="BJ29" s="268"/>
      <c r="BK29" s="268"/>
      <c r="BL29" s="268"/>
      <c r="BM29" s="268"/>
      <c r="BN29" s="268"/>
      <c r="BV29" s="584"/>
      <c r="CZ29" s="207"/>
    </row>
    <row r="30" spans="1:104" ht="15">
      <c r="A30" s="648"/>
      <c r="B30" s="282" t="s">
        <v>808</v>
      </c>
      <c r="E30" s="560"/>
      <c r="F30" s="268"/>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8"/>
      <c r="AP30" s="268"/>
      <c r="AQ30" s="268"/>
      <c r="AR30" s="268"/>
      <c r="AS30" s="268"/>
      <c r="AT30" s="268"/>
      <c r="AU30" s="268"/>
      <c r="AV30" s="268"/>
      <c r="AW30" s="275"/>
      <c r="AX30" s="268"/>
      <c r="AY30" s="268"/>
      <c r="AZ30" s="268"/>
      <c r="BA30" s="268"/>
      <c r="BB30" s="268"/>
      <c r="BC30" s="268"/>
      <c r="BD30" s="268"/>
      <c r="BE30" s="268"/>
      <c r="BF30" s="268"/>
      <c r="BG30" s="268"/>
      <c r="BH30" s="268"/>
      <c r="BI30" s="268"/>
      <c r="BJ30" s="268"/>
      <c r="BK30" s="268"/>
      <c r="BL30" s="268"/>
      <c r="BM30" s="268"/>
      <c r="BN30" s="268"/>
      <c r="BV30" s="584"/>
      <c r="CC30" s="559">
        <v>20000</v>
      </c>
      <c r="CI30" s="559">
        <v>80000</v>
      </c>
      <c r="CM30" s="559">
        <v>80000</v>
      </c>
      <c r="CN30" s="268"/>
      <c r="CO30" s="268"/>
      <c r="CP30" s="268"/>
      <c r="CQ30" s="268"/>
      <c r="CZ30" s="207"/>
    </row>
    <row r="31" spans="1:104" ht="15">
      <c r="A31" s="648"/>
      <c r="B31" s="282" t="s">
        <v>809</v>
      </c>
      <c r="C31" s="263">
        <v>2550000</v>
      </c>
      <c r="D31" s="263">
        <f>C31*0.975</f>
        <v>2486250</v>
      </c>
      <c r="E31" s="560"/>
      <c r="F31" s="268"/>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c r="AU31" s="268"/>
      <c r="AV31" s="268"/>
      <c r="AW31" s="275"/>
      <c r="AX31" s="268"/>
      <c r="AY31" s="268"/>
      <c r="AZ31" s="268"/>
      <c r="BA31" s="268"/>
      <c r="BB31" s="268"/>
      <c r="BC31" s="268"/>
      <c r="BD31" s="268"/>
      <c r="BE31" s="268"/>
      <c r="BF31" s="268"/>
      <c r="BG31" s="268"/>
      <c r="BH31" s="268"/>
      <c r="BI31" s="268"/>
      <c r="BJ31" s="268"/>
      <c r="BK31" s="268"/>
      <c r="BL31" s="268"/>
      <c r="BM31" s="268"/>
      <c r="BN31" s="268"/>
      <c r="BV31" s="584"/>
      <c r="CD31" s="268"/>
      <c r="CI31" s="268"/>
      <c r="CM31" s="268"/>
      <c r="CN31" s="268"/>
      <c r="CO31" s="268"/>
      <c r="CP31" s="268"/>
      <c r="CQ31" s="559">
        <v>300000</v>
      </c>
      <c r="CR31" s="559">
        <v>300000</v>
      </c>
      <c r="CS31" s="559">
        <v>300000</v>
      </c>
      <c r="CT31" s="559">
        <v>300000</v>
      </c>
      <c r="CU31" s="559">
        <v>300000</v>
      </c>
      <c r="CV31" s="559">
        <v>300000</v>
      </c>
      <c r="CW31" s="559">
        <v>300000</v>
      </c>
      <c r="CX31" s="559">
        <v>206000</v>
      </c>
      <c r="CZ31" s="207"/>
    </row>
    <row r="32" spans="1:104" ht="15">
      <c r="A32" s="648"/>
      <c r="B32" s="299" t="s">
        <v>66</v>
      </c>
      <c r="C32" s="263">
        <v>348000</v>
      </c>
      <c r="D32" s="211">
        <v>200000</v>
      </c>
      <c r="E32" s="211"/>
      <c r="F32" s="268"/>
      <c r="G32" s="268"/>
      <c r="H32" s="268"/>
      <c r="I32" s="268"/>
      <c r="J32" s="269">
        <f>50000*0.8</f>
        <v>40000</v>
      </c>
      <c r="K32" s="269">
        <f>40000*0.8</f>
        <v>32000</v>
      </c>
      <c r="M32" s="268" t="s">
        <v>0</v>
      </c>
      <c r="O32" s="268"/>
      <c r="P32" s="269">
        <v>20000</v>
      </c>
      <c r="Q32" s="269">
        <v>20000</v>
      </c>
      <c r="R32" s="269">
        <v>20000</v>
      </c>
      <c r="S32" s="269">
        <v>20000</v>
      </c>
      <c r="T32" s="268">
        <v>0</v>
      </c>
      <c r="U32" s="269">
        <v>25000</v>
      </c>
      <c r="W32" s="268" t="s">
        <v>0</v>
      </c>
      <c r="X32" s="268"/>
      <c r="Y32" s="268"/>
      <c r="Z32" s="268"/>
      <c r="AA32" s="268">
        <v>0</v>
      </c>
      <c r="AB32" s="268" t="s">
        <v>0</v>
      </c>
      <c r="AC32" s="268">
        <v>0</v>
      </c>
      <c r="AD32" s="269">
        <v>30000</v>
      </c>
      <c r="AH32" s="268">
        <v>0</v>
      </c>
      <c r="AJ32" s="268" t="s">
        <v>0</v>
      </c>
      <c r="AK32" s="268" t="s">
        <v>0</v>
      </c>
      <c r="AM32" s="268" t="s">
        <v>0</v>
      </c>
      <c r="AN32" s="269">
        <f>18605.41+23000</f>
        <v>41605.410000000003</v>
      </c>
      <c r="AO32" s="268"/>
      <c r="AP32" s="268"/>
      <c r="AQ32" s="268" t="s">
        <v>0</v>
      </c>
      <c r="AR32" s="268" t="s">
        <v>0</v>
      </c>
      <c r="AS32" s="268"/>
      <c r="AT32" s="268"/>
      <c r="AU32" s="268"/>
      <c r="AV32" s="268"/>
      <c r="AW32" s="275"/>
      <c r="AX32" s="268"/>
      <c r="AY32" s="268"/>
      <c r="AZ32" s="268"/>
      <c r="BA32" s="268"/>
      <c r="BB32" s="268"/>
      <c r="BC32" s="268"/>
      <c r="BD32" s="268"/>
      <c r="BE32" s="268"/>
      <c r="BF32" s="268"/>
      <c r="BG32" s="268"/>
      <c r="BH32" s="268"/>
      <c r="BI32" s="268"/>
      <c r="BJ32" s="268"/>
      <c r="BK32" s="268"/>
      <c r="BL32" s="268"/>
      <c r="BM32" s="268"/>
      <c r="BN32" s="268"/>
      <c r="BV32" s="584"/>
      <c r="CZ32" s="207"/>
    </row>
    <row r="33" spans="1:104" ht="15">
      <c r="A33" s="648"/>
      <c r="B33" s="299" t="s">
        <v>67</v>
      </c>
      <c r="C33" s="263"/>
      <c r="D33" s="211">
        <v>23437</v>
      </c>
      <c r="E33" s="211">
        <f>D33*0.95</f>
        <v>22265.149999999998</v>
      </c>
      <c r="F33" s="268"/>
      <c r="G33" s="268"/>
      <c r="H33" s="268"/>
      <c r="I33" s="268"/>
      <c r="J33" s="268"/>
      <c r="K33" s="268"/>
      <c r="M33" s="268"/>
      <c r="O33" s="268"/>
      <c r="P33" s="268"/>
      <c r="Q33" s="268"/>
      <c r="R33" s="268"/>
      <c r="S33" s="268"/>
      <c r="T33" s="268"/>
      <c r="U33" s="268"/>
      <c r="V33" s="268"/>
      <c r="W33" s="268"/>
      <c r="X33" s="268"/>
      <c r="Y33" s="268"/>
      <c r="Z33" s="268"/>
      <c r="AA33" s="268"/>
      <c r="AB33" s="268"/>
      <c r="AC33" s="268"/>
      <c r="AD33" s="268"/>
      <c r="AG33" s="269">
        <f>15317*0.95</f>
        <v>14551.15</v>
      </c>
      <c r="AK33" s="268"/>
      <c r="AL33" s="268"/>
      <c r="AM33" s="268"/>
      <c r="AO33" s="268"/>
      <c r="AP33" s="268"/>
      <c r="AQ33" s="268"/>
      <c r="AR33" s="268"/>
      <c r="AS33" s="268"/>
      <c r="AT33" s="268"/>
      <c r="AU33" s="268"/>
      <c r="AW33" s="310">
        <v>7743</v>
      </c>
      <c r="AX33" s="268"/>
      <c r="AY33" s="268"/>
      <c r="AZ33" s="268"/>
      <c r="BA33" s="268"/>
      <c r="BB33" s="268"/>
      <c r="BC33" s="268"/>
      <c r="BD33" s="268"/>
      <c r="BE33" s="268"/>
      <c r="BF33" s="268"/>
      <c r="BG33" s="268"/>
      <c r="BH33" s="268"/>
      <c r="BI33" s="268"/>
      <c r="BJ33" s="268"/>
      <c r="BK33" s="268"/>
      <c r="BL33" s="268"/>
      <c r="BM33" s="268"/>
      <c r="BN33" s="268"/>
      <c r="BR33" s="269">
        <v>9500</v>
      </c>
      <c r="BS33" s="268" t="s">
        <v>0</v>
      </c>
      <c r="BV33" s="584"/>
      <c r="BX33" s="268">
        <v>3000</v>
      </c>
      <c r="CZ33" s="207"/>
    </row>
    <row r="34" spans="1:104" ht="15">
      <c r="A34" s="648"/>
      <c r="B34" s="299" t="s">
        <v>782</v>
      </c>
      <c r="C34" s="263"/>
      <c r="D34" s="211"/>
      <c r="E34" s="211"/>
      <c r="F34" s="268"/>
      <c r="G34" s="268"/>
      <c r="H34" s="268"/>
      <c r="I34" s="268"/>
      <c r="J34" s="268"/>
      <c r="K34" s="268"/>
      <c r="M34" s="268"/>
      <c r="O34" s="268"/>
      <c r="P34" s="268"/>
      <c r="Q34" s="268"/>
      <c r="R34" s="268"/>
      <c r="S34" s="268"/>
      <c r="T34" s="268"/>
      <c r="U34" s="268"/>
      <c r="V34" s="268"/>
      <c r="W34" s="268"/>
      <c r="X34" s="268"/>
      <c r="Y34" s="268"/>
      <c r="Z34" s="268"/>
      <c r="AA34" s="268"/>
      <c r="AB34" s="268"/>
      <c r="AC34" s="268"/>
      <c r="AD34" s="268"/>
      <c r="AG34" s="269"/>
      <c r="AK34" s="268"/>
      <c r="AL34" s="268"/>
      <c r="AM34" s="268"/>
      <c r="AO34" s="268"/>
      <c r="AP34" s="268"/>
      <c r="AQ34" s="268"/>
      <c r="AR34" s="268"/>
      <c r="AS34" s="268"/>
      <c r="AT34" s="268"/>
      <c r="AU34" s="268"/>
      <c r="AW34" s="310"/>
      <c r="AX34" s="268"/>
      <c r="AY34" s="268"/>
      <c r="AZ34" s="268"/>
      <c r="BA34" s="268"/>
      <c r="BB34" s="268"/>
      <c r="BC34" s="268"/>
      <c r="BD34" s="268"/>
      <c r="BE34" s="268"/>
      <c r="BF34" s="268"/>
      <c r="BG34" s="268"/>
      <c r="BH34" s="268"/>
      <c r="BI34" s="268"/>
      <c r="BJ34" s="269">
        <v>2137.6</v>
      </c>
      <c r="BK34" s="268"/>
      <c r="BL34" s="268"/>
      <c r="BM34" s="268"/>
      <c r="BN34" s="268"/>
      <c r="BV34" s="584"/>
      <c r="CZ34" s="207"/>
    </row>
    <row r="35" spans="1:104" ht="15">
      <c r="A35" s="648"/>
      <c r="B35" s="299" t="s">
        <v>68</v>
      </c>
      <c r="C35" s="263"/>
      <c r="D35" s="211">
        <v>11000</v>
      </c>
      <c r="E35" s="211"/>
      <c r="F35" s="268"/>
      <c r="G35" s="268"/>
      <c r="H35" s="268"/>
      <c r="I35" s="268"/>
      <c r="J35" s="268"/>
      <c r="K35" s="268"/>
      <c r="M35" s="268"/>
      <c r="N35" s="268"/>
      <c r="O35" s="268"/>
      <c r="P35" s="268"/>
      <c r="Q35" s="268"/>
      <c r="R35" s="268" t="s">
        <v>0</v>
      </c>
      <c r="S35" s="268"/>
      <c r="T35" s="268" t="s">
        <v>0</v>
      </c>
      <c r="U35" s="268">
        <v>0</v>
      </c>
      <c r="V35" s="268"/>
      <c r="W35" s="268"/>
      <c r="Y35" s="268"/>
      <c r="AA35" s="268"/>
      <c r="AB35" s="268">
        <v>0</v>
      </c>
      <c r="AC35" s="268"/>
      <c r="AD35" s="268"/>
      <c r="AF35" s="268">
        <v>0</v>
      </c>
      <c r="AG35" s="268">
        <v>0</v>
      </c>
      <c r="AI35" s="269">
        <f>10000-300</f>
        <v>9700</v>
      </c>
      <c r="AJ35" s="268"/>
      <c r="AK35" s="268"/>
      <c r="AL35" s="268"/>
      <c r="AM35" s="268"/>
      <c r="AN35" s="268"/>
      <c r="AO35" s="268"/>
      <c r="AP35" s="268"/>
      <c r="AQ35" s="268"/>
      <c r="AR35" s="268"/>
      <c r="AS35" s="268"/>
      <c r="AT35" s="268"/>
      <c r="AU35" s="268"/>
      <c r="AV35" s="268"/>
      <c r="AW35" s="275"/>
      <c r="AX35" s="268"/>
      <c r="AY35" s="268"/>
      <c r="AZ35" s="268"/>
      <c r="BA35" s="268"/>
      <c r="BB35" s="268"/>
      <c r="BC35" s="268"/>
      <c r="BD35" s="268"/>
      <c r="BE35" s="268"/>
      <c r="BF35" s="268"/>
      <c r="BG35" s="268"/>
      <c r="BH35" s="268"/>
      <c r="BI35" s="268"/>
      <c r="BJ35" s="268"/>
      <c r="BK35" s="268"/>
      <c r="BL35" s="268"/>
      <c r="BM35" s="268"/>
      <c r="BN35" s="268"/>
      <c r="BV35" s="584"/>
      <c r="CZ35" s="207"/>
    </row>
    <row r="36" spans="1:104" ht="13.5" customHeight="1">
      <c r="A36" s="648"/>
      <c r="B36" s="299" t="s">
        <v>69</v>
      </c>
      <c r="C36" s="263">
        <v>28658</v>
      </c>
      <c r="D36" s="211">
        <f>'Job Calculations'!F85</f>
        <v>21780.080000000002</v>
      </c>
      <c r="E36" s="211"/>
      <c r="F36" s="268"/>
      <c r="G36" s="268"/>
      <c r="H36" s="268"/>
      <c r="I36" s="268"/>
      <c r="J36" s="268"/>
      <c r="L36" s="269">
        <f>D36</f>
        <v>21780.080000000002</v>
      </c>
      <c r="M36" s="268"/>
      <c r="N36" s="268"/>
      <c r="O36" s="268"/>
      <c r="P36" s="268"/>
      <c r="Q36" s="268"/>
      <c r="R36" s="268"/>
      <c r="S36" s="268"/>
      <c r="T36" s="268"/>
      <c r="U36" s="268"/>
      <c r="V36" s="268"/>
      <c r="W36" s="268"/>
      <c r="X36" s="268"/>
      <c r="Y36" s="268"/>
      <c r="Z36" s="268"/>
      <c r="AA36" s="268"/>
      <c r="AB36" s="268"/>
      <c r="AC36" s="268"/>
      <c r="AD36" s="268"/>
      <c r="AE36" s="268"/>
      <c r="AF36" s="268"/>
      <c r="AG36" s="268"/>
      <c r="AH36" s="268"/>
      <c r="AI36" s="268"/>
      <c r="AJ36" s="268">
        <v>0</v>
      </c>
      <c r="AK36" s="268"/>
      <c r="AL36" s="268"/>
      <c r="AM36" s="268"/>
      <c r="AN36" s="268"/>
      <c r="AO36" s="268"/>
      <c r="AP36" s="268"/>
      <c r="AQ36" s="268"/>
      <c r="AR36" s="268"/>
      <c r="AS36" s="268"/>
      <c r="AT36" s="268"/>
      <c r="AU36" s="268"/>
      <c r="AV36" s="268"/>
      <c r="AW36" s="275"/>
      <c r="AX36" s="268"/>
      <c r="AY36" s="268"/>
      <c r="AZ36" s="268"/>
      <c r="BA36" s="268"/>
      <c r="BB36" s="268"/>
      <c r="BC36" s="268"/>
      <c r="BD36" s="268"/>
      <c r="BE36" s="268"/>
      <c r="BF36" s="268"/>
      <c r="BG36" s="268"/>
      <c r="BH36" s="268"/>
      <c r="BI36" s="268"/>
      <c r="BJ36" s="268"/>
      <c r="BK36" s="268"/>
      <c r="BL36" s="268"/>
      <c r="BM36" s="268"/>
      <c r="BN36" s="268"/>
      <c r="BV36" s="584"/>
      <c r="CZ36" s="207"/>
    </row>
    <row r="37" spans="1:104" ht="12.75" customHeight="1">
      <c r="A37" s="648"/>
      <c r="B37" s="299" t="s">
        <v>70</v>
      </c>
      <c r="C37" s="263">
        <f>'Job Calculations'!C91</f>
        <v>793000</v>
      </c>
      <c r="D37" s="211">
        <v>1090100</v>
      </c>
      <c r="E37" s="211">
        <f>D37*0.95</f>
        <v>1035595</v>
      </c>
      <c r="F37" s="268"/>
      <c r="G37" s="268"/>
      <c r="H37" s="268"/>
      <c r="I37" s="268"/>
      <c r="J37" s="268"/>
      <c r="K37" s="326" t="s">
        <v>71</v>
      </c>
      <c r="L37" s="268"/>
      <c r="M37" s="318">
        <f>(17515*0.984)*0.95*0.8</f>
        <v>13098.417599999999</v>
      </c>
      <c r="N37" s="269">
        <v>29352</v>
      </c>
      <c r="O37" s="269">
        <f>40719+7338</f>
        <v>48057</v>
      </c>
      <c r="P37" s="269">
        <f>24100+4370</f>
        <v>28470</v>
      </c>
      <c r="Q37" s="269">
        <v>40247</v>
      </c>
      <c r="R37" s="269">
        <v>49736</v>
      </c>
      <c r="S37" s="269">
        <v>50318</v>
      </c>
      <c r="T37" s="269">
        <v>49561.49</v>
      </c>
      <c r="U37" s="269">
        <v>23089</v>
      </c>
      <c r="V37" s="268">
        <v>0</v>
      </c>
      <c r="W37" s="268">
        <v>0</v>
      </c>
      <c r="X37" s="268">
        <v>0</v>
      </c>
      <c r="Y37" s="269">
        <f>51103+29381</f>
        <v>80484</v>
      </c>
      <c r="Z37" s="269">
        <v>37662</v>
      </c>
      <c r="AA37" s="268">
        <v>0</v>
      </c>
      <c r="AB37" s="269">
        <v>32512.68</v>
      </c>
      <c r="AC37" s="269">
        <v>25140.89</v>
      </c>
      <c r="AD37" s="268">
        <v>0</v>
      </c>
      <c r="AE37" s="268">
        <v>0</v>
      </c>
      <c r="AF37" s="269">
        <v>44905</v>
      </c>
      <c r="AG37" s="269">
        <v>43917.61</v>
      </c>
      <c r="AH37" s="269">
        <v>50010.27</v>
      </c>
      <c r="AI37" s="269">
        <v>19525.3</v>
      </c>
      <c r="AK37" s="269">
        <v>48761.49</v>
      </c>
      <c r="AL37" s="269">
        <v>12690</v>
      </c>
      <c r="AM37" s="269">
        <v>18501.68</v>
      </c>
      <c r="AN37" s="269">
        <v>13765.52</v>
      </c>
      <c r="AO37" s="269">
        <v>12028.77</v>
      </c>
      <c r="AQ37" s="269">
        <v>36126</v>
      </c>
      <c r="AS37" s="268" t="s">
        <v>0</v>
      </c>
      <c r="AU37" s="269">
        <v>42500</v>
      </c>
      <c r="AV37" s="268" t="s">
        <v>0</v>
      </c>
      <c r="AW37" s="275" t="s">
        <v>0</v>
      </c>
      <c r="AX37" s="268"/>
      <c r="AY37" s="268"/>
      <c r="AZ37" s="268"/>
      <c r="BA37" s="268"/>
      <c r="BB37" s="268"/>
      <c r="BD37" s="268"/>
      <c r="BH37" s="268"/>
      <c r="BK37" s="268"/>
      <c r="BN37" s="268"/>
      <c r="BO37" s="268"/>
      <c r="BQ37" s="268"/>
      <c r="BS37" s="269">
        <v>2675.06</v>
      </c>
      <c r="BT37" s="268" t="s">
        <v>0</v>
      </c>
      <c r="BU37" s="268"/>
      <c r="BV37" s="584"/>
      <c r="BW37" s="268"/>
      <c r="BX37" s="268"/>
      <c r="CZ37" s="207"/>
    </row>
    <row r="38" spans="1:104" ht="12.5" customHeight="1">
      <c r="A38" s="648"/>
      <c r="B38" s="299" t="s">
        <v>72</v>
      </c>
      <c r="C38" s="263"/>
      <c r="D38" s="211"/>
      <c r="E38" s="211"/>
      <c r="F38" s="268"/>
      <c r="G38" s="268"/>
      <c r="H38" s="268"/>
      <c r="I38" s="268"/>
      <c r="J38" s="268"/>
      <c r="K38" s="326"/>
      <c r="L38" s="268"/>
      <c r="M38" s="337"/>
      <c r="N38" s="268"/>
      <c r="O38" s="268"/>
      <c r="P38" s="268"/>
      <c r="Q38" s="268"/>
      <c r="R38" s="268"/>
      <c r="S38" s="268"/>
      <c r="T38" s="268"/>
      <c r="U38" s="268"/>
      <c r="V38" s="268"/>
      <c r="W38" s="268"/>
      <c r="X38" s="268"/>
      <c r="Y38" s="268"/>
      <c r="Z38" s="268"/>
      <c r="AA38" s="268"/>
      <c r="AB38" s="269">
        <v>33026</v>
      </c>
      <c r="AC38" s="268"/>
      <c r="AD38" s="268">
        <v>0</v>
      </c>
      <c r="AE38" s="269">
        <v>38373.919999999998</v>
      </c>
      <c r="AF38" s="269">
        <v>31260.01</v>
      </c>
      <c r="AG38" s="268"/>
      <c r="AH38" s="268"/>
      <c r="AI38" s="268"/>
      <c r="AJ38" s="268"/>
      <c r="AK38" s="268"/>
      <c r="AL38" s="268"/>
      <c r="AM38" s="268"/>
      <c r="AN38" s="268"/>
      <c r="AV38" s="268"/>
      <c r="AW38" s="275"/>
      <c r="AX38" s="268"/>
      <c r="AY38" s="268"/>
      <c r="AZ38" s="268"/>
      <c r="BA38" s="268"/>
      <c r="BB38" s="268"/>
      <c r="BC38" s="268"/>
      <c r="BD38" s="268"/>
      <c r="BE38" s="268"/>
      <c r="BF38" s="268"/>
      <c r="BG38" s="268"/>
      <c r="BH38" s="268"/>
      <c r="BI38" s="268"/>
      <c r="BJ38" s="268"/>
      <c r="BK38" s="268"/>
      <c r="BL38" s="268"/>
      <c r="BM38" s="268"/>
      <c r="BN38" s="268"/>
      <c r="BO38" s="268"/>
      <c r="BP38" s="268"/>
      <c r="BQ38" s="268"/>
      <c r="BR38" s="268"/>
      <c r="BS38" s="268"/>
      <c r="BT38" s="268"/>
      <c r="BU38" s="268"/>
      <c r="BV38" s="582"/>
      <c r="BW38" s="268"/>
      <c r="BX38" s="268"/>
      <c r="CH38" s="3" t="s">
        <v>0</v>
      </c>
      <c r="CZ38" s="207"/>
    </row>
    <row r="39" spans="1:104" ht="12.5" customHeight="1">
      <c r="A39" s="648"/>
      <c r="B39" s="299" t="s">
        <v>73</v>
      </c>
      <c r="C39" s="263">
        <v>119500</v>
      </c>
      <c r="D39" s="211">
        <f>C39*0.95</f>
        <v>113525</v>
      </c>
      <c r="E39" s="211"/>
      <c r="F39" s="268"/>
      <c r="G39" s="268"/>
      <c r="H39" s="268"/>
      <c r="I39" s="268"/>
      <c r="J39" s="268"/>
      <c r="K39" s="326"/>
      <c r="L39" s="268"/>
      <c r="M39" s="337"/>
      <c r="N39" s="268"/>
      <c r="O39" s="268"/>
      <c r="P39" s="268"/>
      <c r="Q39" s="268"/>
      <c r="R39" s="268"/>
      <c r="S39" s="268"/>
      <c r="T39" s="268"/>
      <c r="U39" s="268"/>
      <c r="V39" s="268"/>
      <c r="W39" s="268"/>
      <c r="X39" s="268"/>
      <c r="Y39" s="268"/>
      <c r="Z39" s="268">
        <v>0</v>
      </c>
      <c r="AA39" s="268"/>
      <c r="AD39" s="268">
        <v>0</v>
      </c>
      <c r="AE39" s="268">
        <v>0</v>
      </c>
      <c r="AF39" s="269">
        <v>70015</v>
      </c>
      <c r="AG39" s="268">
        <v>0</v>
      </c>
      <c r="AH39" s="268"/>
      <c r="AI39" s="268"/>
      <c r="AJ39" s="268">
        <v>0</v>
      </c>
      <c r="AK39" s="268"/>
      <c r="AL39" s="268"/>
      <c r="AM39" s="268"/>
      <c r="AN39" s="268"/>
      <c r="AV39" s="268"/>
      <c r="AW39" s="275"/>
      <c r="AX39" s="268"/>
      <c r="AY39" s="211" t="s">
        <v>0</v>
      </c>
      <c r="AZ39" s="268"/>
      <c r="BA39" s="268"/>
      <c r="BB39" s="268"/>
      <c r="BC39" s="268"/>
      <c r="BD39" s="268"/>
      <c r="BE39" s="268"/>
      <c r="BF39" s="268"/>
      <c r="BG39" s="268"/>
      <c r="BH39" s="268"/>
      <c r="BI39" s="268"/>
      <c r="BJ39" s="268"/>
      <c r="BK39" s="268"/>
      <c r="BL39" s="268"/>
      <c r="BM39" s="268"/>
      <c r="BN39" s="268"/>
      <c r="BO39" s="268"/>
      <c r="BP39" s="268"/>
      <c r="BQ39" s="268"/>
      <c r="BR39" s="268"/>
      <c r="BS39" s="268"/>
      <c r="BT39" s="268"/>
      <c r="BU39" s="268"/>
      <c r="BV39" s="582"/>
      <c r="BW39" s="268"/>
      <c r="BX39" s="268"/>
      <c r="CZ39" s="207"/>
    </row>
    <row r="40" spans="1:104" ht="12.5" customHeight="1">
      <c r="A40" s="648"/>
      <c r="B40" s="299" t="s">
        <v>74</v>
      </c>
      <c r="C40" s="263"/>
      <c r="D40" s="211"/>
      <c r="E40" s="211"/>
      <c r="F40" s="268"/>
      <c r="G40" s="268"/>
      <c r="H40" s="268"/>
      <c r="I40" s="268"/>
      <c r="J40" s="268"/>
      <c r="K40" s="326"/>
      <c r="L40" s="268"/>
      <c r="M40" s="337"/>
      <c r="N40" s="268"/>
      <c r="O40" s="268"/>
      <c r="P40" s="268"/>
      <c r="Q40" s="268"/>
      <c r="R40" s="268"/>
      <c r="S40" s="268"/>
      <c r="T40" s="268"/>
      <c r="U40" s="268"/>
      <c r="V40" s="268"/>
      <c r="W40" s="268"/>
      <c r="X40" s="268"/>
      <c r="Y40" s="268"/>
      <c r="Z40" s="268"/>
      <c r="AA40" s="268"/>
      <c r="AD40" s="268"/>
      <c r="AE40" s="268"/>
      <c r="AF40" s="268">
        <v>0</v>
      </c>
      <c r="AG40" s="268" t="s">
        <v>0</v>
      </c>
      <c r="AH40" s="268"/>
      <c r="AI40" s="268"/>
      <c r="AJ40" s="268"/>
      <c r="AK40" s="268"/>
      <c r="AL40" s="268"/>
      <c r="AM40" s="268"/>
      <c r="AN40" s="268"/>
      <c r="AV40" s="268"/>
      <c r="AW40" s="275"/>
      <c r="AX40" s="268"/>
      <c r="AY40" s="268"/>
      <c r="AZ40" s="268"/>
      <c r="BA40" s="268"/>
      <c r="BB40" s="268"/>
      <c r="BC40" s="268"/>
      <c r="BD40" s="268"/>
      <c r="BE40" s="268"/>
      <c r="BF40" s="268"/>
      <c r="BG40" s="268"/>
      <c r="BH40" s="268"/>
      <c r="BI40" s="268"/>
      <c r="BJ40" s="268"/>
      <c r="BK40" s="268"/>
      <c r="BL40" s="268"/>
      <c r="BM40" s="268"/>
      <c r="BN40" s="268"/>
      <c r="BO40" s="268"/>
      <c r="BP40" s="268"/>
      <c r="BQ40" s="268"/>
      <c r="BR40" s="268"/>
      <c r="BS40" s="268"/>
      <c r="BT40" s="268"/>
      <c r="BU40" s="268"/>
      <c r="BV40" s="582"/>
      <c r="BW40" s="268"/>
      <c r="BX40" s="268"/>
      <c r="CZ40" s="207"/>
    </row>
    <row r="41" spans="1:104" ht="15">
      <c r="A41" s="648"/>
      <c r="B41" s="299" t="s">
        <v>722</v>
      </c>
      <c r="C41" s="263">
        <v>2180000</v>
      </c>
      <c r="D41" s="211">
        <f>2276000</f>
        <v>2276000</v>
      </c>
      <c r="E41" s="211">
        <f>D41*0.975</f>
        <v>2219100</v>
      </c>
      <c r="F41" s="268"/>
      <c r="G41" s="268"/>
      <c r="H41" s="268"/>
      <c r="I41" s="268"/>
      <c r="J41" s="268"/>
      <c r="K41" s="268"/>
      <c r="L41" s="273"/>
      <c r="M41" s="268"/>
      <c r="N41" s="268"/>
      <c r="O41" s="268"/>
      <c r="P41" s="268"/>
      <c r="Q41" s="268"/>
      <c r="R41" s="268"/>
      <c r="S41" s="268"/>
      <c r="T41" s="268"/>
      <c r="U41" s="268"/>
      <c r="V41" s="268"/>
      <c r="W41" s="268">
        <v>0</v>
      </c>
      <c r="X41" s="268"/>
      <c r="Y41" s="268"/>
      <c r="Z41" s="268"/>
      <c r="AA41" s="268"/>
      <c r="AB41" s="268">
        <v>0</v>
      </c>
      <c r="AC41" s="268"/>
      <c r="AD41" s="268"/>
      <c r="AE41" s="268"/>
      <c r="AG41" s="268"/>
      <c r="AH41" s="268"/>
      <c r="AI41" s="268">
        <v>0</v>
      </c>
      <c r="AK41" s="268"/>
      <c r="AL41" s="268"/>
      <c r="AM41" s="268"/>
      <c r="AO41" s="269">
        <v>35827.06</v>
      </c>
      <c r="AP41" s="268"/>
      <c r="AQ41" s="268"/>
      <c r="AR41" s="268"/>
      <c r="AT41" s="269">
        <v>109979.36</v>
      </c>
      <c r="AU41" s="268"/>
      <c r="AV41" s="268" t="s">
        <v>0</v>
      </c>
      <c r="AX41" s="310">
        <v>265843.69</v>
      </c>
      <c r="AZ41" s="269">
        <v>120003.14</v>
      </c>
      <c r="BB41" s="269">
        <v>252246.55</v>
      </c>
      <c r="BE41" s="269">
        <v>120000.5</v>
      </c>
      <c r="BF41" s="269">
        <v>50000.4</v>
      </c>
      <c r="BH41" s="269">
        <v>205045.3</v>
      </c>
      <c r="BJ41" s="269">
        <v>94999.9</v>
      </c>
      <c r="BM41" s="268"/>
      <c r="BO41" s="269">
        <v>190000.1</v>
      </c>
      <c r="BR41" s="269">
        <f>50000+30750</f>
        <v>80750</v>
      </c>
      <c r="BT41" s="269">
        <v>185304.05</v>
      </c>
      <c r="BV41" s="593">
        <f>255000-BT41</f>
        <v>69695.950000000012</v>
      </c>
      <c r="BW41" s="268"/>
      <c r="BX41" s="268"/>
      <c r="BZ41" s="559">
        <v>277000</v>
      </c>
      <c r="CA41" s="268"/>
      <c r="CB41" s="268"/>
      <c r="CC41" s="268"/>
      <c r="CD41" s="268"/>
      <c r="CF41" s="268"/>
      <c r="CG41" s="268"/>
      <c r="CH41" s="268" t="s">
        <v>0</v>
      </c>
      <c r="CI41" s="559">
        <f>438127-BZ41-75000</f>
        <v>86127</v>
      </c>
      <c r="CJ41" s="268"/>
      <c r="CK41" s="268"/>
      <c r="CL41" s="268"/>
      <c r="CR41" s="268" t="s">
        <v>0</v>
      </c>
      <c r="CT41" s="268" t="s">
        <v>0</v>
      </c>
      <c r="CZ41" s="207"/>
    </row>
    <row r="42" spans="1:104" ht="15">
      <c r="A42" s="648"/>
      <c r="B42" s="299" t="s">
        <v>77</v>
      </c>
      <c r="C42" s="263">
        <v>0</v>
      </c>
      <c r="D42" s="211">
        <v>0</v>
      </c>
      <c r="E42" s="211">
        <v>2123000</v>
      </c>
      <c r="F42" s="268"/>
      <c r="G42" s="268"/>
      <c r="H42" s="268"/>
      <c r="I42" s="268"/>
      <c r="J42" s="268"/>
      <c r="K42" s="268"/>
      <c r="L42" s="268"/>
      <c r="M42" s="268"/>
      <c r="N42" s="268"/>
      <c r="O42" s="268"/>
      <c r="P42" s="268"/>
      <c r="Q42" s="268"/>
      <c r="R42" s="268"/>
      <c r="S42" s="268"/>
      <c r="T42" s="268"/>
      <c r="U42" s="268"/>
      <c r="V42" s="268"/>
      <c r="W42" s="308" t="s">
        <v>0</v>
      </c>
      <c r="X42" s="308"/>
      <c r="Y42" s="308"/>
      <c r="Z42" s="308"/>
      <c r="AA42" s="308"/>
      <c r="AB42" s="268">
        <v>0</v>
      </c>
      <c r="AC42" s="268"/>
      <c r="AD42" s="268"/>
      <c r="AE42" s="268"/>
      <c r="AF42" s="268">
        <v>0</v>
      </c>
      <c r="AG42" s="268"/>
      <c r="AH42" s="268"/>
      <c r="AI42" s="268"/>
      <c r="AJ42" s="268">
        <v>0</v>
      </c>
      <c r="AK42" s="268"/>
      <c r="AL42" s="268"/>
      <c r="AM42" s="268"/>
      <c r="AN42" s="268"/>
      <c r="AO42" s="268" t="s">
        <v>0</v>
      </c>
      <c r="AP42" s="268"/>
      <c r="AQ42" s="268"/>
      <c r="AR42" s="268"/>
      <c r="AS42" s="268"/>
      <c r="AT42" s="268"/>
      <c r="AU42" s="268"/>
      <c r="AV42" s="268" t="s">
        <v>0</v>
      </c>
      <c r="AW42" s="275" t="s">
        <v>0</v>
      </c>
      <c r="AX42" s="268"/>
      <c r="AY42" s="268"/>
      <c r="AZ42" s="268"/>
      <c r="BA42" s="268"/>
      <c r="BB42" s="268" t="s">
        <v>0</v>
      </c>
      <c r="BC42" s="268"/>
      <c r="BD42" s="268"/>
      <c r="BE42" s="268"/>
      <c r="BF42" s="268"/>
      <c r="BG42" s="268" t="s">
        <v>0</v>
      </c>
      <c r="BH42" s="268"/>
      <c r="BI42" s="268"/>
      <c r="BJ42" s="268"/>
      <c r="BK42" s="268"/>
      <c r="BL42" s="268"/>
      <c r="BM42" s="268"/>
      <c r="BN42" s="268"/>
      <c r="BV42" s="584"/>
      <c r="CZ42" s="207"/>
    </row>
    <row r="43" spans="1:104" ht="15">
      <c r="A43" s="648"/>
      <c r="B43" s="299" t="s">
        <v>78</v>
      </c>
      <c r="C43" s="263">
        <v>0</v>
      </c>
      <c r="D43" s="211">
        <v>0</v>
      </c>
      <c r="E43" s="211"/>
      <c r="F43" s="268"/>
      <c r="G43" s="268"/>
      <c r="H43" s="268"/>
      <c r="I43" s="268"/>
      <c r="J43" s="268"/>
      <c r="K43" s="268"/>
      <c r="L43" s="268"/>
      <c r="M43" s="268"/>
      <c r="N43" s="268"/>
      <c r="O43" s="268"/>
      <c r="P43" s="268"/>
      <c r="Q43" s="268"/>
      <c r="R43" s="268"/>
      <c r="S43" s="268"/>
      <c r="T43" s="268"/>
      <c r="U43" s="268"/>
      <c r="V43" s="268"/>
      <c r="W43" s="268" t="s">
        <v>0</v>
      </c>
      <c r="X43" s="268"/>
      <c r="Y43" s="268"/>
      <c r="Z43" s="268"/>
      <c r="AA43" s="268"/>
      <c r="AB43" s="268" t="s">
        <v>0</v>
      </c>
      <c r="AC43" s="268"/>
      <c r="AD43" s="268"/>
      <c r="AE43" s="268"/>
      <c r="AF43" s="308" t="s">
        <v>0</v>
      </c>
      <c r="AG43" s="308"/>
      <c r="AH43" s="308"/>
      <c r="AI43" s="308"/>
      <c r="AJ43" s="268">
        <v>0</v>
      </c>
      <c r="AK43" s="268"/>
      <c r="AL43" s="268"/>
      <c r="AM43" s="268"/>
      <c r="AN43" s="268"/>
      <c r="AO43" s="268" t="s">
        <v>0</v>
      </c>
      <c r="AP43" s="268"/>
      <c r="AQ43" s="268"/>
      <c r="AR43" s="268"/>
      <c r="AS43" s="268"/>
      <c r="AT43" s="268"/>
      <c r="AU43" s="268"/>
      <c r="AV43" s="268" t="s">
        <v>0</v>
      </c>
      <c r="AW43" s="275" t="s">
        <v>0</v>
      </c>
      <c r="AX43" s="268"/>
      <c r="AY43" s="268"/>
      <c r="AZ43" s="268"/>
      <c r="BA43" s="268"/>
      <c r="BB43" s="268" t="s">
        <v>0</v>
      </c>
      <c r="BC43" s="268"/>
      <c r="BD43" s="268"/>
      <c r="BE43" s="268"/>
      <c r="BF43" s="268"/>
      <c r="BG43" s="268" t="s">
        <v>0</v>
      </c>
      <c r="BH43" s="268"/>
      <c r="BI43" s="268"/>
      <c r="BJ43" s="268"/>
      <c r="BK43" s="268"/>
      <c r="BL43" s="268"/>
      <c r="BM43" s="268"/>
      <c r="BN43" s="268"/>
      <c r="BV43" s="584"/>
      <c r="CZ43" s="207"/>
    </row>
    <row r="44" spans="1:104" ht="15">
      <c r="A44" s="648"/>
      <c r="B44" s="299" t="s">
        <v>79</v>
      </c>
      <c r="C44" s="263"/>
      <c r="D44" s="211">
        <v>12311</v>
      </c>
      <c r="E44" s="211"/>
      <c r="F44" s="268"/>
      <c r="G44" s="268"/>
      <c r="H44" s="268"/>
      <c r="I44" s="268"/>
      <c r="J44" s="268"/>
      <c r="K44" s="268"/>
      <c r="L44" s="268"/>
      <c r="M44" s="268"/>
      <c r="N44" s="268"/>
      <c r="O44" s="268"/>
      <c r="P44" s="268"/>
      <c r="Q44" s="268"/>
      <c r="S44" s="268" t="s">
        <v>0</v>
      </c>
      <c r="T44" s="268" t="s">
        <v>0</v>
      </c>
      <c r="U44" s="269">
        <v>11176</v>
      </c>
      <c r="V44" s="268"/>
      <c r="W44" s="268"/>
      <c r="X44" s="268"/>
      <c r="Y44" s="268"/>
      <c r="Z44" s="268"/>
      <c r="AA44" s="268"/>
      <c r="AB44" s="268"/>
      <c r="AC44" s="268"/>
      <c r="AD44" s="268"/>
      <c r="AE44" s="268"/>
      <c r="AF44" s="268"/>
      <c r="AG44" s="268"/>
      <c r="AH44" s="268"/>
      <c r="AI44" s="268"/>
      <c r="AJ44" s="268"/>
      <c r="AK44" s="268"/>
      <c r="AL44" s="268" t="s">
        <v>0</v>
      </c>
      <c r="AM44" s="268"/>
      <c r="AN44" s="268"/>
      <c r="AO44" s="268"/>
      <c r="AP44" s="268"/>
      <c r="AQ44" s="268"/>
      <c r="AR44" s="268"/>
      <c r="AS44" s="268"/>
      <c r="AT44" s="268"/>
      <c r="AU44" s="268"/>
      <c r="AV44" s="268"/>
      <c r="AW44" s="275"/>
      <c r="AX44" s="268"/>
      <c r="AY44" s="268"/>
      <c r="AZ44" s="268"/>
      <c r="BA44" s="268"/>
      <c r="BB44" s="268"/>
      <c r="BC44" s="268"/>
      <c r="BD44" s="268"/>
      <c r="BE44" s="268"/>
      <c r="BF44" s="268"/>
      <c r="BG44" s="268"/>
      <c r="BH44" s="268"/>
      <c r="BI44" s="268"/>
      <c r="BJ44" s="268" t="s">
        <v>0</v>
      </c>
      <c r="BK44" s="268"/>
      <c r="BL44" s="268"/>
      <c r="BM44" s="268"/>
      <c r="BN44" s="268"/>
      <c r="BV44" s="584"/>
      <c r="CZ44" s="207"/>
    </row>
    <row r="45" spans="1:104" ht="15">
      <c r="A45" s="648"/>
      <c r="B45" s="299" t="s">
        <v>80</v>
      </c>
      <c r="C45" s="263">
        <v>22483</v>
      </c>
      <c r="D45" s="211">
        <f>C45*0.8</f>
        <v>17986.400000000001</v>
      </c>
      <c r="E45" s="211"/>
      <c r="F45" s="268"/>
      <c r="G45" s="268"/>
      <c r="H45" s="268"/>
      <c r="I45" s="268"/>
      <c r="J45" s="268"/>
      <c r="K45" s="268"/>
      <c r="L45" s="268"/>
      <c r="M45" s="268"/>
      <c r="O45" s="269">
        <f>16493*0.8</f>
        <v>13194.400000000001</v>
      </c>
      <c r="P45" s="268"/>
      <c r="Q45" s="268"/>
      <c r="S45" s="269">
        <v>17732</v>
      </c>
      <c r="T45" s="268"/>
      <c r="V45" s="268"/>
      <c r="W45" s="268"/>
      <c r="X45" s="268"/>
      <c r="Y45" s="268"/>
      <c r="AF45" s="269">
        <v>12440</v>
      </c>
      <c r="AG45" s="268"/>
      <c r="AH45" s="268"/>
      <c r="AI45" s="268"/>
      <c r="AJ45" s="268"/>
      <c r="AK45" s="268"/>
      <c r="AL45" s="268"/>
      <c r="AM45" s="268"/>
      <c r="AO45" s="268"/>
      <c r="AP45" s="268"/>
      <c r="AQ45" s="268"/>
      <c r="AR45" s="268"/>
      <c r="AS45" s="268"/>
      <c r="AT45" s="268"/>
      <c r="AU45" s="268"/>
      <c r="AV45" s="268"/>
      <c r="AW45" s="275">
        <v>0</v>
      </c>
      <c r="AX45" s="268"/>
      <c r="AY45" s="268"/>
      <c r="AZ45" s="268"/>
      <c r="BA45" s="268"/>
      <c r="BC45" s="268"/>
      <c r="BD45" s="268"/>
      <c r="BE45" s="268"/>
      <c r="BG45" s="268"/>
      <c r="BI45" s="268"/>
      <c r="BJ45" s="268"/>
      <c r="BK45" s="268"/>
      <c r="BL45" s="268"/>
      <c r="BM45" s="268"/>
      <c r="BS45" s="268" t="s">
        <v>0</v>
      </c>
      <c r="BV45" s="584"/>
      <c r="CZ45" s="207"/>
    </row>
    <row r="46" spans="1:104" ht="15">
      <c r="A46" s="648"/>
      <c r="B46" s="299" t="s">
        <v>81</v>
      </c>
      <c r="C46" s="263" t="s">
        <v>0</v>
      </c>
      <c r="D46" s="211">
        <v>400000</v>
      </c>
      <c r="E46" s="211"/>
      <c r="F46" s="268"/>
      <c r="G46" s="268"/>
      <c r="H46" s="268"/>
      <c r="I46" s="268"/>
      <c r="J46" s="268"/>
      <c r="K46" s="268"/>
      <c r="L46" s="268"/>
      <c r="M46" s="268"/>
      <c r="O46" s="269">
        <f>6670*0.8</f>
        <v>5336</v>
      </c>
      <c r="P46" s="268"/>
      <c r="Q46" s="268"/>
      <c r="S46" s="269">
        <v>22330</v>
      </c>
      <c r="T46" s="268"/>
      <c r="U46" s="268">
        <v>0</v>
      </c>
      <c r="V46" s="268"/>
      <c r="W46" s="268">
        <v>0</v>
      </c>
      <c r="X46" s="268"/>
      <c r="Y46" s="268"/>
      <c r="AC46" s="269">
        <v>8121.64</v>
      </c>
      <c r="AD46" s="268"/>
      <c r="AF46" s="269">
        <v>33367</v>
      </c>
      <c r="AG46" s="268"/>
      <c r="AH46" s="268"/>
      <c r="AJ46" s="269">
        <v>57092.94</v>
      </c>
      <c r="AK46" s="268"/>
      <c r="AL46" s="268"/>
      <c r="AM46" s="268"/>
      <c r="AN46" s="268" t="s">
        <v>0</v>
      </c>
      <c r="AO46" s="612">
        <f>32705</f>
        <v>32705</v>
      </c>
      <c r="AQ46" s="268"/>
      <c r="AS46" s="269">
        <v>29100</v>
      </c>
      <c r="AU46" s="268"/>
      <c r="AV46" s="268" t="s">
        <v>0</v>
      </c>
      <c r="AW46" s="561"/>
      <c r="AX46" s="268">
        <v>0</v>
      </c>
      <c r="AY46" s="268"/>
      <c r="AZ46" s="268"/>
      <c r="BA46" s="268" t="s">
        <v>0</v>
      </c>
      <c r="BB46" s="268" t="s">
        <v>0</v>
      </c>
      <c r="BC46" s="268" t="s">
        <v>0</v>
      </c>
      <c r="BD46" s="268"/>
      <c r="BE46" s="268"/>
      <c r="BF46" s="269">
        <v>14772.37</v>
      </c>
      <c r="BG46" s="268" t="s">
        <v>0</v>
      </c>
      <c r="BH46" s="268"/>
      <c r="BI46" s="268"/>
      <c r="BJ46" s="268"/>
      <c r="BK46" s="268"/>
      <c r="BL46" s="268"/>
      <c r="BM46" s="268"/>
      <c r="BN46" s="268"/>
      <c r="BV46" s="582"/>
      <c r="BW46" s="268"/>
      <c r="BX46" s="268" t="s">
        <v>0</v>
      </c>
      <c r="CE46" s="268" t="s">
        <v>0</v>
      </c>
      <c r="CF46" s="268"/>
      <c r="CG46" s="268"/>
      <c r="CZ46" s="207"/>
    </row>
    <row r="47" spans="1:104" ht="15">
      <c r="A47" s="648"/>
      <c r="B47" s="299" t="s">
        <v>82</v>
      </c>
      <c r="C47" s="546">
        <v>39500</v>
      </c>
      <c r="D47" s="211">
        <f>$C$47</f>
        <v>39500</v>
      </c>
      <c r="E47" s="211"/>
      <c r="F47" s="268"/>
      <c r="G47" s="268"/>
      <c r="H47" s="268"/>
      <c r="I47" s="268"/>
      <c r="J47" s="268"/>
      <c r="K47" s="268"/>
      <c r="L47" s="268"/>
      <c r="M47" s="268"/>
      <c r="N47" s="268"/>
      <c r="P47" s="268"/>
      <c r="Q47" s="268" t="s">
        <v>0</v>
      </c>
      <c r="R47" s="269">
        <v>15000</v>
      </c>
      <c r="S47" s="268">
        <v>0</v>
      </c>
      <c r="T47" s="268">
        <v>0</v>
      </c>
      <c r="U47" s="269">
        <v>30772</v>
      </c>
      <c r="W47" s="268">
        <v>0</v>
      </c>
      <c r="X47" s="268"/>
      <c r="Y47" s="268">
        <v>0</v>
      </c>
      <c r="Z47" s="268"/>
      <c r="AA47" s="269">
        <v>16702.5</v>
      </c>
      <c r="AC47" s="268"/>
      <c r="AD47" s="268"/>
      <c r="AF47" s="269">
        <v>5206</v>
      </c>
      <c r="AG47" s="268"/>
      <c r="AH47" s="268"/>
      <c r="AI47" s="268"/>
      <c r="AJ47" s="268"/>
      <c r="AK47" s="268"/>
      <c r="AL47" s="268"/>
      <c r="AM47" s="268"/>
      <c r="AN47" s="268"/>
      <c r="AO47" s="268"/>
      <c r="AP47" s="268"/>
      <c r="AQ47" s="268"/>
      <c r="AR47" s="268"/>
      <c r="AS47" s="268"/>
      <c r="AT47" s="268"/>
      <c r="AU47" s="268"/>
      <c r="AV47" s="268"/>
      <c r="AW47" s="275"/>
      <c r="AX47" s="268"/>
      <c r="AY47" s="268"/>
      <c r="AZ47" s="268"/>
      <c r="BA47" s="268"/>
      <c r="BB47" s="268"/>
      <c r="BC47" s="268"/>
      <c r="BD47" s="268"/>
      <c r="BE47" s="268"/>
      <c r="BF47" s="268"/>
      <c r="BG47" s="268"/>
      <c r="BH47" s="268"/>
      <c r="BI47" s="268"/>
      <c r="BJ47" s="268"/>
      <c r="BK47" s="268"/>
      <c r="BL47" s="268"/>
      <c r="BM47" s="268"/>
      <c r="BN47" s="268"/>
      <c r="BV47" s="584"/>
      <c r="CZ47" s="207"/>
    </row>
    <row r="48" spans="1:104" ht="15">
      <c r="A48" s="648"/>
      <c r="B48" s="299" t="s">
        <v>83</v>
      </c>
      <c r="C48" s="546">
        <v>17000</v>
      </c>
      <c r="D48" s="211">
        <f>C48</f>
        <v>17000</v>
      </c>
      <c r="E48" s="211"/>
      <c r="F48" s="268"/>
      <c r="G48" s="268"/>
      <c r="H48" s="268"/>
      <c r="I48" s="268"/>
      <c r="J48" s="268"/>
      <c r="K48" s="268"/>
      <c r="L48" s="268"/>
      <c r="M48" s="268"/>
      <c r="N48" s="268"/>
      <c r="P48" s="268"/>
      <c r="Q48" s="268"/>
      <c r="S48" s="268"/>
      <c r="T48" s="269">
        <v>12750</v>
      </c>
      <c r="U48" s="269">
        <v>5567</v>
      </c>
      <c r="V48" s="268">
        <v>0</v>
      </c>
      <c r="W48" s="268">
        <v>0</v>
      </c>
      <c r="X48" s="268">
        <v>0</v>
      </c>
      <c r="Y48" s="268"/>
      <c r="Z48" s="268"/>
      <c r="AA48" s="268"/>
      <c r="AB48" s="268">
        <v>0</v>
      </c>
      <c r="AC48" s="268">
        <v>0</v>
      </c>
      <c r="AD48" s="268">
        <v>0</v>
      </c>
      <c r="AE48" s="268"/>
      <c r="AF48" s="268"/>
      <c r="AG48" s="268"/>
      <c r="AH48" s="268"/>
      <c r="AI48" s="268"/>
      <c r="AJ48" s="268"/>
      <c r="AK48" s="268"/>
      <c r="AL48" s="268"/>
      <c r="AM48" s="268"/>
      <c r="AN48" s="268"/>
      <c r="AO48" s="268"/>
      <c r="AP48" s="268"/>
      <c r="AQ48" s="268"/>
      <c r="AR48" s="268"/>
      <c r="AS48" s="268"/>
      <c r="AT48" s="268"/>
      <c r="AU48" s="268"/>
      <c r="AV48" s="268"/>
      <c r="AW48" s="275"/>
      <c r="AX48" s="268"/>
      <c r="AY48" s="268"/>
      <c r="AZ48" s="268"/>
      <c r="BA48" s="268"/>
      <c r="BB48" s="268"/>
      <c r="BC48" s="268"/>
      <c r="BD48" s="268"/>
      <c r="BE48" s="268"/>
      <c r="BF48" s="268"/>
      <c r="BG48" s="268"/>
      <c r="BH48" s="268"/>
      <c r="BI48" s="268"/>
      <c r="BJ48" s="268"/>
      <c r="BK48" s="268"/>
      <c r="BL48" s="268"/>
      <c r="BM48" s="268"/>
      <c r="BN48" s="268"/>
      <c r="BV48" s="584"/>
      <c r="CZ48" s="207"/>
    </row>
    <row r="49" spans="1:104" ht="15">
      <c r="A49" s="648"/>
      <c r="B49" s="299" t="s">
        <v>84</v>
      </c>
      <c r="C49" s="546">
        <v>2422</v>
      </c>
      <c r="D49" s="211">
        <f>C49</f>
        <v>2422</v>
      </c>
      <c r="E49" s="211"/>
      <c r="F49" s="268"/>
      <c r="G49" s="268"/>
      <c r="H49" s="268"/>
      <c r="I49" s="268"/>
      <c r="J49" s="268"/>
      <c r="K49" s="268"/>
      <c r="L49" s="268"/>
      <c r="M49" s="268"/>
      <c r="N49" s="268"/>
      <c r="P49" s="268"/>
      <c r="Q49" s="268"/>
      <c r="S49" s="268"/>
      <c r="T49" s="269">
        <f>D49</f>
        <v>2422</v>
      </c>
      <c r="U49" s="269"/>
      <c r="V49" s="268"/>
      <c r="W49" s="268"/>
      <c r="X49" s="268"/>
      <c r="Y49" s="268"/>
      <c r="Z49" s="268"/>
      <c r="AA49" s="268"/>
      <c r="AB49" s="268"/>
      <c r="AC49" s="268"/>
      <c r="AD49" s="268"/>
      <c r="AE49" s="268"/>
      <c r="AF49" s="268"/>
      <c r="AG49" s="268"/>
      <c r="AH49" s="268"/>
      <c r="AI49" s="268"/>
      <c r="AJ49" s="268"/>
      <c r="AK49" s="268"/>
      <c r="AL49" s="268"/>
      <c r="AM49" s="268"/>
      <c r="AN49" s="268"/>
      <c r="AO49" s="268"/>
      <c r="AP49" s="268"/>
      <c r="AQ49" s="268"/>
      <c r="AR49" s="268"/>
      <c r="AS49" s="268"/>
      <c r="AT49" s="268"/>
      <c r="AU49" s="268"/>
      <c r="AV49" s="268"/>
      <c r="AW49" s="275"/>
      <c r="AX49" s="268"/>
      <c r="AY49" s="268"/>
      <c r="AZ49" s="268"/>
      <c r="BA49" s="268"/>
      <c r="BB49" s="268"/>
      <c r="BC49" s="268"/>
      <c r="BD49" s="268"/>
      <c r="BE49" s="268"/>
      <c r="BF49" s="268"/>
      <c r="BG49" s="268"/>
      <c r="BH49" s="268"/>
      <c r="BI49" s="268"/>
      <c r="BJ49" s="268"/>
      <c r="BK49" s="268"/>
      <c r="BL49" s="268"/>
      <c r="BM49" s="268"/>
      <c r="BN49" s="268"/>
      <c r="BV49" s="584"/>
      <c r="CZ49" s="207"/>
    </row>
    <row r="50" spans="1:104" ht="15">
      <c r="A50" s="648"/>
      <c r="B50" s="299" t="s">
        <v>85</v>
      </c>
      <c r="C50" s="546">
        <v>5000</v>
      </c>
      <c r="D50" s="211">
        <f>C50</f>
        <v>5000</v>
      </c>
      <c r="E50" s="211"/>
      <c r="F50" s="268"/>
      <c r="G50" s="268"/>
      <c r="H50" s="268"/>
      <c r="I50" s="268"/>
      <c r="J50" s="268"/>
      <c r="K50" s="268" t="s">
        <v>0</v>
      </c>
      <c r="L50" s="268"/>
      <c r="M50" s="268"/>
      <c r="N50" s="268"/>
      <c r="P50" s="268"/>
      <c r="Q50" s="268"/>
      <c r="S50" s="268"/>
      <c r="T50" s="269">
        <v>1000</v>
      </c>
      <c r="U50" s="269">
        <v>765</v>
      </c>
      <c r="V50" s="268"/>
      <c r="W50" s="268">
        <v>0</v>
      </c>
      <c r="X50" s="268"/>
      <c r="Y50" s="269">
        <v>2295</v>
      </c>
      <c r="Z50" s="268"/>
      <c r="AA50" s="268"/>
      <c r="AB50" s="268"/>
      <c r="AC50" s="268"/>
      <c r="AD50" s="268"/>
      <c r="AF50" s="269">
        <v>1000</v>
      </c>
      <c r="AG50" s="268"/>
      <c r="AH50" s="268"/>
      <c r="AK50" s="269">
        <v>11985</v>
      </c>
      <c r="AL50" s="268"/>
      <c r="AM50" s="268"/>
      <c r="AN50" s="268"/>
      <c r="AO50" s="268"/>
      <c r="AP50" s="268"/>
      <c r="AQ50" s="268"/>
      <c r="AR50" s="268"/>
      <c r="AS50" s="268"/>
      <c r="AT50" s="268"/>
      <c r="AU50" s="268"/>
      <c r="AV50" s="268"/>
      <c r="AW50" s="275"/>
      <c r="AX50" s="268"/>
      <c r="AY50" s="268"/>
      <c r="AZ50" s="268"/>
      <c r="BA50" s="268"/>
      <c r="BB50" s="268"/>
      <c r="BC50" s="268"/>
      <c r="BD50" s="268"/>
      <c r="BE50" s="268"/>
      <c r="BF50" s="268"/>
      <c r="BG50" s="268"/>
      <c r="BH50" s="268"/>
      <c r="BI50" s="268"/>
      <c r="BJ50" s="268"/>
      <c r="BK50" s="268"/>
      <c r="BL50" s="268"/>
      <c r="BM50" s="268"/>
      <c r="BN50" s="268"/>
      <c r="BV50" s="584"/>
      <c r="CZ50" s="207"/>
    </row>
    <row r="51" spans="1:104" ht="15">
      <c r="A51" s="648"/>
      <c r="B51" s="299" t="s">
        <v>86</v>
      </c>
      <c r="C51" s="546"/>
      <c r="D51" s="211"/>
      <c r="E51" s="211"/>
      <c r="F51" s="268"/>
      <c r="G51" s="268"/>
      <c r="H51" s="268"/>
      <c r="I51" s="268"/>
      <c r="J51" s="268"/>
      <c r="K51" s="268"/>
      <c r="L51" s="268"/>
      <c r="M51" s="268"/>
      <c r="N51" s="268"/>
      <c r="P51" s="268"/>
      <c r="Q51" s="268"/>
      <c r="S51" s="268"/>
      <c r="T51" s="269">
        <f>22176-T48-T49-T50</f>
        <v>6004</v>
      </c>
      <c r="U51" s="268"/>
      <c r="V51" s="268"/>
      <c r="W51" s="268"/>
      <c r="X51" s="268"/>
      <c r="Y51" s="268"/>
      <c r="Z51" s="268"/>
      <c r="AA51" s="268"/>
      <c r="AB51" s="268"/>
      <c r="AC51" s="268"/>
      <c r="AD51" s="268"/>
      <c r="AF51" s="269">
        <v>1402</v>
      </c>
      <c r="AG51" s="268"/>
      <c r="AH51" s="268"/>
      <c r="AI51" s="268"/>
      <c r="AJ51" s="268"/>
      <c r="AK51" s="268"/>
      <c r="AL51" s="268"/>
      <c r="AM51" s="268"/>
      <c r="AN51" s="268"/>
      <c r="AO51" s="268"/>
      <c r="AP51" s="268"/>
      <c r="AQ51" s="268"/>
      <c r="AR51" s="268"/>
      <c r="AS51" s="268"/>
      <c r="AT51" s="268"/>
      <c r="AU51" s="268"/>
      <c r="AV51" s="268"/>
      <c r="AW51" s="275"/>
      <c r="AX51" s="268"/>
      <c r="AY51" s="268"/>
      <c r="AZ51" s="268"/>
      <c r="BA51" s="268"/>
      <c r="BB51" s="268"/>
      <c r="BC51" s="268"/>
      <c r="BD51" s="268"/>
      <c r="BE51" s="268"/>
      <c r="BF51" s="268"/>
      <c r="BG51" s="268"/>
      <c r="BH51" s="268"/>
      <c r="BI51" s="268"/>
      <c r="BJ51" s="268"/>
      <c r="BK51" s="268"/>
      <c r="BL51" s="268"/>
      <c r="BM51" s="268"/>
      <c r="BN51" s="268"/>
      <c r="BV51" s="584"/>
      <c r="CZ51" s="207"/>
    </row>
    <row r="52" spans="1:104" ht="15">
      <c r="A52" s="648"/>
      <c r="B52" s="299" t="s">
        <v>87</v>
      </c>
      <c r="C52" s="211">
        <f>'Job Calculations'!H32</f>
        <v>72480</v>
      </c>
      <c r="D52" s="211">
        <f>'Job Calculations'!H32</f>
        <v>72480</v>
      </c>
      <c r="E52" s="211"/>
      <c r="F52" s="268"/>
      <c r="G52" s="268"/>
      <c r="H52" s="268"/>
      <c r="I52" s="268"/>
      <c r="J52" s="268"/>
      <c r="K52" s="268"/>
      <c r="L52" s="268"/>
      <c r="M52" s="268"/>
      <c r="N52" s="268"/>
      <c r="O52" s="268"/>
      <c r="P52" s="268"/>
      <c r="Q52" s="268"/>
      <c r="R52" s="268"/>
      <c r="S52" s="268"/>
      <c r="T52" s="268"/>
      <c r="U52" s="268"/>
      <c r="W52" s="268">
        <v>0</v>
      </c>
      <c r="X52" s="268">
        <v>0</v>
      </c>
      <c r="Y52" s="269">
        <v>9626</v>
      </c>
      <c r="AA52" s="269">
        <v>14301</v>
      </c>
      <c r="AB52" s="268" t="s">
        <v>0</v>
      </c>
      <c r="AC52" s="268"/>
      <c r="AD52" s="268"/>
      <c r="AF52" s="269">
        <v>15937</v>
      </c>
      <c r="AG52" s="268"/>
      <c r="AH52" s="268"/>
      <c r="AP52" s="269">
        <v>7055</v>
      </c>
      <c r="AQ52" s="268"/>
      <c r="AR52" s="268"/>
      <c r="AS52" s="268">
        <v>0</v>
      </c>
      <c r="AT52" s="268"/>
      <c r="AU52" s="268"/>
      <c r="AW52" s="275"/>
      <c r="AX52" s="268"/>
      <c r="AY52" s="268"/>
      <c r="AZ52" s="268"/>
      <c r="BA52" s="268" t="s">
        <v>0</v>
      </c>
      <c r="BB52" s="268"/>
      <c r="BC52" s="268"/>
      <c r="BD52" s="268"/>
      <c r="BE52" s="268"/>
      <c r="BF52" s="268" t="s">
        <v>0</v>
      </c>
      <c r="BG52" s="268"/>
      <c r="BH52" s="268"/>
      <c r="BI52" s="268"/>
      <c r="BJ52" s="268"/>
      <c r="BK52" s="268"/>
      <c r="BL52" s="268"/>
      <c r="BM52" s="268"/>
      <c r="BN52" s="268"/>
      <c r="BV52" s="584"/>
      <c r="BY52" s="268" t="s">
        <v>0</v>
      </c>
      <c r="BZ52" s="268"/>
      <c r="CA52" s="268"/>
      <c r="CB52" s="268"/>
      <c r="CC52" s="268"/>
      <c r="CD52" s="268"/>
      <c r="CZ52" s="207"/>
    </row>
    <row r="53" spans="1:104" ht="15">
      <c r="A53" s="648"/>
      <c r="B53" s="299" t="s">
        <v>88</v>
      </c>
      <c r="C53" s="263">
        <v>45000</v>
      </c>
      <c r="D53" s="211">
        <f>C53</f>
        <v>45000</v>
      </c>
      <c r="E53" s="211"/>
      <c r="F53" s="268"/>
      <c r="G53" s="268"/>
      <c r="H53" s="268"/>
      <c r="I53" s="268"/>
      <c r="J53" s="268"/>
      <c r="K53" s="268"/>
      <c r="L53" s="268"/>
      <c r="M53" s="268"/>
      <c r="N53" s="268"/>
      <c r="O53" s="268"/>
      <c r="P53" s="268"/>
      <c r="Q53" s="268"/>
      <c r="R53" s="268"/>
      <c r="S53" s="268"/>
      <c r="T53" s="268"/>
      <c r="U53" s="268"/>
      <c r="V53" s="268"/>
      <c r="W53" s="268"/>
      <c r="X53" s="268"/>
      <c r="Y53" s="268"/>
      <c r="Z53" s="268"/>
      <c r="AA53" s="268"/>
      <c r="AB53" s="268"/>
      <c r="AC53" s="268"/>
      <c r="AD53" s="268"/>
      <c r="AF53" s="268"/>
      <c r="AG53" s="268"/>
      <c r="AH53" s="268"/>
      <c r="AI53" s="268"/>
      <c r="AJ53" s="268"/>
      <c r="AK53" s="268"/>
      <c r="AL53" s="268"/>
      <c r="AM53" s="268"/>
      <c r="AN53" s="268"/>
      <c r="AP53" s="268" t="s">
        <v>0</v>
      </c>
      <c r="AQ53" s="268"/>
      <c r="AR53" s="268"/>
      <c r="AS53" s="268">
        <v>0</v>
      </c>
      <c r="AT53" s="268"/>
      <c r="AU53" s="268"/>
      <c r="AV53" s="268" t="s">
        <v>0</v>
      </c>
      <c r="AW53" s="561"/>
      <c r="AX53" s="268"/>
      <c r="AY53" s="268"/>
      <c r="BA53" s="268"/>
      <c r="BC53" s="268"/>
      <c r="BD53" s="268"/>
      <c r="BG53" s="268" t="s">
        <v>0</v>
      </c>
      <c r="BH53" s="268"/>
      <c r="BJ53" s="268"/>
      <c r="BK53" s="268"/>
      <c r="BM53" s="268" t="s">
        <v>0</v>
      </c>
      <c r="BN53" s="268"/>
      <c r="BP53" s="268"/>
      <c r="BQ53" s="268"/>
      <c r="BR53" s="268" t="s">
        <v>0</v>
      </c>
      <c r="BV53" s="584"/>
      <c r="BX53" s="268" t="s">
        <v>0</v>
      </c>
      <c r="CB53" s="268">
        <v>0</v>
      </c>
      <c r="CC53" s="268"/>
      <c r="CZ53" s="207"/>
    </row>
    <row r="54" spans="1:104" ht="15">
      <c r="A54" s="648"/>
      <c r="B54" s="299" t="s">
        <v>89</v>
      </c>
      <c r="C54" s="263"/>
      <c r="D54" s="211">
        <v>25000</v>
      </c>
      <c r="E54" s="211"/>
      <c r="F54" s="268"/>
      <c r="G54" s="268"/>
      <c r="H54" s="268"/>
      <c r="I54" s="268"/>
      <c r="J54" s="268"/>
      <c r="K54" s="268"/>
      <c r="L54" s="268"/>
      <c r="M54" s="268"/>
      <c r="N54" s="268"/>
      <c r="O54" s="268"/>
      <c r="P54" s="268"/>
      <c r="Q54" s="268"/>
      <c r="R54" s="268"/>
      <c r="S54" s="268"/>
      <c r="T54" s="268"/>
      <c r="U54" s="268"/>
      <c r="V54" s="268"/>
      <c r="W54" s="268"/>
      <c r="X54" s="268"/>
      <c r="Y54" s="269">
        <f>14067-998</f>
        <v>13069</v>
      </c>
      <c r="Z54" s="268">
        <v>0</v>
      </c>
      <c r="AA54" s="268"/>
      <c r="AB54" s="268">
        <v>0</v>
      </c>
      <c r="AC54" s="268">
        <v>0</v>
      </c>
      <c r="AD54" s="268">
        <v>0</v>
      </c>
      <c r="AF54" s="269">
        <v>11623</v>
      </c>
      <c r="AG54" s="268"/>
      <c r="AH54" s="268"/>
      <c r="AI54" s="268"/>
      <c r="AJ54" s="268"/>
      <c r="AK54" s="268"/>
      <c r="AL54" s="268"/>
      <c r="AM54" s="268"/>
      <c r="AN54" s="268"/>
      <c r="AO54" s="268"/>
      <c r="AP54" s="268"/>
      <c r="AQ54" s="268"/>
      <c r="AR54" s="268"/>
      <c r="AS54" s="268"/>
      <c r="AT54" s="268"/>
      <c r="AU54" s="268"/>
      <c r="AV54" s="268"/>
      <c r="AW54" s="275"/>
      <c r="AX54" s="268"/>
      <c r="AY54" s="268"/>
      <c r="AZ54" s="268"/>
      <c r="BA54" s="268"/>
      <c r="BB54" s="268"/>
      <c r="BC54" s="268"/>
      <c r="BD54" s="268"/>
      <c r="BE54" s="268"/>
      <c r="BF54" s="268"/>
      <c r="BG54" s="268"/>
      <c r="BH54" s="268"/>
      <c r="BI54" s="268"/>
      <c r="BJ54" s="268"/>
      <c r="BK54" s="268"/>
      <c r="BL54" s="268"/>
      <c r="BM54" s="268"/>
      <c r="BN54" s="268"/>
      <c r="BV54" s="584"/>
      <c r="CZ54" s="207"/>
    </row>
    <row r="55" spans="1:104" ht="15">
      <c r="A55" s="648"/>
      <c r="B55" s="299" t="s">
        <v>90</v>
      </c>
      <c r="C55" s="263"/>
      <c r="D55" s="211"/>
      <c r="E55" s="211"/>
      <c r="F55" s="268"/>
      <c r="G55" s="268"/>
      <c r="H55" s="268"/>
      <c r="I55" s="268"/>
      <c r="J55" s="268"/>
      <c r="K55" s="268"/>
      <c r="L55" s="268"/>
      <c r="M55" s="268"/>
      <c r="N55" s="268"/>
      <c r="O55" s="268"/>
      <c r="P55" s="268"/>
      <c r="Q55" s="268"/>
      <c r="R55" s="268"/>
      <c r="S55" s="268"/>
      <c r="T55" s="268"/>
      <c r="U55" s="268"/>
      <c r="V55" s="268"/>
      <c r="W55" s="268"/>
      <c r="X55" s="268"/>
      <c r="Y55" s="268"/>
      <c r="Z55" s="268"/>
      <c r="AA55" s="268"/>
      <c r="AB55" s="268"/>
      <c r="AC55" s="268"/>
      <c r="AD55" s="268"/>
      <c r="AF55" s="268"/>
      <c r="AG55" s="268"/>
      <c r="AH55" s="268"/>
      <c r="AI55" s="268"/>
      <c r="AJ55" s="268" t="s">
        <v>0</v>
      </c>
      <c r="AK55" s="268"/>
      <c r="AL55" s="268" t="s">
        <v>0</v>
      </c>
      <c r="AM55" s="268" t="s">
        <v>0</v>
      </c>
      <c r="AN55" s="269">
        <f>11625</f>
        <v>11625</v>
      </c>
      <c r="AP55" s="269">
        <v>8595</v>
      </c>
      <c r="AQ55" s="268"/>
      <c r="AR55" s="268"/>
      <c r="AS55" s="268"/>
      <c r="AU55" s="268"/>
      <c r="AV55" s="268"/>
      <c r="AW55" s="275"/>
      <c r="AX55" s="268"/>
      <c r="AY55" s="268"/>
      <c r="AZ55" s="268"/>
      <c r="BA55" s="268"/>
      <c r="BB55" s="268"/>
      <c r="BC55" s="268"/>
      <c r="BD55" s="268"/>
      <c r="BE55" s="268"/>
      <c r="BF55" s="268"/>
      <c r="BG55" s="268"/>
      <c r="BH55" s="268"/>
      <c r="BI55" s="268"/>
      <c r="BJ55" s="268"/>
      <c r="BK55" s="268"/>
      <c r="BL55" s="268"/>
      <c r="BM55" s="268"/>
      <c r="BN55" s="268"/>
      <c r="BV55" s="584"/>
      <c r="CZ55" s="207"/>
    </row>
    <row r="56" spans="1:104" ht="15">
      <c r="A56" s="648"/>
      <c r="B56" s="299" t="s">
        <v>91</v>
      </c>
      <c r="C56" s="263"/>
      <c r="D56" s="211"/>
      <c r="E56" s="211"/>
      <c r="F56" s="268"/>
      <c r="G56" s="268"/>
      <c r="H56" s="268"/>
      <c r="I56" s="268"/>
      <c r="J56" s="268"/>
      <c r="K56" s="268"/>
      <c r="L56" s="268"/>
      <c r="M56" s="268"/>
      <c r="N56" s="268"/>
      <c r="O56" s="268"/>
      <c r="P56" s="268"/>
      <c r="Q56" s="268"/>
      <c r="R56" s="268"/>
      <c r="S56" s="268"/>
      <c r="T56" s="268"/>
      <c r="U56" s="268"/>
      <c r="V56" s="268"/>
      <c r="W56" s="268"/>
      <c r="X56" s="268"/>
      <c r="Y56" s="268"/>
      <c r="Z56" s="268"/>
      <c r="AA56" s="268"/>
      <c r="AB56" s="268"/>
      <c r="AC56" s="268"/>
      <c r="AD56" s="268"/>
      <c r="AF56" s="269">
        <v>-1147</v>
      </c>
      <c r="AG56" s="268"/>
      <c r="AH56" s="268"/>
      <c r="AI56" s="268"/>
      <c r="AJ56" s="268"/>
      <c r="AK56" s="268"/>
      <c r="AL56" s="268"/>
      <c r="AM56" s="268"/>
      <c r="AN56" s="268"/>
      <c r="AO56" s="268"/>
      <c r="AP56" s="268"/>
      <c r="AQ56" s="268"/>
      <c r="AR56" s="268"/>
      <c r="AS56" s="268"/>
      <c r="AT56" s="268"/>
      <c r="AU56" s="268"/>
      <c r="AV56" s="268"/>
      <c r="AW56" s="275"/>
      <c r="AX56" s="268"/>
      <c r="AY56" s="268"/>
      <c r="AZ56" s="268"/>
      <c r="BA56" s="268"/>
      <c r="BB56" s="268"/>
      <c r="BC56" s="268"/>
      <c r="BD56" s="268"/>
      <c r="BE56" s="268"/>
      <c r="BF56" s="268"/>
      <c r="BG56" s="268"/>
      <c r="BH56" s="268"/>
      <c r="BI56" s="268"/>
      <c r="BJ56" s="268"/>
      <c r="BK56" s="268"/>
      <c r="BL56" s="268"/>
      <c r="BM56" s="268"/>
      <c r="BN56" s="268"/>
      <c r="BV56" s="584"/>
      <c r="CZ56" s="207"/>
    </row>
    <row r="57" spans="1:104" ht="15">
      <c r="A57" s="648"/>
      <c r="B57" s="299" t="s">
        <v>92</v>
      </c>
      <c r="C57" s="263"/>
      <c r="D57" s="211"/>
      <c r="E57" s="211"/>
      <c r="F57" s="268"/>
      <c r="G57" s="268"/>
      <c r="H57" s="268"/>
      <c r="I57" s="268"/>
      <c r="J57" s="268"/>
      <c r="K57" s="268"/>
      <c r="L57" s="268"/>
      <c r="M57" s="268"/>
      <c r="N57" s="268"/>
      <c r="O57" s="268"/>
      <c r="P57" s="268"/>
      <c r="Q57" s="268"/>
      <c r="R57" s="268"/>
      <c r="S57" s="268"/>
      <c r="T57" s="268"/>
      <c r="U57" s="268"/>
      <c r="V57" s="268"/>
      <c r="W57" s="268"/>
      <c r="X57" s="268"/>
      <c r="Y57" s="268"/>
      <c r="Z57" s="268"/>
      <c r="AA57" s="268"/>
      <c r="AB57" s="268"/>
      <c r="AC57" s="268"/>
      <c r="AD57" s="268"/>
      <c r="AF57" s="268"/>
      <c r="AG57" s="268"/>
      <c r="AH57" s="268"/>
      <c r="AI57" s="268"/>
      <c r="AJ57" s="268"/>
      <c r="AK57" s="268"/>
      <c r="AL57" s="268"/>
      <c r="AM57" s="268"/>
      <c r="AN57" s="269">
        <v>2082.85</v>
      </c>
      <c r="AP57" s="268" t="s">
        <v>0</v>
      </c>
      <c r="AQ57" s="268"/>
      <c r="AR57" s="268"/>
      <c r="AS57" s="268"/>
      <c r="AT57" s="268"/>
      <c r="AU57" s="268"/>
      <c r="AV57" s="268"/>
      <c r="AW57" s="275"/>
      <c r="AX57" s="268"/>
      <c r="AY57" s="268"/>
      <c r="AZ57" s="268"/>
      <c r="BA57" s="268"/>
      <c r="BB57" s="268"/>
      <c r="BC57" s="268"/>
      <c r="BD57" s="268"/>
      <c r="BE57" s="268"/>
      <c r="BF57" s="268"/>
      <c r="BG57" s="268"/>
      <c r="BH57" s="268"/>
      <c r="BI57" s="268"/>
      <c r="BJ57" s="268"/>
      <c r="BK57" s="268"/>
      <c r="BL57" s="268"/>
      <c r="BM57" s="268"/>
      <c r="BN57" s="268"/>
      <c r="BV57" s="584"/>
      <c r="CZ57" s="207"/>
    </row>
    <row r="58" spans="1:104" ht="15">
      <c r="A58" s="648"/>
      <c r="B58" s="299" t="s">
        <v>93</v>
      </c>
      <c r="C58" s="263"/>
      <c r="D58" s="211"/>
      <c r="E58" s="211"/>
      <c r="F58" s="268"/>
      <c r="G58" s="268"/>
      <c r="H58" s="268"/>
      <c r="I58" s="268"/>
      <c r="J58" s="268"/>
      <c r="K58" s="268"/>
      <c r="L58" s="268"/>
      <c r="M58" s="268"/>
      <c r="N58" s="268"/>
      <c r="O58" s="268"/>
      <c r="P58" s="268"/>
      <c r="Q58" s="268"/>
      <c r="R58" s="268"/>
      <c r="S58" s="268"/>
      <c r="T58" s="268"/>
      <c r="U58" s="268"/>
      <c r="V58" s="268"/>
      <c r="W58" s="268"/>
      <c r="X58" s="268"/>
      <c r="Y58" s="268"/>
      <c r="Z58" s="268"/>
      <c r="AA58" s="268"/>
      <c r="AB58" s="268"/>
      <c r="AC58" s="268"/>
      <c r="AD58" s="268"/>
      <c r="AF58" s="268"/>
      <c r="AG58" s="268"/>
      <c r="AH58" s="268"/>
      <c r="AI58" s="268"/>
      <c r="AJ58" s="268"/>
      <c r="AK58" s="268"/>
      <c r="AL58" s="269">
        <v>1402.55</v>
      </c>
      <c r="AM58" s="268"/>
      <c r="AN58" s="268"/>
      <c r="AO58" s="268"/>
      <c r="AP58" s="268"/>
      <c r="AQ58" s="268"/>
      <c r="AR58" s="268"/>
      <c r="AS58" s="268"/>
      <c r="AT58" s="268"/>
      <c r="AU58" s="268"/>
      <c r="AV58" s="268"/>
      <c r="AW58" s="275"/>
      <c r="AX58" s="268"/>
      <c r="AY58" s="268"/>
      <c r="AZ58" s="268"/>
      <c r="BA58" s="268"/>
      <c r="BB58" s="268"/>
      <c r="BC58" s="268"/>
      <c r="BD58" s="268"/>
      <c r="BE58" s="268"/>
      <c r="BF58" s="268"/>
      <c r="BG58" s="268"/>
      <c r="BH58" s="268"/>
      <c r="BI58" s="268"/>
      <c r="BJ58" s="268"/>
      <c r="BK58" s="268"/>
      <c r="BL58" s="268"/>
      <c r="BM58" s="268"/>
      <c r="BN58" s="268"/>
      <c r="BV58" s="584"/>
      <c r="CZ58" s="207"/>
    </row>
    <row r="59" spans="1:104" ht="15">
      <c r="A59" s="648"/>
      <c r="B59" s="299" t="s">
        <v>711</v>
      </c>
      <c r="C59" s="263"/>
      <c r="D59" s="211"/>
      <c r="E59" s="211"/>
      <c r="F59" s="268"/>
      <c r="G59" s="268"/>
      <c r="H59" s="268"/>
      <c r="I59" s="268"/>
      <c r="J59" s="268"/>
      <c r="K59" s="268"/>
      <c r="L59" s="268"/>
      <c r="M59" s="268"/>
      <c r="N59" s="268"/>
      <c r="O59" s="268"/>
      <c r="P59" s="268"/>
      <c r="Q59" s="268"/>
      <c r="R59" s="268"/>
      <c r="S59" s="268"/>
      <c r="T59" s="268"/>
      <c r="U59" s="268"/>
      <c r="V59" s="268"/>
      <c r="W59" s="268"/>
      <c r="X59" s="268"/>
      <c r="Y59" s="268"/>
      <c r="Z59" s="268"/>
      <c r="AA59" s="268"/>
      <c r="AB59" s="268"/>
      <c r="AC59" s="268"/>
      <c r="AD59" s="268"/>
      <c r="AF59" s="268"/>
      <c r="AG59" s="268"/>
      <c r="AH59" s="268"/>
      <c r="AI59" s="268"/>
      <c r="AJ59" s="268"/>
      <c r="AK59" s="268"/>
      <c r="AL59" s="269"/>
      <c r="AM59" s="268"/>
      <c r="AN59" s="268"/>
      <c r="AO59" s="268"/>
      <c r="AP59" s="268"/>
      <c r="AQ59" s="268"/>
      <c r="AR59" s="268"/>
      <c r="AS59" s="268"/>
      <c r="AT59" s="268"/>
      <c r="AU59" s="268"/>
      <c r="AW59" s="310">
        <v>5376.25</v>
      </c>
      <c r="AX59" s="268"/>
      <c r="AY59" s="268"/>
      <c r="AZ59" s="268"/>
      <c r="BA59" s="268"/>
      <c r="BB59" s="268"/>
      <c r="BC59" s="268"/>
      <c r="BD59" s="268"/>
      <c r="BE59" s="268"/>
      <c r="BF59" s="268"/>
      <c r="BG59" s="268"/>
      <c r="BH59" s="268"/>
      <c r="BI59" s="268"/>
      <c r="BJ59" s="268"/>
      <c r="BK59" s="268"/>
      <c r="BL59" s="268"/>
      <c r="BM59" s="268"/>
      <c r="BN59" s="268"/>
      <c r="BV59" s="584"/>
      <c r="CZ59" s="207"/>
    </row>
    <row r="60" spans="1:104" ht="15">
      <c r="A60" s="648"/>
      <c r="B60" s="299" t="s">
        <v>797</v>
      </c>
      <c r="C60" s="263"/>
      <c r="D60" s="211"/>
      <c r="E60" s="211"/>
      <c r="F60" s="268"/>
      <c r="G60" s="268"/>
      <c r="H60" s="268"/>
      <c r="I60" s="268"/>
      <c r="J60" s="268"/>
      <c r="K60" s="268"/>
      <c r="L60" s="268"/>
      <c r="M60" s="268"/>
      <c r="N60" s="268"/>
      <c r="O60" s="268"/>
      <c r="P60" s="268"/>
      <c r="Q60" s="268"/>
      <c r="R60" s="268"/>
      <c r="S60" s="268"/>
      <c r="T60" s="268"/>
      <c r="U60" s="268"/>
      <c r="V60" s="268"/>
      <c r="W60" s="268"/>
      <c r="X60" s="268"/>
      <c r="Y60" s="268"/>
      <c r="Z60" s="268"/>
      <c r="AA60" s="268"/>
      <c r="AB60" s="268"/>
      <c r="AC60" s="268"/>
      <c r="AD60" s="268"/>
      <c r="AF60" s="268"/>
      <c r="AG60" s="268"/>
      <c r="AH60" s="268"/>
      <c r="AI60" s="268"/>
      <c r="AJ60" s="268"/>
      <c r="AK60" s="268"/>
      <c r="AL60" s="269"/>
      <c r="AM60" s="268"/>
      <c r="AN60" s="268"/>
      <c r="AO60" s="268"/>
      <c r="AP60" s="268"/>
      <c r="AQ60" s="268"/>
      <c r="AR60" s="268"/>
      <c r="AS60" s="268"/>
      <c r="AT60" s="268"/>
      <c r="AU60" s="268"/>
      <c r="AW60" s="310"/>
      <c r="AX60" s="268"/>
      <c r="AY60" s="268"/>
      <c r="AZ60" s="268"/>
      <c r="BA60" s="268"/>
      <c r="BB60" s="268"/>
      <c r="BC60" s="268"/>
      <c r="BD60" s="268"/>
      <c r="BE60" s="268"/>
      <c r="BF60" s="268"/>
      <c r="BG60" s="268"/>
      <c r="BH60" s="268"/>
      <c r="BI60" s="268"/>
      <c r="BJ60" s="268"/>
      <c r="BK60" s="268"/>
      <c r="BL60" s="268"/>
      <c r="BM60" s="268"/>
      <c r="BN60" s="268"/>
      <c r="BV60" s="584"/>
      <c r="CB60" s="268">
        <v>25000</v>
      </c>
      <c r="CC60" s="268"/>
      <c r="CZ60" s="207"/>
    </row>
    <row r="61" spans="1:104" ht="15">
      <c r="A61" s="648"/>
      <c r="B61" s="299" t="s">
        <v>96</v>
      </c>
      <c r="C61" s="263"/>
      <c r="D61" s="211">
        <v>13821</v>
      </c>
      <c r="E61" s="211"/>
      <c r="F61" s="268"/>
      <c r="G61" s="268"/>
      <c r="H61" s="268"/>
      <c r="I61" s="268"/>
      <c r="K61" s="268"/>
      <c r="L61" s="268"/>
      <c r="N61" s="268"/>
      <c r="O61" s="268"/>
      <c r="P61" s="269">
        <v>12551</v>
      </c>
      <c r="Q61" s="268"/>
      <c r="R61" s="269">
        <v>3811.5</v>
      </c>
      <c r="S61" s="268" t="s">
        <v>0</v>
      </c>
      <c r="T61" s="268"/>
      <c r="U61" s="268"/>
      <c r="V61" s="268"/>
      <c r="W61" s="268"/>
      <c r="Y61" s="268"/>
      <c r="Z61" s="268"/>
      <c r="AA61" s="268"/>
      <c r="AB61" s="268"/>
      <c r="AC61" s="268"/>
      <c r="AD61" s="268"/>
      <c r="AE61" s="268"/>
      <c r="AF61" s="268"/>
      <c r="AG61" s="268"/>
      <c r="AH61" s="268"/>
      <c r="AI61" s="268"/>
      <c r="AJ61" s="268"/>
      <c r="AK61" s="268"/>
      <c r="AL61" s="268"/>
      <c r="AM61" s="268"/>
      <c r="AN61" s="268"/>
      <c r="AO61" s="268"/>
      <c r="AP61" s="268"/>
      <c r="AQ61" s="268"/>
      <c r="AR61" s="268"/>
      <c r="AS61" s="268"/>
      <c r="AT61" s="268"/>
      <c r="AU61" s="268"/>
      <c r="AW61" s="275"/>
      <c r="AX61" s="268"/>
      <c r="AY61" s="268"/>
      <c r="AZ61" s="268"/>
      <c r="BA61" s="268"/>
      <c r="BB61" s="268"/>
      <c r="BC61" s="268"/>
      <c r="BD61" s="268"/>
      <c r="BE61" s="268"/>
      <c r="BF61" s="268"/>
      <c r="BG61" s="268"/>
      <c r="BH61" s="268"/>
      <c r="BI61" s="268"/>
      <c r="BJ61" s="268"/>
      <c r="BK61" s="268"/>
      <c r="BL61" s="268"/>
      <c r="BM61" s="268"/>
      <c r="BN61" s="268"/>
      <c r="BV61" s="584"/>
      <c r="CZ61" s="207"/>
    </row>
    <row r="62" spans="1:104" ht="15">
      <c r="A62" s="648"/>
      <c r="B62" s="299" t="s">
        <v>98</v>
      </c>
      <c r="C62" s="263"/>
      <c r="D62" s="211">
        <v>10000</v>
      </c>
      <c r="E62" s="211"/>
      <c r="F62" s="268"/>
      <c r="G62" s="268"/>
      <c r="H62" s="268"/>
      <c r="I62" s="268"/>
      <c r="L62" s="268"/>
      <c r="N62" s="268"/>
      <c r="O62" s="268"/>
      <c r="P62" s="268"/>
      <c r="Q62" s="268"/>
      <c r="R62" s="268"/>
      <c r="S62" s="268"/>
      <c r="T62" s="268"/>
      <c r="U62" s="269">
        <v>9685</v>
      </c>
      <c r="W62" s="268" t="s">
        <v>0</v>
      </c>
      <c r="X62" s="268"/>
      <c r="Y62" s="268"/>
      <c r="Z62" s="268"/>
      <c r="AA62" s="268"/>
      <c r="AB62" s="268"/>
      <c r="AC62" s="268"/>
      <c r="AD62" s="268"/>
      <c r="AE62" s="268"/>
      <c r="AF62" s="268"/>
      <c r="AG62" s="268"/>
      <c r="AH62" s="268"/>
      <c r="AI62" s="268"/>
      <c r="AJ62" s="268"/>
      <c r="AL62" s="268"/>
      <c r="AM62" s="268"/>
      <c r="AN62" s="268"/>
      <c r="AP62" s="268" t="s">
        <v>0</v>
      </c>
      <c r="AQ62" s="268"/>
      <c r="AR62" s="268"/>
      <c r="AS62" s="268"/>
      <c r="AU62" s="268"/>
      <c r="AW62" s="561"/>
      <c r="BB62" s="268"/>
      <c r="BC62" s="268"/>
      <c r="BD62" s="268"/>
      <c r="BE62" s="268"/>
      <c r="BF62" s="268"/>
      <c r="BG62" s="268"/>
      <c r="BH62" s="268"/>
      <c r="BI62" s="268"/>
      <c r="BJ62" s="268"/>
      <c r="BK62" s="268"/>
      <c r="BL62" s="268"/>
      <c r="BM62" s="268"/>
      <c r="BN62" s="268"/>
      <c r="BV62" s="584"/>
      <c r="CZ62" s="207"/>
    </row>
    <row r="63" spans="1:104" ht="15">
      <c r="A63" s="648"/>
      <c r="B63" s="299" t="s">
        <v>99</v>
      </c>
      <c r="C63" s="263"/>
      <c r="D63" s="211">
        <v>22000</v>
      </c>
      <c r="E63" s="211"/>
      <c r="F63" s="268"/>
      <c r="G63" s="268"/>
      <c r="H63" s="268"/>
      <c r="I63" s="268"/>
      <c r="L63" s="268"/>
      <c r="N63" s="268"/>
      <c r="O63" s="268"/>
      <c r="P63" s="268"/>
      <c r="Q63" s="268"/>
      <c r="R63" s="268"/>
      <c r="S63" s="268"/>
      <c r="T63" s="268"/>
      <c r="U63" s="268"/>
      <c r="V63" s="268">
        <v>0</v>
      </c>
      <c r="W63" s="268">
        <v>0</v>
      </c>
      <c r="X63" s="201"/>
      <c r="Y63" s="269">
        <v>14346.67</v>
      </c>
      <c r="Z63" s="268">
        <v>0</v>
      </c>
      <c r="AA63" s="269">
        <v>2000</v>
      </c>
      <c r="AB63" s="268">
        <v>0</v>
      </c>
      <c r="AD63" s="269">
        <v>5000</v>
      </c>
      <c r="AE63" s="268"/>
      <c r="AF63" s="268"/>
      <c r="AG63" s="268"/>
      <c r="AH63" s="268"/>
      <c r="AI63" s="268"/>
      <c r="AJ63" s="268"/>
      <c r="AL63" s="268"/>
      <c r="AM63" s="268"/>
      <c r="AN63" s="268"/>
      <c r="AP63" s="268" t="s">
        <v>0</v>
      </c>
      <c r="AQ63" s="268"/>
      <c r="AR63" s="268"/>
      <c r="AS63" s="268"/>
      <c r="AU63" s="268"/>
      <c r="AW63" s="561"/>
      <c r="BB63" s="268"/>
      <c r="BC63" s="268"/>
      <c r="BD63" s="268"/>
      <c r="BE63" s="268"/>
      <c r="BF63" s="268"/>
      <c r="BG63" s="268"/>
      <c r="BH63" s="268"/>
      <c r="BI63" s="268"/>
      <c r="BJ63" s="268"/>
      <c r="BK63" s="268"/>
      <c r="BL63" s="268"/>
      <c r="BM63" s="268"/>
      <c r="BN63" s="268"/>
      <c r="BV63" s="584"/>
      <c r="CZ63" s="207"/>
    </row>
    <row r="64" spans="1:104" ht="15">
      <c r="A64" s="648"/>
      <c r="B64" s="299" t="s">
        <v>100</v>
      </c>
      <c r="C64" s="263"/>
      <c r="D64" s="211">
        <v>3500</v>
      </c>
      <c r="E64" s="211"/>
      <c r="F64" s="268"/>
      <c r="G64" s="268"/>
      <c r="H64" s="268"/>
      <c r="I64" s="268"/>
      <c r="L64" s="268"/>
      <c r="N64" s="268"/>
      <c r="O64" s="268" t="s">
        <v>0</v>
      </c>
      <c r="P64" s="268"/>
      <c r="Q64" s="268"/>
      <c r="R64" s="268"/>
      <c r="S64" s="268"/>
      <c r="T64" s="269">
        <v>3503</v>
      </c>
      <c r="V64" s="268">
        <v>0</v>
      </c>
      <c r="W64" s="268">
        <v>0</v>
      </c>
      <c r="X64" s="268"/>
      <c r="Y64" s="268"/>
      <c r="Z64" s="268"/>
      <c r="AA64" s="268"/>
      <c r="AB64" s="268"/>
      <c r="AC64" s="268"/>
      <c r="AD64" s="268"/>
      <c r="AE64" s="268"/>
      <c r="AF64" s="268"/>
      <c r="AG64" s="268"/>
      <c r="AH64" s="268"/>
      <c r="AI64" s="268"/>
      <c r="AJ64" s="268"/>
      <c r="AL64" s="268"/>
      <c r="AM64" s="268"/>
      <c r="AN64" s="268"/>
      <c r="AP64" s="268"/>
      <c r="AQ64" s="268"/>
      <c r="AR64" s="268"/>
      <c r="AS64" s="268"/>
      <c r="AU64" s="268"/>
      <c r="AW64" s="561"/>
      <c r="BB64" s="268"/>
      <c r="BC64" s="268"/>
      <c r="BD64" s="268"/>
      <c r="BE64" s="268"/>
      <c r="BF64" s="268"/>
      <c r="BG64" s="268"/>
      <c r="BH64" s="268"/>
      <c r="BI64" s="268"/>
      <c r="BJ64" s="268"/>
      <c r="BK64" s="268"/>
      <c r="BL64" s="268"/>
      <c r="BM64" s="268"/>
      <c r="BN64" s="268"/>
      <c r="BO64" s="3" t="s">
        <v>0</v>
      </c>
      <c r="BV64" s="584"/>
      <c r="CZ64" s="207"/>
    </row>
    <row r="65" spans="1:104" ht="15">
      <c r="A65" s="648"/>
      <c r="B65" s="299" t="s">
        <v>766</v>
      </c>
      <c r="C65" s="263"/>
      <c r="D65" s="211">
        <v>30000</v>
      </c>
      <c r="E65" s="211"/>
      <c r="F65" s="268"/>
      <c r="G65" s="268"/>
      <c r="H65" s="268"/>
      <c r="I65" s="268"/>
      <c r="J65" s="268"/>
      <c r="K65" s="268"/>
      <c r="L65" s="268"/>
      <c r="M65" s="268"/>
      <c r="N65" s="268"/>
      <c r="O65" s="268"/>
      <c r="P65" s="268"/>
      <c r="Q65" s="268"/>
      <c r="R65" s="268"/>
      <c r="S65" s="268"/>
      <c r="T65" s="268"/>
      <c r="U65" s="268"/>
      <c r="V65" s="268"/>
      <c r="W65" s="268"/>
      <c r="X65" s="268"/>
      <c r="Y65" s="268"/>
      <c r="Z65" s="268"/>
      <c r="AA65" s="326" t="s">
        <v>0</v>
      </c>
      <c r="AB65" s="268"/>
      <c r="AD65" s="268">
        <v>15000</v>
      </c>
      <c r="AE65" s="268">
        <v>0</v>
      </c>
      <c r="AG65" s="268">
        <v>13500</v>
      </c>
      <c r="AJ65" s="268" t="s">
        <v>0</v>
      </c>
      <c r="AL65" s="268" t="s">
        <v>0</v>
      </c>
      <c r="AM65" s="268"/>
      <c r="AN65" s="268"/>
      <c r="AP65" s="268"/>
      <c r="AQ65" s="268"/>
      <c r="AS65" s="268"/>
      <c r="AZ65" s="275" t="s">
        <v>0</v>
      </c>
      <c r="BE65" s="310">
        <f>7892.5+10199.58+108</f>
        <v>18200.080000000002</v>
      </c>
      <c r="BH65" s="268"/>
      <c r="BI65" s="268"/>
      <c r="BJ65" s="268"/>
      <c r="BK65" s="268"/>
      <c r="BL65" s="268"/>
      <c r="BM65" s="268"/>
      <c r="BN65" s="268"/>
      <c r="BV65" s="584"/>
      <c r="CZ65" s="207"/>
    </row>
    <row r="66" spans="1:104" ht="15">
      <c r="A66" s="648"/>
      <c r="B66" s="299" t="s">
        <v>101</v>
      </c>
      <c r="C66" s="263"/>
      <c r="D66" s="211">
        <v>50937</v>
      </c>
      <c r="E66" s="211"/>
      <c r="F66" s="268"/>
      <c r="G66" s="268"/>
      <c r="H66" s="268"/>
      <c r="I66" s="268"/>
      <c r="J66" s="268"/>
      <c r="K66" s="268"/>
      <c r="L66" s="268"/>
      <c r="M66" s="268"/>
      <c r="N66" s="268"/>
      <c r="O66" s="268"/>
      <c r="P66" s="268"/>
      <c r="Q66" s="268"/>
      <c r="R66" s="268"/>
      <c r="S66" s="268"/>
      <c r="T66" s="268"/>
      <c r="U66" s="268"/>
      <c r="V66" s="268"/>
      <c r="W66" s="268"/>
      <c r="X66" s="268"/>
      <c r="Y66" s="268"/>
      <c r="Z66" s="268"/>
      <c r="AA66" s="308"/>
      <c r="AB66" s="308"/>
      <c r="AC66" s="268"/>
      <c r="AD66" s="268"/>
      <c r="AE66" s="268"/>
      <c r="AF66" s="268">
        <v>29937</v>
      </c>
      <c r="AG66" s="268"/>
      <c r="AL66" s="268"/>
      <c r="AM66" s="268" t="s">
        <v>0</v>
      </c>
      <c r="AN66" s="268" t="s">
        <v>0</v>
      </c>
      <c r="AP66" s="268"/>
      <c r="AQ66" s="268"/>
      <c r="AS66" s="268"/>
      <c r="AY66" s="310">
        <v>15811.37</v>
      </c>
      <c r="BH66" s="268"/>
      <c r="BI66" s="268"/>
      <c r="BJ66" s="268"/>
      <c r="BK66" s="268"/>
      <c r="BL66" s="268"/>
      <c r="BM66" s="268"/>
      <c r="BN66" s="268"/>
      <c r="BV66" s="584"/>
      <c r="CZ66" s="207"/>
    </row>
    <row r="67" spans="1:104" ht="15">
      <c r="A67" s="648"/>
      <c r="B67" s="299" t="s">
        <v>97</v>
      </c>
      <c r="C67" s="263"/>
      <c r="D67" s="211">
        <v>15000</v>
      </c>
      <c r="E67" s="211"/>
      <c r="F67" s="268"/>
      <c r="G67" s="268"/>
      <c r="H67" s="268"/>
      <c r="I67" s="268"/>
      <c r="L67" s="268"/>
      <c r="N67" s="268"/>
      <c r="O67" s="268"/>
      <c r="P67" s="268"/>
      <c r="Q67" s="268"/>
      <c r="R67" s="268"/>
      <c r="S67" s="268"/>
      <c r="T67" s="268"/>
      <c r="U67" s="268">
        <v>10010</v>
      </c>
      <c r="V67" s="268"/>
      <c r="W67" s="268">
        <v>0</v>
      </c>
      <c r="X67" s="268"/>
      <c r="Y67" s="268">
        <v>0</v>
      </c>
      <c r="Z67" s="268">
        <v>0</v>
      </c>
      <c r="AA67" s="268">
        <v>18000</v>
      </c>
      <c r="AB67" s="268"/>
      <c r="AC67" s="268"/>
      <c r="AD67" s="268"/>
      <c r="AE67" s="268" t="s">
        <v>0</v>
      </c>
      <c r="AF67" s="268"/>
      <c r="AG67" s="268"/>
      <c r="AH67" s="268" t="s">
        <v>0</v>
      </c>
      <c r="AJ67" s="268" t="s">
        <v>0</v>
      </c>
      <c r="AL67" s="268" t="s">
        <v>0</v>
      </c>
      <c r="AM67" s="268"/>
      <c r="AN67" s="268"/>
      <c r="AP67" s="268"/>
      <c r="AQ67" s="268"/>
      <c r="AS67" s="268"/>
      <c r="AZ67" s="275" t="s">
        <v>0</v>
      </c>
      <c r="BE67" s="310">
        <f>1800</f>
        <v>1800</v>
      </c>
      <c r="BH67" s="268"/>
      <c r="BI67" s="268"/>
      <c r="BJ67" s="268"/>
      <c r="BK67" s="268"/>
      <c r="BL67" s="268"/>
      <c r="BM67" s="268"/>
      <c r="BN67" s="268"/>
      <c r="BV67" s="584"/>
      <c r="CZ67" s="207"/>
    </row>
    <row r="68" spans="1:104" ht="15">
      <c r="A68" s="648"/>
      <c r="B68" s="282" t="s">
        <v>779</v>
      </c>
      <c r="C68" s="263"/>
      <c r="D68" s="211"/>
      <c r="E68" s="211"/>
      <c r="F68" s="268"/>
      <c r="G68" s="268"/>
      <c r="H68" s="268"/>
      <c r="I68" s="268"/>
      <c r="J68" s="268"/>
      <c r="K68" s="268"/>
      <c r="L68" s="268"/>
      <c r="M68" s="268"/>
      <c r="N68" s="268"/>
      <c r="O68" s="268"/>
      <c r="P68" s="268"/>
      <c r="Q68" s="268"/>
      <c r="R68" s="268"/>
      <c r="S68" s="268"/>
      <c r="T68" s="268"/>
      <c r="U68" s="268"/>
      <c r="V68" s="268"/>
      <c r="W68" s="268"/>
      <c r="X68" s="268"/>
      <c r="Y68" s="268"/>
      <c r="Z68" s="268"/>
      <c r="AA68" s="268"/>
      <c r="AB68" s="268"/>
      <c r="AC68" s="268"/>
      <c r="AD68" s="268"/>
      <c r="AE68" s="268"/>
      <c r="AF68" s="268"/>
      <c r="AG68" s="268"/>
      <c r="AJ68" s="268"/>
      <c r="AL68" s="268"/>
      <c r="AM68" s="268"/>
      <c r="AN68" s="268"/>
      <c r="AP68" s="268"/>
      <c r="AQ68" s="268"/>
      <c r="AR68" s="268"/>
      <c r="AS68" s="268"/>
      <c r="AU68" s="268"/>
      <c r="AX68" s="268"/>
      <c r="BG68" s="310">
        <v>7000</v>
      </c>
      <c r="BH68" s="268"/>
      <c r="BI68" s="310">
        <f>22941-BG68</f>
        <v>15941</v>
      </c>
      <c r="BJ68" s="268"/>
      <c r="BK68" s="268"/>
      <c r="BL68" s="268"/>
      <c r="BM68" s="268"/>
      <c r="BN68" s="268"/>
      <c r="BT68" s="269">
        <v>11093.56</v>
      </c>
      <c r="BV68" s="584"/>
      <c r="CM68" s="3" t="s">
        <v>0</v>
      </c>
      <c r="CZ68" s="207"/>
    </row>
    <row r="69" spans="1:104" ht="15">
      <c r="A69" s="648"/>
      <c r="B69" s="282" t="s">
        <v>103</v>
      </c>
      <c r="C69" s="263"/>
      <c r="D69" s="211"/>
      <c r="E69" s="211"/>
      <c r="F69" s="268"/>
      <c r="G69" s="268"/>
      <c r="H69" s="268"/>
      <c r="I69" s="268"/>
      <c r="J69" s="268"/>
      <c r="K69" s="268"/>
      <c r="L69" s="268"/>
      <c r="M69" s="268"/>
      <c r="N69" s="268"/>
      <c r="O69" s="268"/>
      <c r="P69" s="268"/>
      <c r="Q69" s="268"/>
      <c r="R69" s="268"/>
      <c r="S69" s="268"/>
      <c r="T69" s="268"/>
      <c r="U69" s="268"/>
      <c r="V69" s="268"/>
      <c r="W69" s="268"/>
      <c r="X69" s="268"/>
      <c r="Y69" s="268"/>
      <c r="Z69" s="268"/>
      <c r="AA69" s="268"/>
      <c r="AB69" s="268"/>
      <c r="AC69" s="268"/>
      <c r="AD69" s="268"/>
      <c r="AE69" s="268"/>
      <c r="AF69" s="268"/>
      <c r="AG69" s="268">
        <v>20000</v>
      </c>
      <c r="AJ69" s="268" t="s">
        <v>0</v>
      </c>
      <c r="AL69" s="268" t="s">
        <v>0</v>
      </c>
      <c r="AM69" s="268"/>
      <c r="AN69" s="268"/>
      <c r="AP69" s="268"/>
      <c r="AQ69" s="268"/>
      <c r="AS69" s="268"/>
      <c r="BE69" s="310">
        <v>-20000</v>
      </c>
      <c r="BH69" s="268"/>
      <c r="BI69" s="268"/>
      <c r="BJ69" s="268"/>
      <c r="BK69" s="268"/>
      <c r="BL69" s="268"/>
      <c r="BM69" s="268"/>
      <c r="BN69" s="268"/>
      <c r="BV69" s="584"/>
      <c r="CZ69" s="207"/>
    </row>
    <row r="70" spans="1:104" ht="15">
      <c r="A70" s="648"/>
      <c r="B70" s="282" t="s">
        <v>102</v>
      </c>
      <c r="C70" s="263"/>
      <c r="D70" s="211"/>
      <c r="E70" s="211"/>
      <c r="F70" s="268"/>
      <c r="G70" s="268"/>
      <c r="H70" s="268"/>
      <c r="I70" s="268"/>
      <c r="J70" s="268"/>
      <c r="K70" s="268"/>
      <c r="L70" s="268"/>
      <c r="M70" s="268"/>
      <c r="N70" s="268"/>
      <c r="O70" s="268"/>
      <c r="P70" s="268"/>
      <c r="Q70" s="268"/>
      <c r="R70" s="268"/>
      <c r="S70" s="268"/>
      <c r="T70" s="268"/>
      <c r="U70" s="268"/>
      <c r="V70" s="268"/>
      <c r="W70" s="268"/>
      <c r="X70" s="268"/>
      <c r="Y70" s="268"/>
      <c r="Z70" s="268"/>
      <c r="AA70" s="268"/>
      <c r="AB70" s="268"/>
      <c r="AC70" s="268"/>
      <c r="AD70" s="268"/>
      <c r="AE70" s="268"/>
      <c r="AF70" s="268">
        <v>0</v>
      </c>
      <c r="AG70" s="268">
        <f>1386+616</f>
        <v>2002</v>
      </c>
      <c r="AJ70" s="268"/>
      <c r="AL70" s="268"/>
      <c r="AM70" s="268"/>
      <c r="AN70" s="268"/>
      <c r="AP70" s="268"/>
      <c r="AQ70" s="268"/>
      <c r="AR70" s="268"/>
      <c r="AS70" s="268"/>
      <c r="AU70" s="268"/>
      <c r="AX70" s="268"/>
      <c r="AZ70" s="561"/>
      <c r="BF70" s="268"/>
      <c r="BH70" s="268"/>
      <c r="BI70" s="268"/>
      <c r="BJ70" s="268"/>
      <c r="BK70" s="268"/>
      <c r="BL70" s="268"/>
      <c r="BM70" s="268"/>
      <c r="BN70" s="268"/>
      <c r="BV70" s="584"/>
      <c r="CZ70" s="207"/>
    </row>
    <row r="71" spans="1:104" ht="15">
      <c r="A71" s="648"/>
      <c r="B71" s="282" t="s">
        <v>765</v>
      </c>
      <c r="C71" s="263"/>
      <c r="D71" s="211"/>
      <c r="E71" s="211"/>
      <c r="F71" s="268"/>
      <c r="G71" s="268"/>
      <c r="H71" s="268"/>
      <c r="I71" s="268"/>
      <c r="J71" s="268"/>
      <c r="K71" s="268"/>
      <c r="L71" s="268"/>
      <c r="M71" s="268"/>
      <c r="N71" s="268"/>
      <c r="O71" s="268"/>
      <c r="P71" s="268"/>
      <c r="Q71" s="268"/>
      <c r="R71" s="268"/>
      <c r="S71" s="268"/>
      <c r="T71" s="268"/>
      <c r="U71" s="268"/>
      <c r="V71" s="268"/>
      <c r="W71" s="268"/>
      <c r="X71" s="268"/>
      <c r="Y71" s="268"/>
      <c r="Z71" s="268"/>
      <c r="AA71" s="268"/>
      <c r="AB71" s="268"/>
      <c r="AC71" s="268"/>
      <c r="AD71" s="268"/>
      <c r="AE71" s="268"/>
      <c r="AF71" s="268"/>
      <c r="AG71" s="268"/>
      <c r="AJ71" s="268"/>
      <c r="AL71" s="268"/>
      <c r="AM71" s="268"/>
      <c r="AN71" s="268"/>
      <c r="AP71" s="268"/>
      <c r="AQ71" s="268"/>
      <c r="AR71" s="268"/>
      <c r="AS71" s="268"/>
      <c r="AU71" s="268"/>
      <c r="AX71" s="268"/>
      <c r="BG71" s="310">
        <v>2002</v>
      </c>
      <c r="BH71" s="268"/>
      <c r="BI71" s="268"/>
      <c r="BJ71" s="268"/>
      <c r="BK71" s="268"/>
      <c r="BL71" s="268"/>
      <c r="BM71" s="268"/>
      <c r="BN71" s="268"/>
      <c r="BV71" s="584"/>
      <c r="CM71" s="3" t="s">
        <v>0</v>
      </c>
      <c r="CZ71" s="207"/>
    </row>
    <row r="72" spans="1:104" ht="15">
      <c r="A72" s="648"/>
      <c r="B72" s="299" t="s">
        <v>94</v>
      </c>
      <c r="C72" s="263"/>
      <c r="D72" s="211"/>
      <c r="E72" s="211"/>
      <c r="F72" s="268"/>
      <c r="G72" s="268"/>
      <c r="H72" s="268"/>
      <c r="I72" s="268"/>
      <c r="J72" s="268"/>
      <c r="K72" s="268"/>
      <c r="L72" s="268"/>
      <c r="M72" s="268"/>
      <c r="N72" s="268"/>
      <c r="O72" s="268"/>
      <c r="P72" s="268"/>
      <c r="Q72" s="268"/>
      <c r="R72" s="268"/>
      <c r="S72" s="268"/>
      <c r="T72" s="268"/>
      <c r="U72" s="268"/>
      <c r="V72" s="268"/>
      <c r="W72" s="268"/>
      <c r="X72" s="268"/>
      <c r="Y72" s="268"/>
      <c r="Z72" s="268"/>
      <c r="AA72" s="268"/>
      <c r="AB72" s="268"/>
      <c r="AC72" s="268"/>
      <c r="AD72" s="268"/>
      <c r="AF72" s="268"/>
      <c r="AG72" s="268"/>
      <c r="AH72" s="268"/>
      <c r="AI72" s="268"/>
      <c r="AJ72" s="268"/>
      <c r="AK72" s="268"/>
      <c r="AL72" s="268"/>
      <c r="AM72" s="268"/>
      <c r="AN72" s="268"/>
      <c r="AO72" s="268"/>
      <c r="AP72" s="268"/>
      <c r="AQ72" s="268"/>
      <c r="AR72" s="268"/>
      <c r="AS72" s="268"/>
      <c r="AT72" s="268"/>
      <c r="AU72" s="268"/>
      <c r="AX72" s="268"/>
      <c r="BH72" s="268"/>
      <c r="BJ72" s="268"/>
      <c r="BK72" s="275" t="s">
        <v>0</v>
      </c>
      <c r="BL72" s="268"/>
      <c r="BN72" s="268"/>
      <c r="BV72" s="584"/>
      <c r="BW72" s="268">
        <v>-13890</v>
      </c>
      <c r="CZ72" s="207"/>
    </row>
    <row r="73" spans="1:104" ht="15">
      <c r="A73" s="648"/>
      <c r="B73" s="299" t="s">
        <v>95</v>
      </c>
      <c r="C73" s="263"/>
      <c r="D73" s="211"/>
      <c r="E73" s="211"/>
      <c r="F73" s="268"/>
      <c r="G73" s="268"/>
      <c r="H73" s="268"/>
      <c r="I73" s="268"/>
      <c r="J73" s="268"/>
      <c r="K73" s="268"/>
      <c r="L73" s="268"/>
      <c r="M73" s="268"/>
      <c r="N73" s="268"/>
      <c r="O73" s="268"/>
      <c r="P73" s="268"/>
      <c r="Q73" s="268"/>
      <c r="R73" s="268"/>
      <c r="S73" s="268"/>
      <c r="T73" s="268"/>
      <c r="U73" s="268"/>
      <c r="V73" s="268"/>
      <c r="W73" s="268"/>
      <c r="X73" s="268"/>
      <c r="Y73" s="268"/>
      <c r="Z73" s="268"/>
      <c r="AA73" s="268"/>
      <c r="AB73" s="268"/>
      <c r="AC73" s="268"/>
      <c r="AD73" s="268"/>
      <c r="AF73" s="268"/>
      <c r="AG73" s="268"/>
      <c r="AH73" s="268"/>
      <c r="AI73" s="268"/>
      <c r="AJ73" s="268"/>
      <c r="AK73" s="268"/>
      <c r="AL73" s="268"/>
      <c r="AM73" s="268"/>
      <c r="AN73" s="268"/>
      <c r="AO73" s="268"/>
      <c r="AP73" s="268"/>
      <c r="AQ73" s="268"/>
      <c r="AS73" s="268"/>
      <c r="AT73" s="268"/>
      <c r="AU73" s="268"/>
      <c r="AX73" s="268"/>
      <c r="AZ73" s="310">
        <v>-8595</v>
      </c>
      <c r="BA73" s="268"/>
      <c r="BB73" s="268"/>
      <c r="BC73" s="268"/>
      <c r="BD73" s="268"/>
      <c r="BE73" s="268"/>
      <c r="BF73" s="268"/>
      <c r="BH73" s="268"/>
      <c r="BI73" s="268"/>
      <c r="BJ73" s="268"/>
      <c r="BK73" s="268"/>
      <c r="BL73" s="268"/>
      <c r="BM73" s="268"/>
      <c r="BN73" s="268"/>
      <c r="BV73" s="584"/>
      <c r="CZ73" s="207"/>
    </row>
    <row r="74" spans="1:104" ht="15">
      <c r="A74" s="648"/>
      <c r="B74" s="299" t="s">
        <v>712</v>
      </c>
      <c r="C74" s="263"/>
      <c r="D74" s="211">
        <v>7000</v>
      </c>
      <c r="E74" s="211"/>
      <c r="F74" s="268"/>
      <c r="G74" s="268"/>
      <c r="H74" s="268"/>
      <c r="I74" s="268"/>
      <c r="J74" s="268"/>
      <c r="K74" s="268"/>
      <c r="L74" s="268"/>
      <c r="M74" s="268"/>
      <c r="N74" s="268"/>
      <c r="O74" s="268"/>
      <c r="P74" s="268"/>
      <c r="Q74" s="268"/>
      <c r="R74" s="268"/>
      <c r="S74" s="268"/>
      <c r="T74" s="268"/>
      <c r="U74" s="268"/>
      <c r="V74" s="268"/>
      <c r="W74" s="268"/>
      <c r="X74" s="268"/>
      <c r="Y74" s="268"/>
      <c r="Z74" s="268"/>
      <c r="AA74" s="268"/>
      <c r="AB74" s="268"/>
      <c r="AC74" s="268"/>
      <c r="AD74" s="268"/>
      <c r="AF74" s="268"/>
      <c r="AG74" s="268"/>
      <c r="AH74" s="268"/>
      <c r="AI74" s="268"/>
      <c r="AJ74" s="268"/>
      <c r="AK74" s="268"/>
      <c r="AL74" s="268"/>
      <c r="AM74" s="268"/>
      <c r="AN74" s="268"/>
      <c r="AO74" s="268"/>
      <c r="AP74" s="268"/>
      <c r="AQ74" s="268"/>
      <c r="AS74" s="268"/>
      <c r="AT74" s="268"/>
      <c r="AU74" s="268"/>
      <c r="AV74" s="562" t="s">
        <v>716</v>
      </c>
      <c r="AW74" s="561"/>
      <c r="AX74" s="268"/>
      <c r="AY74" s="268"/>
      <c r="AZ74" s="268"/>
      <c r="BA74" s="269">
        <v>8641.08</v>
      </c>
      <c r="BC74" s="268"/>
      <c r="BD74" s="268"/>
      <c r="BE74" s="268"/>
      <c r="BG74" s="269">
        <v>4158</v>
      </c>
      <c r="BH74" s="268"/>
      <c r="BI74" s="268"/>
      <c r="BJ74" s="268"/>
      <c r="BK74" s="268"/>
      <c r="BL74" s="268"/>
      <c r="BM74" s="268"/>
      <c r="BN74" s="268"/>
      <c r="BV74" s="584"/>
      <c r="CZ74" s="207"/>
    </row>
    <row r="75" spans="1:104" ht="15">
      <c r="A75" s="648"/>
      <c r="B75" s="299" t="s">
        <v>767</v>
      </c>
      <c r="C75" s="263"/>
      <c r="D75" s="211"/>
      <c r="E75" s="211"/>
      <c r="F75" s="268"/>
      <c r="G75" s="268"/>
      <c r="H75" s="268"/>
      <c r="I75" s="268"/>
      <c r="J75" s="268"/>
      <c r="K75" s="268"/>
      <c r="L75" s="268"/>
      <c r="M75" s="268"/>
      <c r="N75" s="268"/>
      <c r="O75" s="268"/>
      <c r="P75" s="268"/>
      <c r="Q75" s="268"/>
      <c r="R75" s="268"/>
      <c r="S75" s="268"/>
      <c r="T75" s="268"/>
      <c r="U75" s="268"/>
      <c r="V75" s="268"/>
      <c r="W75" s="268"/>
      <c r="X75" s="268"/>
      <c r="Y75" s="268"/>
      <c r="Z75" s="268"/>
      <c r="AA75" s="268"/>
      <c r="AB75" s="268"/>
      <c r="AC75" s="268"/>
      <c r="AD75" s="268"/>
      <c r="AF75" s="268"/>
      <c r="AG75" s="268"/>
      <c r="AH75" s="268"/>
      <c r="AI75" s="268"/>
      <c r="AJ75" s="268"/>
      <c r="AK75" s="268"/>
      <c r="AL75" s="268"/>
      <c r="AM75" s="268"/>
      <c r="AN75" s="268"/>
      <c r="AO75" s="268"/>
      <c r="AP75" s="268"/>
      <c r="AQ75" s="268"/>
      <c r="AS75" s="268"/>
      <c r="AT75" s="268"/>
      <c r="AU75" s="268"/>
      <c r="AV75" s="277"/>
      <c r="AW75" s="563"/>
      <c r="AX75" s="268"/>
      <c r="AY75" s="268"/>
      <c r="AZ75" s="268"/>
      <c r="BB75" s="559"/>
      <c r="BC75" s="268"/>
      <c r="BD75" s="268"/>
      <c r="BE75" s="268"/>
      <c r="BF75" s="268"/>
      <c r="BG75" s="268"/>
      <c r="BH75" s="268"/>
      <c r="BJ75" s="268"/>
      <c r="BK75" s="268"/>
      <c r="BN75" s="268"/>
      <c r="BT75" s="269">
        <v>10000</v>
      </c>
      <c r="BV75" s="584"/>
      <c r="BW75" s="268">
        <f>18788-BT75</f>
        <v>8788</v>
      </c>
      <c r="CZ75" s="207"/>
    </row>
    <row r="76" spans="1:104" ht="15">
      <c r="A76" s="648"/>
      <c r="B76" s="299" t="s">
        <v>739</v>
      </c>
      <c r="C76" s="263"/>
      <c r="D76" s="211">
        <v>7200</v>
      </c>
      <c r="E76" s="211"/>
      <c r="F76" s="268"/>
      <c r="G76" s="268"/>
      <c r="H76" s="268"/>
      <c r="I76" s="268"/>
      <c r="J76" s="268"/>
      <c r="K76" s="268"/>
      <c r="L76" s="268"/>
      <c r="M76" s="268"/>
      <c r="N76" s="268"/>
      <c r="O76" s="268"/>
      <c r="P76" s="268"/>
      <c r="Q76" s="268"/>
      <c r="R76" s="268"/>
      <c r="S76" s="268"/>
      <c r="T76" s="268"/>
      <c r="U76" s="268"/>
      <c r="V76" s="268"/>
      <c r="W76" s="268"/>
      <c r="X76" s="268"/>
      <c r="Y76" s="268"/>
      <c r="Z76" s="268"/>
      <c r="AA76" s="268"/>
      <c r="AB76" s="268"/>
      <c r="AC76" s="268"/>
      <c r="AD76" s="268"/>
      <c r="AF76" s="268"/>
      <c r="AG76" s="268"/>
      <c r="AH76" s="268"/>
      <c r="AI76" s="268"/>
      <c r="AJ76" s="268"/>
      <c r="AK76" s="268"/>
      <c r="AL76" s="268"/>
      <c r="AM76" s="268"/>
      <c r="AN76" s="268"/>
      <c r="AO76" s="268"/>
      <c r="AP76" s="268"/>
      <c r="AQ76" s="268"/>
      <c r="AS76" s="268"/>
      <c r="AT76" s="268"/>
      <c r="AU76" s="268"/>
      <c r="AV76" s="277"/>
      <c r="AW76" s="561"/>
      <c r="AX76" s="268"/>
      <c r="AY76" s="268"/>
      <c r="AZ76" s="268"/>
      <c r="BA76" s="268"/>
      <c r="BB76" s="559" t="s">
        <v>741</v>
      </c>
      <c r="BC76" s="268"/>
      <c r="BD76" s="268"/>
      <c r="BE76" s="268"/>
      <c r="BF76" s="268"/>
      <c r="BG76" s="269">
        <v>7377.5</v>
      </c>
      <c r="BH76" s="268"/>
      <c r="BI76" s="268"/>
      <c r="BJ76" s="268"/>
      <c r="BK76" s="268"/>
      <c r="BL76" s="268"/>
      <c r="BM76" s="268"/>
      <c r="BN76" s="268"/>
      <c r="BP76" s="268"/>
      <c r="BV76" s="584"/>
      <c r="CZ76" s="207"/>
    </row>
    <row r="77" spans="1:104" ht="15">
      <c r="A77" s="648"/>
      <c r="B77" s="299" t="s">
        <v>789</v>
      </c>
      <c r="C77" s="263"/>
      <c r="D77" s="211">
        <v>30000</v>
      </c>
      <c r="E77" s="211"/>
      <c r="F77" s="268"/>
      <c r="G77" s="268"/>
      <c r="H77" s="268"/>
      <c r="I77" s="268"/>
      <c r="J77" s="268"/>
      <c r="K77" s="268"/>
      <c r="L77" s="268"/>
      <c r="M77" s="268"/>
      <c r="N77" s="268"/>
      <c r="O77" s="268"/>
      <c r="P77" s="268"/>
      <c r="Q77" s="268"/>
      <c r="R77" s="268"/>
      <c r="S77" s="268"/>
      <c r="T77" s="268"/>
      <c r="U77" s="268"/>
      <c r="V77" s="268"/>
      <c r="W77" s="268"/>
      <c r="X77" s="268"/>
      <c r="Y77" s="268"/>
      <c r="Z77" s="268"/>
      <c r="AA77" s="268"/>
      <c r="AB77" s="268"/>
      <c r="AC77" s="268"/>
      <c r="AD77" s="268"/>
      <c r="AF77" s="268"/>
      <c r="AG77" s="268"/>
      <c r="AH77" s="268"/>
      <c r="AI77" s="268"/>
      <c r="AJ77" s="268"/>
      <c r="AK77" s="268"/>
      <c r="AL77" s="268"/>
      <c r="AM77" s="268"/>
      <c r="AN77" s="268"/>
      <c r="AO77" s="268"/>
      <c r="AP77" s="268"/>
      <c r="AQ77" s="268"/>
      <c r="AS77" s="268"/>
      <c r="AT77" s="268"/>
      <c r="AU77" s="268"/>
      <c r="AV77" s="277"/>
      <c r="AW77" s="561"/>
      <c r="AX77" s="268"/>
      <c r="AY77" s="268"/>
      <c r="AZ77" s="268"/>
      <c r="BA77" s="268"/>
      <c r="BB77" s="559"/>
      <c r="BC77" s="268"/>
      <c r="BD77" s="268"/>
      <c r="BE77" s="268"/>
      <c r="BF77" s="268"/>
      <c r="BG77" s="268"/>
      <c r="BH77" s="268"/>
      <c r="BI77" s="268"/>
      <c r="BJ77" s="268"/>
      <c r="BK77" s="268"/>
      <c r="BL77" s="268"/>
      <c r="BM77" s="268"/>
      <c r="BN77" s="268"/>
      <c r="BP77" s="268" t="s">
        <v>0</v>
      </c>
      <c r="BS77" s="269">
        <f>12500+17500</f>
        <v>30000</v>
      </c>
      <c r="BT77" s="268" t="s">
        <v>0</v>
      </c>
      <c r="BU77" s="268"/>
      <c r="BV77" s="584"/>
      <c r="CZ77" s="207"/>
    </row>
    <row r="78" spans="1:104" ht="15">
      <c r="A78" s="648"/>
      <c r="B78" s="299" t="s">
        <v>783</v>
      </c>
      <c r="C78" s="263"/>
      <c r="D78" s="211">
        <v>14000</v>
      </c>
      <c r="E78" s="211"/>
      <c r="F78" s="268"/>
      <c r="G78" s="268"/>
      <c r="H78" s="268"/>
      <c r="I78" s="268"/>
      <c r="J78" s="268"/>
      <c r="K78" s="268"/>
      <c r="L78" s="268"/>
      <c r="M78" s="268"/>
      <c r="N78" s="268"/>
      <c r="O78" s="268"/>
      <c r="P78" s="268"/>
      <c r="Q78" s="268"/>
      <c r="R78" s="268"/>
      <c r="S78" s="268"/>
      <c r="T78" s="268"/>
      <c r="U78" s="268"/>
      <c r="V78" s="268"/>
      <c r="W78" s="268"/>
      <c r="X78" s="268"/>
      <c r="Y78" s="268"/>
      <c r="Z78" s="268"/>
      <c r="AA78" s="268"/>
      <c r="AB78" s="268"/>
      <c r="AC78" s="268"/>
      <c r="AD78" s="268"/>
      <c r="AF78" s="268"/>
      <c r="AG78" s="268"/>
      <c r="AH78" s="268"/>
      <c r="AI78" s="268"/>
      <c r="AJ78" s="268"/>
      <c r="AK78" s="268"/>
      <c r="AL78" s="268"/>
      <c r="AM78" s="268"/>
      <c r="AN78" s="268"/>
      <c r="AO78" s="268"/>
      <c r="AP78" s="268"/>
      <c r="AQ78" s="268"/>
      <c r="AS78" s="268"/>
      <c r="AT78" s="268"/>
      <c r="AU78" s="268"/>
      <c r="AV78" s="277"/>
      <c r="AW78" s="561"/>
      <c r="AX78" s="268"/>
      <c r="AY78" s="268"/>
      <c r="AZ78" s="268"/>
      <c r="BA78" s="268"/>
      <c r="BB78" s="559"/>
      <c r="BC78" s="268"/>
      <c r="BD78" s="268"/>
      <c r="BE78" s="268"/>
      <c r="BF78" s="268"/>
      <c r="BG78" s="268"/>
      <c r="BH78" s="268"/>
      <c r="BI78" s="268"/>
      <c r="BJ78" s="268"/>
      <c r="BK78" s="268"/>
      <c r="BL78" s="268"/>
      <c r="BM78" s="268"/>
      <c r="BN78" s="268"/>
      <c r="BP78" s="268"/>
      <c r="BS78" s="268"/>
      <c r="BT78" s="268"/>
      <c r="BU78" s="268"/>
      <c r="BV78" s="584"/>
      <c r="BX78" s="268">
        <v>14000</v>
      </c>
      <c r="CZ78" s="207"/>
    </row>
    <row r="79" spans="1:104" ht="15">
      <c r="A79" s="648"/>
      <c r="B79" s="299" t="s">
        <v>788</v>
      </c>
      <c r="C79" s="263"/>
      <c r="D79" s="211"/>
      <c r="E79" s="211"/>
      <c r="F79" s="268"/>
      <c r="G79" s="268"/>
      <c r="H79" s="268"/>
      <c r="I79" s="268"/>
      <c r="J79" s="268"/>
      <c r="K79" s="268"/>
      <c r="L79" s="268"/>
      <c r="M79" s="268"/>
      <c r="N79" s="268"/>
      <c r="O79" s="268"/>
      <c r="P79" s="268"/>
      <c r="Q79" s="268"/>
      <c r="R79" s="268"/>
      <c r="S79" s="268"/>
      <c r="T79" s="268"/>
      <c r="U79" s="268"/>
      <c r="V79" s="268"/>
      <c r="W79" s="268"/>
      <c r="X79" s="268"/>
      <c r="Y79" s="268"/>
      <c r="Z79" s="268"/>
      <c r="AA79" s="268"/>
      <c r="AB79" s="268"/>
      <c r="AC79" s="268"/>
      <c r="AD79" s="268"/>
      <c r="AF79" s="268"/>
      <c r="AG79" s="268"/>
      <c r="AH79" s="268"/>
      <c r="AI79" s="268"/>
      <c r="AJ79" s="268"/>
      <c r="AK79" s="268"/>
      <c r="AL79" s="268"/>
      <c r="AM79" s="268"/>
      <c r="AN79" s="268"/>
      <c r="AO79" s="268"/>
      <c r="AP79" s="268"/>
      <c r="AQ79" s="268"/>
      <c r="AS79" s="268"/>
      <c r="AT79" s="268"/>
      <c r="AU79" s="268"/>
      <c r="AV79" s="277"/>
      <c r="AW79" s="561"/>
      <c r="AX79" s="268"/>
      <c r="AY79" s="268"/>
      <c r="AZ79" s="268"/>
      <c r="BA79" s="268"/>
      <c r="BB79" s="559"/>
      <c r="BC79" s="268"/>
      <c r="BD79" s="268"/>
      <c r="BE79" s="268"/>
      <c r="BF79" s="268"/>
      <c r="BG79" s="268"/>
      <c r="BH79" s="268"/>
      <c r="BI79" s="268"/>
      <c r="BJ79" s="268"/>
      <c r="BK79" s="268"/>
      <c r="BL79" s="268"/>
      <c r="BM79" s="268"/>
      <c r="BN79" s="268"/>
      <c r="BP79" s="268"/>
      <c r="BS79" s="269">
        <v>1650</v>
      </c>
      <c r="BT79" s="268"/>
      <c r="BU79" s="268"/>
      <c r="BV79" s="584"/>
      <c r="BX79" s="268"/>
      <c r="CZ79" s="207"/>
    </row>
    <row r="80" spans="1:104" ht="15">
      <c r="A80" s="648"/>
      <c r="B80" s="299" t="s">
        <v>790</v>
      </c>
      <c r="C80" s="263"/>
      <c r="D80" s="211">
        <v>20000</v>
      </c>
      <c r="E80" s="211"/>
      <c r="F80" s="268"/>
      <c r="G80" s="268"/>
      <c r="H80" s="268"/>
      <c r="I80" s="268"/>
      <c r="J80" s="268"/>
      <c r="K80" s="268"/>
      <c r="L80" s="268"/>
      <c r="M80" s="268"/>
      <c r="N80" s="268"/>
      <c r="O80" s="268"/>
      <c r="P80" s="268"/>
      <c r="Q80" s="268"/>
      <c r="R80" s="268"/>
      <c r="S80" s="268"/>
      <c r="T80" s="268"/>
      <c r="U80" s="268"/>
      <c r="V80" s="268"/>
      <c r="W80" s="268"/>
      <c r="X80" s="268"/>
      <c r="Y80" s="268"/>
      <c r="Z80" s="268"/>
      <c r="AA80" s="268"/>
      <c r="AB80" s="268"/>
      <c r="AC80" s="268"/>
      <c r="AD80" s="268"/>
      <c r="AF80" s="268"/>
      <c r="AG80" s="268"/>
      <c r="AH80" s="268"/>
      <c r="AI80" s="268"/>
      <c r="AJ80" s="268"/>
      <c r="AK80" s="268"/>
      <c r="AL80" s="268"/>
      <c r="AM80" s="268"/>
      <c r="AN80" s="268"/>
      <c r="AO80" s="268"/>
      <c r="AP80" s="268"/>
      <c r="AQ80" s="268"/>
      <c r="AS80" s="268"/>
      <c r="AT80" s="268"/>
      <c r="AU80" s="268"/>
      <c r="AV80" s="277"/>
      <c r="AW80" s="561"/>
      <c r="AX80" s="268"/>
      <c r="AY80" s="268"/>
      <c r="AZ80" s="268"/>
      <c r="BA80" s="268"/>
      <c r="BB80" s="559"/>
      <c r="BC80" s="268"/>
      <c r="BD80" s="268"/>
      <c r="BE80" s="268"/>
      <c r="BF80" s="268"/>
      <c r="BG80" s="268"/>
      <c r="BH80" s="268"/>
      <c r="BI80" s="268"/>
      <c r="BJ80" s="268"/>
      <c r="BK80" s="268"/>
      <c r="BL80" s="268"/>
      <c r="BM80" s="268"/>
      <c r="BN80" s="268"/>
      <c r="BP80" s="268"/>
      <c r="BS80" s="269">
        <v>18000</v>
      </c>
      <c r="BV80" s="582"/>
      <c r="BX80" s="268">
        <f>23445-BS80</f>
        <v>5445</v>
      </c>
      <c r="CZ80" s="207"/>
    </row>
    <row r="81" spans="1:104" ht="12" customHeight="1">
      <c r="A81" s="648"/>
      <c r="B81" s="299" t="s">
        <v>715</v>
      </c>
      <c r="C81" s="263"/>
      <c r="D81" s="211">
        <v>3866</v>
      </c>
      <c r="E81" s="211"/>
      <c r="F81" s="268"/>
      <c r="G81" s="268"/>
      <c r="H81" s="268"/>
      <c r="I81" s="268"/>
      <c r="J81" s="268"/>
      <c r="K81" s="268"/>
      <c r="L81" s="268"/>
      <c r="M81" s="268"/>
      <c r="N81" s="268"/>
      <c r="O81" s="268"/>
      <c r="P81" s="268"/>
      <c r="Q81" s="268"/>
      <c r="R81" s="268"/>
      <c r="S81" s="268"/>
      <c r="T81" s="268"/>
      <c r="U81" s="268"/>
      <c r="V81" s="268"/>
      <c r="W81" s="268"/>
      <c r="X81" s="268"/>
      <c r="Y81" s="268"/>
      <c r="Z81" s="268"/>
      <c r="AA81" s="268"/>
      <c r="AB81" s="268"/>
      <c r="AC81" s="268"/>
      <c r="AD81" s="268"/>
      <c r="AF81" s="268"/>
      <c r="AG81" s="268"/>
      <c r="AH81" s="268"/>
      <c r="AI81" s="268"/>
      <c r="AJ81" s="268"/>
      <c r="AK81" s="268"/>
      <c r="AL81" s="268"/>
      <c r="AM81" s="268"/>
      <c r="AN81" s="268"/>
      <c r="AO81" s="268"/>
      <c r="AP81" s="268"/>
      <c r="AQ81" s="268"/>
      <c r="AS81" s="268"/>
      <c r="AT81" s="268"/>
      <c r="AU81" s="268"/>
      <c r="AV81" s="277"/>
      <c r="AW81" s="561"/>
      <c r="AY81" s="269">
        <v>-1500</v>
      </c>
      <c r="AZ81" s="268"/>
      <c r="BB81" s="269">
        <v>3244</v>
      </c>
      <c r="BC81" s="268"/>
      <c r="BD81" s="268"/>
      <c r="BE81" s="268"/>
      <c r="BF81" s="268"/>
      <c r="BG81" s="268"/>
      <c r="BH81" s="268"/>
      <c r="BK81" s="268"/>
      <c r="BM81" s="268"/>
      <c r="BN81" s="268"/>
      <c r="BO81" s="269">
        <v>778</v>
      </c>
      <c r="BV81" s="584"/>
      <c r="CH81" s="3" t="s">
        <v>0</v>
      </c>
      <c r="CZ81" s="207"/>
    </row>
    <row r="82" spans="1:104" ht="12" customHeight="1">
      <c r="A82" s="648"/>
      <c r="B82" s="299" t="s">
        <v>104</v>
      </c>
      <c r="C82" s="263">
        <v>26219</v>
      </c>
      <c r="D82" s="211">
        <f>C82</f>
        <v>26219</v>
      </c>
      <c r="E82" s="211"/>
      <c r="F82" s="268"/>
      <c r="G82" s="268"/>
      <c r="H82" s="268"/>
      <c r="I82" s="268"/>
      <c r="J82" s="268"/>
      <c r="K82" s="268"/>
      <c r="L82" s="268"/>
      <c r="M82" s="268"/>
      <c r="N82" s="268"/>
      <c r="O82" s="268"/>
      <c r="P82" s="268"/>
      <c r="Q82" s="268"/>
      <c r="R82" s="268"/>
      <c r="T82" s="268"/>
      <c r="V82" s="268"/>
      <c r="W82" s="268"/>
      <c r="X82" s="268"/>
      <c r="Y82" s="268"/>
      <c r="Z82" s="268">
        <v>0</v>
      </c>
      <c r="AA82" s="268"/>
      <c r="AB82" s="268"/>
      <c r="AC82" s="268"/>
      <c r="AD82" s="268"/>
      <c r="AE82" s="269">
        <v>22957</v>
      </c>
      <c r="AF82" s="268">
        <v>0</v>
      </c>
      <c r="AG82" s="268"/>
      <c r="AH82" s="268"/>
      <c r="AI82" s="268"/>
      <c r="AJ82" s="269">
        <v>3000</v>
      </c>
      <c r="AK82" s="268"/>
      <c r="AL82" s="268"/>
      <c r="AM82" s="268"/>
      <c r="AN82" s="268"/>
      <c r="AO82" s="268"/>
      <c r="AP82" s="268"/>
      <c r="AQ82" s="268"/>
      <c r="AR82" s="268"/>
      <c r="AS82" s="268"/>
      <c r="AT82" s="268"/>
      <c r="AU82" s="268"/>
      <c r="AV82" s="268"/>
      <c r="AW82" s="275"/>
      <c r="AX82" s="268"/>
      <c r="AY82" s="268"/>
      <c r="AZ82" s="268"/>
      <c r="BA82" s="268"/>
      <c r="BB82" s="268"/>
      <c r="BC82" s="268"/>
      <c r="BD82" s="268"/>
      <c r="BE82" s="268"/>
      <c r="BF82" s="268"/>
      <c r="BG82" s="268"/>
      <c r="BH82" s="268"/>
      <c r="BI82" s="268"/>
      <c r="BJ82" s="268"/>
      <c r="BK82" s="268"/>
      <c r="BL82" s="268"/>
      <c r="BM82" s="268"/>
      <c r="BN82" s="268"/>
      <c r="BV82" s="584" t="s">
        <v>0</v>
      </c>
      <c r="CZ82" s="207"/>
    </row>
    <row r="83" spans="1:104" ht="13" customHeight="1">
      <c r="A83" s="648"/>
      <c r="B83" s="282" t="s">
        <v>105</v>
      </c>
      <c r="C83" s="263">
        <v>20000</v>
      </c>
      <c r="D83" s="211">
        <f>C83*0.95</f>
        <v>19000</v>
      </c>
      <c r="E83" s="211"/>
      <c r="F83" s="268"/>
      <c r="G83" s="268"/>
      <c r="H83" s="268"/>
      <c r="I83" s="268"/>
      <c r="J83" s="268"/>
      <c r="K83" s="268"/>
      <c r="L83" s="268"/>
      <c r="M83" s="268"/>
      <c r="N83" s="268"/>
      <c r="O83" s="268"/>
      <c r="P83" s="268"/>
      <c r="Q83" s="268"/>
      <c r="R83" s="268"/>
      <c r="T83" s="268"/>
      <c r="V83" s="268"/>
      <c r="W83" s="268"/>
      <c r="X83" s="268"/>
      <c r="Y83" s="268"/>
      <c r="Z83" s="268"/>
      <c r="AA83" s="268"/>
      <c r="AB83" s="268"/>
      <c r="AC83" s="268"/>
      <c r="AD83" s="268"/>
      <c r="AE83" s="269"/>
      <c r="AF83" s="268"/>
      <c r="AG83" s="268"/>
      <c r="AH83" s="268"/>
      <c r="AI83" s="269">
        <v>20000</v>
      </c>
      <c r="AJ83" s="268"/>
      <c r="AK83" s="268"/>
      <c r="AL83" s="268"/>
      <c r="AM83" s="268"/>
      <c r="AN83" s="268" t="s">
        <v>0</v>
      </c>
      <c r="AO83" s="268"/>
      <c r="AP83" s="268"/>
      <c r="AQ83" s="268"/>
      <c r="AR83" s="268"/>
      <c r="AS83" s="268"/>
      <c r="AT83" s="268"/>
      <c r="AU83" s="268"/>
      <c r="AV83" s="268"/>
      <c r="AW83" s="275"/>
      <c r="AX83" s="268"/>
      <c r="AY83" s="268"/>
      <c r="AZ83" s="268"/>
      <c r="BA83" s="268"/>
      <c r="BG83" s="268"/>
      <c r="BH83" s="268"/>
      <c r="BI83" s="268"/>
      <c r="BJ83" s="268"/>
      <c r="BK83" s="268"/>
      <c r="BL83" s="268"/>
      <c r="BM83" s="268"/>
      <c r="BN83" s="268"/>
      <c r="BV83" s="584"/>
      <c r="CZ83" s="207"/>
    </row>
    <row r="84" spans="1:104" ht="12" customHeight="1">
      <c r="A84" s="648"/>
      <c r="B84" s="282" t="s">
        <v>106</v>
      </c>
      <c r="C84" s="263">
        <f>'Job Calculations'!C119</f>
        <v>176000</v>
      </c>
      <c r="D84" s="268">
        <f>C84*0.95</f>
        <v>167200</v>
      </c>
      <c r="E84" s="268"/>
      <c r="F84" s="268"/>
      <c r="G84" s="268"/>
      <c r="H84" s="268"/>
      <c r="I84" s="268"/>
      <c r="J84" s="268"/>
      <c r="K84" s="268"/>
      <c r="L84" s="268"/>
      <c r="M84" s="268"/>
      <c r="N84" s="268"/>
      <c r="O84" s="268"/>
      <c r="P84" s="268"/>
      <c r="Q84" s="268"/>
      <c r="R84" s="268"/>
      <c r="S84" s="268"/>
      <c r="T84" s="268"/>
      <c r="V84" s="268"/>
      <c r="W84" s="268">
        <v>0</v>
      </c>
      <c r="X84" s="268"/>
      <c r="AC84" s="268"/>
      <c r="AD84" s="268"/>
      <c r="AE84" s="269">
        <v>30675</v>
      </c>
      <c r="AF84" s="268" t="s">
        <v>0</v>
      </c>
      <c r="AG84" s="268"/>
      <c r="AH84" s="268"/>
      <c r="AI84" s="269">
        <v>20000</v>
      </c>
      <c r="AK84" s="268"/>
      <c r="AL84" s="268"/>
      <c r="AM84" s="268"/>
      <c r="AN84" s="268" t="s">
        <v>0</v>
      </c>
      <c r="AP84" s="268"/>
      <c r="AQ84" s="268"/>
      <c r="AR84" s="268" t="s">
        <v>0</v>
      </c>
      <c r="AS84" s="268"/>
      <c r="AT84" s="268"/>
      <c r="AU84" s="268"/>
      <c r="AW84" s="275" t="s">
        <v>0</v>
      </c>
      <c r="AX84" s="268"/>
      <c r="AY84" s="268"/>
      <c r="AZ84" s="268"/>
      <c r="BA84" s="268"/>
      <c r="BB84" s="268" t="s">
        <v>0</v>
      </c>
      <c r="BC84" s="268"/>
      <c r="BD84" s="268"/>
      <c r="BE84" s="268"/>
      <c r="BF84" s="268"/>
      <c r="BG84" s="268" t="s">
        <v>0</v>
      </c>
      <c r="BH84" s="268"/>
      <c r="BI84" s="268"/>
      <c r="BJ84" s="268"/>
      <c r="BK84" s="268"/>
      <c r="BL84" s="268"/>
      <c r="BM84" s="268"/>
      <c r="BN84" s="268"/>
      <c r="BO84" s="356" t="s">
        <v>0</v>
      </c>
      <c r="BP84" s="356"/>
      <c r="BQ84" s="356"/>
      <c r="BR84" s="356"/>
      <c r="BS84" s="356"/>
      <c r="BV84" s="584"/>
      <c r="CH84" s="3" t="s">
        <v>0</v>
      </c>
      <c r="CZ84" s="207"/>
    </row>
    <row r="85" spans="1:104" ht="15">
      <c r="A85" s="648"/>
      <c r="B85" s="282" t="s">
        <v>107</v>
      </c>
      <c r="C85" s="263">
        <f>'Job Calculations'!C113</f>
        <v>518000</v>
      </c>
      <c r="D85" s="211">
        <f>'Job Calculations'!D113</f>
        <v>492100</v>
      </c>
      <c r="E85" s="211"/>
      <c r="F85" s="268"/>
      <c r="G85" s="268"/>
      <c r="H85" s="268"/>
      <c r="I85" s="268"/>
      <c r="J85" s="268"/>
      <c r="K85" s="268"/>
      <c r="L85" s="268"/>
      <c r="M85" s="268"/>
      <c r="N85" s="268"/>
      <c r="O85" s="268"/>
      <c r="P85" s="268"/>
      <c r="Q85" s="268"/>
      <c r="R85" s="268"/>
      <c r="S85" s="268"/>
      <c r="T85" s="268"/>
      <c r="U85" s="268"/>
      <c r="V85" s="268"/>
      <c r="W85" s="268"/>
      <c r="X85" s="268"/>
      <c r="Y85" s="268"/>
      <c r="Z85" s="268"/>
      <c r="AA85" s="268"/>
      <c r="AC85" s="268"/>
      <c r="AD85" s="268"/>
      <c r="AE85" s="268">
        <v>0</v>
      </c>
      <c r="AF85" s="268" t="s">
        <v>0</v>
      </c>
      <c r="AG85" s="268"/>
      <c r="AH85" s="268"/>
      <c r="AI85" s="269">
        <v>3000</v>
      </c>
      <c r="AK85" s="268"/>
      <c r="AL85" s="268"/>
      <c r="AM85" s="268"/>
      <c r="AN85" s="268" t="s">
        <v>0</v>
      </c>
      <c r="AP85" s="268"/>
      <c r="AQ85" s="268"/>
      <c r="AR85" s="269">
        <v>71250</v>
      </c>
      <c r="AT85" s="268" t="s">
        <v>0</v>
      </c>
      <c r="AU85" s="269">
        <v>9500</v>
      </c>
      <c r="AW85" s="275" t="s">
        <v>0</v>
      </c>
      <c r="AX85" s="268"/>
      <c r="AY85" s="268"/>
      <c r="AZ85" s="268"/>
      <c r="BA85" s="268"/>
      <c r="BB85" s="268" t="s">
        <v>0</v>
      </c>
      <c r="BC85" s="268"/>
      <c r="BD85" s="268"/>
      <c r="BE85" s="268"/>
      <c r="BF85" s="268"/>
      <c r="BG85" s="268" t="s">
        <v>0</v>
      </c>
      <c r="BH85" s="268"/>
      <c r="BI85" s="268"/>
      <c r="BJ85" s="268"/>
      <c r="BK85" s="268"/>
      <c r="BL85" s="268"/>
      <c r="BM85" s="268"/>
      <c r="BN85" s="268"/>
      <c r="BO85" s="268" t="s">
        <v>0</v>
      </c>
      <c r="BP85" s="268"/>
      <c r="BQ85" s="268"/>
      <c r="BR85" s="268"/>
      <c r="BS85" s="268"/>
      <c r="BV85" s="584"/>
      <c r="CH85" s="3" t="s">
        <v>0</v>
      </c>
      <c r="CZ85" s="207"/>
    </row>
    <row r="86" spans="1:104" ht="15">
      <c r="A86" s="648"/>
      <c r="B86" s="282" t="s">
        <v>108</v>
      </c>
      <c r="C86" s="263"/>
      <c r="D86" s="211">
        <v>30000</v>
      </c>
      <c r="E86" s="211"/>
      <c r="F86" s="268"/>
      <c r="G86" s="268"/>
      <c r="H86" s="268"/>
      <c r="I86" s="268"/>
      <c r="J86" s="268"/>
      <c r="K86" s="268"/>
      <c r="L86" s="268"/>
      <c r="M86" s="268"/>
      <c r="N86" s="268"/>
      <c r="O86" s="268"/>
      <c r="P86" s="268"/>
      <c r="Q86" s="268"/>
      <c r="R86" s="268"/>
      <c r="S86" s="268"/>
      <c r="T86" s="268"/>
      <c r="U86" s="268"/>
      <c r="V86" s="268"/>
      <c r="W86" s="268"/>
      <c r="X86" s="268"/>
      <c r="Y86" s="268"/>
      <c r="Z86" s="268"/>
      <c r="AA86" s="268"/>
      <c r="AC86" s="268"/>
      <c r="AD86" s="268"/>
      <c r="AE86" s="268"/>
      <c r="AF86" s="268"/>
      <c r="AG86" s="268"/>
      <c r="AH86" s="268"/>
      <c r="AI86" s="269"/>
      <c r="AK86" s="268"/>
      <c r="AL86" s="268"/>
      <c r="AM86" s="268"/>
      <c r="AN86" s="268"/>
      <c r="AP86" s="268"/>
      <c r="AQ86" s="268"/>
      <c r="AR86" s="268"/>
      <c r="AS86" s="268"/>
      <c r="AT86" s="268"/>
      <c r="AU86" s="268"/>
      <c r="AW86" s="561"/>
      <c r="AX86" s="268"/>
      <c r="AY86" s="268"/>
      <c r="AZ86" s="268"/>
      <c r="BA86" s="268"/>
      <c r="BB86" s="268"/>
      <c r="BC86" s="268"/>
      <c r="BD86" s="268"/>
      <c r="BE86" s="268"/>
      <c r="BF86" s="268"/>
      <c r="BG86" s="268"/>
      <c r="BH86" s="268"/>
      <c r="BI86" s="268"/>
      <c r="BJ86" s="268"/>
      <c r="BK86" s="268"/>
      <c r="BL86" s="268"/>
      <c r="BM86" s="268"/>
      <c r="BN86" s="268"/>
      <c r="BO86" s="268"/>
      <c r="BP86" s="268"/>
      <c r="BQ86" s="268"/>
      <c r="BR86" s="268"/>
      <c r="BS86" s="268"/>
      <c r="BV86" s="584"/>
      <c r="CH86" s="3" t="s">
        <v>0</v>
      </c>
      <c r="CZ86" s="207"/>
    </row>
    <row r="87" spans="1:104" ht="14.5" customHeight="1">
      <c r="A87" s="648"/>
      <c r="B87" s="596" t="s">
        <v>719</v>
      </c>
      <c r="C87" s="613">
        <f>C84+C85+C83</f>
        <v>714000</v>
      </c>
      <c r="D87" s="614">
        <f>C87*0.95</f>
        <v>678300</v>
      </c>
      <c r="E87" s="603">
        <f>C87*0.975</f>
        <v>696150</v>
      </c>
      <c r="F87" s="268"/>
      <c r="G87" s="268"/>
      <c r="H87" s="268"/>
      <c r="I87" s="268"/>
      <c r="J87" s="268"/>
      <c r="K87" s="268"/>
      <c r="L87" s="268"/>
      <c r="M87" s="268"/>
      <c r="N87" s="268"/>
      <c r="O87" s="268"/>
      <c r="P87" s="268"/>
      <c r="Q87" s="268"/>
      <c r="R87" s="268"/>
      <c r="S87" s="268"/>
      <c r="T87" s="268"/>
      <c r="U87" s="268"/>
      <c r="V87" s="268"/>
      <c r="W87" s="268"/>
      <c r="X87" s="268"/>
      <c r="Y87" s="268"/>
      <c r="Z87" s="268"/>
      <c r="AA87" s="268"/>
      <c r="AC87" s="268"/>
      <c r="AD87" s="268"/>
      <c r="AE87" s="268"/>
      <c r="AF87" s="268"/>
      <c r="AG87" s="268"/>
      <c r="AH87" s="268"/>
      <c r="AI87" s="269"/>
      <c r="AK87" s="268"/>
      <c r="AL87" s="268"/>
      <c r="AM87" s="268"/>
      <c r="AN87" s="269">
        <v>71250</v>
      </c>
      <c r="AP87" s="269">
        <v>23750</v>
      </c>
      <c r="AR87" s="268"/>
      <c r="AS87" s="268"/>
      <c r="AT87" s="268"/>
      <c r="AU87" s="268"/>
      <c r="AW87" s="310">
        <v>38000</v>
      </c>
      <c r="AY87" s="269">
        <v>11124.97</v>
      </c>
      <c r="AZ87" s="268" t="s">
        <v>0</v>
      </c>
      <c r="BA87" s="268" t="s">
        <v>0</v>
      </c>
      <c r="BB87" s="269">
        <v>64875.03</v>
      </c>
      <c r="BE87" s="269">
        <v>3761.33</v>
      </c>
      <c r="BG87" s="269">
        <v>48817.73</v>
      </c>
      <c r="BI87" s="268"/>
      <c r="BJ87" s="268"/>
      <c r="BK87" s="268"/>
      <c r="BL87" s="268"/>
      <c r="BM87" s="269">
        <v>80420.94</v>
      </c>
      <c r="BN87" s="268"/>
      <c r="BP87" s="268"/>
      <c r="BQ87" s="268"/>
      <c r="BR87" s="268"/>
      <c r="BS87" s="269">
        <v>57000</v>
      </c>
      <c r="BV87" s="582">
        <v>17000</v>
      </c>
      <c r="BW87" s="268"/>
      <c r="BX87" s="268">
        <v>84000</v>
      </c>
      <c r="BZ87" s="268"/>
      <c r="CA87" s="268"/>
      <c r="CB87" s="268"/>
      <c r="CC87" s="268">
        <v>62500</v>
      </c>
      <c r="CF87" s="268"/>
      <c r="CG87" s="268"/>
      <c r="CI87" s="268">
        <v>41026</v>
      </c>
      <c r="CZ87" s="207"/>
    </row>
    <row r="88" spans="1:104" ht="15">
      <c r="A88" s="648"/>
      <c r="B88" s="282" t="s">
        <v>109</v>
      </c>
      <c r="C88" s="263"/>
      <c r="D88" s="211"/>
      <c r="E88" s="211" t="s">
        <v>0</v>
      </c>
      <c r="F88" s="268"/>
      <c r="G88" s="268"/>
      <c r="H88" s="268"/>
      <c r="I88" s="268"/>
      <c r="J88" s="268"/>
      <c r="K88" s="268"/>
      <c r="L88" s="268"/>
      <c r="M88" s="268"/>
      <c r="N88" s="268"/>
      <c r="O88" s="268"/>
      <c r="P88" s="268"/>
      <c r="Q88" s="268"/>
      <c r="R88" s="268"/>
      <c r="S88" s="268"/>
      <c r="T88" s="268"/>
      <c r="U88" s="268"/>
      <c r="V88" s="268"/>
      <c r="W88" s="268"/>
      <c r="X88" s="268"/>
      <c r="Y88" s="268"/>
      <c r="Z88" s="268"/>
      <c r="AA88" s="268"/>
      <c r="AC88" s="268"/>
      <c r="AD88" s="268"/>
      <c r="AE88" s="268"/>
      <c r="AF88" s="268"/>
      <c r="AG88" s="268"/>
      <c r="AH88" s="268"/>
      <c r="AI88" s="269">
        <f>40574.12-AI83-AI84-AI85</f>
        <v>-2425.8799999999974</v>
      </c>
      <c r="AK88" s="268"/>
      <c r="AL88" s="268"/>
      <c r="AM88" s="268"/>
      <c r="AN88" s="268"/>
      <c r="AP88" s="268"/>
      <c r="AQ88" s="268"/>
      <c r="AR88" s="268"/>
      <c r="AS88" s="268"/>
      <c r="AT88" s="268"/>
      <c r="AU88" s="268"/>
      <c r="AV88" s="268"/>
      <c r="AW88" s="275"/>
      <c r="AX88" s="268"/>
      <c r="AY88" s="268"/>
      <c r="AZ88" s="268"/>
      <c r="BA88" s="268"/>
      <c r="BB88" s="268"/>
      <c r="BC88" s="268"/>
      <c r="BD88" s="268"/>
      <c r="BE88" s="268"/>
      <c r="BF88" s="268"/>
      <c r="BG88" s="268"/>
      <c r="BH88" s="268"/>
      <c r="BI88" s="268"/>
      <c r="BJ88" s="268"/>
      <c r="BK88" s="268"/>
      <c r="BL88" s="268"/>
      <c r="BM88" s="268"/>
      <c r="BN88" s="268"/>
      <c r="BV88" s="584"/>
      <c r="CH88" s="3" t="s">
        <v>0</v>
      </c>
      <c r="CZ88" s="207"/>
    </row>
    <row r="89" spans="1:104" ht="15">
      <c r="A89" s="648"/>
      <c r="B89" s="282" t="s">
        <v>110</v>
      </c>
      <c r="C89" s="263"/>
      <c r="D89" s="211">
        <v>8683</v>
      </c>
      <c r="E89" s="211" t="s">
        <v>0</v>
      </c>
      <c r="F89" s="268"/>
      <c r="G89" s="268"/>
      <c r="H89" s="268"/>
      <c r="I89" s="268"/>
      <c r="J89" s="268"/>
      <c r="K89" s="268"/>
      <c r="L89" s="268"/>
      <c r="M89" s="268"/>
      <c r="N89" s="268"/>
      <c r="O89" s="268"/>
      <c r="P89" s="268"/>
      <c r="R89" s="268"/>
      <c r="S89" s="268"/>
      <c r="T89" s="268"/>
      <c r="U89" s="268" t="s">
        <v>0</v>
      </c>
      <c r="V89" s="268">
        <v>0</v>
      </c>
      <c r="W89" s="268"/>
      <c r="X89" s="268"/>
      <c r="Z89" s="268"/>
      <c r="AB89" s="268">
        <v>0</v>
      </c>
      <c r="AC89" s="269">
        <v>8683</v>
      </c>
      <c r="AD89" s="268"/>
      <c r="AE89" s="268"/>
      <c r="AF89" s="268"/>
      <c r="AG89" s="268"/>
      <c r="AH89" s="268"/>
      <c r="AI89" s="268"/>
      <c r="AJ89" s="268"/>
      <c r="AK89" s="268"/>
      <c r="AL89" s="268"/>
      <c r="AM89" s="268"/>
      <c r="AN89" s="268"/>
      <c r="AP89" s="268"/>
      <c r="AQ89" s="268"/>
      <c r="AR89" s="268"/>
      <c r="AS89" s="268"/>
      <c r="AT89" s="268"/>
      <c r="AU89" s="268"/>
      <c r="AV89" s="268"/>
      <c r="AW89" s="275"/>
      <c r="AX89" s="268"/>
      <c r="AY89" s="268"/>
      <c r="AZ89" s="268"/>
      <c r="BA89" s="268"/>
      <c r="BB89" s="268"/>
      <c r="BC89" s="268"/>
      <c r="BD89" s="268"/>
      <c r="BE89" s="268"/>
      <c r="BF89" s="268"/>
      <c r="BG89" s="268"/>
      <c r="BH89" s="268"/>
      <c r="BI89" s="268"/>
      <c r="BJ89" s="268"/>
      <c r="BK89" s="268"/>
      <c r="BL89" s="268"/>
      <c r="BM89" s="268"/>
      <c r="BN89" s="268"/>
      <c r="BV89" s="584"/>
      <c r="CZ89" s="207"/>
    </row>
    <row r="90" spans="1:104" ht="15">
      <c r="A90" s="648"/>
      <c r="B90" s="282" t="s">
        <v>111</v>
      </c>
      <c r="C90" s="211"/>
      <c r="D90" s="211">
        <v>102000</v>
      </c>
      <c r="E90" s="211"/>
      <c r="F90" s="268"/>
      <c r="G90" s="268"/>
      <c r="H90" s="268"/>
      <c r="I90" s="268"/>
      <c r="J90" s="268"/>
      <c r="K90" s="268"/>
      <c r="L90" s="268"/>
      <c r="M90" s="268"/>
      <c r="N90" s="268"/>
      <c r="O90" s="268"/>
      <c r="P90" s="268"/>
      <c r="R90" s="268"/>
      <c r="S90" s="268"/>
      <c r="T90" s="268"/>
      <c r="U90" s="268"/>
      <c r="V90" s="268"/>
      <c r="W90" s="268"/>
      <c r="X90" s="268"/>
      <c r="Y90" s="268"/>
      <c r="Z90" s="268"/>
      <c r="AA90" s="268"/>
      <c r="AC90" s="268"/>
      <c r="AD90" s="268"/>
      <c r="AE90" s="269">
        <v>33260.31</v>
      </c>
      <c r="AG90" s="268"/>
      <c r="AH90" s="268"/>
      <c r="AK90" s="269">
        <v>15421.65</v>
      </c>
      <c r="AL90" s="268"/>
      <c r="AM90" s="268"/>
      <c r="AP90" s="269">
        <v>48107</v>
      </c>
      <c r="AQ90" s="268"/>
      <c r="AU90" s="268" t="s">
        <v>0</v>
      </c>
      <c r="AY90" s="310">
        <v>3355.57</v>
      </c>
      <c r="AZ90" s="268"/>
      <c r="BA90" s="268"/>
      <c r="BB90" s="268"/>
      <c r="BC90" s="268"/>
      <c r="BD90" s="268"/>
      <c r="BE90" s="268"/>
      <c r="BF90" s="268"/>
      <c r="BG90" s="268"/>
      <c r="BH90" s="268"/>
      <c r="BI90" s="268"/>
      <c r="BJ90" s="268"/>
      <c r="BK90" s="268"/>
      <c r="BL90" s="268"/>
      <c r="BM90" s="268"/>
      <c r="BN90" s="268"/>
      <c r="BV90" s="584"/>
      <c r="CH90" s="268" t="s">
        <v>0</v>
      </c>
      <c r="CI90" s="268"/>
      <c r="CJ90" s="268"/>
      <c r="CK90" s="268"/>
      <c r="CL90" s="268"/>
      <c r="CZ90" s="207"/>
    </row>
    <row r="91" spans="1:104" ht="15">
      <c r="A91" s="648"/>
      <c r="B91" s="282" t="s">
        <v>112</v>
      </c>
      <c r="C91" s="211"/>
      <c r="D91" s="211"/>
      <c r="E91" s="211"/>
      <c r="F91" s="268"/>
      <c r="G91" s="268"/>
      <c r="H91" s="268"/>
      <c r="I91" s="268"/>
      <c r="J91" s="268"/>
      <c r="K91" s="268"/>
      <c r="L91" s="268"/>
      <c r="M91" s="268"/>
      <c r="N91" s="268"/>
      <c r="O91" s="268"/>
      <c r="P91" s="268"/>
      <c r="R91" s="268"/>
      <c r="S91" s="268"/>
      <c r="T91" s="268"/>
      <c r="U91" s="268"/>
      <c r="V91" s="268"/>
      <c r="W91" s="268"/>
      <c r="X91" s="268"/>
      <c r="Y91" s="268"/>
      <c r="Z91" s="268"/>
      <c r="AA91" s="268"/>
      <c r="AC91" s="268"/>
      <c r="AD91" s="268"/>
      <c r="AE91" s="268"/>
      <c r="AG91" s="268"/>
      <c r="AH91" s="268"/>
      <c r="AK91" s="268"/>
      <c r="AL91" s="268"/>
      <c r="AM91" s="268"/>
      <c r="AN91" s="269">
        <v>4742</v>
      </c>
      <c r="AP91" s="268"/>
      <c r="AQ91" s="268"/>
      <c r="AR91" s="268"/>
      <c r="AS91" s="268"/>
      <c r="AT91" s="268"/>
      <c r="AU91" s="268"/>
      <c r="AV91" s="268"/>
      <c r="AW91" s="275"/>
      <c r="AX91" s="268"/>
      <c r="AY91" s="268"/>
      <c r="AZ91" s="268"/>
      <c r="BA91" s="268"/>
      <c r="BB91" s="268"/>
      <c r="BC91" s="268"/>
      <c r="BD91" s="268"/>
      <c r="BE91" s="268"/>
      <c r="BF91" s="268"/>
      <c r="BG91" s="268"/>
      <c r="BH91" s="268"/>
      <c r="BI91" s="268"/>
      <c r="BJ91" s="268"/>
      <c r="BK91" s="268"/>
      <c r="BL91" s="268"/>
      <c r="BM91" s="268"/>
      <c r="BN91" s="268"/>
      <c r="BV91" s="584"/>
      <c r="CZ91" s="207"/>
    </row>
    <row r="92" spans="1:104" ht="15">
      <c r="A92" s="648"/>
      <c r="B92" s="282" t="s">
        <v>718</v>
      </c>
      <c r="C92" s="211">
        <v>100000</v>
      </c>
      <c r="D92" s="211"/>
      <c r="E92" s="211">
        <f>C92*0.95</f>
        <v>95000</v>
      </c>
      <c r="F92" s="268"/>
      <c r="G92" s="268"/>
      <c r="H92" s="268"/>
      <c r="I92" s="268"/>
      <c r="J92" s="268"/>
      <c r="K92" s="268"/>
      <c r="L92" s="268"/>
      <c r="M92" s="268"/>
      <c r="N92" s="268"/>
      <c r="O92" s="268"/>
      <c r="P92" s="268"/>
      <c r="R92" s="268"/>
      <c r="S92" s="268"/>
      <c r="T92" s="268"/>
      <c r="U92" s="268"/>
      <c r="V92" s="268"/>
      <c r="W92" s="268"/>
      <c r="X92" s="268"/>
      <c r="Y92" s="268"/>
      <c r="Z92" s="268"/>
      <c r="AA92" s="268"/>
      <c r="AB92" s="268"/>
      <c r="AC92" s="268"/>
      <c r="AD92" s="268"/>
      <c r="AE92" s="268"/>
      <c r="AG92" s="268"/>
      <c r="AH92" s="268"/>
      <c r="AI92" s="268">
        <v>0</v>
      </c>
      <c r="AJ92" s="268">
        <v>0</v>
      </c>
      <c r="AK92" s="268"/>
      <c r="AL92" s="268"/>
      <c r="AM92" s="268"/>
      <c r="AN92" s="268" t="s">
        <v>0</v>
      </c>
      <c r="AP92" s="268"/>
      <c r="AQ92" s="268"/>
      <c r="AR92" s="269">
        <f>33815*0.95</f>
        <v>32124.25</v>
      </c>
      <c r="AS92" s="268"/>
      <c r="AT92" s="268"/>
      <c r="AU92" s="268"/>
      <c r="AW92" s="310">
        <v>41110.29</v>
      </c>
      <c r="AX92" s="268"/>
      <c r="AY92" s="268"/>
      <c r="AZ92" s="268"/>
      <c r="BA92" s="269">
        <v>19657.5</v>
      </c>
      <c r="BB92" s="268" t="s">
        <v>0</v>
      </c>
      <c r="BC92" s="268"/>
      <c r="BD92" s="268"/>
      <c r="BE92" s="268"/>
      <c r="BF92" s="268"/>
      <c r="BH92" s="268"/>
      <c r="BK92" s="268"/>
      <c r="BN92" s="268"/>
      <c r="BO92" s="269">
        <v>6953.3</v>
      </c>
      <c r="BV92" s="584"/>
      <c r="CZ92" s="207"/>
    </row>
    <row r="93" spans="1:104">
      <c r="A93" s="648"/>
      <c r="C93" s="211"/>
      <c r="D93" s="211"/>
      <c r="E93" s="211"/>
      <c r="F93" s="268"/>
      <c r="G93" s="268"/>
      <c r="H93" s="268"/>
      <c r="I93" s="268"/>
      <c r="J93" s="268"/>
      <c r="K93" s="268"/>
      <c r="L93" s="268"/>
      <c r="M93" s="268"/>
      <c r="N93" s="268"/>
      <c r="O93" s="268"/>
      <c r="P93" s="268"/>
      <c r="R93" s="268"/>
      <c r="S93" s="268"/>
      <c r="T93" s="268"/>
      <c r="U93" s="268"/>
      <c r="V93" s="268"/>
      <c r="W93" s="268"/>
      <c r="X93" s="268"/>
      <c r="Y93" s="268"/>
      <c r="Z93" s="268"/>
      <c r="AA93" s="268"/>
      <c r="AB93" s="268"/>
      <c r="AC93" s="268"/>
      <c r="AD93" s="268"/>
      <c r="AE93" s="268"/>
      <c r="AG93" s="268"/>
      <c r="AH93" s="268"/>
      <c r="AI93" s="268"/>
      <c r="AJ93" s="268"/>
      <c r="AK93" s="268"/>
      <c r="AL93" s="268"/>
      <c r="AM93" s="268"/>
      <c r="AN93" s="268"/>
      <c r="AP93" s="268"/>
      <c r="AQ93" s="268"/>
      <c r="AR93" s="269"/>
      <c r="AS93" s="268"/>
      <c r="AT93" s="268"/>
      <c r="AU93" s="268"/>
      <c r="AW93" s="310"/>
      <c r="AX93" s="268"/>
      <c r="AY93" s="268"/>
      <c r="AZ93" s="268"/>
      <c r="BA93" s="269"/>
      <c r="BB93" s="268"/>
      <c r="BC93" s="268"/>
      <c r="BD93" s="268"/>
      <c r="BE93" s="268"/>
      <c r="BF93" s="268"/>
      <c r="BH93" s="268"/>
      <c r="BK93" s="268"/>
      <c r="BN93" s="268"/>
      <c r="BO93" s="269"/>
      <c r="BV93" s="584"/>
      <c r="CZ93" s="207"/>
    </row>
    <row r="94" spans="1:104" ht="15">
      <c r="A94" s="648"/>
      <c r="B94" s="615" t="s">
        <v>117</v>
      </c>
      <c r="C94" s="263"/>
      <c r="D94" s="211"/>
      <c r="E94" s="211"/>
      <c r="F94" s="268"/>
      <c r="G94" s="268"/>
      <c r="H94" s="268"/>
      <c r="I94" s="268"/>
      <c r="J94" s="268"/>
      <c r="K94" s="268"/>
      <c r="L94" s="268"/>
      <c r="M94" s="268"/>
      <c r="N94" s="268"/>
      <c r="O94" s="268"/>
      <c r="P94" s="268"/>
      <c r="Q94" s="268"/>
      <c r="R94" s="268"/>
      <c r="S94" s="268"/>
      <c r="T94" s="268"/>
      <c r="U94" s="268"/>
      <c r="V94" s="268"/>
      <c r="W94" s="268"/>
      <c r="X94" s="268"/>
      <c r="Y94" s="268"/>
      <c r="Z94" s="268"/>
      <c r="AA94" s="268"/>
      <c r="AB94" s="268"/>
      <c r="AC94" s="268"/>
      <c r="AD94" s="268"/>
      <c r="AE94" s="268"/>
      <c r="AF94" s="268"/>
      <c r="AG94" s="268"/>
      <c r="AH94" s="268"/>
      <c r="AI94" s="268"/>
      <c r="AJ94" s="268"/>
      <c r="AK94" s="268"/>
      <c r="AL94" s="268"/>
      <c r="AM94" s="268"/>
      <c r="AN94" s="268"/>
      <c r="AO94" s="268"/>
      <c r="AP94" s="268"/>
      <c r="AQ94" s="268"/>
      <c r="AR94" s="268"/>
      <c r="AS94" s="268"/>
      <c r="AU94" s="268"/>
      <c r="AV94" s="268"/>
      <c r="AW94" s="275"/>
      <c r="AX94" s="268"/>
      <c r="AY94" s="268"/>
      <c r="AZ94" s="268"/>
      <c r="BA94" s="268"/>
      <c r="BB94" s="268"/>
      <c r="BC94" s="268"/>
      <c r="BD94" s="268"/>
      <c r="BE94" s="268"/>
      <c r="BF94" s="268"/>
      <c r="BG94" s="268"/>
      <c r="BH94" s="268"/>
      <c r="BI94" s="268"/>
      <c r="BJ94" s="268"/>
      <c r="BK94" s="268"/>
      <c r="BL94" s="268"/>
      <c r="BM94" s="268"/>
      <c r="BN94" s="268"/>
      <c r="BV94" s="584"/>
      <c r="CZ94" s="207"/>
    </row>
    <row r="95" spans="1:104" ht="15" hidden="1" outlineLevel="1">
      <c r="A95" s="648"/>
      <c r="B95" s="299" t="s">
        <v>118</v>
      </c>
      <c r="C95" s="263">
        <v>13205</v>
      </c>
      <c r="D95" s="211">
        <f t="shared" ref="D95:D100" si="0">C95*0.8</f>
        <v>10564</v>
      </c>
      <c r="E95" s="211"/>
      <c r="F95" s="268"/>
      <c r="G95" s="268"/>
      <c r="H95" s="268"/>
      <c r="I95" s="269">
        <f>D95</f>
        <v>10564</v>
      </c>
      <c r="J95" s="268"/>
      <c r="K95" s="268"/>
      <c r="L95" s="268"/>
      <c r="M95" s="268"/>
      <c r="N95" s="268"/>
      <c r="O95" s="268"/>
      <c r="P95" s="268"/>
      <c r="Q95" s="268"/>
      <c r="R95" s="268"/>
      <c r="S95" s="268"/>
      <c r="T95" s="268"/>
      <c r="U95" s="268"/>
      <c r="V95" s="268"/>
      <c r="W95" s="268"/>
      <c r="X95" s="268"/>
      <c r="Y95" s="268"/>
      <c r="Z95" s="268"/>
      <c r="AA95" s="268"/>
      <c r="AB95" s="268"/>
      <c r="AC95" s="268"/>
      <c r="AD95" s="268"/>
      <c r="AE95" s="268"/>
      <c r="AF95" s="268"/>
      <c r="AG95" s="268"/>
      <c r="AH95" s="268"/>
      <c r="AI95" s="268"/>
      <c r="AJ95" s="268"/>
      <c r="AK95" s="268"/>
      <c r="AL95" s="268"/>
      <c r="AM95" s="268"/>
      <c r="AN95" s="268"/>
      <c r="AO95" s="268"/>
      <c r="AP95" s="268"/>
      <c r="AQ95" s="268"/>
      <c r="AR95" s="268"/>
      <c r="AS95" s="268"/>
      <c r="AT95" s="268"/>
      <c r="AU95" s="268"/>
      <c r="AV95" s="268"/>
      <c r="AW95" s="275"/>
      <c r="AX95" s="268"/>
      <c r="AY95" s="268"/>
      <c r="AZ95" s="268"/>
      <c r="BA95" s="268"/>
      <c r="BB95" s="268"/>
      <c r="BC95" s="268"/>
      <c r="BD95" s="268"/>
      <c r="BE95" s="268"/>
      <c r="BF95" s="268"/>
      <c r="BG95" s="268"/>
      <c r="BH95" s="268"/>
      <c r="BI95" s="268"/>
      <c r="BJ95" s="268"/>
      <c r="BK95" s="268"/>
      <c r="BL95" s="268"/>
      <c r="BM95" s="268"/>
      <c r="BN95" s="268"/>
      <c r="BV95" s="584"/>
      <c r="CZ95" s="207"/>
    </row>
    <row r="96" spans="1:104" s="211" customFormat="1" ht="15" hidden="1" outlineLevel="1">
      <c r="A96" s="323"/>
      <c r="B96" s="616" t="s">
        <v>119</v>
      </c>
      <c r="C96" s="211">
        <f>6500+1500</f>
        <v>8000</v>
      </c>
      <c r="D96" s="211">
        <f t="shared" si="0"/>
        <v>6400</v>
      </c>
      <c r="F96" s="272">
        <v>6184</v>
      </c>
      <c r="G96" s="268"/>
      <c r="H96" s="273" t="s">
        <v>0</v>
      </c>
      <c r="I96" s="273"/>
      <c r="J96" s="273"/>
      <c r="K96" s="273"/>
      <c r="L96" s="273"/>
      <c r="M96" s="273"/>
      <c r="N96" s="273"/>
      <c r="O96" s="273"/>
      <c r="P96" s="273"/>
      <c r="Q96" s="273"/>
      <c r="R96" s="273"/>
      <c r="S96" s="273" t="s">
        <v>0</v>
      </c>
      <c r="T96" s="273"/>
      <c r="U96" s="273"/>
      <c r="V96" s="273"/>
      <c r="W96" s="273"/>
      <c r="X96" s="273"/>
      <c r="Y96" s="273"/>
      <c r="Z96" s="273"/>
      <c r="AA96" s="273"/>
      <c r="AB96" s="273"/>
      <c r="AC96" s="273"/>
      <c r="AD96" s="273"/>
      <c r="AE96" s="273"/>
      <c r="AF96" s="273"/>
      <c r="AG96" s="273"/>
      <c r="AH96" s="273"/>
      <c r="AI96" s="273"/>
      <c r="AJ96" s="273"/>
      <c r="AK96" s="273"/>
      <c r="AL96" s="273"/>
      <c r="AM96" s="273"/>
      <c r="AN96" s="273"/>
      <c r="AO96" s="268"/>
      <c r="AP96" s="268"/>
      <c r="AQ96" s="268"/>
      <c r="AR96" s="268"/>
      <c r="AS96" s="268"/>
      <c r="AT96" s="268"/>
      <c r="AU96" s="268"/>
      <c r="AV96" s="268"/>
      <c r="AW96" s="275"/>
      <c r="AX96" s="268"/>
      <c r="AY96" s="268"/>
      <c r="AZ96" s="268"/>
      <c r="BA96" s="268"/>
      <c r="BB96" s="268"/>
      <c r="BC96" s="268"/>
      <c r="BD96" s="268"/>
      <c r="BE96" s="268"/>
      <c r="BF96" s="268"/>
      <c r="BG96" s="268"/>
      <c r="BH96" s="268"/>
      <c r="BI96" s="268"/>
      <c r="BJ96" s="268"/>
      <c r="BK96" s="268"/>
      <c r="BL96" s="268"/>
      <c r="BM96" s="268"/>
      <c r="BN96" s="268"/>
      <c r="BV96" s="583"/>
      <c r="CZ96" s="351"/>
    </row>
    <row r="97" spans="1:104" ht="15" hidden="1" outlineLevel="1">
      <c r="A97" s="648"/>
      <c r="B97" s="299" t="s">
        <v>120</v>
      </c>
      <c r="C97" s="263">
        <v>3705</v>
      </c>
      <c r="D97" s="211">
        <f t="shared" si="0"/>
        <v>2964</v>
      </c>
      <c r="E97" s="211"/>
      <c r="F97" s="268"/>
      <c r="G97" s="269">
        <f>D97</f>
        <v>2964</v>
      </c>
      <c r="H97" s="268"/>
      <c r="I97" s="268"/>
      <c r="K97" s="268"/>
      <c r="L97" s="268"/>
      <c r="M97" s="268"/>
      <c r="N97" s="268"/>
      <c r="O97" s="268"/>
      <c r="P97" s="268"/>
      <c r="Q97" s="268"/>
      <c r="R97" s="268"/>
      <c r="S97" s="268" t="s">
        <v>0</v>
      </c>
      <c r="T97" s="268"/>
      <c r="U97" s="268"/>
      <c r="V97" s="268"/>
      <c r="W97" s="268"/>
      <c r="X97" s="268"/>
      <c r="Y97" s="268"/>
      <c r="Z97" s="268"/>
      <c r="AA97" s="268"/>
      <c r="AB97" s="268"/>
      <c r="AC97" s="268"/>
      <c r="AD97" s="268"/>
      <c r="AE97" s="268"/>
      <c r="AF97" s="268"/>
      <c r="AG97" s="268"/>
      <c r="AH97" s="268"/>
      <c r="AI97" s="268"/>
      <c r="AJ97" s="268"/>
      <c r="AK97" s="268"/>
      <c r="AL97" s="268"/>
      <c r="AM97" s="268"/>
      <c r="AN97" s="268"/>
      <c r="AO97" s="268"/>
      <c r="AP97" s="268"/>
      <c r="AQ97" s="268"/>
      <c r="AR97" s="268"/>
      <c r="AS97" s="268"/>
      <c r="AT97" s="268"/>
      <c r="AU97" s="268"/>
      <c r="AV97" s="268"/>
      <c r="AW97" s="275"/>
      <c r="AX97" s="268"/>
      <c r="AY97" s="268"/>
      <c r="AZ97" s="268"/>
      <c r="BA97" s="268"/>
      <c r="BB97" s="268"/>
      <c r="BC97" s="268"/>
      <c r="BD97" s="268"/>
      <c r="BE97" s="268"/>
      <c r="BF97" s="268"/>
      <c r="BG97" s="268"/>
      <c r="BH97" s="268"/>
      <c r="BI97" s="268"/>
      <c r="BJ97" s="268"/>
      <c r="BK97" s="268"/>
      <c r="BL97" s="268"/>
      <c r="BM97" s="268"/>
      <c r="BN97" s="268"/>
      <c r="BV97" s="584"/>
      <c r="CZ97" s="207"/>
    </row>
    <row r="98" spans="1:104" ht="15" hidden="1" outlineLevel="1">
      <c r="A98" s="648"/>
      <c r="B98" s="299" t="s">
        <v>121</v>
      </c>
      <c r="C98" s="263">
        <v>1586</v>
      </c>
      <c r="D98" s="211">
        <f t="shared" si="0"/>
        <v>1268.8000000000002</v>
      </c>
      <c r="E98" s="211"/>
      <c r="F98" s="268"/>
      <c r="G98" s="268"/>
      <c r="H98" s="268"/>
      <c r="I98" s="268"/>
      <c r="K98" s="269">
        <f>D98</f>
        <v>1268.8000000000002</v>
      </c>
      <c r="L98" s="268"/>
      <c r="M98" s="268"/>
      <c r="N98" s="268"/>
      <c r="O98" s="268"/>
      <c r="P98" s="268"/>
      <c r="Q98" s="268"/>
      <c r="R98" s="268"/>
      <c r="S98" s="268"/>
      <c r="T98" s="268"/>
      <c r="U98" s="268"/>
      <c r="V98" s="268"/>
      <c r="W98" s="268"/>
      <c r="X98" s="268"/>
      <c r="Y98" s="268"/>
      <c r="Z98" s="268"/>
      <c r="AA98" s="268"/>
      <c r="AB98" s="268"/>
      <c r="AC98" s="268"/>
      <c r="AD98" s="268"/>
      <c r="AE98" s="268"/>
      <c r="AF98" s="268"/>
      <c r="AG98" s="268"/>
      <c r="AH98" s="268"/>
      <c r="AI98" s="268"/>
      <c r="AJ98" s="268" t="s">
        <v>0</v>
      </c>
      <c r="AK98" s="268"/>
      <c r="AL98" s="268"/>
      <c r="AM98" s="268"/>
      <c r="AN98" s="268"/>
      <c r="AO98" s="268"/>
      <c r="AP98" s="268"/>
      <c r="AQ98" s="268"/>
      <c r="AR98" s="268"/>
      <c r="AS98" s="268"/>
      <c r="AT98" s="268"/>
      <c r="AU98" s="268"/>
      <c r="AV98" s="268"/>
      <c r="AW98" s="275" t="s">
        <v>0</v>
      </c>
      <c r="AX98" s="268"/>
      <c r="AY98" s="268"/>
      <c r="AZ98" s="268"/>
      <c r="BA98" s="268"/>
      <c r="BB98" s="268"/>
      <c r="BC98" s="268"/>
      <c r="BD98" s="268"/>
      <c r="BE98" s="268"/>
      <c r="BF98" s="268"/>
      <c r="BG98" s="268"/>
      <c r="BH98" s="268"/>
      <c r="BI98" s="268"/>
      <c r="BJ98" s="268"/>
      <c r="BK98" s="268"/>
      <c r="BL98" s="268"/>
      <c r="BM98" s="268"/>
      <c r="BN98" s="268"/>
      <c r="BV98" s="584"/>
      <c r="CZ98" s="207"/>
    </row>
    <row r="99" spans="1:104" s="211" customFormat="1" ht="15" hidden="1" outlineLevel="1">
      <c r="A99" s="323"/>
      <c r="B99" s="519" t="s">
        <v>122</v>
      </c>
      <c r="C99" s="211">
        <v>42000</v>
      </c>
      <c r="D99" s="211">
        <f t="shared" si="0"/>
        <v>33600</v>
      </c>
      <c r="F99" s="269">
        <v>31545</v>
      </c>
      <c r="G99" s="269">
        <f>2772*0.8</f>
        <v>2217.6</v>
      </c>
      <c r="H99" s="268"/>
      <c r="I99" s="268"/>
      <c r="J99" s="268"/>
      <c r="K99" s="268"/>
      <c r="L99" s="268"/>
      <c r="M99" s="268"/>
      <c r="N99" s="268"/>
      <c r="O99" s="268"/>
      <c r="P99" s="268"/>
      <c r="Q99" s="268"/>
      <c r="R99" s="268"/>
      <c r="S99" s="268"/>
      <c r="T99" s="268"/>
      <c r="U99" s="268"/>
      <c r="V99" s="268"/>
      <c r="W99" s="268"/>
      <c r="X99" s="268"/>
      <c r="Y99" s="268"/>
      <c r="Z99" s="268"/>
      <c r="AA99" s="268"/>
      <c r="AB99" s="268"/>
      <c r="AC99" s="268"/>
      <c r="AD99" s="268"/>
      <c r="AE99" s="268"/>
      <c r="AF99" s="268"/>
      <c r="AG99" s="268"/>
      <c r="AH99" s="268"/>
      <c r="AI99" s="268"/>
      <c r="AJ99" s="268"/>
      <c r="AK99" s="268"/>
      <c r="AL99" s="268"/>
      <c r="AM99" s="268"/>
      <c r="AN99" s="268"/>
      <c r="AO99" s="268"/>
      <c r="AP99" s="268"/>
      <c r="AQ99" s="268"/>
      <c r="AR99" s="268"/>
      <c r="AS99" s="268"/>
      <c r="AT99" s="268"/>
      <c r="AU99" s="268"/>
      <c r="AV99" s="268"/>
      <c r="AW99" s="275"/>
      <c r="AX99" s="268"/>
      <c r="AY99" s="268"/>
      <c r="AZ99" s="268"/>
      <c r="BA99" s="268"/>
      <c r="BB99" s="268"/>
      <c r="BC99" s="268"/>
      <c r="BD99" s="268"/>
      <c r="BE99" s="268"/>
      <c r="BF99" s="268"/>
      <c r="BG99" s="268"/>
      <c r="BH99" s="268"/>
      <c r="BI99" s="268"/>
      <c r="BJ99" s="268"/>
      <c r="BK99" s="268"/>
      <c r="BL99" s="268"/>
      <c r="BM99" s="268"/>
      <c r="BN99" s="268"/>
      <c r="BV99" s="584" t="s">
        <v>148</v>
      </c>
      <c r="CZ99" s="351"/>
    </row>
    <row r="100" spans="1:104" ht="15" hidden="1" outlineLevel="1">
      <c r="A100" s="648"/>
      <c r="B100" s="299" t="s">
        <v>123</v>
      </c>
      <c r="C100" s="263">
        <f>27500*0.97</f>
        <v>26675</v>
      </c>
      <c r="D100" s="211">
        <f t="shared" si="0"/>
        <v>21340</v>
      </c>
      <c r="E100" s="211"/>
      <c r="F100" s="268"/>
      <c r="G100" s="268"/>
      <c r="H100" s="268"/>
      <c r="I100" s="269">
        <f>D100</f>
        <v>21340</v>
      </c>
      <c r="J100" s="268"/>
      <c r="K100" s="268"/>
      <c r="L100" s="268"/>
      <c r="M100" s="268"/>
      <c r="N100" s="268"/>
      <c r="O100" s="268"/>
      <c r="P100" s="268"/>
      <c r="Q100" s="268"/>
      <c r="R100" s="268"/>
      <c r="S100" s="268"/>
      <c r="T100" s="268"/>
      <c r="U100" s="268"/>
      <c r="V100" s="268"/>
      <c r="W100" s="268"/>
      <c r="X100" s="268"/>
      <c r="Y100" s="268"/>
      <c r="Z100" s="268"/>
      <c r="AA100" s="268"/>
      <c r="AB100" s="268"/>
      <c r="AC100" s="268"/>
      <c r="AD100" s="268"/>
      <c r="AE100" s="268"/>
      <c r="AF100" s="268"/>
      <c r="AG100" s="268"/>
      <c r="AH100" s="268"/>
      <c r="AI100" s="268"/>
      <c r="AJ100" s="268"/>
      <c r="AK100" s="268"/>
      <c r="AL100" s="268"/>
      <c r="AM100" s="268"/>
      <c r="AN100" s="268"/>
      <c r="AO100" s="268"/>
      <c r="AP100" s="268"/>
      <c r="AQ100" s="268"/>
      <c r="AR100" s="268"/>
      <c r="AS100" s="268"/>
      <c r="AT100" s="268"/>
      <c r="AU100" s="268"/>
      <c r="AV100" s="268"/>
      <c r="AW100" s="275"/>
      <c r="AX100" s="268"/>
      <c r="AY100" s="268"/>
      <c r="AZ100" s="268"/>
      <c r="BA100" s="268"/>
      <c r="BB100" s="268"/>
      <c r="BC100" s="268"/>
      <c r="BD100" s="268"/>
      <c r="BE100" s="268"/>
      <c r="BF100" s="268"/>
      <c r="BG100" s="268"/>
      <c r="BH100" s="268"/>
      <c r="BI100" s="268"/>
      <c r="BJ100" s="268"/>
      <c r="BK100" s="268"/>
      <c r="BL100" s="268"/>
      <c r="BM100" s="268"/>
      <c r="BN100" s="268"/>
      <c r="BV100" s="584"/>
      <c r="CZ100" s="207"/>
    </row>
    <row r="101" spans="1:104" ht="15" hidden="1" outlineLevel="1">
      <c r="A101" s="648"/>
      <c r="B101" s="299" t="s">
        <v>123</v>
      </c>
      <c r="C101" s="263">
        <v>30000</v>
      </c>
      <c r="D101" s="211">
        <v>30000</v>
      </c>
      <c r="E101" s="211"/>
      <c r="F101" s="268"/>
      <c r="G101" s="268"/>
      <c r="H101" s="268"/>
      <c r="I101" s="268"/>
      <c r="J101" s="268" t="s">
        <v>0</v>
      </c>
      <c r="K101" s="269">
        <f>(D101*0.97)*0.8</f>
        <v>23280</v>
      </c>
      <c r="L101" s="268"/>
      <c r="M101" s="268"/>
      <c r="N101" s="268"/>
      <c r="O101" s="268"/>
      <c r="P101" s="268"/>
      <c r="Q101" s="268"/>
      <c r="R101" s="268"/>
      <c r="S101" s="268"/>
      <c r="T101" s="268"/>
      <c r="U101" s="268"/>
      <c r="V101" s="268"/>
      <c r="W101" s="268"/>
      <c r="X101" s="268"/>
      <c r="Y101" s="268"/>
      <c r="Z101" s="268"/>
      <c r="AA101" s="268"/>
      <c r="AB101" s="268"/>
      <c r="AC101" s="268"/>
      <c r="AD101" s="268"/>
      <c r="AE101" s="268"/>
      <c r="AF101" s="268"/>
      <c r="AG101" s="268"/>
      <c r="AH101" s="268"/>
      <c r="AI101" s="268"/>
      <c r="AJ101" s="268"/>
      <c r="AK101" s="268"/>
      <c r="AL101" s="268"/>
      <c r="AM101" s="268"/>
      <c r="AN101" s="268"/>
      <c r="AO101" s="268"/>
      <c r="AP101" s="268"/>
      <c r="AQ101" s="268"/>
      <c r="AR101" s="268"/>
      <c r="AS101" s="268"/>
      <c r="AT101" s="268"/>
      <c r="AU101" s="268"/>
      <c r="AV101" s="268"/>
      <c r="AW101" s="275"/>
      <c r="AX101" s="268"/>
      <c r="AY101" s="268" t="s">
        <v>0</v>
      </c>
      <c r="AZ101" s="268"/>
      <c r="BA101" s="268"/>
      <c r="BB101" s="268"/>
      <c r="BC101" s="268"/>
      <c r="BD101" s="268"/>
      <c r="BE101" s="268"/>
      <c r="BF101" s="268"/>
      <c r="BG101" s="268"/>
      <c r="BH101" s="268"/>
      <c r="BI101" s="268"/>
      <c r="BJ101" s="268"/>
      <c r="BK101" s="268"/>
      <c r="BL101" s="268"/>
      <c r="BM101" s="268"/>
      <c r="BN101" s="268"/>
      <c r="BV101" s="584"/>
      <c r="CZ101" s="207"/>
    </row>
    <row r="102" spans="1:104" ht="15" hidden="1" outlineLevel="1">
      <c r="A102" s="648"/>
      <c r="B102" s="299" t="s">
        <v>124</v>
      </c>
      <c r="C102" s="263">
        <v>3118</v>
      </c>
      <c r="D102" s="211">
        <f>C102*0.8</f>
        <v>2494.4</v>
      </c>
      <c r="E102" s="211"/>
      <c r="F102" s="268"/>
      <c r="G102" s="268"/>
      <c r="H102" s="268"/>
      <c r="I102" s="268"/>
      <c r="L102" s="269">
        <f>D102</f>
        <v>2494.4</v>
      </c>
      <c r="N102" s="268"/>
      <c r="O102" s="268"/>
      <c r="P102" s="268"/>
      <c r="Q102" s="268"/>
      <c r="R102" s="268"/>
      <c r="S102" s="268"/>
      <c r="T102" s="268"/>
      <c r="U102" s="268"/>
      <c r="V102" s="268"/>
      <c r="W102" s="268"/>
      <c r="X102" s="268"/>
      <c r="Y102" s="268"/>
      <c r="Z102" s="268"/>
      <c r="AA102" s="268"/>
      <c r="AB102" s="268"/>
      <c r="AC102" s="268"/>
      <c r="AD102" s="268"/>
      <c r="AE102" s="268"/>
      <c r="AF102" s="268"/>
      <c r="AG102" s="268"/>
      <c r="AH102" s="268"/>
      <c r="AI102" s="268"/>
      <c r="AJ102" s="268"/>
      <c r="AK102" s="268"/>
      <c r="AL102" s="268"/>
      <c r="AM102" s="268"/>
      <c r="AN102" s="268"/>
      <c r="AO102" s="268"/>
      <c r="AP102" s="268"/>
      <c r="AQ102" s="268"/>
      <c r="AR102" s="268"/>
      <c r="AS102" s="268"/>
      <c r="AT102" s="268"/>
      <c r="AU102" s="268"/>
      <c r="AV102" s="268"/>
      <c r="AW102" s="275"/>
      <c r="AX102" s="268"/>
      <c r="AY102" s="268"/>
      <c r="AZ102" s="268"/>
      <c r="BA102" s="268"/>
      <c r="BB102" s="268"/>
      <c r="BC102" s="268"/>
      <c r="BD102" s="268"/>
      <c r="BE102" s="268"/>
      <c r="BF102" s="268"/>
      <c r="BG102" s="268"/>
      <c r="BH102" s="268"/>
      <c r="BI102" s="268"/>
      <c r="BJ102" s="268"/>
      <c r="BK102" s="268"/>
      <c r="BL102" s="268"/>
      <c r="BM102" s="268"/>
      <c r="BN102" s="268"/>
      <c r="BV102" s="584"/>
      <c r="CZ102" s="207"/>
    </row>
    <row r="103" spans="1:104" ht="15" hidden="1" outlineLevel="1">
      <c r="A103" s="648"/>
      <c r="B103" s="299" t="s">
        <v>125</v>
      </c>
      <c r="C103" s="263">
        <v>9400</v>
      </c>
      <c r="D103" s="211">
        <f>C103*0.8</f>
        <v>7520</v>
      </c>
      <c r="E103" s="211"/>
      <c r="F103" s="268"/>
      <c r="G103" s="268"/>
      <c r="H103" s="268"/>
      <c r="I103" s="268"/>
      <c r="J103" s="268"/>
      <c r="K103" s="268"/>
      <c r="L103" s="268"/>
      <c r="M103" s="268"/>
      <c r="N103" s="269">
        <v>7527</v>
      </c>
      <c r="O103" s="268"/>
      <c r="P103" s="268"/>
      <c r="Q103" s="268"/>
      <c r="R103" s="268"/>
      <c r="S103" s="268"/>
      <c r="T103" s="268"/>
      <c r="U103" s="268"/>
      <c r="V103" s="268"/>
      <c r="W103" s="268"/>
      <c r="X103" s="268"/>
      <c r="Y103" s="268"/>
      <c r="Z103" s="268"/>
      <c r="AA103" s="268"/>
      <c r="AB103" s="268"/>
      <c r="AC103" s="268"/>
      <c r="AD103" s="268"/>
      <c r="AE103" s="268"/>
      <c r="AF103" s="268"/>
      <c r="AG103" s="268"/>
      <c r="AH103" s="268"/>
      <c r="AI103" s="268"/>
      <c r="AJ103" s="268"/>
      <c r="AK103" s="268"/>
      <c r="AL103" s="268"/>
      <c r="AM103" s="268"/>
      <c r="AN103" s="268"/>
      <c r="AO103" s="268"/>
      <c r="AP103" s="268"/>
      <c r="AQ103" s="268"/>
      <c r="AR103" s="268"/>
      <c r="AS103" s="268"/>
      <c r="AT103" s="268"/>
      <c r="AU103" s="268"/>
      <c r="AV103" s="268"/>
      <c r="AW103" s="275"/>
      <c r="AX103" s="268" t="s">
        <v>0</v>
      </c>
      <c r="AY103" s="268"/>
      <c r="AZ103" s="268"/>
      <c r="BA103" s="268"/>
      <c r="BB103" s="268"/>
      <c r="BC103" s="268"/>
      <c r="BD103" s="268"/>
      <c r="BE103" s="268"/>
      <c r="BF103" s="268"/>
      <c r="BG103" s="268"/>
      <c r="BH103" s="268"/>
      <c r="BI103" s="268"/>
      <c r="BJ103" s="268"/>
      <c r="BK103" s="268"/>
      <c r="BL103" s="268"/>
      <c r="BM103" s="268"/>
      <c r="BN103" s="268"/>
      <c r="BV103" s="584"/>
      <c r="CZ103" s="207"/>
    </row>
    <row r="104" spans="1:104" ht="15" hidden="1" outlineLevel="1">
      <c r="A104" s="648"/>
      <c r="B104" s="299" t="s">
        <v>126</v>
      </c>
      <c r="C104" s="263">
        <v>53300</v>
      </c>
      <c r="D104" s="211">
        <f>'Job Calculations'!J63</f>
        <v>41904</v>
      </c>
      <c r="E104" s="211"/>
      <c r="F104" s="268"/>
      <c r="G104" s="268"/>
      <c r="H104" s="268"/>
      <c r="I104" s="269">
        <f>D104</f>
        <v>41904</v>
      </c>
      <c r="J104" s="268"/>
      <c r="K104" s="268"/>
      <c r="L104" s="268"/>
      <c r="M104" s="268"/>
      <c r="N104" s="268"/>
      <c r="O104" s="268"/>
      <c r="P104" s="268"/>
      <c r="Q104" s="268"/>
      <c r="R104" s="268"/>
      <c r="S104" s="268"/>
      <c r="T104" s="268"/>
      <c r="U104" s="268"/>
      <c r="V104" s="268"/>
      <c r="W104" s="268"/>
      <c r="X104" s="268"/>
      <c r="Y104" s="268"/>
      <c r="Z104" s="268"/>
      <c r="AA104" s="268"/>
      <c r="AB104" s="268"/>
      <c r="AC104" s="268"/>
      <c r="AD104" s="268"/>
      <c r="AE104" s="268"/>
      <c r="AF104" s="268"/>
      <c r="AG104" s="268"/>
      <c r="AH104" s="268"/>
      <c r="AI104" s="268"/>
      <c r="AJ104" s="268"/>
      <c r="AK104" s="268"/>
      <c r="AL104" s="268"/>
      <c r="AM104" s="268"/>
      <c r="AN104" s="268"/>
      <c r="AO104" s="268"/>
      <c r="AP104" s="268"/>
      <c r="AQ104" s="268"/>
      <c r="AR104" s="268"/>
      <c r="AS104" s="268"/>
      <c r="AT104" s="268"/>
      <c r="AU104" s="268"/>
      <c r="AV104" s="268"/>
      <c r="AW104" s="275"/>
      <c r="AX104" s="268" t="s">
        <v>0</v>
      </c>
      <c r="AY104" s="268"/>
      <c r="AZ104" s="268"/>
      <c r="BA104" s="268"/>
      <c r="BB104" s="268"/>
      <c r="BC104" s="268"/>
      <c r="BD104" s="268"/>
      <c r="BE104" s="268"/>
      <c r="BF104" s="268"/>
      <c r="BG104" s="268"/>
      <c r="BH104" s="268"/>
      <c r="BI104" s="268"/>
      <c r="BJ104" s="268"/>
      <c r="BK104" s="268"/>
      <c r="BL104" s="268"/>
      <c r="BM104" s="268"/>
      <c r="BN104" s="268"/>
      <c r="BV104" s="584"/>
      <c r="CZ104" s="207"/>
    </row>
    <row r="105" spans="1:104" ht="15" hidden="1" outlineLevel="1">
      <c r="A105" s="648"/>
      <c r="B105" s="299" t="s">
        <v>127</v>
      </c>
      <c r="C105" s="263"/>
      <c r="D105" s="211">
        <f>'Job Calculations'!I78</f>
        <v>24000</v>
      </c>
      <c r="E105" s="211"/>
      <c r="F105" s="268">
        <v>0</v>
      </c>
      <c r="G105" s="268"/>
      <c r="H105" s="268"/>
      <c r="I105" s="269">
        <f>D105*0.97</f>
        <v>23280</v>
      </c>
      <c r="J105" s="268"/>
      <c r="K105" s="268"/>
      <c r="L105" s="268"/>
      <c r="M105" s="268"/>
      <c r="N105" s="268"/>
      <c r="O105" s="268"/>
      <c r="P105" s="268"/>
      <c r="Q105" s="268"/>
      <c r="R105" s="268"/>
      <c r="S105" s="268"/>
      <c r="T105" s="268"/>
      <c r="U105" s="268"/>
      <c r="V105" s="268"/>
      <c r="W105" s="268"/>
      <c r="X105" s="268"/>
      <c r="Y105" s="268"/>
      <c r="Z105" s="268"/>
      <c r="AA105" s="268"/>
      <c r="AB105" s="268"/>
      <c r="AC105" s="268"/>
      <c r="AD105" s="268"/>
      <c r="AE105" s="268"/>
      <c r="AF105" s="268"/>
      <c r="AG105" s="268"/>
      <c r="AH105" s="268"/>
      <c r="AI105" s="268"/>
      <c r="AJ105" s="268"/>
      <c r="AK105" s="268"/>
      <c r="AL105" s="268"/>
      <c r="AM105" s="268"/>
      <c r="AN105" s="268"/>
      <c r="AO105" s="268"/>
      <c r="AP105" s="268"/>
      <c r="AQ105" s="268"/>
      <c r="AR105" s="268"/>
      <c r="AS105" s="268"/>
      <c r="AT105" s="268"/>
      <c r="AU105" s="268"/>
      <c r="AV105" s="268"/>
      <c r="AW105" s="275"/>
      <c r="AX105" s="268" t="s">
        <v>0</v>
      </c>
      <c r="AY105" s="268"/>
      <c r="AZ105" s="268"/>
      <c r="BA105" s="268"/>
      <c r="BB105" s="268"/>
      <c r="BC105" s="268"/>
      <c r="BD105" s="268"/>
      <c r="BE105" s="268"/>
      <c r="BF105" s="268"/>
      <c r="BG105" s="268"/>
      <c r="BH105" s="268"/>
      <c r="BI105" s="268"/>
      <c r="BJ105" s="268"/>
      <c r="BK105" s="268"/>
      <c r="BL105" s="268"/>
      <c r="BM105" s="268"/>
      <c r="BN105" s="268"/>
      <c r="BV105" s="584"/>
      <c r="CZ105" s="207"/>
    </row>
    <row r="106" spans="1:104" ht="25.5" hidden="1" customHeight="1" outlineLevel="1">
      <c r="A106" s="648"/>
      <c r="B106" s="299" t="s">
        <v>128</v>
      </c>
      <c r="C106" s="263">
        <v>27700</v>
      </c>
      <c r="D106" s="211">
        <f>C106*0.8</f>
        <v>22160</v>
      </c>
      <c r="E106" s="211"/>
      <c r="F106" s="268">
        <v>0</v>
      </c>
      <c r="G106" s="268"/>
      <c r="H106" s="268"/>
      <c r="I106" s="269">
        <f>D106*0.97</f>
        <v>21495.200000000001</v>
      </c>
      <c r="J106" s="268"/>
      <c r="K106" s="268"/>
      <c r="L106" s="268"/>
      <c r="M106" s="268"/>
      <c r="N106" s="268"/>
      <c r="O106" s="268"/>
      <c r="P106" s="268"/>
      <c r="Q106" s="268"/>
      <c r="R106" s="268"/>
      <c r="S106" s="268"/>
      <c r="T106" s="268"/>
      <c r="U106" s="268"/>
      <c r="V106" s="268"/>
      <c r="W106" s="268"/>
      <c r="X106" s="268"/>
      <c r="Y106" s="268"/>
      <c r="Z106" s="268"/>
      <c r="AA106" s="268"/>
      <c r="AB106" s="268"/>
      <c r="AC106" s="268"/>
      <c r="AD106" s="268"/>
      <c r="AE106" s="268"/>
      <c r="AF106" s="268"/>
      <c r="AG106" s="268"/>
      <c r="AH106" s="268"/>
      <c r="AI106" s="268"/>
      <c r="AJ106" s="268"/>
      <c r="AK106" s="268"/>
      <c r="AL106" s="268"/>
      <c r="AM106" s="268"/>
      <c r="AN106" s="268"/>
      <c r="AO106" s="268"/>
      <c r="AP106" s="268"/>
      <c r="AQ106" s="268"/>
      <c r="AR106" s="268"/>
      <c r="AS106" s="268"/>
      <c r="AT106" s="268"/>
      <c r="AU106" s="268"/>
      <c r="AV106" s="268"/>
      <c r="AW106" s="275"/>
      <c r="AX106" s="268"/>
      <c r="AY106" s="268"/>
      <c r="AZ106" s="268"/>
      <c r="BA106" s="268"/>
      <c r="BB106" s="268"/>
      <c r="BC106" s="268"/>
      <c r="BD106" s="268"/>
      <c r="BE106" s="268"/>
      <c r="BF106" s="268"/>
      <c r="BG106" s="268"/>
      <c r="BH106" s="268"/>
      <c r="BI106" s="268"/>
      <c r="BJ106" s="268"/>
      <c r="BK106" s="268"/>
      <c r="BL106" s="268"/>
      <c r="BM106" s="268"/>
      <c r="BN106" s="268"/>
      <c r="BV106" s="584"/>
      <c r="CZ106" s="207"/>
    </row>
    <row r="107" spans="1:104" ht="15" hidden="1" outlineLevel="1">
      <c r="A107" s="648"/>
      <c r="B107" s="299" t="s">
        <v>129</v>
      </c>
      <c r="C107" s="546">
        <v>16065</v>
      </c>
      <c r="D107" s="211">
        <f>C107*0.8</f>
        <v>12852</v>
      </c>
      <c r="E107" s="211"/>
      <c r="F107" s="268"/>
      <c r="G107" s="268"/>
      <c r="H107" s="268"/>
      <c r="I107" s="268"/>
      <c r="J107" s="269">
        <f>D107</f>
        <v>12852</v>
      </c>
      <c r="L107" s="268"/>
      <c r="M107" s="268"/>
      <c r="N107" s="268" t="s">
        <v>0</v>
      </c>
      <c r="O107" s="268" t="s">
        <v>0</v>
      </c>
      <c r="P107" s="268"/>
      <c r="Q107" s="268"/>
      <c r="R107" s="268"/>
      <c r="S107" s="268"/>
      <c r="T107" s="268"/>
      <c r="U107" s="268"/>
      <c r="V107" s="268"/>
      <c r="W107" s="268"/>
      <c r="X107" s="268"/>
      <c r="Y107" s="268"/>
      <c r="Z107" s="268"/>
      <c r="AA107" s="268"/>
      <c r="AB107" s="268"/>
      <c r="AC107" s="268"/>
      <c r="AD107" s="268"/>
      <c r="AE107" s="268"/>
      <c r="AF107" s="268"/>
      <c r="AG107" s="268"/>
      <c r="AH107" s="268"/>
      <c r="AI107" s="268"/>
      <c r="AJ107" s="268"/>
      <c r="AK107" s="268"/>
      <c r="AL107" s="268"/>
      <c r="AM107" s="268"/>
      <c r="AN107" s="268"/>
      <c r="AO107" s="268"/>
      <c r="AP107" s="268"/>
      <c r="AQ107" s="268"/>
      <c r="AR107" s="268"/>
      <c r="AS107" s="268"/>
      <c r="AT107" s="268"/>
      <c r="AU107" s="268"/>
      <c r="AV107" s="268"/>
      <c r="AW107" s="275"/>
      <c r="AX107" s="268"/>
      <c r="AY107" s="268"/>
      <c r="AZ107" s="268"/>
      <c r="BA107" s="268"/>
      <c r="BB107" s="268"/>
      <c r="BC107" s="268"/>
      <c r="BD107" s="268"/>
      <c r="BE107" s="268"/>
      <c r="BF107" s="268"/>
      <c r="BG107" s="268"/>
      <c r="BH107" s="268"/>
      <c r="BI107" s="268"/>
      <c r="BJ107" s="268"/>
      <c r="BK107" s="268"/>
      <c r="BL107" s="268"/>
      <c r="BM107" s="268"/>
      <c r="BN107" s="268"/>
      <c r="BV107" s="584"/>
      <c r="CZ107" s="207"/>
    </row>
    <row r="108" spans="1:104" ht="15" hidden="1" outlineLevel="1">
      <c r="A108" s="648"/>
      <c r="B108" s="299" t="s">
        <v>130</v>
      </c>
      <c r="C108" s="263">
        <v>18326</v>
      </c>
      <c r="D108" s="211">
        <f>C108*0.8</f>
        <v>14660.800000000001</v>
      </c>
      <c r="E108" s="211"/>
      <c r="F108" s="268"/>
      <c r="G108" s="268"/>
      <c r="H108" s="268"/>
      <c r="I108" s="268"/>
      <c r="K108" s="269">
        <f>D108*0.5</f>
        <v>7330.4000000000005</v>
      </c>
      <c r="L108" s="269">
        <f>D108*0.5</f>
        <v>7330.4000000000005</v>
      </c>
      <c r="N108" s="268"/>
      <c r="O108" s="268"/>
      <c r="P108" s="268"/>
      <c r="Q108" s="268"/>
      <c r="R108" s="268"/>
      <c r="S108" s="268"/>
      <c r="T108" s="268"/>
      <c r="U108" s="268"/>
      <c r="V108" s="268"/>
      <c r="W108" s="268"/>
      <c r="X108" s="268"/>
      <c r="Y108" s="268"/>
      <c r="Z108" s="268"/>
      <c r="AA108" s="268"/>
      <c r="AB108" s="268"/>
      <c r="AC108" s="268" t="s">
        <v>0</v>
      </c>
      <c r="AD108" s="268"/>
      <c r="AE108" s="268"/>
      <c r="AF108" s="268"/>
      <c r="AG108" s="268"/>
      <c r="AH108" s="268"/>
      <c r="AI108" s="268"/>
      <c r="AJ108" s="268"/>
      <c r="AK108" s="268"/>
      <c r="AL108" s="268"/>
      <c r="AM108" s="268"/>
      <c r="AN108" s="268"/>
      <c r="AO108" s="268"/>
      <c r="AP108" s="268"/>
      <c r="AQ108" s="268"/>
      <c r="AR108" s="268"/>
      <c r="AS108" s="268"/>
      <c r="AT108" s="268"/>
      <c r="AU108" s="268"/>
      <c r="AV108" s="268"/>
      <c r="AW108" s="275"/>
      <c r="AX108" s="268"/>
      <c r="AY108" s="268"/>
      <c r="AZ108" s="268"/>
      <c r="BA108" s="268"/>
      <c r="BB108" s="268"/>
      <c r="BC108" s="268"/>
      <c r="BD108" s="268"/>
      <c r="BE108" s="268"/>
      <c r="BF108" s="268"/>
      <c r="BG108" s="268"/>
      <c r="BH108" s="268"/>
      <c r="BI108" s="268"/>
      <c r="BJ108" s="268"/>
      <c r="BK108" s="268"/>
      <c r="BL108" s="268"/>
      <c r="BM108" s="268"/>
      <c r="BN108" s="268"/>
      <c r="BT108" s="3" t="s">
        <v>0</v>
      </c>
      <c r="BV108" s="584"/>
      <c r="CZ108" s="207"/>
    </row>
    <row r="109" spans="1:104" ht="15" hidden="1" outlineLevel="1">
      <c r="A109" s="648"/>
      <c r="B109" s="299" t="s">
        <v>131</v>
      </c>
      <c r="C109" s="263"/>
      <c r="D109" s="211">
        <v>4697</v>
      </c>
      <c r="E109" s="211"/>
      <c r="F109" s="268"/>
      <c r="G109" s="268"/>
      <c r="H109" s="268"/>
      <c r="I109" s="268"/>
      <c r="L109" s="268"/>
      <c r="N109" s="268"/>
      <c r="O109" s="268"/>
      <c r="P109" s="268"/>
      <c r="Q109" s="268"/>
      <c r="R109" s="269">
        <v>4697</v>
      </c>
      <c r="S109" s="268"/>
      <c r="T109" s="268"/>
      <c r="U109" s="268">
        <v>0</v>
      </c>
      <c r="V109" s="268"/>
      <c r="W109" s="268"/>
      <c r="X109" s="268"/>
      <c r="Y109" s="268"/>
      <c r="Z109" s="268"/>
      <c r="AA109" s="268"/>
      <c r="AB109" s="268"/>
      <c r="AC109" s="268"/>
      <c r="AD109" s="268"/>
      <c r="AE109" s="268"/>
      <c r="AF109" s="268"/>
      <c r="AG109" s="268"/>
      <c r="AH109" s="268"/>
      <c r="AI109" s="268"/>
      <c r="AJ109" s="268"/>
      <c r="AK109" s="268"/>
      <c r="AL109" s="268"/>
      <c r="AM109" s="268"/>
      <c r="AN109" s="268"/>
      <c r="AO109" s="268"/>
      <c r="AP109" s="268"/>
      <c r="AQ109" s="268"/>
      <c r="AR109" s="268"/>
      <c r="AS109" s="268"/>
      <c r="AT109" s="268"/>
      <c r="AU109" s="268"/>
      <c r="AV109" s="268"/>
      <c r="AW109" s="275"/>
      <c r="AX109" s="268"/>
      <c r="AY109" s="268"/>
      <c r="AZ109" s="268"/>
      <c r="BA109" s="268"/>
      <c r="BB109" s="268"/>
      <c r="BC109" s="268"/>
      <c r="BD109" s="268"/>
      <c r="BE109" s="268"/>
      <c r="BF109" s="268"/>
      <c r="BG109" s="268"/>
      <c r="BH109" s="268"/>
      <c r="BI109" s="268"/>
      <c r="BJ109" s="268"/>
      <c r="BK109" s="268"/>
      <c r="BL109" s="268"/>
      <c r="BM109" s="268"/>
      <c r="BN109" s="268"/>
      <c r="BT109" s="3" t="s">
        <v>0</v>
      </c>
      <c r="BV109" s="584"/>
      <c r="CZ109" s="207"/>
    </row>
    <row r="110" spans="1:104" ht="15" hidden="1" outlineLevel="1">
      <c r="A110" s="648"/>
      <c r="B110" s="299" t="s">
        <v>132</v>
      </c>
      <c r="C110" s="263">
        <f>(D110/80)*100</f>
        <v>81005</v>
      </c>
      <c r="D110" s="211">
        <f>H110+L110+S110</f>
        <v>64804</v>
      </c>
      <c r="E110" s="211"/>
      <c r="F110" s="268">
        <v>0</v>
      </c>
      <c r="G110" s="268"/>
      <c r="H110" s="269">
        <f>32543*0.8</f>
        <v>26034.400000000001</v>
      </c>
      <c r="I110" s="268"/>
      <c r="J110" s="268"/>
      <c r="L110" s="269">
        <f>25012*0.8</f>
        <v>20009.600000000002</v>
      </c>
      <c r="M110" s="268"/>
      <c r="O110" s="268" t="s">
        <v>0</v>
      </c>
      <c r="P110" s="268"/>
      <c r="Q110" s="268"/>
      <c r="R110" s="268"/>
      <c r="S110" s="269">
        <f>18760</f>
        <v>18760</v>
      </c>
      <c r="T110" s="268"/>
      <c r="U110" s="268"/>
      <c r="V110" s="268"/>
      <c r="W110" s="268"/>
      <c r="X110" s="268"/>
      <c r="Y110" s="268"/>
      <c r="Z110" s="268"/>
      <c r="AA110" s="268"/>
      <c r="AB110" s="268"/>
      <c r="AC110" s="268"/>
      <c r="AD110" s="268"/>
      <c r="AE110" s="268"/>
      <c r="AF110" s="268"/>
      <c r="AG110" s="268"/>
      <c r="AH110" s="268"/>
      <c r="AI110" s="268"/>
      <c r="AJ110" s="268"/>
      <c r="AK110" s="268"/>
      <c r="AL110" s="268"/>
      <c r="AM110" s="268"/>
      <c r="AN110" s="268"/>
      <c r="AO110" s="268"/>
      <c r="AP110" s="268"/>
      <c r="AQ110" s="268"/>
      <c r="AR110" s="268"/>
      <c r="AS110" s="268"/>
      <c r="AT110" s="268"/>
      <c r="AU110" s="268"/>
      <c r="AV110" s="268"/>
      <c r="AW110" s="275"/>
      <c r="AX110" s="268"/>
      <c r="AY110" s="268"/>
      <c r="AZ110" s="268"/>
      <c r="BA110" s="268"/>
      <c r="BB110" s="268"/>
      <c r="BC110" s="268"/>
      <c r="BD110" s="268"/>
      <c r="BE110" s="268"/>
      <c r="BF110" s="268"/>
      <c r="BG110" s="268"/>
      <c r="BH110" s="268"/>
      <c r="BI110" s="268"/>
      <c r="BJ110" s="268"/>
      <c r="BK110" s="268"/>
      <c r="BL110" s="268"/>
      <c r="BM110" s="268"/>
      <c r="BN110" s="268"/>
      <c r="BT110" s="3" t="s">
        <v>0</v>
      </c>
      <c r="BV110" s="584"/>
      <c r="CZ110" s="207"/>
    </row>
    <row r="111" spans="1:104" ht="15" hidden="1" outlineLevel="1">
      <c r="A111" s="648"/>
      <c r="B111" s="299" t="s">
        <v>133</v>
      </c>
      <c r="C111" s="263">
        <v>10582</v>
      </c>
      <c r="D111" s="211">
        <f>C111*0.8</f>
        <v>8465.6</v>
      </c>
      <c r="E111" s="211"/>
      <c r="F111" s="268"/>
      <c r="G111" s="268"/>
      <c r="H111" s="268"/>
      <c r="I111" s="268"/>
      <c r="J111" s="268"/>
      <c r="K111" s="268"/>
      <c r="L111" s="268"/>
      <c r="M111" s="268"/>
      <c r="N111" s="269">
        <f>D111</f>
        <v>8465.6</v>
      </c>
      <c r="O111" s="268"/>
      <c r="P111" s="268"/>
      <c r="Q111" s="268"/>
      <c r="R111" s="269">
        <v>8859</v>
      </c>
      <c r="S111" s="268" t="s">
        <v>0</v>
      </c>
      <c r="T111" s="268"/>
      <c r="U111" s="268"/>
      <c r="V111" s="268"/>
      <c r="W111" s="268"/>
      <c r="X111" s="268"/>
      <c r="Y111" s="268"/>
      <c r="Z111" s="268"/>
      <c r="AA111" s="268"/>
      <c r="AB111" s="268"/>
      <c r="AC111" s="268"/>
      <c r="AD111" s="268"/>
      <c r="AE111" s="268"/>
      <c r="AF111" s="268"/>
      <c r="AG111" s="268"/>
      <c r="AH111" s="268"/>
      <c r="AI111" s="268"/>
      <c r="AJ111" s="268"/>
      <c r="AK111" s="268"/>
      <c r="AL111" s="268"/>
      <c r="AM111" s="268"/>
      <c r="AN111" s="268"/>
      <c r="AO111" s="268"/>
      <c r="AP111" s="268"/>
      <c r="AQ111" s="268"/>
      <c r="AR111" s="268"/>
      <c r="AS111" s="268"/>
      <c r="AT111" s="268"/>
      <c r="AU111" s="268"/>
      <c r="AV111" s="268"/>
      <c r="AW111" s="275"/>
      <c r="AX111" s="268"/>
      <c r="AY111" s="268"/>
      <c r="AZ111" s="268"/>
      <c r="BA111" s="268"/>
      <c r="BB111" s="268"/>
      <c r="BC111" s="268"/>
      <c r="BD111" s="268"/>
      <c r="BE111" s="268"/>
      <c r="BF111" s="268"/>
      <c r="BG111" s="268"/>
      <c r="BH111" s="268"/>
      <c r="BI111" s="268"/>
      <c r="BJ111" s="268"/>
      <c r="BK111" s="268"/>
      <c r="BL111" s="268"/>
      <c r="BM111" s="268"/>
      <c r="BN111" s="268"/>
      <c r="BT111" s="3" t="s">
        <v>0</v>
      </c>
      <c r="BV111" s="584"/>
      <c r="CZ111" s="207"/>
    </row>
    <row r="112" spans="1:104" ht="12.75" hidden="1" customHeight="1" outlineLevel="1">
      <c r="A112" s="648"/>
      <c r="B112" s="299" t="s">
        <v>134</v>
      </c>
      <c r="C112" s="263"/>
      <c r="D112" s="211"/>
      <c r="E112" s="211"/>
      <c r="F112" s="268"/>
      <c r="G112" s="268"/>
      <c r="H112" s="268"/>
      <c r="I112" s="268"/>
      <c r="J112" s="268"/>
      <c r="K112" s="326"/>
      <c r="L112" s="268"/>
      <c r="M112" s="337"/>
      <c r="N112" s="269">
        <f>33806*0.8</f>
        <v>27044.800000000003</v>
      </c>
      <c r="P112" s="268"/>
      <c r="Q112" s="268"/>
      <c r="R112" s="268"/>
      <c r="S112" s="268"/>
      <c r="T112" s="268"/>
      <c r="U112" s="268"/>
      <c r="V112" s="268"/>
      <c r="W112" s="268"/>
      <c r="X112" s="268"/>
      <c r="Y112" s="268"/>
      <c r="Z112" s="268"/>
      <c r="AA112" s="268"/>
      <c r="AB112" s="268"/>
      <c r="AC112" s="268"/>
      <c r="AD112" s="268"/>
      <c r="AE112" s="268"/>
      <c r="AF112" s="268"/>
      <c r="AG112" s="268"/>
      <c r="AH112" s="268"/>
      <c r="AI112" s="268"/>
      <c r="AJ112" s="268"/>
      <c r="AK112" s="268"/>
      <c r="AL112" s="268"/>
      <c r="AM112" s="268"/>
      <c r="AN112" s="268"/>
      <c r="AO112" s="268"/>
      <c r="AP112" s="268"/>
      <c r="AQ112" s="268"/>
      <c r="AR112" s="268"/>
      <c r="AS112" s="268"/>
      <c r="AT112" s="268"/>
      <c r="AU112" s="268"/>
      <c r="AV112" s="268"/>
      <c r="AW112" s="275"/>
      <c r="AX112" s="268"/>
      <c r="AY112" s="268"/>
      <c r="AZ112" s="268"/>
      <c r="BA112" s="268"/>
      <c r="BB112" s="268"/>
      <c r="BC112" s="268"/>
      <c r="BD112" s="268"/>
      <c r="BE112" s="268"/>
      <c r="BF112" s="268"/>
      <c r="BG112" s="268"/>
      <c r="BH112" s="268"/>
      <c r="BI112" s="268"/>
      <c r="BJ112" s="268"/>
      <c r="BK112" s="268"/>
      <c r="BL112" s="268"/>
      <c r="BM112" s="268"/>
      <c r="BN112" s="268"/>
      <c r="BO112" s="268"/>
      <c r="BP112" s="268"/>
      <c r="BQ112" s="268"/>
      <c r="BR112" s="268"/>
      <c r="BS112" s="268"/>
      <c r="BT112" s="3" t="s">
        <v>0</v>
      </c>
      <c r="BV112" s="584"/>
      <c r="CZ112" s="207"/>
    </row>
    <row r="113" spans="1:104" ht="13.25" hidden="1" customHeight="1" outlineLevel="1">
      <c r="A113" s="648"/>
      <c r="B113" s="299" t="s">
        <v>135</v>
      </c>
      <c r="C113" s="263"/>
      <c r="D113" s="211">
        <v>7480</v>
      </c>
      <c r="E113" s="211"/>
      <c r="F113" s="268"/>
      <c r="G113" s="268"/>
      <c r="H113" s="268"/>
      <c r="I113" s="268"/>
      <c r="J113" s="268"/>
      <c r="K113" s="268"/>
      <c r="M113" s="268"/>
      <c r="N113" s="268"/>
      <c r="O113" s="269">
        <f>7480*0.8</f>
        <v>5984</v>
      </c>
      <c r="Q113" s="268"/>
      <c r="R113" s="268"/>
      <c r="S113" s="268"/>
      <c r="T113" s="268"/>
      <c r="U113" s="268"/>
      <c r="V113" s="268"/>
      <c r="W113" s="268"/>
      <c r="X113" s="268"/>
      <c r="Y113" s="268"/>
      <c r="Z113" s="268"/>
      <c r="AA113" s="268"/>
      <c r="AB113" s="268"/>
      <c r="AC113" s="268"/>
      <c r="AD113" s="268"/>
      <c r="AE113" s="268"/>
      <c r="AF113" s="268"/>
      <c r="AG113" s="268"/>
      <c r="AH113" s="268"/>
      <c r="AI113" s="268"/>
      <c r="AJ113" s="268"/>
      <c r="AK113" s="268"/>
      <c r="AL113" s="268"/>
      <c r="AM113" s="268"/>
      <c r="AN113" s="268"/>
      <c r="AO113" s="268"/>
      <c r="AP113" s="268"/>
      <c r="AQ113" s="268"/>
      <c r="AR113" s="268"/>
      <c r="AS113" s="268"/>
      <c r="AT113" s="268"/>
      <c r="AU113" s="268"/>
      <c r="AV113" s="268"/>
      <c r="AW113" s="275"/>
      <c r="AX113" s="268"/>
      <c r="AY113" s="268"/>
      <c r="AZ113" s="268"/>
      <c r="BA113" s="268"/>
      <c r="BB113" s="268"/>
      <c r="BC113" s="268"/>
      <c r="BD113" s="268"/>
      <c r="BE113" s="268"/>
      <c r="BF113" s="268"/>
      <c r="BG113" s="268"/>
      <c r="BH113" s="268"/>
      <c r="BI113" s="268"/>
      <c r="BJ113" s="268"/>
      <c r="BK113" s="268"/>
      <c r="BL113" s="268"/>
      <c r="BM113" s="268"/>
      <c r="BN113" s="268"/>
      <c r="BV113" s="584"/>
      <c r="CZ113" s="207"/>
    </row>
    <row r="114" spans="1:104" ht="15" hidden="1" outlineLevel="1">
      <c r="A114" s="648"/>
      <c r="B114" s="282" t="s">
        <v>136</v>
      </c>
      <c r="AW114" s="561"/>
      <c r="BV114" s="584"/>
      <c r="CZ114" s="207"/>
    </row>
    <row r="115" spans="1:104" collapsed="1">
      <c r="A115" s="648"/>
      <c r="B115" s="299"/>
      <c r="C115" s="263"/>
      <c r="D115" s="211"/>
      <c r="E115" s="211"/>
      <c r="F115" s="268"/>
      <c r="G115" s="268"/>
      <c r="H115" s="268"/>
      <c r="I115" s="268"/>
      <c r="J115" s="268"/>
      <c r="K115" s="268"/>
      <c r="L115" s="268"/>
      <c r="M115" s="268"/>
      <c r="N115" s="268"/>
      <c r="O115" s="268"/>
      <c r="P115" s="268"/>
      <c r="Q115" s="268"/>
      <c r="R115" s="268"/>
      <c r="S115" s="268"/>
      <c r="T115" s="268"/>
      <c r="U115" s="268"/>
      <c r="V115" s="268"/>
      <c r="W115" s="268"/>
      <c r="X115" s="268"/>
      <c r="Y115" s="268"/>
      <c r="Z115" s="268"/>
      <c r="AA115" s="268"/>
      <c r="AB115" s="268"/>
      <c r="AC115" s="268"/>
      <c r="AD115" s="268"/>
      <c r="AE115" s="268"/>
      <c r="AF115" s="268"/>
      <c r="AG115" s="268"/>
      <c r="AH115" s="268"/>
      <c r="AI115" s="268" t="s">
        <v>0</v>
      </c>
      <c r="AJ115" s="268"/>
      <c r="AK115" s="268"/>
      <c r="AL115" s="268"/>
      <c r="AM115" s="268"/>
      <c r="AN115" s="268"/>
      <c r="AO115" s="268"/>
      <c r="AP115" s="268"/>
      <c r="AQ115" s="268"/>
      <c r="AR115" s="268"/>
      <c r="AS115" s="268"/>
      <c r="AT115" s="268"/>
      <c r="AU115" s="268"/>
      <c r="AV115" s="268"/>
      <c r="AW115" s="275"/>
      <c r="AX115" s="268"/>
      <c r="AY115" s="268"/>
      <c r="AZ115" s="268"/>
      <c r="BA115" s="268"/>
      <c r="BB115" s="268"/>
      <c r="BC115" s="268"/>
      <c r="BD115" s="268"/>
      <c r="BE115" s="268"/>
      <c r="BF115" s="268"/>
      <c r="BG115" s="268"/>
      <c r="BH115" s="268"/>
      <c r="BI115" s="268"/>
      <c r="BJ115" s="268"/>
      <c r="BK115" s="268"/>
      <c r="BL115" s="268"/>
      <c r="BM115" s="268"/>
      <c r="BN115" s="268"/>
      <c r="BV115" s="584"/>
      <c r="CZ115" s="207"/>
    </row>
    <row r="116" spans="1:104" ht="15.5" customHeight="1">
      <c r="A116" s="648"/>
      <c r="B116" s="617" t="s">
        <v>141</v>
      </c>
      <c r="C116" s="211"/>
      <c r="F116" s="268" t="s">
        <v>0</v>
      </c>
      <c r="G116" s="268"/>
      <c r="H116" s="268"/>
      <c r="I116" s="268"/>
      <c r="J116" s="268"/>
      <c r="K116" s="268"/>
      <c r="L116" s="268"/>
      <c r="M116" s="268"/>
      <c r="N116" s="268"/>
      <c r="O116" s="268" t="s">
        <v>0</v>
      </c>
      <c r="P116" s="268"/>
      <c r="Q116" s="268"/>
      <c r="R116" s="268"/>
      <c r="S116" s="268" t="s">
        <v>0</v>
      </c>
      <c r="T116" s="268"/>
      <c r="U116" s="268"/>
      <c r="V116" s="268"/>
      <c r="W116" s="268" t="s">
        <v>0</v>
      </c>
      <c r="X116" s="268"/>
      <c r="Y116" s="268"/>
      <c r="Z116" s="268"/>
      <c r="AA116" s="268"/>
      <c r="AB116" s="268" t="s">
        <v>0</v>
      </c>
      <c r="AC116" s="268"/>
      <c r="AD116" s="268"/>
      <c r="AE116" s="268"/>
      <c r="AF116" s="268" t="s">
        <v>0</v>
      </c>
      <c r="AG116" s="268"/>
      <c r="AH116" s="268"/>
      <c r="AI116" s="268"/>
      <c r="AJ116" s="268" t="s">
        <v>0</v>
      </c>
      <c r="AK116" s="268"/>
      <c r="AL116" s="268"/>
      <c r="AM116" s="268"/>
      <c r="AN116" s="268"/>
      <c r="AO116" s="268" t="s">
        <v>0</v>
      </c>
      <c r="AP116" s="268"/>
      <c r="AQ116" s="268"/>
      <c r="AR116" s="268"/>
      <c r="AS116" s="268"/>
      <c r="AT116" s="268"/>
      <c r="AU116" s="268"/>
      <c r="AV116" s="268" t="s">
        <v>0</v>
      </c>
      <c r="AW116" s="275" t="s">
        <v>0</v>
      </c>
      <c r="AX116" s="268"/>
      <c r="AY116" s="268"/>
      <c r="AZ116" s="268"/>
      <c r="BA116" s="268"/>
      <c r="BB116" s="268" t="s">
        <v>0</v>
      </c>
      <c r="BC116" s="268"/>
      <c r="BD116" s="268"/>
      <c r="BE116" s="268"/>
      <c r="BF116" s="268"/>
      <c r="BG116" s="268" t="s">
        <v>0</v>
      </c>
      <c r="BH116" s="268"/>
      <c r="BI116" s="268"/>
      <c r="BJ116" s="268"/>
      <c r="BK116" s="268"/>
      <c r="BL116" s="268"/>
      <c r="BM116" s="268"/>
      <c r="BN116" s="268"/>
      <c r="BP116" s="3" t="s">
        <v>0</v>
      </c>
      <c r="BT116" s="3" t="s">
        <v>0</v>
      </c>
      <c r="BV116" s="584"/>
      <c r="CZ116" s="207"/>
    </row>
    <row r="117" spans="1:104" ht="15" outlineLevel="1">
      <c r="A117" s="648"/>
      <c r="B117" s="282" t="s">
        <v>142</v>
      </c>
      <c r="C117" s="211"/>
      <c r="F117" s="268">
        <v>-774</v>
      </c>
      <c r="G117" s="269">
        <v>-774</v>
      </c>
      <c r="H117" s="269">
        <v>-774</v>
      </c>
      <c r="I117" s="269">
        <v>-774</v>
      </c>
      <c r="J117" s="269">
        <v>-774</v>
      </c>
      <c r="K117" s="269">
        <v>-774</v>
      </c>
      <c r="L117" s="269">
        <v>-774</v>
      </c>
      <c r="M117" s="269">
        <v>-774</v>
      </c>
      <c r="N117" s="269">
        <v>-673</v>
      </c>
      <c r="O117" s="269">
        <v>-674</v>
      </c>
      <c r="P117" s="269">
        <v>-774</v>
      </c>
      <c r="Q117" s="269">
        <v>-774</v>
      </c>
      <c r="R117" s="269">
        <f t="shared" ref="O117:R118" si="1">(Q117*52)/52</f>
        <v>-774</v>
      </c>
      <c r="S117" s="269">
        <v>-774</v>
      </c>
      <c r="T117" s="269">
        <f t="shared" ref="S117:U118" si="2">P117</f>
        <v>-774</v>
      </c>
      <c r="U117" s="269">
        <v>-901.85</v>
      </c>
      <c r="V117" s="269">
        <v>-753</v>
      </c>
      <c r="W117" s="269">
        <v>-317</v>
      </c>
      <c r="X117" s="269">
        <f>-475.87-88</f>
        <v>-563.87</v>
      </c>
      <c r="Y117" s="269">
        <v>-835.2</v>
      </c>
      <c r="Z117" s="269">
        <v>-667.16</v>
      </c>
      <c r="AA117" s="268">
        <v>0</v>
      </c>
      <c r="AB117" s="268">
        <v>0</v>
      </c>
      <c r="AC117" s="268">
        <v>0</v>
      </c>
      <c r="AD117" s="269">
        <v>-866.43</v>
      </c>
      <c r="AE117" s="269">
        <v>-783.14</v>
      </c>
      <c r="AF117" s="269">
        <v>-788.14</v>
      </c>
      <c r="AG117" s="269">
        <v>-912.74</v>
      </c>
      <c r="AH117" s="269">
        <v>-783.14</v>
      </c>
      <c r="AI117" s="269">
        <v>-783.14</v>
      </c>
      <c r="AJ117" s="269">
        <v>-783.14</v>
      </c>
      <c r="AK117" s="269">
        <v>-783.14</v>
      </c>
      <c r="AL117" s="269">
        <v>-683.14</v>
      </c>
      <c r="AM117" s="269">
        <v>-683.14</v>
      </c>
      <c r="AN117" s="269">
        <v>-783.14</v>
      </c>
      <c r="AO117" s="269">
        <v>-783.14</v>
      </c>
      <c r="AP117" s="269">
        <v>-783.14</v>
      </c>
      <c r="AQ117" s="269">
        <v>-783.14</v>
      </c>
      <c r="AR117" s="269">
        <v>-783.14</v>
      </c>
      <c r="AS117" s="269">
        <v>-908.71</v>
      </c>
      <c r="AT117" s="269">
        <v>-679.11</v>
      </c>
      <c r="AU117" s="269">
        <v>-679.11</v>
      </c>
      <c r="AV117" s="269">
        <v>-902.44</v>
      </c>
      <c r="AW117" s="310">
        <v>-779.11</v>
      </c>
      <c r="AX117" s="269">
        <v>-779.11</v>
      </c>
      <c r="AY117" s="269">
        <v>-779.14</v>
      </c>
      <c r="AZ117" s="269">
        <v>-779.11</v>
      </c>
      <c r="BA117" s="269">
        <v>-317.06</v>
      </c>
      <c r="BB117" s="269">
        <v>-779.11</v>
      </c>
      <c r="BC117" s="269">
        <v>-779.11</v>
      </c>
      <c r="BD117" s="268"/>
      <c r="BE117" s="269">
        <v>-779.11</v>
      </c>
      <c r="BF117" s="269">
        <v>-955.64</v>
      </c>
      <c r="BG117" s="268" t="s">
        <v>0</v>
      </c>
      <c r="BH117" s="268"/>
      <c r="BI117" s="268" t="s">
        <v>0</v>
      </c>
      <c r="BJ117" s="268" t="s">
        <v>0</v>
      </c>
      <c r="BK117" s="268"/>
      <c r="BL117" s="268" t="s">
        <v>0</v>
      </c>
      <c r="BM117" s="268" t="s">
        <v>0</v>
      </c>
      <c r="BN117" s="268"/>
      <c r="BO117" s="268" t="s">
        <v>0</v>
      </c>
      <c r="BP117" s="268" t="s">
        <v>0</v>
      </c>
      <c r="BQ117" s="268"/>
      <c r="BR117" s="268" t="s">
        <v>0</v>
      </c>
      <c r="BS117" s="268" t="s">
        <v>0</v>
      </c>
      <c r="BT117" s="268" t="s">
        <v>0</v>
      </c>
      <c r="BU117" s="268"/>
      <c r="BV117" s="582" t="s">
        <v>0</v>
      </c>
      <c r="BW117" s="268" t="s">
        <v>0</v>
      </c>
      <c r="BX117" s="268" t="s">
        <v>0</v>
      </c>
      <c r="BY117" s="268" t="s">
        <v>0</v>
      </c>
      <c r="BZ117" s="268"/>
      <c r="CA117" s="268" t="s">
        <v>0</v>
      </c>
      <c r="CB117" s="268" t="s">
        <v>0</v>
      </c>
      <c r="CC117" s="268"/>
      <c r="CD117" s="268" t="s">
        <v>0</v>
      </c>
      <c r="CZ117" s="207"/>
    </row>
    <row r="118" spans="1:104" ht="15" outlineLevel="1">
      <c r="A118" s="648"/>
      <c r="B118" s="282" t="s">
        <v>143</v>
      </c>
      <c r="C118" s="211"/>
      <c r="F118" s="268">
        <v>-905</v>
      </c>
      <c r="G118" s="269">
        <v>-905</v>
      </c>
      <c r="H118" s="269">
        <v>-905</v>
      </c>
      <c r="I118" s="269">
        <v>-905</v>
      </c>
      <c r="J118" s="269">
        <v>-905</v>
      </c>
      <c r="K118" s="269">
        <v>-905</v>
      </c>
      <c r="L118" s="269">
        <v>-905</v>
      </c>
      <c r="M118" s="269">
        <v>-905</v>
      </c>
      <c r="N118" s="269">
        <v>-905</v>
      </c>
      <c r="O118" s="269">
        <f t="shared" si="1"/>
        <v>-905</v>
      </c>
      <c r="P118" s="269">
        <f t="shared" si="1"/>
        <v>-905</v>
      </c>
      <c r="Q118" s="269">
        <v>-905</v>
      </c>
      <c r="R118" s="269">
        <f t="shared" si="1"/>
        <v>-905</v>
      </c>
      <c r="S118" s="269">
        <f t="shared" si="2"/>
        <v>-905</v>
      </c>
      <c r="T118" s="269">
        <f t="shared" si="2"/>
        <v>-905</v>
      </c>
      <c r="U118" s="269">
        <f t="shared" si="2"/>
        <v>-905</v>
      </c>
      <c r="V118" s="269">
        <v>-906</v>
      </c>
      <c r="W118" s="269">
        <v>-922</v>
      </c>
      <c r="X118" s="269">
        <v>-922</v>
      </c>
      <c r="Y118" s="269">
        <v>-922.05</v>
      </c>
      <c r="Z118" s="269">
        <v>-922.04</v>
      </c>
      <c r="AA118" s="269">
        <v>-922.02</v>
      </c>
      <c r="AB118" s="269">
        <v>-922</v>
      </c>
      <c r="AC118" s="269">
        <v>-922.05</v>
      </c>
      <c r="AD118" s="269">
        <v>-922</v>
      </c>
      <c r="AE118" s="269">
        <v>-922.02</v>
      </c>
      <c r="AF118" s="269">
        <v>-922.05</v>
      </c>
      <c r="AG118" s="269">
        <v>-922.04</v>
      </c>
      <c r="AH118" s="269">
        <v>-922.02</v>
      </c>
      <c r="AI118" s="269">
        <v>-922.03</v>
      </c>
      <c r="AJ118" s="269">
        <v>-922.03</v>
      </c>
      <c r="AK118" s="269">
        <v>-922.03</v>
      </c>
      <c r="AL118" s="269">
        <v>-922.03</v>
      </c>
      <c r="AM118" s="269">
        <v>-922.03</v>
      </c>
      <c r="AN118" s="269">
        <v>-922.04</v>
      </c>
      <c r="AO118" s="269">
        <v>-922.03</v>
      </c>
      <c r="AP118" s="269">
        <v>-922.03</v>
      </c>
      <c r="AQ118" s="269">
        <v>-922.03</v>
      </c>
      <c r="AR118" s="269">
        <v>-922.03</v>
      </c>
      <c r="AS118" s="269">
        <v>-922.03</v>
      </c>
      <c r="AT118" s="269">
        <v>-922.03</v>
      </c>
      <c r="AU118" s="269">
        <v>-922.03</v>
      </c>
      <c r="AV118" s="269">
        <v>-922.05</v>
      </c>
      <c r="AW118" s="310">
        <v>-922.03</v>
      </c>
      <c r="AX118" s="269">
        <v>-922.03</v>
      </c>
      <c r="AY118" s="269">
        <v>-922.04</v>
      </c>
      <c r="AZ118" s="269">
        <v>-922.03</v>
      </c>
      <c r="BA118" s="269">
        <v>-922.03</v>
      </c>
      <c r="BB118" s="269">
        <v>-922.02</v>
      </c>
      <c r="BC118" s="269">
        <v>-922.03</v>
      </c>
      <c r="BD118" s="268"/>
      <c r="BE118" s="269">
        <v>-922.03</v>
      </c>
      <c r="BF118" s="269">
        <v>-922.05</v>
      </c>
      <c r="BG118" s="268" t="s">
        <v>0</v>
      </c>
      <c r="BH118" s="268"/>
      <c r="BI118" s="268" t="s">
        <v>0</v>
      </c>
      <c r="BJ118" s="268" t="s">
        <v>0</v>
      </c>
      <c r="BK118" s="268"/>
      <c r="BL118" s="268" t="s">
        <v>0</v>
      </c>
      <c r="BM118" s="268" t="s">
        <v>0</v>
      </c>
      <c r="BN118" s="268"/>
      <c r="BO118" s="268" t="s">
        <v>0</v>
      </c>
      <c r="BP118" s="268" t="s">
        <v>163</v>
      </c>
      <c r="BQ118" s="268"/>
      <c r="BR118" s="268" t="s">
        <v>0</v>
      </c>
      <c r="BS118" s="268" t="s">
        <v>0</v>
      </c>
      <c r="BT118" s="268" t="s">
        <v>0</v>
      </c>
      <c r="BU118" s="268"/>
      <c r="BV118" s="582" t="s">
        <v>0</v>
      </c>
      <c r="BW118" s="268" t="s">
        <v>0</v>
      </c>
      <c r="BX118" s="268" t="s">
        <v>0</v>
      </c>
      <c r="BY118" s="268" t="s">
        <v>0</v>
      </c>
      <c r="BZ118" s="268"/>
      <c r="CA118" s="268" t="s">
        <v>0</v>
      </c>
      <c r="CB118" s="268" t="s">
        <v>0</v>
      </c>
      <c r="CC118" s="268"/>
      <c r="CD118" s="268" t="s">
        <v>0</v>
      </c>
      <c r="CZ118" s="207"/>
    </row>
    <row r="119" spans="1:104" ht="15" outlineLevel="1">
      <c r="A119" s="648"/>
      <c r="B119" s="282" t="s">
        <v>144</v>
      </c>
      <c r="C119" s="211"/>
      <c r="F119" s="268">
        <v>-7173</v>
      </c>
      <c r="G119" s="269">
        <v>-7885</v>
      </c>
      <c r="H119" s="269">
        <v>-8934</v>
      </c>
      <c r="I119" s="269">
        <v>-8315</v>
      </c>
      <c r="J119" s="269">
        <v>-8162</v>
      </c>
      <c r="K119" s="269">
        <v>-7964.08</v>
      </c>
      <c r="L119" s="269">
        <v>-7914</v>
      </c>
      <c r="M119" s="269">
        <v>-8199.5</v>
      </c>
      <c r="N119" s="269">
        <v>-7601</v>
      </c>
      <c r="O119" s="269">
        <v>-7923</v>
      </c>
      <c r="P119" s="269">
        <v>-8275</v>
      </c>
      <c r="Q119" s="269">
        <v>-7527</v>
      </c>
      <c r="R119" s="269">
        <v>-7776</v>
      </c>
      <c r="S119" s="269">
        <v>-8133.11</v>
      </c>
      <c r="T119" s="269">
        <v>-8099.74</v>
      </c>
      <c r="U119" s="269">
        <v>-8565</v>
      </c>
      <c r="V119" s="269">
        <v>-7217</v>
      </c>
      <c r="W119" s="269">
        <v>-5369.02</v>
      </c>
      <c r="X119" s="269">
        <f>-8133+1565.35</f>
        <v>-6567.65</v>
      </c>
      <c r="Y119" s="269">
        <v>-6165.05</v>
      </c>
      <c r="Z119" s="269">
        <v>-8156.97</v>
      </c>
      <c r="AA119" s="269">
        <f>-8372.68-AA118</f>
        <v>-7450.66</v>
      </c>
      <c r="AB119" s="269">
        <v>-8083.41</v>
      </c>
      <c r="AC119" s="269">
        <v>-7663.88</v>
      </c>
      <c r="AD119" s="269">
        <v>-8396.76</v>
      </c>
      <c r="AE119" s="269">
        <f>-8996.71+783.14+922.02</f>
        <v>-7291.5499999999993</v>
      </c>
      <c r="AF119" s="269">
        <v>-7184.85</v>
      </c>
      <c r="AG119" s="269">
        <v>-7739</v>
      </c>
      <c r="AH119" s="269">
        <v>-7550.23</v>
      </c>
      <c r="AI119" s="269">
        <v>-7211.22</v>
      </c>
      <c r="AJ119" s="269">
        <v>-8133</v>
      </c>
      <c r="AK119" s="269">
        <v>-9785.2999999999993</v>
      </c>
      <c r="AL119" s="269">
        <v>-9610.1</v>
      </c>
      <c r="AM119" s="269">
        <v>-9932.84</v>
      </c>
      <c r="AN119" s="269">
        <v>-9201.98</v>
      </c>
      <c r="AO119" s="269">
        <v>-9077.44</v>
      </c>
      <c r="AP119" s="269">
        <v>-9957.82</v>
      </c>
      <c r="AQ119" s="269">
        <v>-8654.94</v>
      </c>
      <c r="AR119" s="269">
        <v>-8716.86</v>
      </c>
      <c r="AS119" s="269">
        <v>-9526.0400000000009</v>
      </c>
      <c r="AT119" s="269">
        <v>-9336.32</v>
      </c>
      <c r="AU119" s="269">
        <v>-9542.24</v>
      </c>
      <c r="AV119" s="269">
        <v>-8539</v>
      </c>
      <c r="AW119" s="310">
        <v>-8189.48</v>
      </c>
      <c r="AX119" s="269">
        <v>-9663.0300000000007</v>
      </c>
      <c r="AY119" s="269">
        <f>-13625-AY117-AY118</f>
        <v>-11923.82</v>
      </c>
      <c r="AZ119" s="269">
        <v>-9895.0499999999993</v>
      </c>
      <c r="BA119" s="269">
        <v>-10172.950000000001</v>
      </c>
      <c r="BB119" s="269">
        <v>-10507.97</v>
      </c>
      <c r="BC119" s="269">
        <v>-12309.35</v>
      </c>
      <c r="BD119" s="268"/>
      <c r="BE119" s="269">
        <v>-9906.5</v>
      </c>
      <c r="BF119" s="269">
        <v>-11260.57</v>
      </c>
      <c r="BG119" s="269">
        <v>-14421.65</v>
      </c>
      <c r="BH119" s="268"/>
      <c r="BI119" s="269">
        <v>-13871.83</v>
      </c>
      <c r="BJ119" s="269">
        <v>-12851.88</v>
      </c>
      <c r="BK119" s="268"/>
      <c r="BL119" s="269">
        <v>-14065.86</v>
      </c>
      <c r="BM119" s="269">
        <v>-12755.06</v>
      </c>
      <c r="BN119" s="268"/>
      <c r="BO119" s="269">
        <v>-11757.59</v>
      </c>
      <c r="BP119" s="269">
        <v>-12164.11</v>
      </c>
      <c r="BQ119" s="268"/>
      <c r="BR119" s="269">
        <v>-10760.59</v>
      </c>
      <c r="BS119" s="269">
        <v>-10622</v>
      </c>
      <c r="BT119" s="269">
        <v>-10998.39</v>
      </c>
      <c r="BU119" s="268"/>
      <c r="BV119" s="582">
        <v>-11000</v>
      </c>
      <c r="BW119" s="268">
        <v>-11000</v>
      </c>
      <c r="BX119" s="268">
        <v>-10000</v>
      </c>
      <c r="BY119" s="268">
        <v>-10000</v>
      </c>
      <c r="BZ119" s="268">
        <v>-10000</v>
      </c>
      <c r="CA119" s="268">
        <v>-10000</v>
      </c>
      <c r="CB119" s="268">
        <v>-10000</v>
      </c>
      <c r="CC119" s="268">
        <v>-10000</v>
      </c>
      <c r="CD119" s="268">
        <v>-10000</v>
      </c>
      <c r="CE119" s="268">
        <v>-10000</v>
      </c>
      <c r="CF119" s="268">
        <v>-10000</v>
      </c>
      <c r="CG119" s="268">
        <v>-10000</v>
      </c>
      <c r="CH119" s="268">
        <v>-10000</v>
      </c>
      <c r="CI119" s="268">
        <v>-10000</v>
      </c>
      <c r="CJ119" s="268">
        <v>-10000</v>
      </c>
      <c r="CK119" s="268">
        <v>-10000</v>
      </c>
      <c r="CL119" s="268">
        <v>-10000</v>
      </c>
      <c r="CM119" s="268">
        <v>-10000</v>
      </c>
      <c r="CN119" s="268">
        <v>-10000</v>
      </c>
      <c r="CO119" s="268">
        <v>-10000</v>
      </c>
      <c r="CP119" s="268">
        <v>-10000</v>
      </c>
      <c r="CQ119" s="268">
        <v>-10000</v>
      </c>
      <c r="CR119" s="268">
        <v>-42000</v>
      </c>
      <c r="CS119" s="268">
        <v>-42000</v>
      </c>
      <c r="CT119" s="268">
        <v>-42000</v>
      </c>
      <c r="CU119" s="268">
        <v>-42000</v>
      </c>
      <c r="CV119" s="268">
        <v>-42000</v>
      </c>
      <c r="CW119" s="268">
        <v>-42000</v>
      </c>
      <c r="CX119" s="268">
        <v>-42000</v>
      </c>
      <c r="CY119" s="268">
        <v>-42000</v>
      </c>
      <c r="CZ119" s="268">
        <v>-42000</v>
      </c>
    </row>
    <row r="120" spans="1:104" ht="15" outlineLevel="1">
      <c r="A120" s="648"/>
      <c r="B120" s="282" t="s">
        <v>145</v>
      </c>
      <c r="C120" s="211"/>
      <c r="F120" s="268"/>
      <c r="G120" s="269"/>
      <c r="H120" s="269">
        <v>-8409</v>
      </c>
      <c r="I120" s="268" t="s">
        <v>0</v>
      </c>
      <c r="J120" s="268"/>
      <c r="K120" s="268"/>
      <c r="L120" s="269">
        <f>H120</f>
        <v>-8409</v>
      </c>
      <c r="M120" s="268"/>
      <c r="N120" s="268"/>
      <c r="P120" s="269">
        <f>L120</f>
        <v>-8409</v>
      </c>
      <c r="Q120" s="268" t="s">
        <v>0</v>
      </c>
      <c r="R120" s="268" t="s">
        <v>0</v>
      </c>
      <c r="T120" s="269">
        <f>P120</f>
        <v>-8409</v>
      </c>
      <c r="U120" s="268" t="s">
        <v>0</v>
      </c>
      <c r="V120" s="268" t="s">
        <v>0</v>
      </c>
      <c r="W120" s="268" t="s">
        <v>0</v>
      </c>
      <c r="X120" s="268">
        <v>0</v>
      </c>
      <c r="Y120" s="269">
        <f>-3751.61-3799.17</f>
        <v>-7550.7800000000007</v>
      </c>
      <c r="Z120" s="268"/>
      <c r="AA120" s="268"/>
      <c r="AB120" s="269">
        <v>-10733</v>
      </c>
      <c r="AC120" s="268"/>
      <c r="AD120" s="268"/>
      <c r="AE120" s="268"/>
      <c r="AF120" s="269">
        <v>-10733.52</v>
      </c>
      <c r="AG120" s="268"/>
      <c r="AH120" s="268"/>
      <c r="AI120" s="268"/>
      <c r="AJ120" s="269">
        <f>-5319.17-5414.29</f>
        <v>-10733.46</v>
      </c>
      <c r="AK120" s="268"/>
      <c r="AL120" s="268"/>
      <c r="AM120" s="268"/>
      <c r="AN120" s="269">
        <f>-5412.62-5319.18</f>
        <v>-10731.8</v>
      </c>
      <c r="AP120" s="268"/>
      <c r="AQ120" s="268"/>
      <c r="AR120" s="269">
        <f>-5412.44-5319.19</f>
        <v>-10731.63</v>
      </c>
      <c r="AS120" s="268">
        <v>0</v>
      </c>
      <c r="AT120" s="268"/>
      <c r="AU120" s="268"/>
      <c r="AV120" s="269">
        <v>-10731.44</v>
      </c>
      <c r="AW120" s="275" t="s">
        <v>0</v>
      </c>
      <c r="AX120" s="268"/>
      <c r="AY120" s="268"/>
      <c r="AZ120" s="269">
        <v>-10731.14</v>
      </c>
      <c r="BA120" s="268"/>
      <c r="BB120" s="268" t="s">
        <v>0</v>
      </c>
      <c r="BC120" s="268"/>
      <c r="BD120" s="268"/>
      <c r="BE120" s="269">
        <v>-10730.74</v>
      </c>
      <c r="BF120" s="268"/>
      <c r="BI120" s="268"/>
      <c r="BJ120" s="269">
        <v>-10730.23</v>
      </c>
      <c r="BK120" s="268"/>
      <c r="BL120" s="268"/>
      <c r="BM120" s="268"/>
      <c r="BN120" s="268"/>
      <c r="BP120" s="269">
        <v>-10711.16</v>
      </c>
      <c r="BQ120" s="268"/>
      <c r="BR120" s="268"/>
      <c r="BS120" s="268"/>
      <c r="BV120" s="582">
        <v>-10733</v>
      </c>
      <c r="BW120" s="268"/>
      <c r="BX120" s="268"/>
      <c r="BZ120" s="268"/>
      <c r="CA120" s="268">
        <v>-10733</v>
      </c>
      <c r="CB120" s="268"/>
      <c r="CC120" s="268"/>
      <c r="CD120" s="268"/>
      <c r="CE120" s="268">
        <v>-10733</v>
      </c>
      <c r="CF120" s="268"/>
      <c r="CG120" s="268"/>
      <c r="CH120" s="268">
        <v>-10733</v>
      </c>
      <c r="CI120" s="268"/>
      <c r="CJ120" s="268"/>
      <c r="CK120" s="268">
        <v>-10733</v>
      </c>
      <c r="CL120" s="268"/>
      <c r="CN120" s="268"/>
      <c r="CO120" s="268">
        <v>-10733</v>
      </c>
      <c r="CP120" s="268"/>
      <c r="CQ120" s="268"/>
      <c r="CR120" s="268">
        <v>-10733</v>
      </c>
      <c r="CS120" s="268">
        <v>-10733</v>
      </c>
      <c r="CT120" s="268">
        <v>-10733</v>
      </c>
      <c r="CU120" s="268">
        <v>-10733</v>
      </c>
      <c r="CV120" s="268">
        <v>-10733</v>
      </c>
      <c r="CW120" s="268">
        <v>-10733</v>
      </c>
      <c r="CX120" s="268">
        <v>-10733</v>
      </c>
      <c r="CY120" s="268">
        <v>-10733</v>
      </c>
      <c r="CZ120" s="268">
        <v>-10733</v>
      </c>
    </row>
    <row r="121" spans="1:104" ht="15" outlineLevel="1">
      <c r="A121" s="648"/>
      <c r="B121" s="282" t="s">
        <v>781</v>
      </c>
      <c r="C121" s="211"/>
      <c r="F121" s="268">
        <v>-3125</v>
      </c>
      <c r="G121" s="268">
        <v>-3175</v>
      </c>
      <c r="H121" s="268">
        <v>-3005</v>
      </c>
      <c r="I121" s="268">
        <v>-2325</v>
      </c>
      <c r="J121" s="268">
        <v>-3175</v>
      </c>
      <c r="K121" s="268">
        <v>-3175</v>
      </c>
      <c r="L121" s="268">
        <v>-4583</v>
      </c>
      <c r="M121" s="268">
        <v>-4563</v>
      </c>
      <c r="N121" s="268">
        <v>-3512</v>
      </c>
      <c r="O121" s="268">
        <v>-4350</v>
      </c>
      <c r="P121" s="268">
        <v>-5675</v>
      </c>
      <c r="Q121" s="268">
        <v>-4775</v>
      </c>
      <c r="R121" s="268">
        <v>-5655</v>
      </c>
      <c r="S121" s="268">
        <v>-5055</v>
      </c>
      <c r="T121" s="269">
        <v>-4735</v>
      </c>
      <c r="U121" s="269">
        <v>-5810</v>
      </c>
      <c r="V121" s="269">
        <v>-3740</v>
      </c>
      <c r="W121" s="268">
        <v>0</v>
      </c>
      <c r="X121" s="269">
        <v>-2500</v>
      </c>
      <c r="Y121" s="269">
        <v>-5395</v>
      </c>
      <c r="Z121" s="269">
        <v>-5355</v>
      </c>
      <c r="AA121" s="269">
        <v>-5395</v>
      </c>
      <c r="AB121" s="269">
        <v>-5395</v>
      </c>
      <c r="AC121" s="269">
        <v>-4812.5</v>
      </c>
      <c r="AD121" s="269">
        <v>-5605</v>
      </c>
      <c r="AE121" s="269">
        <v>-5220</v>
      </c>
      <c r="AF121" s="269">
        <v>-4675</v>
      </c>
      <c r="AG121" s="269">
        <v>-4875</v>
      </c>
      <c r="AH121" s="269">
        <v>-5042.5</v>
      </c>
      <c r="AI121" s="269">
        <v>-4180</v>
      </c>
      <c r="AJ121" s="269">
        <v>-5300</v>
      </c>
      <c r="AK121" s="269">
        <v>-2380</v>
      </c>
      <c r="AL121" s="269">
        <v>-1912.5</v>
      </c>
      <c r="AM121" s="269">
        <v>-3175</v>
      </c>
      <c r="AN121" s="269">
        <v>-3005</v>
      </c>
      <c r="AO121" s="269">
        <v>-2325</v>
      </c>
      <c r="AP121" s="269">
        <v>-2580</v>
      </c>
      <c r="AQ121" s="269">
        <v>-3375</v>
      </c>
      <c r="AR121" s="269">
        <v>-3175</v>
      </c>
      <c r="AS121" s="269">
        <v>-2525</v>
      </c>
      <c r="AT121" s="269">
        <v>-1050</v>
      </c>
      <c r="AU121" s="269">
        <v>-1363.5</v>
      </c>
      <c r="AV121" s="269">
        <v>-1363.5</v>
      </c>
      <c r="AW121" s="310">
        <v>-1147.5</v>
      </c>
      <c r="AX121" s="269">
        <v>-1363.5</v>
      </c>
      <c r="AY121" s="269">
        <v>-1363.5</v>
      </c>
      <c r="AZ121" s="269">
        <v>-688.5</v>
      </c>
      <c r="BA121" s="268" t="s">
        <v>0</v>
      </c>
      <c r="BB121" s="268">
        <v>0</v>
      </c>
      <c r="BC121" s="268">
        <v>0</v>
      </c>
      <c r="BD121" s="268"/>
      <c r="BE121" s="269">
        <f>-1092.16-1820-800</f>
        <v>-3712.16</v>
      </c>
      <c r="BF121" s="268">
        <v>0</v>
      </c>
      <c r="BG121" s="269">
        <v>-1193.5899999999999</v>
      </c>
      <c r="BH121" s="268"/>
      <c r="BI121" s="269">
        <f>-1363.5-648</f>
        <v>-2011.5</v>
      </c>
      <c r="BJ121" s="269">
        <v>-2214</v>
      </c>
      <c r="BK121" s="268"/>
      <c r="BL121" s="269">
        <v>-2598.5</v>
      </c>
      <c r="BM121" s="269">
        <v>-2390.5</v>
      </c>
      <c r="BN121" s="268"/>
      <c r="BO121" s="269">
        <v>-2067</v>
      </c>
      <c r="BP121" s="269">
        <v>-1489.05</v>
      </c>
      <c r="BQ121" s="268"/>
      <c r="BR121" s="269">
        <v>-1147.5</v>
      </c>
      <c r="BS121" s="268" t="s">
        <v>0</v>
      </c>
      <c r="BT121" s="269">
        <v>-1134</v>
      </c>
      <c r="BU121" s="268"/>
      <c r="BV121" s="582">
        <v>-1100</v>
      </c>
      <c r="BW121" s="268">
        <v>-1100</v>
      </c>
      <c r="BX121" s="268">
        <v>-1100</v>
      </c>
      <c r="BY121" s="268">
        <v>-1100</v>
      </c>
      <c r="BZ121" s="268"/>
      <c r="CA121" s="268">
        <v>-1100</v>
      </c>
      <c r="CB121" s="268">
        <v>-1100</v>
      </c>
      <c r="CC121" s="268">
        <v>-1100</v>
      </c>
      <c r="CD121" s="268">
        <v>-1100</v>
      </c>
      <c r="CE121" s="268">
        <v>-1100</v>
      </c>
      <c r="CF121" s="268">
        <v>-1100</v>
      </c>
      <c r="CG121" s="268">
        <v>-1100</v>
      </c>
      <c r="CH121" s="268">
        <v>-1100</v>
      </c>
      <c r="CI121" s="268">
        <v>-1100</v>
      </c>
      <c r="CJ121" s="268">
        <v>-1100</v>
      </c>
      <c r="CK121" s="268">
        <v>-1100</v>
      </c>
      <c r="CL121" s="268">
        <v>-1100</v>
      </c>
      <c r="CM121" s="268">
        <v>-1100</v>
      </c>
      <c r="CN121" s="268">
        <v>-1100</v>
      </c>
      <c r="CO121" s="268">
        <v>-1100</v>
      </c>
      <c r="CP121" s="268">
        <v>-1100</v>
      </c>
      <c r="CQ121" s="268">
        <v>-1100</v>
      </c>
      <c r="CR121" s="268">
        <v>-5000</v>
      </c>
      <c r="CS121" s="268">
        <v>-5000</v>
      </c>
      <c r="CT121" s="268">
        <v>-5000</v>
      </c>
      <c r="CU121" s="268">
        <v>-5000</v>
      </c>
      <c r="CV121" s="268">
        <v>-5000</v>
      </c>
      <c r="CW121" s="268">
        <v>-5000</v>
      </c>
      <c r="CX121" s="268">
        <v>-5000</v>
      </c>
      <c r="CY121" s="268">
        <v>-5000</v>
      </c>
      <c r="CZ121" s="268">
        <v>-5000</v>
      </c>
    </row>
    <row r="122" spans="1:104" ht="15" outlineLevel="1">
      <c r="A122" s="648"/>
      <c r="B122" s="282" t="s">
        <v>146</v>
      </c>
      <c r="C122" s="211"/>
      <c r="F122" s="268">
        <v>0</v>
      </c>
      <c r="G122" s="268">
        <v>-24491</v>
      </c>
      <c r="H122" s="268">
        <v>0</v>
      </c>
      <c r="I122" s="268">
        <v>-23986</v>
      </c>
      <c r="J122" s="268">
        <v>0</v>
      </c>
      <c r="K122" s="268">
        <v>-25055</v>
      </c>
      <c r="L122" s="268">
        <v>0</v>
      </c>
      <c r="M122" s="268">
        <v>-31313</v>
      </c>
      <c r="N122" s="268">
        <v>0</v>
      </c>
      <c r="O122" s="268">
        <v>-43310</v>
      </c>
      <c r="P122" s="268" t="s">
        <v>0</v>
      </c>
      <c r="Q122" s="268">
        <v>-49032</v>
      </c>
      <c r="R122" s="268">
        <v>-3120</v>
      </c>
      <c r="S122" s="268">
        <f>-43930-10941</f>
        <v>-54871</v>
      </c>
      <c r="T122" s="269">
        <v>-7888.8</v>
      </c>
      <c r="U122" s="269">
        <v>-48520</v>
      </c>
      <c r="V122" s="268" t="s">
        <v>0</v>
      </c>
      <c r="W122" s="269">
        <v>-15366.4</v>
      </c>
      <c r="X122" s="268">
        <v>0</v>
      </c>
      <c r="Y122" s="269">
        <f>-8520-3562.6</f>
        <v>-12082.6</v>
      </c>
      <c r="Z122" s="269">
        <f>-5301.6-15580</f>
        <v>-20881.599999999999</v>
      </c>
      <c r="AA122" s="269">
        <f>-41320-10622</f>
        <v>-51942</v>
      </c>
      <c r="AB122" s="268">
        <v>0</v>
      </c>
      <c r="AC122" s="269">
        <v>-55538</v>
      </c>
      <c r="AE122" s="269">
        <v>-61095</v>
      </c>
      <c r="AF122" s="268" t="s">
        <v>0</v>
      </c>
      <c r="AG122" s="269">
        <v>-60243</v>
      </c>
      <c r="AH122" s="268"/>
      <c r="AI122" s="269">
        <f>-38160-10485.6</f>
        <v>-48645.599999999999</v>
      </c>
      <c r="AJ122" s="268" t="s">
        <v>0</v>
      </c>
      <c r="AK122" s="269">
        <v>-44626.8</v>
      </c>
      <c r="AL122" s="268"/>
      <c r="AM122" s="269">
        <v>-51386.400000000001</v>
      </c>
      <c r="AN122" s="268"/>
      <c r="AO122" s="269">
        <v>-50311.199999999997</v>
      </c>
      <c r="AP122" s="268"/>
      <c r="AQ122" s="269">
        <v>-47378.2</v>
      </c>
      <c r="AR122" s="268"/>
      <c r="AS122" s="269">
        <v>-50461.4</v>
      </c>
      <c r="AT122" s="268"/>
      <c r="AU122" s="269">
        <f>-43080-3851.4</f>
        <v>-46931.4</v>
      </c>
      <c r="AV122" s="268" t="s">
        <v>0</v>
      </c>
      <c r="AW122" s="310">
        <v>-50520</v>
      </c>
      <c r="AX122" s="268"/>
      <c r="AY122" s="269">
        <v>-52281.8</v>
      </c>
      <c r="AZ122" s="268"/>
      <c r="BA122" s="269">
        <v>-50878.400000000001</v>
      </c>
      <c r="BB122" s="268" t="s">
        <v>0</v>
      </c>
      <c r="BC122" s="269">
        <v>-46635</v>
      </c>
      <c r="BD122" s="268"/>
      <c r="BE122" s="268"/>
      <c r="BF122" s="269">
        <f>-39080-5840.8</f>
        <v>-44920.800000000003</v>
      </c>
      <c r="BI122" s="269">
        <v>-40700.800000000003</v>
      </c>
      <c r="BJ122" s="268"/>
      <c r="BK122" s="268"/>
      <c r="BL122" s="269">
        <v>-50287.199999999997</v>
      </c>
      <c r="BM122" s="268"/>
      <c r="BN122" s="268"/>
      <c r="BO122" s="269">
        <v>-53412</v>
      </c>
      <c r="BP122" s="268"/>
      <c r="BQ122" s="268"/>
      <c r="BR122" s="269">
        <v>-50494.400000000001</v>
      </c>
      <c r="BS122" s="268"/>
      <c r="BT122" s="269">
        <f>-45683.2</f>
        <v>-45683.199999999997</v>
      </c>
      <c r="BU122" s="268"/>
      <c r="BV122" s="584"/>
      <c r="BW122" s="558">
        <v>-28000</v>
      </c>
      <c r="BY122" s="558">
        <v>-28000</v>
      </c>
      <c r="CB122" s="558">
        <v>-10000</v>
      </c>
      <c r="CC122" s="268"/>
      <c r="CE122" s="3" t="s">
        <v>0</v>
      </c>
      <c r="CG122" s="3" t="s">
        <v>0</v>
      </c>
      <c r="CI122" s="618" t="s">
        <v>716</v>
      </c>
      <c r="CK122" s="268">
        <f>-62500*0.8</f>
        <v>-50000</v>
      </c>
      <c r="CM122" s="268">
        <f>-62500*0.8</f>
        <v>-50000</v>
      </c>
      <c r="CO122" s="268">
        <f>-62500*0.8</f>
        <v>-50000</v>
      </c>
      <c r="CQ122" s="268">
        <f>-62500*0.8</f>
        <v>-50000</v>
      </c>
      <c r="CR122" s="268">
        <v>-100000</v>
      </c>
      <c r="CS122" s="268">
        <v>-100000</v>
      </c>
      <c r="CT122" s="268">
        <v>-100000</v>
      </c>
      <c r="CU122" s="268">
        <v>-100000</v>
      </c>
      <c r="CV122" s="268">
        <v>-100000</v>
      </c>
      <c r="CW122" s="268">
        <v>-50000</v>
      </c>
      <c r="CX122" s="268">
        <v>0</v>
      </c>
      <c r="CY122" s="268">
        <v>0</v>
      </c>
      <c r="CZ122" s="268">
        <v>0</v>
      </c>
    </row>
    <row r="123" spans="1:104" ht="15" outlineLevel="1">
      <c r="A123" s="648"/>
      <c r="B123" s="282" t="s">
        <v>717</v>
      </c>
      <c r="C123" s="211"/>
      <c r="F123" s="268"/>
      <c r="G123" s="268"/>
      <c r="H123" s="268"/>
      <c r="I123" s="268"/>
      <c r="J123" s="268"/>
      <c r="K123" s="268"/>
      <c r="L123" s="268"/>
      <c r="M123" s="268"/>
      <c r="N123" s="268"/>
      <c r="O123" s="268"/>
      <c r="P123" s="268"/>
      <c r="Q123" s="268"/>
      <c r="R123" s="268"/>
      <c r="S123" s="268"/>
      <c r="T123" s="268"/>
      <c r="U123" s="268"/>
      <c r="V123" s="268"/>
      <c r="W123" s="268"/>
      <c r="X123" s="268"/>
      <c r="Y123" s="268"/>
      <c r="Z123" s="268"/>
      <c r="AA123" s="268"/>
      <c r="AB123" s="268"/>
      <c r="AC123" s="268"/>
      <c r="AE123" s="268"/>
      <c r="AF123" s="268"/>
      <c r="AG123" s="268"/>
      <c r="AH123" s="268"/>
      <c r="AI123" s="268"/>
      <c r="AJ123" s="268"/>
      <c r="AK123" s="268"/>
      <c r="AL123" s="268"/>
      <c r="AM123" s="268"/>
      <c r="AN123" s="268"/>
      <c r="AO123" s="268"/>
      <c r="AP123" s="268"/>
      <c r="AQ123" s="268"/>
      <c r="AR123" s="268"/>
      <c r="AS123" s="268"/>
      <c r="AT123" s="268"/>
      <c r="AU123" s="268" t="s">
        <v>0</v>
      </c>
      <c r="AV123" s="269">
        <v>-9360</v>
      </c>
      <c r="AW123" s="275" t="s">
        <v>0</v>
      </c>
      <c r="AX123" s="269">
        <v>-8736</v>
      </c>
      <c r="AY123" s="268">
        <v>0</v>
      </c>
      <c r="AZ123" s="269">
        <v>-15392</v>
      </c>
      <c r="BA123" s="268" t="s">
        <v>0</v>
      </c>
      <c r="BB123" s="269">
        <v>-14560</v>
      </c>
      <c r="BC123" s="268" t="s">
        <v>0</v>
      </c>
      <c r="BD123" s="268"/>
      <c r="BE123" s="269">
        <f>-10360-2120</f>
        <v>-12480</v>
      </c>
      <c r="BF123" s="268" t="s">
        <v>0</v>
      </c>
      <c r="BG123" s="269">
        <v>-9276.7999999999993</v>
      </c>
      <c r="BH123" s="268"/>
      <c r="BI123" s="268"/>
      <c r="BJ123" s="269">
        <v>-12688</v>
      </c>
      <c r="BK123" s="268"/>
      <c r="BL123" s="268"/>
      <c r="BM123" s="269">
        <v>-15766.4</v>
      </c>
      <c r="BN123" s="268"/>
      <c r="BO123" s="268"/>
      <c r="BP123" s="269">
        <v>-14976</v>
      </c>
      <c r="BQ123" s="268"/>
      <c r="BR123" s="268"/>
      <c r="BS123" s="268"/>
      <c r="BV123" s="584"/>
      <c r="CZ123" s="207"/>
    </row>
    <row r="124" spans="1:104" ht="15">
      <c r="A124" s="648"/>
      <c r="B124" s="282" t="s">
        <v>795</v>
      </c>
      <c r="C124" s="3" t="s">
        <v>350</v>
      </c>
      <c r="BM124" s="3" t="s">
        <v>163</v>
      </c>
      <c r="BR124" s="619" t="s">
        <v>0</v>
      </c>
      <c r="BS124" s="269">
        <v>-12896</v>
      </c>
      <c r="BV124" s="582" t="s">
        <v>0</v>
      </c>
      <c r="BW124" s="268" t="s">
        <v>0</v>
      </c>
      <c r="BX124" s="268" t="s">
        <v>0</v>
      </c>
      <c r="CA124" s="268" t="s">
        <v>0</v>
      </c>
      <c r="CE124" s="268" t="s">
        <v>0</v>
      </c>
      <c r="CF124" s="268"/>
      <c r="CG124" s="268"/>
      <c r="CH124" s="268" t="s">
        <v>0</v>
      </c>
      <c r="CI124" s="268"/>
      <c r="CJ124" s="268"/>
      <c r="CK124" s="268"/>
      <c r="CL124" s="268"/>
      <c r="CM124" s="268" t="s">
        <v>0</v>
      </c>
      <c r="CN124" s="268"/>
      <c r="CO124" s="268"/>
      <c r="CP124" s="268"/>
      <c r="CQ124" s="268"/>
      <c r="CR124" s="268" t="s">
        <v>0</v>
      </c>
      <c r="CS124" s="268" t="s">
        <v>0</v>
      </c>
      <c r="CT124" s="268" t="s">
        <v>0</v>
      </c>
      <c r="CU124" s="268" t="s">
        <v>0</v>
      </c>
      <c r="CZ124" s="207"/>
    </row>
    <row r="125" spans="1:104" ht="15" outlineLevel="1">
      <c r="A125" s="648"/>
      <c r="B125" s="282" t="s">
        <v>787</v>
      </c>
      <c r="C125" s="211"/>
      <c r="F125" s="268"/>
      <c r="G125" s="268"/>
      <c r="H125" s="268"/>
      <c r="I125" s="268"/>
      <c r="J125" s="268"/>
      <c r="K125" s="268"/>
      <c r="L125" s="268"/>
      <c r="M125" s="268"/>
      <c r="N125" s="268"/>
      <c r="O125" s="268"/>
      <c r="P125" s="268"/>
      <c r="Q125" s="268"/>
      <c r="R125" s="268"/>
      <c r="S125" s="268"/>
      <c r="T125" s="268"/>
      <c r="U125" s="268"/>
      <c r="V125" s="268"/>
      <c r="W125" s="268"/>
      <c r="X125" s="268"/>
      <c r="Y125" s="268"/>
      <c r="Z125" s="268"/>
      <c r="AA125" s="268"/>
      <c r="AB125" s="268"/>
      <c r="AC125" s="268"/>
      <c r="AE125" s="268"/>
      <c r="AF125" s="268"/>
      <c r="AG125" s="268"/>
      <c r="AH125" s="268"/>
      <c r="AI125" s="268"/>
      <c r="AJ125" s="268"/>
      <c r="AK125" s="268"/>
      <c r="AL125" s="268"/>
      <c r="AM125" s="268"/>
      <c r="AN125" s="268"/>
      <c r="AO125" s="268"/>
      <c r="AP125" s="268"/>
      <c r="AQ125" s="268"/>
      <c r="AR125" s="268"/>
      <c r="AS125" s="268"/>
      <c r="AT125" s="268"/>
      <c r="AU125" s="268"/>
      <c r="AV125" s="562" t="s">
        <v>716</v>
      </c>
      <c r="AW125" s="275"/>
      <c r="AX125" s="269">
        <v>-20000</v>
      </c>
      <c r="AY125" s="268"/>
      <c r="AZ125" s="269">
        <v>-8500</v>
      </c>
      <c r="BA125" s="268"/>
      <c r="BC125" s="269">
        <v>-17000</v>
      </c>
      <c r="BD125" s="268"/>
      <c r="BE125" s="268" t="s">
        <v>0</v>
      </c>
      <c r="BF125" s="269">
        <v>-30000</v>
      </c>
      <c r="BG125" s="268" t="s">
        <v>0</v>
      </c>
      <c r="BH125" s="268" t="s">
        <v>0</v>
      </c>
      <c r="BJ125" s="268" t="s">
        <v>0</v>
      </c>
      <c r="BL125" s="268" t="s">
        <v>0</v>
      </c>
      <c r="BM125" s="269">
        <v>-27000</v>
      </c>
      <c r="BN125" s="268"/>
      <c r="BP125" s="269">
        <v>-15000</v>
      </c>
      <c r="BQ125" s="268"/>
      <c r="BR125" s="269">
        <v>-15000</v>
      </c>
      <c r="BS125" s="268"/>
      <c r="BU125" s="268"/>
      <c r="BV125" s="653">
        <v>-27500</v>
      </c>
      <c r="BX125" s="268">
        <v>-15000</v>
      </c>
      <c r="CZ125" s="207"/>
    </row>
    <row r="126" spans="1:104" ht="15" outlineLevel="1">
      <c r="A126" s="648"/>
      <c r="B126" s="282" t="s">
        <v>147</v>
      </c>
      <c r="C126" s="211"/>
      <c r="F126" s="268"/>
      <c r="G126" s="268"/>
      <c r="H126" s="268"/>
      <c r="I126" s="268"/>
      <c r="J126" s="268"/>
      <c r="K126" s="268"/>
      <c r="L126" s="268"/>
      <c r="M126" s="268"/>
      <c r="N126" s="268"/>
      <c r="O126" s="268"/>
      <c r="P126" s="268"/>
      <c r="Q126" s="268"/>
      <c r="R126" s="268"/>
      <c r="S126" s="268"/>
      <c r="T126" s="268"/>
      <c r="U126" s="269">
        <v>-11308</v>
      </c>
      <c r="V126" s="268"/>
      <c r="W126" s="268"/>
      <c r="Y126" s="268"/>
      <c r="Z126" s="268"/>
      <c r="AA126" s="268"/>
      <c r="AB126" s="268" t="s">
        <v>148</v>
      </c>
      <c r="AC126" s="268"/>
      <c r="AD126" s="268"/>
      <c r="AE126" s="268"/>
      <c r="AF126" s="268"/>
      <c r="AG126" s="268"/>
      <c r="AH126" s="268"/>
      <c r="AI126" s="268"/>
      <c r="AJ126" s="268"/>
      <c r="AK126" s="268"/>
      <c r="AL126" s="268"/>
      <c r="AM126" s="268"/>
      <c r="AN126" s="268"/>
      <c r="AO126" s="268"/>
      <c r="AP126" s="268"/>
      <c r="AQ126" s="268"/>
      <c r="AR126" s="268"/>
      <c r="AS126" s="268"/>
      <c r="AT126" s="268"/>
      <c r="AU126" s="268"/>
      <c r="AV126" s="268"/>
      <c r="AW126" s="275"/>
      <c r="AX126" s="268"/>
      <c r="AY126" s="268"/>
      <c r="AZ126" s="268"/>
      <c r="BA126" s="268"/>
      <c r="BB126" s="268"/>
      <c r="BC126" s="268"/>
      <c r="BD126" s="268"/>
      <c r="BE126" s="268"/>
      <c r="BF126" s="268"/>
      <c r="BG126" s="268"/>
      <c r="BH126" s="268"/>
      <c r="BI126" s="268"/>
      <c r="BJ126" s="268"/>
      <c r="BK126" s="268"/>
      <c r="BL126" s="268"/>
      <c r="BM126" s="268"/>
      <c r="BN126" s="268"/>
      <c r="BV126" s="584"/>
      <c r="CM126" s="3" t="s">
        <v>0</v>
      </c>
      <c r="CZ126" s="207"/>
    </row>
    <row r="127" spans="1:104" ht="15" outlineLevel="1">
      <c r="A127" s="648"/>
      <c r="B127" s="282" t="s">
        <v>707</v>
      </c>
      <c r="C127" s="211"/>
      <c r="F127" s="268"/>
      <c r="G127" s="268"/>
      <c r="H127" s="268"/>
      <c r="I127" s="268"/>
      <c r="J127" s="268"/>
      <c r="K127" s="268"/>
      <c r="L127" s="268"/>
      <c r="M127" s="268"/>
      <c r="N127" s="268"/>
      <c r="O127" s="268"/>
      <c r="P127" s="268"/>
      <c r="Q127" s="268"/>
      <c r="R127" s="268"/>
      <c r="S127" s="268"/>
      <c r="T127" s="268"/>
      <c r="U127" s="269"/>
      <c r="V127" s="268"/>
      <c r="W127" s="268"/>
      <c r="Y127" s="268"/>
      <c r="Z127" s="268"/>
      <c r="AA127" s="268"/>
      <c r="AB127" s="268"/>
      <c r="AC127" s="268"/>
      <c r="AD127" s="268"/>
      <c r="AE127" s="268"/>
      <c r="AF127" s="268"/>
      <c r="AG127" s="268"/>
      <c r="AH127" s="268"/>
      <c r="AI127" s="268"/>
      <c r="AJ127" s="268"/>
      <c r="AK127" s="268"/>
      <c r="AL127" s="268"/>
      <c r="AM127" s="268"/>
      <c r="AN127" s="268"/>
      <c r="AO127" s="268"/>
      <c r="AP127" s="268"/>
      <c r="AQ127" s="268"/>
      <c r="AR127" s="268"/>
      <c r="AS127" s="269">
        <v>-4608</v>
      </c>
      <c r="AT127" s="269">
        <v>-2880</v>
      </c>
      <c r="AU127" s="268"/>
      <c r="AV127" s="268"/>
      <c r="AW127" s="275"/>
      <c r="AX127" s="268"/>
      <c r="AY127" s="268"/>
      <c r="AZ127" s="268"/>
      <c r="BA127" s="268"/>
      <c r="BB127" s="268"/>
      <c r="BC127" s="268"/>
      <c r="BD127" s="268"/>
      <c r="BE127" s="268"/>
      <c r="BF127" s="268"/>
      <c r="BG127" s="268"/>
      <c r="BH127" s="268"/>
      <c r="BI127" s="268"/>
      <c r="BJ127" s="268"/>
      <c r="BK127" s="268"/>
      <c r="BL127" s="268"/>
      <c r="BM127" s="268"/>
      <c r="BN127" s="268"/>
      <c r="BV127" s="584"/>
      <c r="CY127" s="3" t="s">
        <v>0</v>
      </c>
      <c r="CZ127" s="207"/>
    </row>
    <row r="128" spans="1:104" ht="15" outlineLevel="1">
      <c r="A128" s="648"/>
      <c r="B128" s="282" t="s">
        <v>708</v>
      </c>
      <c r="C128" s="211"/>
      <c r="F128" s="268"/>
      <c r="G128" s="268"/>
      <c r="H128" s="268"/>
      <c r="I128" s="268"/>
      <c r="J128" s="268"/>
      <c r="K128" s="268"/>
      <c r="L128" s="268"/>
      <c r="M128" s="268"/>
      <c r="N128" s="268"/>
      <c r="O128" s="268"/>
      <c r="P128" s="268"/>
      <c r="Q128" s="268"/>
      <c r="R128" s="268"/>
      <c r="S128" s="268"/>
      <c r="T128" s="268"/>
      <c r="U128" s="269">
        <f>-2468-3704</f>
        <v>-6172</v>
      </c>
      <c r="V128" s="268"/>
      <c r="W128" s="268"/>
      <c r="X128" s="268"/>
      <c r="Y128" s="268"/>
      <c r="Z128" s="268"/>
      <c r="AA128" s="268"/>
      <c r="AB128" s="268"/>
      <c r="AC128" s="268"/>
      <c r="AD128" s="268"/>
      <c r="AE128" s="268"/>
      <c r="AF128" s="268"/>
      <c r="AG128" s="268"/>
      <c r="AH128" s="268"/>
      <c r="AI128" s="268"/>
      <c r="AJ128" s="268"/>
      <c r="AK128" s="268"/>
      <c r="AL128" s="268"/>
      <c r="AM128" s="268"/>
      <c r="AN128" s="268"/>
      <c r="AO128" s="268"/>
      <c r="AP128" s="268"/>
      <c r="AQ128" s="268"/>
      <c r="AR128" s="268"/>
      <c r="AS128" s="269">
        <v>-2120</v>
      </c>
      <c r="AT128" s="268"/>
      <c r="AU128" s="268"/>
      <c r="AV128" s="268"/>
      <c r="AW128" s="275"/>
      <c r="AX128" s="268"/>
      <c r="AY128" s="268"/>
      <c r="AZ128" s="268"/>
      <c r="BA128" s="268"/>
      <c r="BB128" s="268"/>
      <c r="BC128" s="268"/>
      <c r="BD128" s="268"/>
      <c r="BE128" s="268"/>
      <c r="BF128" s="268"/>
      <c r="BG128" s="268"/>
      <c r="BH128" s="268"/>
      <c r="BI128" s="268"/>
      <c r="BJ128" s="268"/>
      <c r="BK128" s="268"/>
      <c r="BL128" s="268"/>
      <c r="BM128" s="268"/>
      <c r="BN128" s="268"/>
      <c r="BV128" s="584"/>
      <c r="CZ128" s="207"/>
    </row>
    <row r="129" spans="1:104" ht="15" outlineLevel="1">
      <c r="A129" s="648"/>
      <c r="B129" s="282" t="s">
        <v>149</v>
      </c>
      <c r="C129" s="211"/>
      <c r="F129" s="268"/>
      <c r="G129" s="268"/>
      <c r="H129" s="268"/>
      <c r="I129" s="268"/>
      <c r="J129" s="268"/>
      <c r="K129" s="268"/>
      <c r="L129" s="268"/>
      <c r="M129" s="268"/>
      <c r="N129" s="268"/>
      <c r="O129" s="268"/>
      <c r="P129" s="268"/>
      <c r="Q129" s="268"/>
      <c r="R129" s="268"/>
      <c r="S129" s="268"/>
      <c r="T129" s="268"/>
      <c r="U129" s="268"/>
      <c r="V129" s="268"/>
      <c r="W129" s="268"/>
      <c r="X129" s="268"/>
      <c r="Y129" s="268"/>
      <c r="Z129" s="268"/>
      <c r="AA129" s="268"/>
      <c r="AB129" s="268"/>
      <c r="AC129" s="268">
        <v>-6448</v>
      </c>
      <c r="AD129" s="268">
        <v>0</v>
      </c>
      <c r="AE129" s="269">
        <v>-9880</v>
      </c>
      <c r="AF129" s="269">
        <v>-7592</v>
      </c>
      <c r="AG129" s="268"/>
      <c r="AH129" s="269">
        <v>-7612.8</v>
      </c>
      <c r="AI129" s="268"/>
      <c r="AJ129" s="269">
        <v>-7000</v>
      </c>
      <c r="AK129" s="268"/>
      <c r="AL129" s="269">
        <v>-4160</v>
      </c>
      <c r="AM129" s="268"/>
      <c r="AN129" s="269">
        <v>-1081.5999999999999</v>
      </c>
      <c r="AO129" s="268" t="s">
        <v>0</v>
      </c>
      <c r="AP129" s="268"/>
      <c r="AQ129" s="268"/>
      <c r="AR129" s="268"/>
      <c r="AS129" s="269">
        <v>-1600</v>
      </c>
      <c r="AT129" s="269">
        <v>-2985.6</v>
      </c>
      <c r="AU129" s="268"/>
      <c r="AV129" s="557"/>
      <c r="AW129" s="620"/>
      <c r="AX129" s="557"/>
      <c r="AY129" s="557"/>
      <c r="AZ129" s="557"/>
      <c r="BA129" s="557"/>
      <c r="BB129" s="557"/>
      <c r="BC129" s="557"/>
      <c r="BD129" s="557"/>
      <c r="BE129" s="557"/>
      <c r="BF129" s="557"/>
      <c r="BG129" s="557"/>
      <c r="BH129" s="557"/>
      <c r="BI129" s="557"/>
      <c r="BJ129" s="557"/>
      <c r="BK129" s="557"/>
      <c r="BL129" s="557"/>
      <c r="BM129" s="557"/>
      <c r="BN129" s="557"/>
      <c r="BV129" s="584"/>
      <c r="CZ129" s="207"/>
    </row>
    <row r="130" spans="1:104" ht="15" outlineLevel="1">
      <c r="A130" s="648"/>
      <c r="B130" s="282" t="s">
        <v>150</v>
      </c>
      <c r="C130" s="211"/>
      <c r="F130" s="268"/>
      <c r="G130" s="268"/>
      <c r="H130" s="268"/>
      <c r="I130" s="268"/>
      <c r="J130" s="268"/>
      <c r="K130" s="268"/>
      <c r="L130" s="268"/>
      <c r="M130" s="268"/>
      <c r="N130" s="268"/>
      <c r="O130" s="268"/>
      <c r="P130" s="268"/>
      <c r="Q130" s="268"/>
      <c r="R130" s="268"/>
      <c r="S130" s="268"/>
      <c r="T130" s="268"/>
      <c r="U130" s="268"/>
      <c r="V130" s="268"/>
      <c r="W130" s="268"/>
      <c r="X130" s="268"/>
      <c r="Y130" s="268"/>
      <c r="Z130" s="268"/>
      <c r="AA130" s="268"/>
      <c r="AB130" s="268"/>
      <c r="AC130" s="268">
        <f>-6864*0.8</f>
        <v>-5491.2000000000007</v>
      </c>
      <c r="AD130" s="268"/>
      <c r="AE130" s="268"/>
      <c r="AF130" s="268"/>
      <c r="AG130" s="268"/>
      <c r="AH130" s="268"/>
      <c r="AI130" s="268"/>
      <c r="AJ130" s="268"/>
      <c r="AK130" s="268"/>
      <c r="AL130" s="268"/>
      <c r="AM130" s="268"/>
      <c r="AN130" s="268"/>
      <c r="AO130" s="268"/>
      <c r="AP130" s="268"/>
      <c r="AQ130" s="268"/>
      <c r="AR130" s="268"/>
      <c r="AS130" s="268"/>
      <c r="AT130" s="268"/>
      <c r="AU130" s="268"/>
      <c r="AV130" s="557"/>
      <c r="AW130" s="620"/>
      <c r="AX130" s="557"/>
      <c r="AY130" s="557"/>
      <c r="AZ130" s="557"/>
      <c r="BA130" s="557"/>
      <c r="BB130" s="557"/>
      <c r="BC130" s="557"/>
      <c r="BD130" s="557"/>
      <c r="BE130" s="557"/>
      <c r="BF130" s="557"/>
      <c r="BG130" s="557"/>
      <c r="BH130" s="557"/>
      <c r="BI130" s="557"/>
      <c r="BJ130" s="557"/>
      <c r="BK130" s="557"/>
      <c r="BL130" s="557"/>
      <c r="BM130" s="557"/>
      <c r="BN130" s="557"/>
      <c r="BV130" s="584"/>
      <c r="CZ130" s="207"/>
    </row>
    <row r="131" spans="1:104" s="518" customFormat="1" ht="12" customHeight="1" outlineLevel="1">
      <c r="A131" s="649"/>
      <c r="B131" s="621" t="s">
        <v>151</v>
      </c>
      <c r="C131" s="614"/>
      <c r="F131" s="557"/>
      <c r="G131" s="557"/>
      <c r="H131" s="557"/>
      <c r="I131" s="557"/>
      <c r="J131" s="557"/>
      <c r="K131" s="557"/>
      <c r="L131" s="557"/>
      <c r="M131" s="557"/>
      <c r="N131" s="557"/>
      <c r="O131" s="557"/>
      <c r="P131" s="557"/>
      <c r="Q131" s="557"/>
      <c r="S131" s="557"/>
      <c r="T131" s="557"/>
      <c r="U131" s="268">
        <v>0</v>
      </c>
      <c r="V131" s="557"/>
      <c r="W131" s="557"/>
      <c r="X131" s="557"/>
      <c r="Y131" s="557" t="s">
        <v>0</v>
      </c>
      <c r="Z131" s="557" t="s">
        <v>0</v>
      </c>
      <c r="AA131" s="557"/>
      <c r="AB131" s="557"/>
      <c r="AC131" s="557"/>
      <c r="AD131" s="557"/>
      <c r="AE131" s="557"/>
      <c r="AF131" s="557"/>
      <c r="AG131" s="557"/>
      <c r="AH131" s="557"/>
      <c r="AI131" s="557"/>
      <c r="AJ131" s="557"/>
      <c r="AK131" s="557"/>
      <c r="AL131" s="557"/>
      <c r="AM131" s="557"/>
      <c r="AN131" s="557"/>
      <c r="AO131" s="557"/>
      <c r="AP131" s="557"/>
      <c r="AQ131" s="557"/>
      <c r="AR131" s="557"/>
      <c r="AS131" s="557"/>
      <c r="AT131" s="557"/>
      <c r="AU131" s="557"/>
      <c r="AV131" s="268"/>
      <c r="AW131" s="275"/>
      <c r="AX131" s="268"/>
      <c r="AY131" s="268"/>
      <c r="AZ131" s="268"/>
      <c r="BA131" s="268"/>
      <c r="BB131" s="268"/>
      <c r="BC131" s="268"/>
      <c r="BD131" s="268"/>
      <c r="BE131" s="268"/>
      <c r="BF131" s="268"/>
      <c r="BG131" s="268"/>
      <c r="BH131" s="268"/>
      <c r="BI131" s="268"/>
      <c r="BJ131" s="268"/>
      <c r="BK131" s="268"/>
      <c r="BL131" s="268"/>
      <c r="BM131" s="268"/>
      <c r="BN131" s="268"/>
      <c r="BV131" s="586"/>
      <c r="CZ131" s="547"/>
    </row>
    <row r="132" spans="1:104" ht="15" outlineLevel="1">
      <c r="A132" s="648"/>
      <c r="B132" s="621" t="s">
        <v>152</v>
      </c>
      <c r="C132" s="211">
        <v>0</v>
      </c>
      <c r="D132" s="211">
        <f>-75500*0.8</f>
        <v>-60400</v>
      </c>
      <c r="E132" s="211"/>
      <c r="F132" s="268"/>
      <c r="G132" s="268"/>
      <c r="H132" s="268"/>
      <c r="I132" s="268"/>
      <c r="J132" s="268"/>
      <c r="K132" s="268"/>
      <c r="L132" s="268"/>
      <c r="M132" s="268"/>
      <c r="N132" s="268"/>
      <c r="O132" s="268"/>
      <c r="P132" s="268"/>
      <c r="Q132" s="268"/>
      <c r="S132" s="268" t="s">
        <v>0</v>
      </c>
      <c r="T132" s="268">
        <v>0</v>
      </c>
      <c r="U132" s="268">
        <v>0</v>
      </c>
      <c r="W132" s="268">
        <v>0</v>
      </c>
      <c r="X132" s="268">
        <v>0</v>
      </c>
      <c r="Y132" s="268">
        <v>0</v>
      </c>
      <c r="Z132" s="268">
        <v>0</v>
      </c>
      <c r="AA132" s="268"/>
      <c r="AB132" s="268">
        <v>0</v>
      </c>
      <c r="AC132" s="269">
        <v>-11200</v>
      </c>
      <c r="AD132" s="268"/>
      <c r="AE132" s="269">
        <v>-8000</v>
      </c>
      <c r="AF132" s="268" t="s">
        <v>0</v>
      </c>
      <c r="AG132" s="268" t="s">
        <v>0</v>
      </c>
      <c r="AH132" s="269">
        <v>-10000</v>
      </c>
      <c r="AJ132" s="269">
        <v>-15000</v>
      </c>
      <c r="AL132" s="268" t="s">
        <v>0</v>
      </c>
      <c r="AM132" s="268" t="s">
        <v>0</v>
      </c>
      <c r="AN132" s="269">
        <v>-15000</v>
      </c>
      <c r="AO132" s="268"/>
      <c r="AP132" s="268"/>
      <c r="AQ132" s="268"/>
      <c r="AR132" s="268"/>
      <c r="AS132" s="268"/>
      <c r="AT132" s="268"/>
      <c r="AU132" s="268"/>
      <c r="AV132" s="268"/>
      <c r="AW132" s="275"/>
      <c r="AX132" s="268"/>
      <c r="AY132" s="268"/>
      <c r="AZ132" s="268"/>
      <c r="BA132" s="268"/>
      <c r="BB132" s="268"/>
      <c r="BC132" s="268"/>
      <c r="BD132" s="268"/>
      <c r="BE132" s="268"/>
      <c r="BF132" s="268"/>
      <c r="BG132" s="268"/>
      <c r="BH132" s="268"/>
      <c r="BI132" s="268"/>
      <c r="BJ132" s="268"/>
      <c r="BK132" s="268"/>
      <c r="BL132" s="268"/>
      <c r="BM132" s="268"/>
      <c r="BN132" s="268"/>
      <c r="BV132" s="584"/>
      <c r="CZ132" s="207"/>
    </row>
    <row r="133" spans="1:104" ht="12" customHeight="1" outlineLevel="1">
      <c r="A133" s="648"/>
      <c r="B133" s="621" t="s">
        <v>153</v>
      </c>
      <c r="D133" s="211">
        <f>-7000*6.5</f>
        <v>-45500</v>
      </c>
      <c r="E133" s="211"/>
      <c r="F133" s="268"/>
      <c r="G133" s="268"/>
      <c r="H133" s="268"/>
      <c r="I133" s="268"/>
      <c r="J133" s="268"/>
      <c r="K133" s="268"/>
      <c r="L133" s="268"/>
      <c r="M133" s="268"/>
      <c r="N133" s="268"/>
      <c r="O133" s="268"/>
      <c r="P133" s="268"/>
      <c r="Q133" s="268"/>
      <c r="S133" s="268"/>
      <c r="T133" s="268"/>
      <c r="U133" s="268"/>
      <c r="W133" s="268"/>
      <c r="X133" s="268"/>
      <c r="Y133" s="268"/>
      <c r="Z133" s="268"/>
      <c r="AA133" s="268"/>
      <c r="AB133" s="268">
        <v>0</v>
      </c>
      <c r="AC133" s="268"/>
      <c r="AD133" s="268"/>
      <c r="AE133" s="268"/>
      <c r="AF133" s="268" t="s">
        <v>0</v>
      </c>
      <c r="AG133" s="268"/>
      <c r="AH133" s="268"/>
      <c r="AI133" s="268"/>
      <c r="AJ133" s="268" t="s">
        <v>0</v>
      </c>
      <c r="AK133" s="268"/>
      <c r="AL133" s="268"/>
      <c r="AM133" s="268"/>
      <c r="AN133" s="268"/>
      <c r="AO133" s="268">
        <v>0</v>
      </c>
      <c r="AP133" s="268" t="s">
        <v>0</v>
      </c>
      <c r="AQ133" s="268"/>
      <c r="AR133" s="268"/>
      <c r="AS133" s="268"/>
      <c r="AT133" s="268"/>
      <c r="AU133" s="268"/>
      <c r="AW133" s="275" t="s">
        <v>0</v>
      </c>
      <c r="BB133" s="268" t="s">
        <v>0</v>
      </c>
      <c r="BC133" s="269">
        <v>-10000</v>
      </c>
      <c r="BD133" s="268"/>
      <c r="BG133" s="268"/>
      <c r="BH133" s="268"/>
      <c r="BJ133" s="269">
        <v>-20000</v>
      </c>
      <c r="BK133" s="268" t="s">
        <v>0</v>
      </c>
      <c r="BM133" s="269">
        <v>-13000</v>
      </c>
      <c r="BN133" s="268"/>
      <c r="BV133" s="584"/>
      <c r="CZ133" s="207"/>
    </row>
    <row r="134" spans="1:104" ht="12" customHeight="1" outlineLevel="1">
      <c r="A134" s="648"/>
      <c r="B134" s="621" t="s">
        <v>154</v>
      </c>
      <c r="D134" s="211"/>
      <c r="E134" s="211"/>
      <c r="F134" s="268"/>
      <c r="G134" s="268"/>
      <c r="H134" s="268"/>
      <c r="I134" s="268"/>
      <c r="J134" s="268"/>
      <c r="K134" s="268"/>
      <c r="L134" s="268"/>
      <c r="M134" s="268"/>
      <c r="N134" s="268"/>
      <c r="O134" s="268"/>
      <c r="P134" s="268"/>
      <c r="Q134" s="268"/>
      <c r="S134" s="268"/>
      <c r="T134" s="268"/>
      <c r="U134" s="268"/>
      <c r="W134" s="268"/>
      <c r="X134" s="268"/>
      <c r="Y134" s="268"/>
      <c r="Z134" s="268"/>
      <c r="AA134" s="268"/>
      <c r="AB134" s="268"/>
      <c r="AC134" s="268"/>
      <c r="AD134" s="268"/>
      <c r="AE134" s="268"/>
      <c r="AF134" s="268"/>
      <c r="AG134" s="268"/>
      <c r="AH134" s="268"/>
      <c r="AI134" s="268"/>
      <c r="AJ134" s="268"/>
      <c r="AK134" s="268"/>
      <c r="AL134" s="268"/>
      <c r="AM134" s="268"/>
      <c r="AN134" s="268"/>
      <c r="AO134" s="268"/>
      <c r="AP134" s="269">
        <v>-2000</v>
      </c>
      <c r="AQ134" s="268"/>
      <c r="AR134" s="268"/>
      <c r="AS134" s="268"/>
      <c r="AT134" s="268"/>
      <c r="AU134" s="268"/>
      <c r="AV134" s="268"/>
      <c r="AW134" s="275"/>
      <c r="AX134" s="268"/>
      <c r="AY134" s="268"/>
      <c r="AZ134" s="268"/>
      <c r="BA134" s="268"/>
      <c r="BB134" s="268"/>
      <c r="BC134" s="268"/>
      <c r="BD134" s="268"/>
      <c r="BE134" s="268"/>
      <c r="BF134" s="268"/>
      <c r="BG134" s="268"/>
      <c r="BH134" s="268"/>
      <c r="BI134" s="268"/>
      <c r="BJ134" s="268"/>
      <c r="BK134" s="268"/>
      <c r="BL134" s="268"/>
      <c r="BM134" s="268"/>
      <c r="BN134" s="268"/>
      <c r="BV134" s="584"/>
      <c r="CZ134" s="207"/>
    </row>
    <row r="135" spans="1:104" ht="12" customHeight="1" outlineLevel="1">
      <c r="A135" s="648"/>
      <c r="B135" s="621" t="s">
        <v>155</v>
      </c>
      <c r="D135" s="211"/>
      <c r="E135" s="211"/>
      <c r="F135" s="268"/>
      <c r="G135" s="268"/>
      <c r="H135" s="268"/>
      <c r="I135" s="268"/>
      <c r="J135" s="268"/>
      <c r="K135" s="268"/>
      <c r="L135" s="268"/>
      <c r="M135" s="268"/>
      <c r="N135" s="268"/>
      <c r="O135" s="268"/>
      <c r="P135" s="268"/>
      <c r="Q135" s="268"/>
      <c r="S135" s="268"/>
      <c r="T135" s="268"/>
      <c r="U135" s="268"/>
      <c r="W135" s="268"/>
      <c r="X135" s="268"/>
      <c r="Y135" s="268"/>
      <c r="Z135" s="268"/>
      <c r="AA135" s="268"/>
      <c r="AB135" s="268"/>
      <c r="AC135" s="268"/>
      <c r="AD135" s="268"/>
      <c r="AE135" s="268"/>
      <c r="AF135" s="269">
        <v>-3600</v>
      </c>
      <c r="AG135" s="268"/>
      <c r="AH135" s="268"/>
      <c r="AI135" s="268"/>
      <c r="AJ135" s="268"/>
      <c r="AK135" s="268"/>
      <c r="AL135" s="268"/>
      <c r="AM135" s="268"/>
      <c r="AN135" s="268"/>
      <c r="AO135" s="268"/>
      <c r="AP135" s="268"/>
      <c r="AQ135" s="268"/>
      <c r="AR135" s="268"/>
      <c r="AS135" s="268"/>
      <c r="AT135" s="268"/>
      <c r="AU135" s="268"/>
      <c r="AV135" s="268"/>
      <c r="AW135" s="275"/>
      <c r="AX135" s="268"/>
      <c r="AY135" s="268"/>
      <c r="AZ135" s="268"/>
      <c r="BA135" s="268"/>
      <c r="BB135" s="268"/>
      <c r="BC135" s="268"/>
      <c r="BD135" s="268"/>
      <c r="BE135" s="268"/>
      <c r="BF135" s="268"/>
      <c r="BG135" s="268"/>
      <c r="BH135" s="268"/>
      <c r="BI135" s="268"/>
      <c r="BJ135" s="268"/>
      <c r="BK135" s="268"/>
      <c r="BL135" s="268"/>
      <c r="BM135" s="268"/>
      <c r="BN135" s="268"/>
      <c r="BV135" s="584"/>
      <c r="CZ135" s="207"/>
    </row>
    <row r="136" spans="1:104" ht="15" outlineLevel="1">
      <c r="A136" s="648"/>
      <c r="B136" s="621" t="s">
        <v>156</v>
      </c>
      <c r="C136" s="211"/>
      <c r="F136" s="268"/>
      <c r="G136" s="268"/>
      <c r="H136" s="268"/>
      <c r="I136" s="268"/>
      <c r="J136" s="268"/>
      <c r="K136" s="268"/>
      <c r="L136" s="268"/>
      <c r="M136" s="268"/>
      <c r="N136" s="268"/>
      <c r="O136" s="268"/>
      <c r="P136" s="268"/>
      <c r="Q136" s="268"/>
      <c r="S136" s="268"/>
      <c r="T136" s="268"/>
      <c r="U136" s="268"/>
      <c r="W136" s="268"/>
      <c r="X136" s="268"/>
      <c r="Y136" s="268"/>
      <c r="Z136" s="268"/>
      <c r="AA136" s="269">
        <v>-3224</v>
      </c>
      <c r="AB136" s="268"/>
      <c r="AC136" s="268">
        <v>0</v>
      </c>
      <c r="AD136" s="268"/>
      <c r="AE136" s="268">
        <v>0</v>
      </c>
      <c r="AF136" s="268" t="s">
        <v>0</v>
      </c>
      <c r="AG136" s="268"/>
      <c r="AH136" s="268"/>
      <c r="AI136" s="268"/>
      <c r="AJ136" s="268"/>
      <c r="AK136" s="268"/>
      <c r="AL136" s="268"/>
      <c r="AM136" s="268"/>
      <c r="AN136" s="268"/>
      <c r="AO136" s="268"/>
      <c r="AP136" s="268"/>
      <c r="AQ136" s="268"/>
      <c r="AR136" s="268"/>
      <c r="AS136" s="268"/>
      <c r="AT136" s="268"/>
      <c r="AU136" s="268"/>
      <c r="AV136" s="268"/>
      <c r="AW136" s="275"/>
      <c r="AX136" s="268"/>
      <c r="AY136" s="268"/>
      <c r="AZ136" s="268"/>
      <c r="BA136" s="268"/>
      <c r="BB136" s="268"/>
      <c r="BC136" s="268"/>
      <c r="BD136" s="268"/>
      <c r="BE136" s="268"/>
      <c r="BF136" s="268"/>
      <c r="BG136" s="268"/>
      <c r="BH136" s="268"/>
      <c r="BI136" s="268"/>
      <c r="BJ136" s="268"/>
      <c r="BK136" s="268"/>
      <c r="BL136" s="268"/>
      <c r="BM136" s="268"/>
      <c r="BN136" s="268"/>
      <c r="BV136" s="584"/>
      <c r="CZ136" s="207"/>
    </row>
    <row r="137" spans="1:104" ht="15" outlineLevel="1">
      <c r="A137" s="648"/>
      <c r="B137" s="622" t="s">
        <v>157</v>
      </c>
      <c r="C137" s="211"/>
      <c r="F137" s="268"/>
      <c r="G137" s="268"/>
      <c r="H137" s="268"/>
      <c r="I137" s="268"/>
      <c r="J137" s="268"/>
      <c r="K137" s="268"/>
      <c r="L137" s="268"/>
      <c r="M137" s="268"/>
      <c r="N137" s="268"/>
      <c r="O137" s="268"/>
      <c r="P137" s="268"/>
      <c r="Q137" s="268"/>
      <c r="S137" s="268"/>
      <c r="T137" s="268"/>
      <c r="U137" s="268"/>
      <c r="W137" s="268"/>
      <c r="X137" s="268"/>
      <c r="Y137" s="268"/>
      <c r="Z137" s="268"/>
      <c r="AA137" s="269"/>
      <c r="AB137" s="268"/>
      <c r="AC137" s="268"/>
      <c r="AD137" s="268"/>
      <c r="AE137" s="268"/>
      <c r="AF137" s="268"/>
      <c r="AG137" s="268"/>
      <c r="AH137" s="268"/>
      <c r="AI137" s="268"/>
      <c r="AJ137" s="269">
        <f>35433-28117.74</f>
        <v>7315.2599999999984</v>
      </c>
      <c r="AK137" s="268"/>
      <c r="AL137" s="268"/>
      <c r="AM137" s="268"/>
      <c r="AN137" s="268"/>
      <c r="AO137" s="268"/>
      <c r="AP137" s="268"/>
      <c r="AQ137" s="268"/>
      <c r="AR137" s="268"/>
      <c r="AS137" s="268"/>
      <c r="AT137" s="268"/>
      <c r="AU137" s="268"/>
      <c r="AV137" s="268"/>
      <c r="AW137" s="275"/>
      <c r="AX137" s="268"/>
      <c r="AY137" s="268"/>
      <c r="AZ137" s="268"/>
      <c r="BA137" s="268"/>
      <c r="BB137" s="268"/>
      <c r="BC137" s="268"/>
      <c r="BD137" s="268"/>
      <c r="BE137" s="268"/>
      <c r="BF137" s="268"/>
      <c r="BG137" s="268"/>
      <c r="BH137" s="268"/>
      <c r="BI137" s="268"/>
      <c r="BJ137" s="268"/>
      <c r="BK137" s="268"/>
      <c r="BL137" s="268"/>
      <c r="BM137" s="268"/>
      <c r="BN137" s="268"/>
      <c r="BV137" s="584"/>
      <c r="CZ137" s="207"/>
    </row>
    <row r="138" spans="1:104" s="518" customFormat="1" ht="12" customHeight="1" outlineLevel="1">
      <c r="A138" s="649"/>
      <c r="B138" s="623" t="s">
        <v>158</v>
      </c>
      <c r="C138" s="614"/>
      <c r="F138" s="557"/>
      <c r="G138" s="557"/>
      <c r="H138" s="557"/>
      <c r="I138" s="557"/>
      <c r="J138" s="557"/>
      <c r="K138" s="557"/>
      <c r="L138" s="557"/>
      <c r="M138" s="557"/>
      <c r="N138" s="557"/>
      <c r="O138" s="557"/>
      <c r="P138" s="557"/>
      <c r="Q138" s="557" t="s">
        <v>0</v>
      </c>
      <c r="S138" s="557"/>
      <c r="T138" s="557"/>
      <c r="U138" s="557">
        <v>0</v>
      </c>
      <c r="V138" s="269">
        <v>-24707.8</v>
      </c>
      <c r="W138" s="268">
        <v>0</v>
      </c>
      <c r="X138" s="268">
        <v>0</v>
      </c>
      <c r="Y138" s="268">
        <v>0</v>
      </c>
      <c r="AA138" s="269">
        <v>-32683</v>
      </c>
      <c r="AC138" s="268"/>
      <c r="AE138" s="269">
        <f>-14159.65-100</f>
        <v>-14259.65</v>
      </c>
      <c r="AF138" s="268" t="s">
        <v>0</v>
      </c>
      <c r="AG138" s="268"/>
      <c r="AH138" s="268"/>
      <c r="AI138" s="269">
        <v>-34310</v>
      </c>
      <c r="AK138" s="268"/>
      <c r="AL138" s="268"/>
      <c r="AM138" s="269">
        <v>-53616</v>
      </c>
      <c r="AN138" s="268"/>
      <c r="AP138" s="268"/>
      <c r="AR138" s="269">
        <v>-27254.799999999999</v>
      </c>
      <c r="AS138" s="268"/>
      <c r="AT138" s="268"/>
      <c r="AU138" s="268"/>
      <c r="AX138" s="310">
        <v>-25245</v>
      </c>
      <c r="AY138" s="268"/>
      <c r="BA138" s="624">
        <v>-28241.5</v>
      </c>
      <c r="BB138" s="268"/>
      <c r="BC138" s="268"/>
      <c r="BD138" s="268"/>
      <c r="BF138" s="624">
        <v>-31732.5</v>
      </c>
      <c r="BI138" s="268"/>
      <c r="BJ138" s="268"/>
      <c r="BK138" s="268"/>
      <c r="BL138" s="625">
        <v>-42368.6</v>
      </c>
      <c r="BN138" s="557"/>
      <c r="BP138" s="557"/>
      <c r="BQ138" s="557"/>
      <c r="BV138" s="655">
        <v>-28238</v>
      </c>
      <c r="BZ138" s="557">
        <v>-30000</v>
      </c>
      <c r="CC138" s="557">
        <v>-20000</v>
      </c>
      <c r="CF138" s="557"/>
      <c r="CG138" s="557">
        <v>-20000</v>
      </c>
      <c r="CL138" s="557">
        <v>-5000</v>
      </c>
      <c r="CP138" s="557">
        <v>-15000</v>
      </c>
      <c r="CR138" s="557">
        <v>-32000</v>
      </c>
      <c r="CS138" s="557">
        <v>-32000</v>
      </c>
      <c r="CT138" s="557">
        <v>-32000</v>
      </c>
      <c r="CU138" s="557">
        <v>-32000</v>
      </c>
      <c r="CV138" s="557">
        <v>-32000</v>
      </c>
      <c r="CW138" s="557">
        <v>-32000</v>
      </c>
      <c r="CX138" s="557">
        <v>-32000</v>
      </c>
      <c r="CY138" s="557">
        <v>-5000</v>
      </c>
      <c r="CZ138" s="557">
        <v>-5000</v>
      </c>
    </row>
    <row r="139" spans="1:104" s="518" customFormat="1" ht="12" customHeight="1" outlineLevel="1">
      <c r="A139" s="649"/>
      <c r="B139" s="623" t="s">
        <v>159</v>
      </c>
      <c r="C139" s="614" t="s">
        <v>0</v>
      </c>
      <c r="F139" s="557"/>
      <c r="G139" s="557"/>
      <c r="H139" s="557"/>
      <c r="I139" s="557"/>
      <c r="J139" s="557"/>
      <c r="K139" s="557"/>
      <c r="L139" s="557"/>
      <c r="M139" s="557"/>
      <c r="N139" s="557"/>
      <c r="O139" s="557"/>
      <c r="P139" s="557"/>
      <c r="Q139" s="557"/>
      <c r="S139" s="557"/>
      <c r="T139" s="557"/>
      <c r="U139" s="557"/>
      <c r="V139" s="268"/>
      <c r="W139" s="268"/>
      <c r="Y139" s="268">
        <v>0</v>
      </c>
      <c r="Z139" s="268">
        <v>0</v>
      </c>
      <c r="AB139" s="269">
        <v>-17452.650000000001</v>
      </c>
      <c r="AC139" s="268"/>
      <c r="AE139" s="269">
        <v>-14483.91</v>
      </c>
      <c r="AG139" s="268" t="s">
        <v>0</v>
      </c>
      <c r="AI139" s="269">
        <v>-22165</v>
      </c>
      <c r="AK139" s="268"/>
      <c r="AL139" s="268"/>
      <c r="AM139" s="269">
        <v>-25046.68</v>
      </c>
      <c r="AN139" s="268"/>
      <c r="AP139" s="268"/>
      <c r="AR139" s="269">
        <v>-21576.71</v>
      </c>
      <c r="AS139" s="268"/>
      <c r="AT139" s="268"/>
      <c r="AU139" s="268"/>
      <c r="AX139" s="310">
        <v>-30532.7</v>
      </c>
      <c r="AY139" s="268"/>
      <c r="BA139" s="624">
        <v>-20558</v>
      </c>
      <c r="BB139" s="268"/>
      <c r="BC139" s="268"/>
      <c r="BD139" s="268"/>
      <c r="BF139" s="624">
        <v>-21697.31</v>
      </c>
      <c r="BI139" s="268"/>
      <c r="BJ139" s="268"/>
      <c r="BK139" s="268"/>
      <c r="BL139" s="557"/>
      <c r="BN139" s="557"/>
      <c r="BO139" s="625">
        <v>-29385.48</v>
      </c>
      <c r="BP139" s="557"/>
      <c r="BQ139" s="557"/>
      <c r="BT139" s="310">
        <v>-185.19</v>
      </c>
      <c r="BV139" s="655">
        <v>-26363.83</v>
      </c>
      <c r="BZ139" s="557">
        <v>-23000</v>
      </c>
      <c r="CC139" s="557">
        <v>-23000</v>
      </c>
      <c r="CF139" s="557"/>
      <c r="CG139" s="557">
        <v>-23000</v>
      </c>
      <c r="CL139" s="557">
        <v>-23000</v>
      </c>
      <c r="CP139" s="557">
        <v>-23000</v>
      </c>
      <c r="CR139" s="557">
        <v>-23000</v>
      </c>
      <c r="CS139" s="557">
        <v>-23000</v>
      </c>
      <c r="CT139" s="557">
        <v>-23000</v>
      </c>
      <c r="CU139" s="557">
        <v>-23000</v>
      </c>
      <c r="CV139" s="557">
        <v>-23000</v>
      </c>
      <c r="CW139" s="557">
        <v>-23000</v>
      </c>
      <c r="CX139" s="557">
        <v>-23000</v>
      </c>
      <c r="CY139" s="557">
        <v>-23000</v>
      </c>
      <c r="CZ139" s="557">
        <v>-23000</v>
      </c>
    </row>
    <row r="140" spans="1:104" s="518" customFormat="1" ht="12" customHeight="1" outlineLevel="1">
      <c r="A140" s="649"/>
      <c r="B140" s="621" t="s">
        <v>160</v>
      </c>
      <c r="C140" s="614"/>
      <c r="F140" s="557"/>
      <c r="G140" s="557"/>
      <c r="H140" s="557"/>
      <c r="I140" s="557"/>
      <c r="J140" s="557"/>
      <c r="K140" s="557"/>
      <c r="L140" s="557"/>
      <c r="M140" s="557"/>
      <c r="N140" s="557"/>
      <c r="O140" s="557"/>
      <c r="P140" s="557"/>
      <c r="Q140" s="557"/>
      <c r="S140" s="557"/>
      <c r="T140" s="557"/>
      <c r="U140" s="268">
        <v>0</v>
      </c>
      <c r="V140" s="268"/>
      <c r="W140" s="269">
        <v>-2012</v>
      </c>
      <c r="X140" s="268"/>
      <c r="Y140" s="268">
        <v>0</v>
      </c>
      <c r="Z140" s="268"/>
      <c r="AA140" s="268"/>
      <c r="AB140" s="268"/>
      <c r="AC140" s="268"/>
      <c r="AD140" s="268"/>
      <c r="AE140" s="268"/>
      <c r="AF140" s="268"/>
      <c r="AG140" s="268"/>
      <c r="AH140" s="268"/>
      <c r="AI140" s="268"/>
      <c r="AJ140" s="268"/>
      <c r="AK140" s="268"/>
      <c r="AL140" s="268"/>
      <c r="AM140" s="268"/>
      <c r="AN140" s="268"/>
      <c r="AO140" s="268"/>
      <c r="AP140" s="268"/>
      <c r="AQ140" s="268"/>
      <c r="AR140" s="268"/>
      <c r="AS140" s="268"/>
      <c r="AT140" s="268"/>
      <c r="AU140" s="268"/>
      <c r="AW140" s="275"/>
      <c r="AX140" s="268"/>
      <c r="AY140" s="268"/>
      <c r="AZ140" s="268"/>
      <c r="BA140" s="268"/>
      <c r="BB140" s="268"/>
      <c r="BC140" s="268"/>
      <c r="BD140" s="268"/>
      <c r="BE140" s="268"/>
      <c r="BF140" s="268"/>
      <c r="BG140" s="268"/>
      <c r="BH140" s="268"/>
      <c r="BI140" s="268"/>
      <c r="BJ140" s="268"/>
      <c r="BK140" s="268"/>
      <c r="BL140" s="268"/>
      <c r="BM140" s="268"/>
      <c r="BN140" s="268"/>
      <c r="BU140" s="275"/>
      <c r="BV140" s="586"/>
      <c r="CZ140" s="547"/>
    </row>
    <row r="141" spans="1:104" s="518" customFormat="1" ht="12" customHeight="1" outlineLevel="1">
      <c r="A141" s="649"/>
      <c r="B141" s="621" t="s">
        <v>161</v>
      </c>
      <c r="C141" s="614"/>
      <c r="F141" s="557"/>
      <c r="G141" s="557"/>
      <c r="H141" s="557"/>
      <c r="I141" s="557"/>
      <c r="J141" s="269">
        <v>-4920</v>
      </c>
      <c r="K141" s="557"/>
      <c r="L141" s="557"/>
      <c r="M141" s="557"/>
      <c r="N141" s="557"/>
      <c r="O141" s="557"/>
      <c r="P141" s="557"/>
      <c r="Q141" s="557"/>
      <c r="S141" s="557"/>
      <c r="T141" s="557"/>
      <c r="U141" s="268"/>
      <c r="V141" s="269">
        <v>-4920</v>
      </c>
      <c r="W141" s="268"/>
      <c r="X141" s="268"/>
      <c r="Z141" s="268">
        <v>0</v>
      </c>
      <c r="AA141" s="268">
        <v>0</v>
      </c>
      <c r="AB141" s="310">
        <v>-14760</v>
      </c>
      <c r="AC141" s="275" t="s">
        <v>0</v>
      </c>
      <c r="AD141" s="310">
        <v>-4920</v>
      </c>
      <c r="AE141" s="275">
        <v>0</v>
      </c>
      <c r="AF141" s="275" t="s">
        <v>0</v>
      </c>
      <c r="AG141" s="275"/>
      <c r="AH141" s="310">
        <v>-4920</v>
      </c>
      <c r="AI141" s="275"/>
      <c r="AJ141" s="275" t="s">
        <v>0</v>
      </c>
      <c r="AK141" s="275"/>
      <c r="AL141" s="310">
        <v>-4920</v>
      </c>
      <c r="AM141" s="275" t="s">
        <v>0</v>
      </c>
      <c r="AN141" s="275"/>
      <c r="AQ141" s="310">
        <v>-4920</v>
      </c>
      <c r="AR141" s="275"/>
      <c r="AS141" s="275"/>
      <c r="AU141" s="310">
        <v>-4920</v>
      </c>
      <c r="AV141" s="268"/>
      <c r="AW141" s="595"/>
      <c r="AX141" s="275"/>
      <c r="AY141" s="310">
        <v>-4920</v>
      </c>
      <c r="AZ141" s="275"/>
      <c r="BA141" s="275"/>
      <c r="BB141" s="275" t="s">
        <v>0</v>
      </c>
      <c r="BC141" s="310">
        <v>-4920</v>
      </c>
      <c r="BD141" s="275"/>
      <c r="BE141" s="275"/>
      <c r="BF141" s="275"/>
      <c r="BI141" s="275"/>
      <c r="BJ141" s="310">
        <v>-4920</v>
      </c>
      <c r="BK141" s="275"/>
      <c r="BL141" s="275"/>
      <c r="BM141" s="275"/>
      <c r="BN141" s="275"/>
      <c r="BP141" s="275" t="s">
        <v>0</v>
      </c>
      <c r="BQ141" s="275"/>
      <c r="BR141" s="310">
        <v>-4920</v>
      </c>
      <c r="BS141" s="275"/>
      <c r="BT141" s="275" t="s">
        <v>0</v>
      </c>
      <c r="BV141" s="585" t="s">
        <v>0</v>
      </c>
      <c r="BW141" s="275">
        <v>-4920</v>
      </c>
      <c r="BX141" s="275"/>
      <c r="BY141" s="275" t="s">
        <v>0</v>
      </c>
      <c r="BZ141" s="275"/>
      <c r="CA141" s="275"/>
      <c r="CB141" s="275">
        <v>-4920</v>
      </c>
      <c r="CC141" s="275"/>
      <c r="CD141" s="275"/>
      <c r="CZ141" s="547"/>
    </row>
    <row r="142" spans="1:104" ht="15" outlineLevel="1">
      <c r="A142" s="648"/>
      <c r="B142" s="282" t="s">
        <v>162</v>
      </c>
      <c r="C142" s="211"/>
      <c r="F142" s="268"/>
      <c r="G142" s="268"/>
      <c r="H142" s="268"/>
      <c r="I142" s="268"/>
      <c r="J142" s="268"/>
      <c r="K142" s="268"/>
      <c r="L142" s="268"/>
      <c r="M142" s="268" t="s">
        <v>0</v>
      </c>
      <c r="N142" s="268" t="s">
        <v>0</v>
      </c>
      <c r="O142" s="275" t="s">
        <v>0</v>
      </c>
      <c r="P142" s="275"/>
      <c r="Q142" s="275"/>
      <c r="R142" s="275"/>
      <c r="S142" s="275" t="str">
        <f>O142</f>
        <v xml:space="preserve"> </v>
      </c>
      <c r="T142" s="275" t="s">
        <v>163</v>
      </c>
      <c r="U142" s="310">
        <v>-300</v>
      </c>
      <c r="V142" s="275">
        <v>0</v>
      </c>
      <c r="W142" s="275" t="s">
        <v>0</v>
      </c>
      <c r="X142" s="275"/>
      <c r="Y142" s="275">
        <v>0</v>
      </c>
      <c r="Z142" s="275"/>
      <c r="AA142" s="275"/>
      <c r="AV142" s="518"/>
      <c r="AW142" s="561"/>
      <c r="BV142" s="584"/>
      <c r="CZ142" s="207"/>
    </row>
    <row r="143" spans="1:104" s="211" customFormat="1" ht="15" outlineLevel="1">
      <c r="A143" s="323"/>
      <c r="B143" s="519" t="s">
        <v>164</v>
      </c>
      <c r="F143" s="268">
        <v>-1752</v>
      </c>
      <c r="G143" s="268"/>
      <c r="H143" s="268"/>
      <c r="I143" s="268"/>
      <c r="J143" s="269">
        <v>-1752</v>
      </c>
      <c r="K143" s="268"/>
      <c r="L143" s="268"/>
      <c r="M143" s="268"/>
      <c r="N143" s="269">
        <v>-1752</v>
      </c>
      <c r="P143" s="275"/>
      <c r="Q143" s="275"/>
      <c r="R143" s="310">
        <v>-1752</v>
      </c>
      <c r="S143" s="275" t="s">
        <v>0</v>
      </c>
      <c r="T143" s="275"/>
      <c r="U143" s="275"/>
      <c r="V143" s="275"/>
      <c r="W143" s="310">
        <f>-892-860</f>
        <v>-1752</v>
      </c>
      <c r="X143" s="275"/>
      <c r="Y143" s="275"/>
      <c r="Z143" s="275"/>
      <c r="AA143" s="310">
        <f>-892-860</f>
        <v>-1752</v>
      </c>
      <c r="AB143" s="275" t="s">
        <v>0</v>
      </c>
      <c r="AC143" s="275"/>
      <c r="AD143" s="275"/>
      <c r="AE143" s="310">
        <f>-892-860</f>
        <v>-1752</v>
      </c>
      <c r="AG143" s="275"/>
      <c r="AH143" s="275"/>
      <c r="AJ143" s="310">
        <f>-892-860</f>
        <v>-1752</v>
      </c>
      <c r="AK143" s="275"/>
      <c r="AL143" s="275"/>
      <c r="AM143" s="275" t="s">
        <v>0</v>
      </c>
      <c r="AN143" s="310">
        <f>-892-860</f>
        <v>-1752</v>
      </c>
      <c r="AP143" s="275"/>
      <c r="AQ143" s="275"/>
      <c r="AR143" s="275"/>
      <c r="AS143" s="310">
        <f>-892-860</f>
        <v>-1752</v>
      </c>
      <c r="AT143" s="275"/>
      <c r="AU143" s="275"/>
      <c r="AV143" s="275" t="s">
        <v>0</v>
      </c>
      <c r="AW143" s="310">
        <f>-892-860</f>
        <v>-1752</v>
      </c>
      <c r="AX143" s="275"/>
      <c r="AY143" s="275"/>
      <c r="AZ143" s="275"/>
      <c r="BA143" s="310">
        <f>-892-860</f>
        <v>-1752</v>
      </c>
      <c r="BC143" s="275"/>
      <c r="BD143" s="275"/>
      <c r="BE143" s="275"/>
      <c r="BG143" s="310">
        <f>$J143</f>
        <v>-1752</v>
      </c>
      <c r="BH143" s="275"/>
      <c r="BI143" s="275"/>
      <c r="BJ143" s="275"/>
      <c r="BK143" s="275"/>
      <c r="BL143" s="275"/>
      <c r="BM143" s="310">
        <f>$J143</f>
        <v>-1752</v>
      </c>
      <c r="BN143" s="275"/>
      <c r="BP143" s="275"/>
      <c r="BQ143" s="275"/>
      <c r="BR143" s="275"/>
      <c r="BS143" s="310">
        <f>$J143</f>
        <v>-1752</v>
      </c>
      <c r="BU143" s="275"/>
      <c r="BV143" s="585"/>
      <c r="BW143" s="275"/>
      <c r="BX143" s="275"/>
      <c r="BY143" s="275">
        <f>$J143</f>
        <v>-1752</v>
      </c>
      <c r="BZ143" s="275"/>
      <c r="CA143" s="275"/>
      <c r="CB143" s="275"/>
      <c r="CC143" s="275"/>
      <c r="CD143" s="275"/>
      <c r="CE143" s="275">
        <f>$J143</f>
        <v>-1752</v>
      </c>
      <c r="CI143" s="275">
        <f>$J143</f>
        <v>-1752</v>
      </c>
      <c r="CM143" s="275">
        <f>$J143</f>
        <v>-1752</v>
      </c>
      <c r="CR143" s="275">
        <f t="shared" ref="CR143:CZ143" si="3">$J143</f>
        <v>-1752</v>
      </c>
      <c r="CS143" s="275">
        <f t="shared" si="3"/>
        <v>-1752</v>
      </c>
      <c r="CT143" s="275">
        <f t="shared" si="3"/>
        <v>-1752</v>
      </c>
      <c r="CU143" s="275">
        <f t="shared" si="3"/>
        <v>-1752</v>
      </c>
      <c r="CV143" s="275">
        <f t="shared" si="3"/>
        <v>-1752</v>
      </c>
      <c r="CW143" s="275">
        <f t="shared" si="3"/>
        <v>-1752</v>
      </c>
      <c r="CX143" s="275">
        <f t="shared" si="3"/>
        <v>-1752</v>
      </c>
      <c r="CY143" s="275">
        <f t="shared" si="3"/>
        <v>-1752</v>
      </c>
      <c r="CZ143" s="275">
        <f t="shared" si="3"/>
        <v>-1752</v>
      </c>
    </row>
    <row r="144" spans="1:104" s="211" customFormat="1" ht="15" outlineLevel="1">
      <c r="A144" s="323"/>
      <c r="B144" s="519" t="s">
        <v>165</v>
      </c>
      <c r="F144" s="268"/>
      <c r="G144" s="268"/>
      <c r="H144" s="269">
        <f>-719.85-798.2</f>
        <v>-1518.0500000000002</v>
      </c>
      <c r="I144" s="268" t="s">
        <v>0</v>
      </c>
      <c r="J144" s="268"/>
      <c r="K144" s="268"/>
      <c r="L144" s="269">
        <f>H144</f>
        <v>-1518.0500000000002</v>
      </c>
      <c r="M144" s="268"/>
      <c r="N144" s="268"/>
      <c r="O144" s="268" t="s">
        <v>0</v>
      </c>
      <c r="P144" s="275">
        <v>0</v>
      </c>
      <c r="Q144" s="310">
        <v>-1518</v>
      </c>
      <c r="R144" s="275"/>
      <c r="S144" s="275" t="s">
        <v>0</v>
      </c>
      <c r="T144" s="275" t="s">
        <v>0</v>
      </c>
      <c r="U144" s="310">
        <v>-1518</v>
      </c>
      <c r="V144" s="275"/>
      <c r="W144" s="275" t="s">
        <v>0</v>
      </c>
      <c r="X144" s="275">
        <v>0</v>
      </c>
      <c r="Y144" s="310">
        <v>-1668</v>
      </c>
      <c r="Z144" s="275"/>
      <c r="AA144" s="275"/>
      <c r="AB144" s="275">
        <v>0</v>
      </c>
      <c r="AC144" s="275"/>
      <c r="AD144" s="275"/>
      <c r="AE144" s="275"/>
      <c r="AF144" s="275" t="s">
        <v>0</v>
      </c>
      <c r="AG144" s="275"/>
      <c r="AH144" s="275"/>
      <c r="AI144" s="275"/>
      <c r="AJ144" s="275">
        <v>0</v>
      </c>
      <c r="AK144" s="275"/>
      <c r="AL144" s="275"/>
      <c r="AM144" s="275"/>
      <c r="AN144" s="275"/>
      <c r="AO144" s="275">
        <v>0</v>
      </c>
      <c r="AP144" s="275"/>
      <c r="AQ144" s="275"/>
      <c r="AR144" s="275"/>
      <c r="AS144" s="275" t="s">
        <v>0</v>
      </c>
      <c r="AT144" s="275"/>
      <c r="AU144" s="275"/>
      <c r="AW144" s="275" t="s">
        <v>0</v>
      </c>
      <c r="AX144" s="275"/>
      <c r="AY144" s="275"/>
      <c r="AZ144" s="275"/>
      <c r="BA144" s="275"/>
      <c r="BB144" s="275">
        <v>0</v>
      </c>
      <c r="BC144" s="275"/>
      <c r="BD144" s="275"/>
      <c r="BE144" s="275"/>
      <c r="BF144" s="275"/>
      <c r="BG144" s="275" t="s">
        <v>0</v>
      </c>
      <c r="BH144" s="275"/>
      <c r="BI144" s="275"/>
      <c r="BJ144" s="275"/>
      <c r="BK144" s="275"/>
      <c r="BL144" s="275"/>
      <c r="BM144" s="275"/>
      <c r="BN144" s="275"/>
      <c r="BO144" s="275">
        <v>0</v>
      </c>
      <c r="BP144" s="275"/>
      <c r="BQ144" s="275"/>
      <c r="BR144" s="275"/>
      <c r="BS144" s="275"/>
      <c r="BT144" s="275">
        <v>0</v>
      </c>
      <c r="BU144" s="275"/>
      <c r="BV144" s="585"/>
      <c r="BW144" s="275"/>
      <c r="BX144" s="275"/>
      <c r="BY144" s="275">
        <v>0</v>
      </c>
      <c r="BZ144" s="275"/>
      <c r="CA144" s="275"/>
      <c r="CB144" s="275"/>
      <c r="CC144" s="275"/>
      <c r="CD144" s="275"/>
      <c r="CZ144" s="351"/>
    </row>
    <row r="145" spans="1:104" s="211" customFormat="1" ht="15" outlineLevel="1">
      <c r="A145" s="323"/>
      <c r="B145" s="519" t="s">
        <v>768</v>
      </c>
      <c r="F145" s="269">
        <v>-866</v>
      </c>
      <c r="G145" s="269">
        <v>-543</v>
      </c>
      <c r="H145" s="269">
        <f>-(778.37+24.6+17.71)</f>
        <v>-820.68000000000006</v>
      </c>
      <c r="I145" s="269">
        <f>-470-200-803</f>
        <v>-1473</v>
      </c>
      <c r="J145" s="269">
        <v>-803.12</v>
      </c>
      <c r="K145" s="269">
        <f>-713</f>
        <v>-713</v>
      </c>
      <c r="L145" s="269">
        <f>-812.29-17.71-24.6</f>
        <v>-854.6</v>
      </c>
      <c r="M145" s="269">
        <v>-708.95</v>
      </c>
      <c r="N145" s="269">
        <v>-1075</v>
      </c>
      <c r="O145" s="269">
        <v>-576</v>
      </c>
      <c r="P145" s="269">
        <v>-661.75</v>
      </c>
      <c r="Q145" s="269">
        <f>-642.24-18.77-24.6</f>
        <v>-685.61</v>
      </c>
      <c r="R145" s="269">
        <v>-578.61</v>
      </c>
      <c r="S145" s="310">
        <v>-706</v>
      </c>
      <c r="T145" s="310">
        <v>-596</v>
      </c>
      <c r="U145" s="310">
        <f>-18.77-773-24.6</f>
        <v>-816.37</v>
      </c>
      <c r="V145" s="310">
        <v>-676</v>
      </c>
      <c r="W145" s="310">
        <v>-755.21</v>
      </c>
      <c r="X145" s="310">
        <f>-653.36</f>
        <v>-653.36</v>
      </c>
      <c r="Y145" s="310">
        <v>-395.06</v>
      </c>
      <c r="Z145" s="310">
        <f>-12.3-18.77-550.62</f>
        <v>-581.69000000000005</v>
      </c>
      <c r="AA145" s="310">
        <v>-650.19000000000005</v>
      </c>
      <c r="AB145" s="310">
        <v>-622.75</v>
      </c>
      <c r="AC145" s="310">
        <v>-689.96</v>
      </c>
      <c r="AD145" s="310">
        <f>-505.47-12.3-18.77</f>
        <v>-536.54</v>
      </c>
      <c r="AE145" s="310">
        <v>-477.47</v>
      </c>
      <c r="AF145" s="310">
        <v>-770.21</v>
      </c>
      <c r="AG145" s="310">
        <v>-814.15</v>
      </c>
      <c r="AH145" s="310">
        <f>-965.55-18.77-12.3</f>
        <v>-996.61999999999989</v>
      </c>
      <c r="AI145" s="310">
        <v>-459.87</v>
      </c>
      <c r="AJ145" s="310">
        <v>-1073.26</v>
      </c>
      <c r="AK145" s="310">
        <f>-873.7</f>
        <v>-873.7</v>
      </c>
      <c r="AL145" s="310">
        <v>-671.31</v>
      </c>
      <c r="AM145" s="310">
        <f>-1035.08-12.3-18.77</f>
        <v>-1066.1499999999999</v>
      </c>
      <c r="AN145" s="310">
        <f>-914.09</f>
        <v>-914.09</v>
      </c>
      <c r="AO145" s="310">
        <f>-623.56</f>
        <v>-623.55999999999995</v>
      </c>
      <c r="AP145" s="310">
        <v>-1188.48</v>
      </c>
      <c r="AQ145" s="310">
        <f>-614.86-19.07-12.3</f>
        <v>-646.23</v>
      </c>
      <c r="AR145" s="310">
        <v>-905.59</v>
      </c>
      <c r="AS145" s="310">
        <v>-893.88</v>
      </c>
      <c r="AT145" s="310">
        <v>-1056.55</v>
      </c>
      <c r="AU145" s="310">
        <f>-12.3-19.07-728.73</f>
        <v>-760.1</v>
      </c>
      <c r="AV145" s="310">
        <v>-961.03</v>
      </c>
      <c r="AW145" s="310">
        <v>-371.92</v>
      </c>
      <c r="AX145" s="310">
        <v>-489.92</v>
      </c>
      <c r="AY145" s="310">
        <v>-693.94</v>
      </c>
      <c r="AZ145" s="310">
        <f>-903.31-19.07-18.45</f>
        <v>-940.83</v>
      </c>
      <c r="BA145" s="310">
        <v>-704.11</v>
      </c>
      <c r="BB145" s="310">
        <v>-795.03</v>
      </c>
      <c r="BC145" s="310">
        <f>-778.19</f>
        <v>-778.19</v>
      </c>
      <c r="BD145" s="275"/>
      <c r="BE145" s="310">
        <f>-544.69-19.07-18.45</f>
        <v>-582.21000000000015</v>
      </c>
      <c r="BF145" s="310">
        <f>-649.71</f>
        <v>-649.71</v>
      </c>
      <c r="BG145" s="310">
        <f>-569.48</f>
        <v>-569.48</v>
      </c>
      <c r="BH145" s="275"/>
      <c r="BI145" s="310">
        <v>-641.04</v>
      </c>
      <c r="BJ145" s="626">
        <v>-547.4</v>
      </c>
      <c r="BK145" s="275"/>
      <c r="BL145" s="310">
        <f>-457.83</f>
        <v>-457.83</v>
      </c>
      <c r="BM145" s="310">
        <v>-339.01</v>
      </c>
      <c r="BN145" s="275"/>
      <c r="BO145" s="310">
        <f>-559</f>
        <v>-559</v>
      </c>
      <c r="BP145" s="310">
        <v>-474.41</v>
      </c>
      <c r="BQ145" s="275"/>
      <c r="BR145" s="310">
        <f>-18.45-19.07-585.72</f>
        <v>-623.24</v>
      </c>
      <c r="BS145" s="310">
        <f>-771.22</f>
        <v>-771.22</v>
      </c>
      <c r="BT145" s="310">
        <v>-510.58</v>
      </c>
      <c r="BU145" s="275"/>
      <c r="BV145" s="592">
        <v>-672.35</v>
      </c>
      <c r="BW145" s="275">
        <v>-700</v>
      </c>
      <c r="BX145" s="275">
        <v>-700</v>
      </c>
      <c r="BY145" s="275">
        <v>-700</v>
      </c>
      <c r="BZ145" s="275"/>
      <c r="CA145" s="275">
        <v>-700</v>
      </c>
      <c r="CB145" s="275">
        <v>-700</v>
      </c>
      <c r="CC145" s="275">
        <v>-700</v>
      </c>
      <c r="CD145" s="275">
        <v>-700</v>
      </c>
      <c r="CE145" s="275">
        <v>-700</v>
      </c>
      <c r="CF145" s="275">
        <v>-700</v>
      </c>
      <c r="CG145" s="275">
        <v>-700</v>
      </c>
      <c r="CH145" s="275">
        <v>-700</v>
      </c>
      <c r="CI145" s="275">
        <v>-700</v>
      </c>
      <c r="CJ145" s="275">
        <v>-700</v>
      </c>
      <c r="CK145" s="275">
        <v>-700</v>
      </c>
      <c r="CL145" s="275">
        <v>-700</v>
      </c>
      <c r="CM145" s="275">
        <v>-700</v>
      </c>
      <c r="CN145" s="275">
        <v>-700</v>
      </c>
      <c r="CO145" s="275">
        <v>-700</v>
      </c>
      <c r="CP145" s="275">
        <v>-700</v>
      </c>
      <c r="CQ145" s="275">
        <v>-700</v>
      </c>
      <c r="CR145" s="268">
        <v>-3000</v>
      </c>
      <c r="CS145" s="268">
        <v>-3000</v>
      </c>
      <c r="CT145" s="268">
        <v>-3000</v>
      </c>
      <c r="CU145" s="268">
        <v>-3000</v>
      </c>
      <c r="CV145" s="268">
        <v>-3000</v>
      </c>
      <c r="CW145" s="268">
        <v>-3000</v>
      </c>
      <c r="CX145" s="268">
        <v>-3000</v>
      </c>
      <c r="CY145" s="268">
        <v>-3000</v>
      </c>
      <c r="CZ145" s="268">
        <v>-3000</v>
      </c>
    </row>
    <row r="146" spans="1:104" s="211" customFormat="1" ht="15" outlineLevel="1">
      <c r="A146" s="323"/>
      <c r="B146" s="519" t="s">
        <v>167</v>
      </c>
      <c r="F146" s="268"/>
      <c r="G146" s="268"/>
      <c r="H146" s="268"/>
      <c r="I146" s="268"/>
      <c r="J146" s="269">
        <v>-200</v>
      </c>
      <c r="K146" s="268"/>
      <c r="L146" s="269">
        <v>-200</v>
      </c>
      <c r="M146" s="269">
        <v>-200</v>
      </c>
      <c r="N146" s="268"/>
      <c r="O146" s="269">
        <f>-205.82-200</f>
        <v>-405.82</v>
      </c>
      <c r="P146" s="275"/>
      <c r="Q146" s="310">
        <v>-200</v>
      </c>
      <c r="R146" s="310">
        <v>-400</v>
      </c>
      <c r="S146" s="275"/>
      <c r="T146" s="310">
        <v>-200</v>
      </c>
      <c r="U146" s="310">
        <v>-200</v>
      </c>
      <c r="V146" s="275"/>
      <c r="W146" s="275"/>
      <c r="X146" s="310">
        <v>-200</v>
      </c>
      <c r="Y146" s="310">
        <v>-200</v>
      </c>
      <c r="Z146" s="310">
        <f>-200-200</f>
        <v>-400</v>
      </c>
      <c r="AA146" s="310">
        <v>-200</v>
      </c>
      <c r="AB146" s="275">
        <v>0</v>
      </c>
      <c r="AC146" s="275">
        <v>-200</v>
      </c>
      <c r="AD146" s="310">
        <v>-200</v>
      </c>
      <c r="AE146" s="310">
        <v>-200</v>
      </c>
      <c r="AF146" s="310">
        <v>-200</v>
      </c>
      <c r="AG146" s="310">
        <v>-200</v>
      </c>
      <c r="AH146" s="275" t="s">
        <v>0</v>
      </c>
      <c r="AI146" s="310">
        <v>-200</v>
      </c>
      <c r="AJ146" s="310">
        <v>-200</v>
      </c>
      <c r="AK146" s="310">
        <v>-200</v>
      </c>
      <c r="AM146" s="310">
        <v>-200</v>
      </c>
      <c r="AN146" s="310">
        <v>-200</v>
      </c>
      <c r="AO146" s="310">
        <v>-200</v>
      </c>
      <c r="AP146" s="310">
        <v>-200</v>
      </c>
      <c r="AQ146" s="275" t="s">
        <v>0</v>
      </c>
      <c r="AR146" s="310">
        <v>-200</v>
      </c>
      <c r="AS146" s="275">
        <v>0</v>
      </c>
      <c r="AT146" s="310">
        <v>-200</v>
      </c>
      <c r="AU146" s="275" t="s">
        <v>0</v>
      </c>
      <c r="AV146" s="310">
        <v>-200</v>
      </c>
      <c r="AW146" s="275">
        <v>0</v>
      </c>
      <c r="AX146" s="310">
        <v>-200</v>
      </c>
      <c r="AY146" s="310">
        <v>-200</v>
      </c>
      <c r="AZ146" s="275" t="s">
        <v>0</v>
      </c>
      <c r="BA146" s="310">
        <v>-200</v>
      </c>
      <c r="BB146" s="275">
        <v>0</v>
      </c>
      <c r="BC146" s="310">
        <v>-200</v>
      </c>
      <c r="BD146" s="275"/>
      <c r="BE146" s="275" t="s">
        <v>0</v>
      </c>
      <c r="BF146" s="310">
        <v>-200</v>
      </c>
      <c r="BG146" s="275" t="s">
        <v>0</v>
      </c>
      <c r="BH146" s="275"/>
      <c r="BI146" s="310">
        <v>-200</v>
      </c>
      <c r="BK146" s="275"/>
      <c r="BL146" s="310">
        <v>-200</v>
      </c>
      <c r="BN146" s="275"/>
      <c r="BO146" s="275" t="s">
        <v>0</v>
      </c>
      <c r="BP146" s="310">
        <v>-200</v>
      </c>
      <c r="BQ146" s="275"/>
      <c r="BR146" s="275">
        <v>0</v>
      </c>
      <c r="BS146" s="310">
        <v>-200</v>
      </c>
      <c r="BU146" s="275"/>
      <c r="BV146" s="585">
        <v>-200</v>
      </c>
      <c r="BW146" s="275" t="s">
        <v>0</v>
      </c>
      <c r="BX146" s="275">
        <v>-200</v>
      </c>
      <c r="BY146" s="275" t="s">
        <v>0</v>
      </c>
      <c r="BZ146" s="275"/>
      <c r="CA146" s="275">
        <v>-200</v>
      </c>
      <c r="CB146" s="275" t="s">
        <v>0</v>
      </c>
      <c r="CC146" s="275">
        <v>-200</v>
      </c>
      <c r="CD146" s="275" t="s">
        <v>0</v>
      </c>
      <c r="CE146" s="275">
        <v>-200</v>
      </c>
      <c r="CF146" s="275" t="s">
        <v>0</v>
      </c>
      <c r="CG146" s="275">
        <v>-200</v>
      </c>
      <c r="CH146" s="275" t="s">
        <v>0</v>
      </c>
      <c r="CI146" s="275">
        <v>-200</v>
      </c>
      <c r="CJ146" s="275" t="s">
        <v>0</v>
      </c>
      <c r="CK146" s="275">
        <v>-200</v>
      </c>
      <c r="CL146" s="275" t="s">
        <v>0</v>
      </c>
      <c r="CM146" s="275">
        <v>-200</v>
      </c>
      <c r="CN146" s="275" t="s">
        <v>0</v>
      </c>
      <c r="CO146" s="275">
        <v>-200</v>
      </c>
      <c r="CP146" s="275" t="s">
        <v>0</v>
      </c>
      <c r="CQ146" s="275">
        <v>-200</v>
      </c>
      <c r="CR146" s="268">
        <v>-500</v>
      </c>
      <c r="CS146" s="268">
        <v>-500</v>
      </c>
      <c r="CT146" s="268">
        <v>-500</v>
      </c>
      <c r="CU146" s="268">
        <v>-500</v>
      </c>
      <c r="CV146" s="268">
        <v>-500</v>
      </c>
      <c r="CW146" s="268">
        <v>-500</v>
      </c>
      <c r="CX146" s="268">
        <v>-500</v>
      </c>
      <c r="CY146" s="268">
        <v>-500</v>
      </c>
      <c r="CZ146" s="268">
        <v>-500</v>
      </c>
    </row>
    <row r="147" spans="1:104" s="211" customFormat="1" ht="15" outlineLevel="1">
      <c r="A147" s="323"/>
      <c r="B147" s="519" t="s">
        <v>168</v>
      </c>
      <c r="F147" s="268"/>
      <c r="G147" s="269">
        <v>-240</v>
      </c>
      <c r="H147" s="268"/>
      <c r="I147" s="268"/>
      <c r="J147" s="269">
        <v>-240</v>
      </c>
      <c r="L147" s="268"/>
      <c r="M147" s="268"/>
      <c r="N147" s="268"/>
      <c r="O147" s="269">
        <v>-256.64</v>
      </c>
      <c r="P147" s="275"/>
      <c r="Q147" s="275"/>
      <c r="R147" s="275"/>
      <c r="S147" s="310">
        <v>-256.64</v>
      </c>
      <c r="T147" s="275"/>
      <c r="U147" s="275"/>
      <c r="V147" s="275"/>
      <c r="W147" s="275">
        <v>0</v>
      </c>
      <c r="X147" s="310">
        <v>-256.64</v>
      </c>
      <c r="Y147" s="275"/>
      <c r="Z147" s="275"/>
      <c r="AA147" s="275"/>
      <c r="AB147" s="310">
        <v>-256.64</v>
      </c>
      <c r="AC147" s="275"/>
      <c r="AD147" s="275"/>
      <c r="AE147" s="275"/>
      <c r="AF147" s="310">
        <v>-256.64</v>
      </c>
      <c r="AG147" s="275"/>
      <c r="AH147" s="275"/>
      <c r="AI147" s="275"/>
      <c r="AK147" s="310">
        <v>-256.64</v>
      </c>
      <c r="AL147" s="275"/>
      <c r="AM147" s="275"/>
      <c r="AN147" s="275"/>
      <c r="AO147" s="310">
        <v>-256.64</v>
      </c>
      <c r="AP147" s="275"/>
      <c r="AQ147" s="275"/>
      <c r="AR147" s="275"/>
      <c r="AS147" s="310">
        <v>-256.64</v>
      </c>
      <c r="AT147" s="275"/>
      <c r="AU147" s="275"/>
      <c r="AV147" s="275" t="s">
        <v>0</v>
      </c>
      <c r="AW147" s="275">
        <v>0</v>
      </c>
      <c r="AX147" s="310">
        <v>-256.64</v>
      </c>
      <c r="AY147" s="275"/>
      <c r="AZ147" s="275"/>
      <c r="BA147" s="275"/>
      <c r="BB147" s="310">
        <v>-256.64</v>
      </c>
      <c r="BC147" s="275"/>
      <c r="BD147" s="275"/>
      <c r="BE147" s="275"/>
      <c r="BF147" s="275"/>
      <c r="BG147" s="310">
        <v>-256.64</v>
      </c>
      <c r="BH147" s="275"/>
      <c r="BI147" s="275"/>
      <c r="BJ147" s="275"/>
      <c r="BK147" s="275"/>
      <c r="BL147" s="275"/>
      <c r="BM147" s="275"/>
      <c r="BN147" s="275"/>
      <c r="BO147" s="310">
        <v>-256.64</v>
      </c>
      <c r="BP147" s="275"/>
      <c r="BQ147" s="275"/>
      <c r="BR147" s="275"/>
      <c r="BS147" s="275"/>
      <c r="BT147" s="310">
        <v>-256.64</v>
      </c>
      <c r="BU147" s="275"/>
      <c r="BV147" s="585"/>
      <c r="BW147" s="275"/>
      <c r="BX147" s="275"/>
      <c r="BY147" s="275">
        <v>-256.64</v>
      </c>
      <c r="BZ147" s="275"/>
      <c r="CA147" s="275"/>
      <c r="CB147" s="275"/>
      <c r="CC147" s="275"/>
      <c r="CD147" s="275"/>
      <c r="CE147" s="275">
        <v>-256.64</v>
      </c>
      <c r="CH147" s="275">
        <v>-256.64</v>
      </c>
      <c r="CM147" s="275">
        <v>-256.64</v>
      </c>
      <c r="CR147" s="275">
        <v>-256.64</v>
      </c>
      <c r="CS147" s="275">
        <v>-256.64</v>
      </c>
      <c r="CT147" s="275">
        <v>-256.64</v>
      </c>
      <c r="CU147" s="275">
        <v>-256.64</v>
      </c>
      <c r="CV147" s="275">
        <v>-256.64</v>
      </c>
      <c r="CW147" s="275">
        <v>-256.64</v>
      </c>
      <c r="CX147" s="275">
        <v>-256.64</v>
      </c>
      <c r="CY147" s="275">
        <v>-256.64</v>
      </c>
      <c r="CZ147" s="275">
        <v>-256.64</v>
      </c>
    </row>
    <row r="148" spans="1:104" s="211" customFormat="1" ht="15" outlineLevel="1">
      <c r="A148" s="323"/>
      <c r="B148" s="519" t="s">
        <v>170</v>
      </c>
      <c r="F148" s="268"/>
      <c r="G148" s="268"/>
      <c r="H148" s="269">
        <v>-513</v>
      </c>
      <c r="I148" s="268"/>
      <c r="J148" s="268"/>
      <c r="K148" s="268"/>
      <c r="L148" s="269">
        <v>-513</v>
      </c>
      <c r="M148" s="268"/>
      <c r="N148" s="268"/>
      <c r="O148" s="268" t="s">
        <v>0</v>
      </c>
      <c r="P148" s="310">
        <v>-513</v>
      </c>
      <c r="Q148" s="275"/>
      <c r="R148" s="275"/>
      <c r="S148" s="275" t="s">
        <v>0</v>
      </c>
      <c r="T148" s="275">
        <v>0</v>
      </c>
      <c r="U148" s="310">
        <v>-513</v>
      </c>
      <c r="V148" s="275"/>
      <c r="W148" s="275" t="s">
        <v>0</v>
      </c>
      <c r="Y148" s="310">
        <v>-513</v>
      </c>
      <c r="Z148" s="275"/>
      <c r="AA148" s="275"/>
      <c r="AC148" s="310">
        <v>-513</v>
      </c>
      <c r="AD148" s="275"/>
      <c r="AE148" s="310">
        <v>-174</v>
      </c>
      <c r="AH148" s="310">
        <v>-600</v>
      </c>
      <c r="AI148" s="275"/>
      <c r="AK148" s="275"/>
      <c r="AL148" s="310">
        <v>-600</v>
      </c>
      <c r="AM148" s="275"/>
      <c r="AN148" s="275"/>
      <c r="AP148" s="310">
        <v>-600</v>
      </c>
      <c r="AQ148" s="275"/>
      <c r="AR148" s="275"/>
      <c r="AS148" s="275"/>
      <c r="AT148" s="275"/>
      <c r="AU148" s="310">
        <v>-600</v>
      </c>
      <c r="AW148" s="569"/>
      <c r="AX148" s="275"/>
      <c r="AY148" s="310">
        <v>-600</v>
      </c>
      <c r="AZ148" s="275"/>
      <c r="BA148" s="275"/>
      <c r="BB148" s="275" t="s">
        <v>0</v>
      </c>
      <c r="BC148" s="310">
        <v>-600</v>
      </c>
      <c r="BD148" s="275"/>
      <c r="BE148" s="275"/>
      <c r="BF148" s="275"/>
      <c r="BH148" s="275"/>
      <c r="BJ148" s="310">
        <v>-600</v>
      </c>
      <c r="BK148" s="275"/>
      <c r="BL148" s="275"/>
      <c r="BM148" s="275"/>
      <c r="BN148" s="275"/>
      <c r="BP148" s="310">
        <v>-600</v>
      </c>
      <c r="BQ148" s="275"/>
      <c r="BR148" s="275"/>
      <c r="BS148" s="275"/>
      <c r="BU148" s="275"/>
      <c r="BV148" s="585">
        <v>-600</v>
      </c>
      <c r="BW148" s="275"/>
      <c r="BX148" s="275"/>
      <c r="BY148" s="275">
        <v>-600</v>
      </c>
      <c r="BZ148" s="275"/>
      <c r="CA148" s="275"/>
      <c r="CB148" s="275"/>
      <c r="CC148" s="275"/>
      <c r="CD148" s="275"/>
      <c r="CE148" s="211">
        <v>-600</v>
      </c>
      <c r="CI148" s="211">
        <v>-600</v>
      </c>
      <c r="CM148" s="211">
        <v>-600</v>
      </c>
      <c r="CR148" s="211">
        <v>-600</v>
      </c>
      <c r="CS148" s="211">
        <v>-600</v>
      </c>
      <c r="CT148" s="211">
        <v>-600</v>
      </c>
      <c r="CU148" s="211">
        <v>-600</v>
      </c>
      <c r="CV148" s="211">
        <v>-600</v>
      </c>
      <c r="CW148" s="211">
        <v>-600</v>
      </c>
      <c r="CX148" s="211">
        <v>-600</v>
      </c>
      <c r="CY148" s="211">
        <v>-600</v>
      </c>
      <c r="CZ148" s="211">
        <v>-600</v>
      </c>
    </row>
    <row r="149" spans="1:104" s="211" customFormat="1" ht="15" outlineLevel="1">
      <c r="A149" s="323"/>
      <c r="B149" s="519" t="s">
        <v>171</v>
      </c>
      <c r="F149" s="268"/>
      <c r="G149" s="268"/>
      <c r="H149" s="269"/>
      <c r="I149" s="268"/>
      <c r="J149" s="268"/>
      <c r="K149" s="268"/>
      <c r="L149" s="269"/>
      <c r="M149" s="268"/>
      <c r="N149" s="268"/>
      <c r="O149" s="268"/>
      <c r="P149" s="310"/>
      <c r="Q149" s="275"/>
      <c r="R149" s="275"/>
      <c r="S149" s="275"/>
      <c r="T149" s="310">
        <v>-2214</v>
      </c>
      <c r="U149" s="275"/>
      <c r="V149" s="275"/>
      <c r="W149" s="275"/>
      <c r="X149" s="275"/>
      <c r="Y149" s="275"/>
      <c r="Z149" s="275"/>
      <c r="AA149" s="275"/>
      <c r="AB149" s="275"/>
      <c r="AC149" s="275"/>
      <c r="AD149" s="275"/>
      <c r="AF149" s="275"/>
      <c r="AH149" s="310">
        <v>-200</v>
      </c>
      <c r="AI149" s="275"/>
      <c r="AK149" s="275"/>
      <c r="AL149" s="310">
        <v>-200</v>
      </c>
      <c r="AM149" s="275"/>
      <c r="AN149" s="275"/>
      <c r="AP149" s="310">
        <v>-200</v>
      </c>
      <c r="AQ149" s="275"/>
      <c r="AR149" s="275"/>
      <c r="AS149" s="275"/>
      <c r="AT149" s="275"/>
      <c r="AU149" s="310">
        <v>-200</v>
      </c>
      <c r="AW149" s="569"/>
      <c r="AX149" s="275"/>
      <c r="AY149" s="310">
        <v>-200</v>
      </c>
      <c r="AZ149" s="275"/>
      <c r="BA149" s="275"/>
      <c r="BB149" s="275" t="s">
        <v>0</v>
      </c>
      <c r="BC149" s="310">
        <v>-200</v>
      </c>
      <c r="BD149" s="275"/>
      <c r="BE149" s="275"/>
      <c r="BF149" s="275"/>
      <c r="BH149" s="275"/>
      <c r="BJ149" s="310">
        <v>-200</v>
      </c>
      <c r="BK149" s="275"/>
      <c r="BL149" s="275"/>
      <c r="BM149" s="275"/>
      <c r="BN149" s="275"/>
      <c r="BP149" s="310">
        <v>-200</v>
      </c>
      <c r="BQ149" s="275"/>
      <c r="BR149" s="275"/>
      <c r="BS149" s="275"/>
      <c r="BU149" s="275"/>
      <c r="BV149" s="585">
        <v>-200</v>
      </c>
      <c r="BW149" s="275"/>
      <c r="BX149" s="275"/>
      <c r="BY149" s="275">
        <v>-200</v>
      </c>
      <c r="BZ149" s="275"/>
      <c r="CA149" s="275"/>
      <c r="CB149" s="275"/>
      <c r="CC149" s="275"/>
      <c r="CD149" s="275"/>
      <c r="CE149" s="211">
        <v>-200</v>
      </c>
      <c r="CI149" s="211">
        <v>-200</v>
      </c>
      <c r="CM149" s="211">
        <v>-200</v>
      </c>
      <c r="CR149" s="211">
        <v>-200</v>
      </c>
      <c r="CS149" s="211">
        <v>-200</v>
      </c>
      <c r="CT149" s="211">
        <v>-200</v>
      </c>
      <c r="CU149" s="211">
        <v>-200</v>
      </c>
      <c r="CV149" s="211">
        <v>-200</v>
      </c>
      <c r="CW149" s="211">
        <v>-200</v>
      </c>
      <c r="CX149" s="211">
        <v>-200</v>
      </c>
      <c r="CY149" s="211">
        <v>-200</v>
      </c>
      <c r="CZ149" s="211">
        <v>-200</v>
      </c>
    </row>
    <row r="150" spans="1:104" s="211" customFormat="1" ht="12" customHeight="1" outlineLevel="1">
      <c r="A150" s="323"/>
      <c r="B150" s="519" t="s">
        <v>172</v>
      </c>
      <c r="F150" s="268"/>
      <c r="G150" s="268"/>
      <c r="H150" s="269">
        <v>-2194</v>
      </c>
      <c r="I150" s="268"/>
      <c r="J150" s="268"/>
      <c r="K150" s="268"/>
      <c r="L150" s="269">
        <f>H150</f>
        <v>-2194</v>
      </c>
      <c r="M150" s="268"/>
      <c r="N150" s="268"/>
      <c r="O150" s="211" t="s">
        <v>0</v>
      </c>
      <c r="P150" s="269">
        <f>L150</f>
        <v>-2194</v>
      </c>
      <c r="Q150" s="275"/>
      <c r="R150" s="275"/>
      <c r="U150" s="310">
        <f>P150</f>
        <v>-2194</v>
      </c>
      <c r="V150" s="275"/>
      <c r="W150" s="275" t="s">
        <v>0</v>
      </c>
      <c r="X150" s="275"/>
      <c r="Y150" s="310">
        <v>-2194</v>
      </c>
      <c r="Z150" s="275"/>
      <c r="AA150" s="275"/>
      <c r="AC150" s="310">
        <f>P150</f>
        <v>-2194</v>
      </c>
      <c r="AD150" s="275"/>
      <c r="AE150" s="275"/>
      <c r="AF150" s="275" t="s">
        <v>0</v>
      </c>
      <c r="AH150" s="275" t="s">
        <v>0</v>
      </c>
      <c r="AL150" s="275" t="s">
        <v>0</v>
      </c>
      <c r="AM150" s="275"/>
      <c r="AN150" s="275" t="s">
        <v>0</v>
      </c>
      <c r="AP150" s="275"/>
      <c r="AQ150" s="275"/>
      <c r="AS150" s="275"/>
      <c r="AT150" s="310">
        <v>-1829.35</v>
      </c>
      <c r="AU150" s="310">
        <v>-1799.38</v>
      </c>
      <c r="AV150" s="275" t="s">
        <v>0</v>
      </c>
      <c r="AW150" s="569"/>
      <c r="AX150" s="275"/>
      <c r="AY150" s="310">
        <v>-1799.35</v>
      </c>
      <c r="AZ150" s="275" t="s">
        <v>0</v>
      </c>
      <c r="BA150" s="275"/>
      <c r="BC150" s="310">
        <v>-1920.11</v>
      </c>
      <c r="BD150" s="275"/>
      <c r="BE150" s="275" t="s">
        <v>0</v>
      </c>
      <c r="BF150" s="275"/>
      <c r="BJ150" s="310">
        <v>-1920.06</v>
      </c>
      <c r="BK150" s="275"/>
      <c r="BL150" s="275"/>
      <c r="BM150" s="275"/>
      <c r="BN150" s="275"/>
      <c r="BP150" s="310">
        <v>-1920.06</v>
      </c>
      <c r="BQ150" s="275"/>
      <c r="BR150" s="275"/>
      <c r="BS150" s="275"/>
      <c r="BU150" s="275"/>
      <c r="BV150" s="585">
        <v>-1920</v>
      </c>
      <c r="BW150" s="275"/>
      <c r="BX150" s="275"/>
      <c r="BY150" s="275">
        <v>-1920</v>
      </c>
      <c r="BZ150" s="275"/>
      <c r="CA150" s="275"/>
      <c r="CB150" s="275"/>
      <c r="CC150" s="275"/>
      <c r="CD150" s="275"/>
      <c r="CE150" s="275">
        <v>-1920</v>
      </c>
      <c r="CI150" s="275">
        <v>-1920</v>
      </c>
      <c r="CM150" s="275">
        <v>-1920</v>
      </c>
      <c r="CR150" s="275">
        <v>-1920</v>
      </c>
      <c r="CS150" s="275">
        <v>-1920</v>
      </c>
      <c r="CT150" s="275">
        <v>-1920</v>
      </c>
      <c r="CU150" s="275">
        <v>-1920</v>
      </c>
      <c r="CV150" s="275">
        <v>-1920</v>
      </c>
      <c r="CW150" s="275">
        <v>-1920</v>
      </c>
      <c r="CX150" s="275">
        <v>-1920</v>
      </c>
      <c r="CY150" s="275">
        <v>-1920</v>
      </c>
      <c r="CZ150" s="275">
        <v>-1920</v>
      </c>
    </row>
    <row r="151" spans="1:104" ht="15" outlineLevel="1">
      <c r="A151" s="648"/>
      <c r="B151" s="282" t="s">
        <v>706</v>
      </c>
      <c r="C151" s="211"/>
      <c r="F151" s="268">
        <v>-2600</v>
      </c>
      <c r="G151" s="268"/>
      <c r="H151" s="269">
        <v>-2287.56</v>
      </c>
      <c r="I151" s="268" t="s">
        <v>0</v>
      </c>
      <c r="J151" s="269">
        <v>-2807.46</v>
      </c>
      <c r="K151" s="268"/>
      <c r="L151" s="268"/>
      <c r="O151" s="268">
        <v>0</v>
      </c>
      <c r="P151" s="310">
        <v>-2235</v>
      </c>
      <c r="Q151" s="268" t="s">
        <v>0</v>
      </c>
      <c r="R151" s="275" t="s">
        <v>0</v>
      </c>
      <c r="S151" s="310">
        <v>-2131.59</v>
      </c>
      <c r="T151" s="275"/>
      <c r="U151" s="275"/>
      <c r="V151" s="275"/>
      <c r="W151" s="275">
        <v>0</v>
      </c>
      <c r="X151" s="275">
        <v>0</v>
      </c>
      <c r="Y151" s="275">
        <v>0</v>
      </c>
      <c r="Z151" s="275">
        <v>0</v>
      </c>
      <c r="AA151" s="275">
        <v>0</v>
      </c>
      <c r="AB151" s="275">
        <v>0</v>
      </c>
      <c r="AC151" s="310">
        <f>-2599.5-2079.6</f>
        <v>-4679.1000000000004</v>
      </c>
      <c r="AD151" s="275">
        <v>0</v>
      </c>
      <c r="AE151" s="275"/>
      <c r="AH151" s="310">
        <v>-1767.66</v>
      </c>
      <c r="AI151" s="275"/>
      <c r="AJ151" s="310">
        <v>-2339.5500000000002</v>
      </c>
      <c r="AK151" s="275"/>
      <c r="AM151" s="275"/>
      <c r="AN151" s="275"/>
      <c r="AO151" s="275" t="s">
        <v>0</v>
      </c>
      <c r="AP151" s="275">
        <v>0</v>
      </c>
      <c r="AQ151" s="275" t="s">
        <v>0</v>
      </c>
      <c r="AT151" s="310">
        <f>-2506.23-2495.52</f>
        <v>-5001.75</v>
      </c>
      <c r="AU151" s="275"/>
      <c r="AY151" s="310">
        <v>-2963.95</v>
      </c>
      <c r="AZ151" s="275"/>
      <c r="BA151" s="275"/>
      <c r="BB151" s="310">
        <v>-2425.0500000000002</v>
      </c>
      <c r="BC151" s="275"/>
      <c r="BD151" s="275"/>
      <c r="BE151" s="275"/>
      <c r="BF151" s="275"/>
      <c r="BH151" s="275"/>
      <c r="BK151" s="275"/>
      <c r="BL151" s="310">
        <v>-2155.6</v>
      </c>
      <c r="BM151" s="275"/>
      <c r="BN151" s="275"/>
      <c r="BQ151" s="275"/>
      <c r="BS151" s="275" t="s">
        <v>0</v>
      </c>
      <c r="BT151" s="310">
        <v>-2748.39</v>
      </c>
      <c r="BU151" s="275"/>
      <c r="BV151" s="585">
        <v>-2371</v>
      </c>
      <c r="BW151" s="275"/>
      <c r="BX151" s="275"/>
      <c r="BY151" s="275">
        <v>-2600</v>
      </c>
      <c r="BZ151" s="275"/>
      <c r="CA151" s="275"/>
      <c r="CB151" s="275"/>
      <c r="CC151" s="275"/>
      <c r="CD151" s="275"/>
      <c r="CE151" s="275">
        <v>-2600</v>
      </c>
      <c r="CF151" s="275"/>
      <c r="CG151" s="275"/>
      <c r="CI151" s="275">
        <v>-2600</v>
      </c>
      <c r="CJ151" s="275"/>
      <c r="CK151" s="275"/>
      <c r="CL151" s="275"/>
      <c r="CM151" s="275">
        <v>-2600</v>
      </c>
      <c r="CR151" s="275">
        <v>-2600</v>
      </c>
      <c r="CS151" s="275">
        <v>-2600</v>
      </c>
      <c r="CT151" s="275">
        <v>-2600</v>
      </c>
      <c r="CU151" s="275">
        <v>-2600</v>
      </c>
      <c r="CV151" s="275">
        <v>-2600</v>
      </c>
      <c r="CW151" s="275">
        <v>-2600</v>
      </c>
      <c r="CX151" s="275">
        <v>-2600</v>
      </c>
      <c r="CY151" s="275">
        <v>-2600</v>
      </c>
      <c r="CZ151" s="275">
        <v>-2600</v>
      </c>
    </row>
    <row r="152" spans="1:104" s="211" customFormat="1" ht="15" outlineLevel="1">
      <c r="A152" s="323"/>
      <c r="B152" s="519" t="s">
        <v>173</v>
      </c>
      <c r="C152" s="211">
        <f>-8659-(1082*3)</f>
        <v>-11905</v>
      </c>
      <c r="F152" s="268"/>
      <c r="G152" s="268"/>
      <c r="H152" s="268"/>
      <c r="I152" s="268"/>
      <c r="J152" s="269">
        <f>-1082.4*2</f>
        <v>-2164.8000000000002</v>
      </c>
      <c r="K152" s="268"/>
      <c r="L152" s="268"/>
      <c r="M152" s="268"/>
      <c r="N152" s="269">
        <f>J152</f>
        <v>-2164.8000000000002</v>
      </c>
      <c r="P152" s="275"/>
      <c r="Q152" s="275"/>
      <c r="R152" s="269">
        <v>-2165</v>
      </c>
      <c r="S152" s="275" t="s">
        <v>0</v>
      </c>
      <c r="T152" s="275"/>
      <c r="U152" s="275"/>
      <c r="V152" s="275">
        <v>0</v>
      </c>
      <c r="W152" s="275">
        <v>0</v>
      </c>
      <c r="X152" s="275">
        <v>0</v>
      </c>
      <c r="Y152" s="310">
        <v>-2165</v>
      </c>
      <c r="Z152" s="275"/>
      <c r="AA152" s="275"/>
      <c r="AB152" s="269">
        <v>-2165</v>
      </c>
      <c r="AC152" s="275">
        <v>0</v>
      </c>
      <c r="AD152" s="275"/>
      <c r="AE152" s="275"/>
      <c r="AG152" s="275" t="s">
        <v>0</v>
      </c>
      <c r="AH152" s="310">
        <v>-2164.8000000000002</v>
      </c>
      <c r="AI152" s="275"/>
      <c r="AK152" s="275" t="s">
        <v>0</v>
      </c>
      <c r="AM152" s="275" t="s">
        <v>0</v>
      </c>
      <c r="AN152" s="310">
        <v>-1082.4000000000001</v>
      </c>
      <c r="AO152" s="211" t="s">
        <v>0</v>
      </c>
      <c r="AP152" s="275"/>
      <c r="AQ152" s="275" t="s">
        <v>0</v>
      </c>
      <c r="AT152" s="310">
        <v>-4000</v>
      </c>
      <c r="AU152" s="275"/>
      <c r="AV152" s="275" t="s">
        <v>0</v>
      </c>
      <c r="AW152" s="310">
        <v>0</v>
      </c>
      <c r="AX152" s="310">
        <f>-1082.4-3576</f>
        <v>-4658.3999999999996</v>
      </c>
      <c r="AY152" s="275" t="s">
        <v>0</v>
      </c>
      <c r="AZ152" s="275"/>
      <c r="BA152" s="275"/>
      <c r="BB152" s="310">
        <v>-1082.4000000000001</v>
      </c>
      <c r="BC152" s="275"/>
      <c r="BD152" s="275"/>
      <c r="BE152" s="275"/>
      <c r="BF152" s="275"/>
      <c r="BG152" s="310">
        <v>-1082.4000000000001</v>
      </c>
      <c r="BH152" s="275"/>
      <c r="BI152" s="275"/>
      <c r="BJ152" s="275"/>
      <c r="BK152" s="275"/>
      <c r="BL152" s="275"/>
      <c r="BM152" s="275"/>
      <c r="BN152" s="275"/>
      <c r="BQ152" s="275"/>
      <c r="BR152" s="310">
        <v>-1082.4000000000001</v>
      </c>
      <c r="BS152" s="275"/>
      <c r="BV152" s="585"/>
      <c r="BW152" s="275"/>
      <c r="BX152" s="275">
        <v>-1082.4000000000001</v>
      </c>
      <c r="BY152" s="275">
        <v>-1082.4000000000001</v>
      </c>
      <c r="BZ152" s="275"/>
      <c r="CA152" s="275"/>
      <c r="CB152" s="275"/>
      <c r="CC152" s="275"/>
      <c r="CD152" s="275"/>
      <c r="CE152" s="275">
        <v>-1082.4000000000001</v>
      </c>
      <c r="CF152" s="275"/>
      <c r="CG152" s="275"/>
      <c r="CI152" s="275">
        <v>-1082.4000000000001</v>
      </c>
      <c r="CJ152" s="275"/>
      <c r="CK152" s="275"/>
      <c r="CL152" s="275"/>
      <c r="CM152" s="275">
        <v>-1082.4000000000001</v>
      </c>
      <c r="CR152" s="275">
        <v>-1082.4000000000001</v>
      </c>
      <c r="CS152" s="275">
        <v>-1082.4000000000001</v>
      </c>
      <c r="CT152" s="275">
        <v>-1082.4000000000001</v>
      </c>
      <c r="CU152" s="275">
        <v>-1082.4000000000001</v>
      </c>
      <c r="CV152" s="275">
        <v>-1082.4000000000001</v>
      </c>
      <c r="CW152" s="275">
        <v>-1082.4000000000001</v>
      </c>
      <c r="CX152" s="275">
        <v>-1082.4000000000001</v>
      </c>
      <c r="CY152" s="275">
        <v>-1082.4000000000001</v>
      </c>
      <c r="CZ152" s="275">
        <v>-1082.4000000000001</v>
      </c>
    </row>
    <row r="153" spans="1:104" s="211" customFormat="1" ht="15" outlineLevel="1">
      <c r="A153" s="323"/>
      <c r="B153" s="519" t="s">
        <v>174</v>
      </c>
      <c r="F153" s="268"/>
      <c r="G153" s="269">
        <v>-500</v>
      </c>
      <c r="H153" s="268" t="s">
        <v>0</v>
      </c>
      <c r="I153" s="268" t="s">
        <v>0</v>
      </c>
      <c r="J153" s="268"/>
      <c r="K153" s="268"/>
      <c r="L153" s="268"/>
      <c r="M153" s="268"/>
      <c r="N153" s="268" t="s">
        <v>0</v>
      </c>
      <c r="O153" s="268" t="s">
        <v>0</v>
      </c>
      <c r="P153" s="310">
        <v>-500</v>
      </c>
      <c r="Q153" s="275"/>
      <c r="R153" s="275"/>
      <c r="S153" s="275">
        <v>0</v>
      </c>
      <c r="T153" s="275">
        <v>0</v>
      </c>
      <c r="U153" s="275" t="s">
        <v>0</v>
      </c>
      <c r="V153" s="275"/>
      <c r="W153" s="275">
        <v>0</v>
      </c>
      <c r="X153" s="275">
        <v>0</v>
      </c>
      <c r="Y153" s="310">
        <v>-560</v>
      </c>
      <c r="Z153" s="275"/>
      <c r="AA153" s="275"/>
      <c r="AC153" s="275">
        <v>0</v>
      </c>
      <c r="AD153" s="275">
        <v>0</v>
      </c>
      <c r="AE153" s="275" t="s">
        <v>0</v>
      </c>
      <c r="AF153" s="310">
        <v>-640</v>
      </c>
      <c r="AG153" s="275">
        <v>0</v>
      </c>
      <c r="AH153" s="310">
        <v>-400</v>
      </c>
      <c r="AI153" s="275"/>
      <c r="AJ153" s="275" t="s">
        <v>0</v>
      </c>
      <c r="AK153" s="275" t="s">
        <v>0</v>
      </c>
      <c r="AM153" s="275" t="s">
        <v>0</v>
      </c>
      <c r="AN153" s="275"/>
      <c r="AO153" s="310">
        <v>-540</v>
      </c>
      <c r="AP153" s="275"/>
      <c r="AQ153" s="275"/>
      <c r="AR153" s="275"/>
      <c r="AS153" s="275"/>
      <c r="AT153" s="275" t="s">
        <v>0</v>
      </c>
      <c r="AU153" s="275"/>
      <c r="AW153" s="275">
        <v>0</v>
      </c>
      <c r="AX153" s="310">
        <v>-520</v>
      </c>
      <c r="AY153" s="275" t="s">
        <v>0</v>
      </c>
      <c r="AZ153" s="275"/>
      <c r="BA153" s="275"/>
      <c r="BD153" s="275"/>
      <c r="BG153" s="275" t="s">
        <v>0</v>
      </c>
      <c r="BI153" s="310">
        <v>-520</v>
      </c>
      <c r="BJ153" s="275"/>
      <c r="BK153" s="275"/>
      <c r="BL153" s="275"/>
      <c r="BM153" s="275"/>
      <c r="BN153" s="275"/>
      <c r="BQ153" s="275"/>
      <c r="BS153" s="275" t="s">
        <v>0</v>
      </c>
      <c r="BU153" s="275"/>
      <c r="BV153" s="585">
        <v>-540</v>
      </c>
      <c r="BW153" s="275"/>
      <c r="BX153" s="275"/>
      <c r="BY153" s="275">
        <v>-250</v>
      </c>
      <c r="BZ153" s="275"/>
      <c r="CA153" s="275"/>
      <c r="CB153" s="275"/>
      <c r="CC153" s="275"/>
      <c r="CD153" s="275"/>
      <c r="CE153" s="275">
        <v>-250</v>
      </c>
      <c r="CF153" s="275"/>
      <c r="CG153" s="275"/>
      <c r="CI153" s="275">
        <v>-250</v>
      </c>
      <c r="CJ153" s="275"/>
      <c r="CK153" s="275"/>
      <c r="CL153" s="275"/>
      <c r="CM153" s="275">
        <v>-250</v>
      </c>
      <c r="CR153" s="275">
        <v>-250</v>
      </c>
      <c r="CS153" s="275">
        <v>-250</v>
      </c>
      <c r="CT153" s="275">
        <v>-250</v>
      </c>
      <c r="CU153" s="275">
        <v>-250</v>
      </c>
      <c r="CV153" s="275">
        <v>-250</v>
      </c>
      <c r="CW153" s="275">
        <v>-250</v>
      </c>
      <c r="CX153" s="275">
        <v>-250</v>
      </c>
      <c r="CY153" s="275">
        <v>-250</v>
      </c>
      <c r="CZ153" s="275">
        <v>-250</v>
      </c>
    </row>
    <row r="154" spans="1:104" s="211" customFormat="1" ht="15" outlineLevel="1">
      <c r="A154" s="323"/>
      <c r="B154" s="519" t="s">
        <v>175</v>
      </c>
      <c r="F154" s="268"/>
      <c r="G154" s="269"/>
      <c r="H154" s="268"/>
      <c r="I154" s="268"/>
      <c r="J154" s="268"/>
      <c r="K154" s="268"/>
      <c r="L154" s="268"/>
      <c r="M154" s="268"/>
      <c r="N154" s="268"/>
      <c r="O154" s="268"/>
      <c r="P154" s="310"/>
      <c r="Q154" s="275"/>
      <c r="R154" s="275"/>
      <c r="S154" s="275"/>
      <c r="T154" s="275"/>
      <c r="U154" s="275"/>
      <c r="V154" s="275"/>
      <c r="W154" s="275"/>
      <c r="X154" s="275"/>
      <c r="Y154" s="275"/>
      <c r="Z154" s="275"/>
      <c r="AA154" s="310">
        <f>-312.91-324.66</f>
        <v>-637.57000000000005</v>
      </c>
      <c r="AC154" s="275"/>
      <c r="AD154" s="275"/>
      <c r="AE154" s="310">
        <f>-324.66-312.91</f>
        <v>-637.57000000000005</v>
      </c>
      <c r="AF154" s="275" t="s">
        <v>0</v>
      </c>
      <c r="AG154" s="275"/>
      <c r="AH154" s="275"/>
      <c r="AI154" s="310">
        <v>-638</v>
      </c>
      <c r="AK154" s="275"/>
      <c r="AL154" s="275"/>
      <c r="AN154" s="310">
        <v>-637.57000000000005</v>
      </c>
      <c r="AO154" s="275" t="s">
        <v>163</v>
      </c>
      <c r="AP154" s="275"/>
      <c r="AR154" s="310">
        <v>-637.57000000000005</v>
      </c>
      <c r="AS154" s="275"/>
      <c r="AT154" s="275" t="s">
        <v>0</v>
      </c>
      <c r="AV154" s="310">
        <v>-637.57000000000005</v>
      </c>
      <c r="AW154" s="569"/>
      <c r="AX154" s="275"/>
      <c r="AY154" s="275"/>
      <c r="BA154" s="310">
        <v>-638</v>
      </c>
      <c r="BC154" s="275"/>
      <c r="BD154" s="275"/>
      <c r="BG154" s="310">
        <v>-638</v>
      </c>
      <c r="BI154" s="275"/>
      <c r="BK154" s="275"/>
      <c r="BL154" s="275"/>
      <c r="BM154" s="310">
        <v>-638</v>
      </c>
      <c r="BN154" s="275"/>
      <c r="BQ154" s="275"/>
      <c r="BS154" s="275" t="s">
        <v>0</v>
      </c>
      <c r="BT154" s="275">
        <v>0</v>
      </c>
      <c r="BU154" s="275"/>
      <c r="BV154" s="585"/>
      <c r="BW154" s="275"/>
      <c r="BX154" s="275"/>
      <c r="BZ154" s="275"/>
      <c r="CA154" s="275"/>
      <c r="CB154" s="275"/>
      <c r="CC154" s="275"/>
      <c r="CD154" s="275">
        <v>-638</v>
      </c>
      <c r="CE154" s="275">
        <v>-638</v>
      </c>
      <c r="CF154" s="275"/>
      <c r="CG154" s="275"/>
      <c r="CI154" s="275">
        <v>-638</v>
      </c>
      <c r="CJ154" s="275"/>
      <c r="CK154" s="275"/>
      <c r="CL154" s="275"/>
      <c r="CM154" s="275">
        <v>-638</v>
      </c>
      <c r="CR154" s="275">
        <v>-638</v>
      </c>
      <c r="CS154" s="275">
        <v>-638</v>
      </c>
      <c r="CT154" s="275">
        <v>-638</v>
      </c>
      <c r="CU154" s="275">
        <v>-638</v>
      </c>
      <c r="CV154" s="275">
        <v>-638</v>
      </c>
      <c r="CW154" s="275">
        <v>-638</v>
      </c>
      <c r="CX154" s="275">
        <v>-638</v>
      </c>
      <c r="CY154" s="275">
        <v>-638</v>
      </c>
      <c r="CZ154" s="275">
        <v>-638</v>
      </c>
    </row>
    <row r="155" spans="1:104" s="211" customFormat="1" ht="15" outlineLevel="1">
      <c r="A155" s="323"/>
      <c r="B155" s="519" t="s">
        <v>176</v>
      </c>
      <c r="F155" s="268"/>
      <c r="G155" s="268">
        <v>-3550</v>
      </c>
      <c r="H155" s="268"/>
      <c r="I155" s="268"/>
      <c r="J155" s="268"/>
      <c r="K155" s="268">
        <v>-2706.99</v>
      </c>
      <c r="L155" s="268"/>
      <c r="M155" s="268"/>
      <c r="N155" s="268"/>
      <c r="O155" s="269">
        <v>-6016</v>
      </c>
      <c r="P155" s="275"/>
      <c r="Q155" s="275"/>
      <c r="R155" s="275"/>
      <c r="S155" s="275"/>
      <c r="T155" s="275">
        <v>0</v>
      </c>
      <c r="U155" s="275" t="s">
        <v>0</v>
      </c>
      <c r="V155" s="275"/>
      <c r="W155" s="275">
        <v>0</v>
      </c>
      <c r="X155" s="310">
        <v>-4910.4799999999996</v>
      </c>
      <c r="Y155" s="275"/>
      <c r="Z155" s="275"/>
      <c r="AA155" s="275"/>
      <c r="AB155" s="310">
        <v>-914.92</v>
      </c>
      <c r="AC155" s="275"/>
      <c r="AD155" s="275"/>
      <c r="AE155" s="275"/>
      <c r="AG155" s="310">
        <v>-3508.82</v>
      </c>
      <c r="AH155" s="275"/>
      <c r="AI155" s="275"/>
      <c r="AK155" s="310">
        <v>-5165</v>
      </c>
      <c r="AL155" s="275" t="s">
        <v>0</v>
      </c>
      <c r="AM155" s="275"/>
      <c r="AN155" s="275"/>
      <c r="AP155" s="269">
        <v>-3293.06</v>
      </c>
      <c r="AQ155" s="275"/>
      <c r="AR155" s="275"/>
      <c r="AS155" s="275"/>
      <c r="AT155" s="310">
        <v>-726.27</v>
      </c>
      <c r="AU155" s="275">
        <v>0</v>
      </c>
      <c r="AW155" s="569"/>
      <c r="AX155" s="310">
        <v>-2780.92</v>
      </c>
      <c r="AY155" s="275" t="s">
        <v>0</v>
      </c>
      <c r="AZ155" s="275"/>
      <c r="BA155" s="275"/>
      <c r="BB155" s="269">
        <f>-1000-6167.81</f>
        <v>-7167.81</v>
      </c>
      <c r="BC155" s="275" t="s">
        <v>0</v>
      </c>
      <c r="BD155" s="275"/>
      <c r="BE155" s="275"/>
      <c r="BF155" s="275"/>
      <c r="BI155" s="310">
        <v>-3557.4</v>
      </c>
      <c r="BJ155" s="275" t="s">
        <v>0</v>
      </c>
      <c r="BK155" s="275"/>
      <c r="BL155" s="275"/>
      <c r="BM155" s="275"/>
      <c r="BN155" s="275"/>
      <c r="BO155" s="310">
        <v>-3984.3</v>
      </c>
      <c r="BQ155" s="275"/>
      <c r="BR155" s="275"/>
      <c r="BS155" s="275"/>
      <c r="BU155" s="275"/>
      <c r="BV155" s="592">
        <v>-3171.06</v>
      </c>
      <c r="BW155" s="275"/>
      <c r="BX155" s="275"/>
      <c r="BY155" s="275">
        <v>-3000</v>
      </c>
      <c r="BZ155" s="275"/>
      <c r="CA155" s="275"/>
      <c r="CB155" s="275"/>
      <c r="CC155" s="275"/>
      <c r="CD155" s="275"/>
      <c r="CE155" s="275">
        <v>-3000</v>
      </c>
      <c r="CF155" s="275"/>
      <c r="CG155" s="275"/>
      <c r="CI155" s="275">
        <v>-3000</v>
      </c>
      <c r="CJ155" s="275"/>
      <c r="CK155" s="275"/>
      <c r="CL155" s="275"/>
      <c r="CM155" s="275">
        <v>-3000</v>
      </c>
      <c r="CR155" s="275">
        <v>-3000</v>
      </c>
      <c r="CS155" s="275">
        <v>-3000</v>
      </c>
      <c r="CT155" s="275">
        <v>-3000</v>
      </c>
      <c r="CU155" s="275">
        <v>-3000</v>
      </c>
      <c r="CV155" s="275">
        <v>-3000</v>
      </c>
      <c r="CW155" s="275">
        <v>-3000</v>
      </c>
      <c r="CX155" s="275">
        <v>-3000</v>
      </c>
      <c r="CY155" s="275">
        <v>-3000</v>
      </c>
      <c r="CZ155" s="275">
        <v>-3000</v>
      </c>
    </row>
    <row r="156" spans="1:104" s="211" customFormat="1" ht="15" outlineLevel="1">
      <c r="A156" s="323"/>
      <c r="B156" s="519" t="s">
        <v>177</v>
      </c>
      <c r="F156" s="268"/>
      <c r="G156" s="268"/>
      <c r="H156" s="268">
        <v>-2563</v>
      </c>
      <c r="I156" s="268"/>
      <c r="J156" s="268"/>
      <c r="K156" s="268"/>
      <c r="L156" s="268"/>
      <c r="M156" s="268"/>
      <c r="N156" s="268"/>
      <c r="O156" s="268"/>
      <c r="P156" s="275"/>
      <c r="Q156" s="275"/>
      <c r="R156" s="275"/>
      <c r="S156" s="275"/>
      <c r="T156" s="310">
        <v>-2265</v>
      </c>
      <c r="U156" s="310">
        <v>-1818.98</v>
      </c>
      <c r="V156" s="275"/>
      <c r="W156" s="275"/>
      <c r="X156" s="275">
        <v>0</v>
      </c>
      <c r="Z156" s="275">
        <v>0</v>
      </c>
      <c r="AA156" s="275">
        <v>0</v>
      </c>
      <c r="AB156" s="275">
        <v>0</v>
      </c>
      <c r="AC156" s="275">
        <v>0</v>
      </c>
      <c r="AD156" s="275">
        <v>0</v>
      </c>
      <c r="AE156" s="275" t="s">
        <v>0</v>
      </c>
      <c r="AG156" s="275" t="s">
        <v>0</v>
      </c>
      <c r="AH156" s="310">
        <v>-2206.1</v>
      </c>
      <c r="AI156" s="275"/>
      <c r="AJ156" s="275" t="s">
        <v>0</v>
      </c>
      <c r="AK156" s="275"/>
      <c r="AL156" s="275"/>
      <c r="AM156" s="275"/>
      <c r="AN156" s="275"/>
      <c r="AO156" s="275">
        <v>0</v>
      </c>
      <c r="AP156" s="275"/>
      <c r="AQ156" s="275"/>
      <c r="AR156" s="275"/>
      <c r="AS156" s="275"/>
      <c r="AT156" s="275"/>
      <c r="AU156" s="310">
        <v>-1388.34</v>
      </c>
      <c r="AV156" s="275">
        <v>0</v>
      </c>
      <c r="AW156" s="275"/>
      <c r="AX156" s="275"/>
      <c r="AY156" s="275"/>
      <c r="AZ156" s="275"/>
      <c r="BA156" s="275"/>
      <c r="BB156" s="275"/>
      <c r="BC156" s="275"/>
      <c r="BD156" s="275"/>
      <c r="BE156" s="275"/>
      <c r="BF156" s="275"/>
      <c r="BH156" s="275"/>
      <c r="BJ156" s="310">
        <v>-2218.7199999999998</v>
      </c>
      <c r="BK156" s="275"/>
      <c r="BL156" s="275"/>
      <c r="BM156" s="275"/>
      <c r="BN156" s="275"/>
      <c r="BO156" s="310">
        <v>19.940000000000001</v>
      </c>
      <c r="BQ156" s="275"/>
      <c r="BR156" s="275"/>
      <c r="BS156" s="275"/>
      <c r="BT156" s="275" t="s">
        <v>163</v>
      </c>
      <c r="BU156" s="275"/>
      <c r="BV156" s="585"/>
      <c r="BW156" s="275"/>
      <c r="BX156" s="275"/>
      <c r="BY156" s="275">
        <v>-2000</v>
      </c>
      <c r="BZ156" s="275"/>
      <c r="CA156" s="275"/>
      <c r="CB156" s="275"/>
      <c r="CC156" s="275"/>
      <c r="CD156" s="275"/>
      <c r="CE156" s="275">
        <v>-2000</v>
      </c>
      <c r="CF156" s="275"/>
      <c r="CG156" s="275"/>
      <c r="CI156" s="275">
        <v>-2000</v>
      </c>
      <c r="CJ156" s="275"/>
      <c r="CK156" s="275"/>
      <c r="CL156" s="275"/>
      <c r="CM156" s="275">
        <v>-2000</v>
      </c>
      <c r="CR156" s="275">
        <v>-2000</v>
      </c>
      <c r="CS156" s="275">
        <v>-2000</v>
      </c>
      <c r="CT156" s="275">
        <v>-2000</v>
      </c>
      <c r="CU156" s="275">
        <v>-2000</v>
      </c>
      <c r="CV156" s="275">
        <v>-2000</v>
      </c>
      <c r="CW156" s="275">
        <v>-2000</v>
      </c>
      <c r="CX156" s="275">
        <v>-2000</v>
      </c>
      <c r="CY156" s="275">
        <v>-2000</v>
      </c>
      <c r="CZ156" s="275">
        <v>-2000</v>
      </c>
    </row>
    <row r="157" spans="1:104" s="211" customFormat="1" ht="15" outlineLevel="1">
      <c r="A157" s="323"/>
      <c r="B157" s="519" t="s">
        <v>178</v>
      </c>
      <c r="F157" s="268"/>
      <c r="G157" s="268"/>
      <c r="H157" s="268"/>
      <c r="I157" s="268"/>
      <c r="J157" s="269">
        <f>-62.5-33.26</f>
        <v>-95.759999999999991</v>
      </c>
      <c r="K157" s="268"/>
      <c r="L157" s="268"/>
      <c r="M157" s="268"/>
      <c r="N157" s="269">
        <v>-32.32</v>
      </c>
      <c r="O157" s="268"/>
      <c r="P157" s="275"/>
      <c r="Q157" s="275"/>
      <c r="R157" s="310">
        <v>-31.38</v>
      </c>
      <c r="S157" s="275"/>
      <c r="T157" s="275"/>
      <c r="U157" s="275"/>
      <c r="V157" s="310">
        <v>-86.29</v>
      </c>
      <c r="W157" s="310">
        <f>-62.5-30.93</f>
        <v>-93.43</v>
      </c>
      <c r="X157" s="275"/>
      <c r="Y157" s="275"/>
      <c r="Z157" s="275"/>
      <c r="AA157" s="310">
        <v>-29.99</v>
      </c>
      <c r="AB157" s="310">
        <v>-12.7</v>
      </c>
      <c r="AC157" s="275"/>
      <c r="AD157" s="275"/>
      <c r="AE157" s="310">
        <v>-29.05</v>
      </c>
      <c r="AF157" s="275"/>
      <c r="AG157" s="275"/>
      <c r="AH157" s="275"/>
      <c r="AI157" s="310">
        <v>-87.1</v>
      </c>
      <c r="AJ157" s="310">
        <f>-28.52-62.5</f>
        <v>-91.02</v>
      </c>
      <c r="AK157" s="275"/>
      <c r="AL157" s="275"/>
      <c r="AM157" s="275"/>
      <c r="AN157" s="310">
        <v>-27.58</v>
      </c>
      <c r="AO157" s="275"/>
      <c r="AP157" s="275"/>
      <c r="AQ157" s="275"/>
      <c r="AR157" s="310">
        <v>-26.64</v>
      </c>
      <c r="AS157" s="275"/>
      <c r="AT157" s="275"/>
      <c r="AU157" s="275"/>
      <c r="AV157" s="607">
        <v>-93.05</v>
      </c>
      <c r="AW157" s="310">
        <f>-26.07-62.5</f>
        <v>-88.57</v>
      </c>
      <c r="AX157" s="275"/>
      <c r="AY157" s="275"/>
      <c r="AZ157" s="275"/>
      <c r="BA157" s="607">
        <v>-25.13</v>
      </c>
      <c r="BB157" s="275" t="s">
        <v>0</v>
      </c>
      <c r="BC157" s="275"/>
      <c r="BD157" s="275"/>
      <c r="BE157" s="275"/>
      <c r="BF157" s="310">
        <v>-24.19</v>
      </c>
      <c r="BI157" s="275"/>
      <c r="BJ157" s="275"/>
      <c r="BK157" s="275"/>
      <c r="BL157" s="275"/>
      <c r="BM157" s="310">
        <f>-79.5-23.57-62.5</f>
        <v>-165.57</v>
      </c>
      <c r="BN157" s="275"/>
      <c r="BQ157" s="275"/>
      <c r="BS157" s="310">
        <v>-20.8</v>
      </c>
      <c r="BU157" s="275"/>
      <c r="BV157" s="585">
        <v>-100</v>
      </c>
      <c r="BW157" s="275"/>
      <c r="BX157" s="275"/>
      <c r="BY157" s="275">
        <v>-100</v>
      </c>
      <c r="BZ157" s="275"/>
      <c r="CA157" s="275"/>
      <c r="CB157" s="275"/>
      <c r="CC157" s="275"/>
      <c r="CD157" s="275"/>
      <c r="CE157" s="275">
        <v>-100</v>
      </c>
      <c r="CF157" s="275"/>
      <c r="CG157" s="275"/>
      <c r="CI157" s="275">
        <v>-100</v>
      </c>
      <c r="CJ157" s="275"/>
      <c r="CK157" s="275"/>
      <c r="CL157" s="275"/>
      <c r="CM157" s="275">
        <v>-100</v>
      </c>
      <c r="CR157" s="275">
        <v>-100</v>
      </c>
      <c r="CS157" s="275">
        <v>-100</v>
      </c>
      <c r="CT157" s="275">
        <v>-100</v>
      </c>
      <c r="CU157" s="275">
        <v>-100</v>
      </c>
      <c r="CV157" s="275">
        <v>-100</v>
      </c>
      <c r="CW157" s="275">
        <v>-100</v>
      </c>
      <c r="CX157" s="275">
        <v>-100</v>
      </c>
      <c r="CY157" s="275">
        <v>-100</v>
      </c>
      <c r="CZ157" s="275">
        <v>-100</v>
      </c>
    </row>
    <row r="158" spans="1:104" s="211" customFormat="1" ht="15" outlineLevel="1">
      <c r="A158" s="323"/>
      <c r="B158" s="519" t="s">
        <v>756</v>
      </c>
      <c r="F158" s="268"/>
      <c r="G158" s="268"/>
      <c r="H158" s="268"/>
      <c r="I158" s="268"/>
      <c r="J158" s="268"/>
      <c r="K158" s="268"/>
      <c r="L158" s="268"/>
      <c r="M158" s="268"/>
      <c r="N158" s="268"/>
      <c r="O158" s="268"/>
      <c r="P158" s="275"/>
      <c r="Q158" s="275"/>
      <c r="R158" s="275"/>
      <c r="S158" s="275"/>
      <c r="T158" s="275"/>
      <c r="U158" s="275"/>
      <c r="V158" s="275"/>
      <c r="W158" s="275"/>
      <c r="X158" s="275"/>
      <c r="Y158" s="275"/>
      <c r="Z158" s="275"/>
      <c r="AA158" s="275"/>
      <c r="AB158" s="275"/>
      <c r="AC158" s="275"/>
      <c r="AD158" s="275"/>
      <c r="AE158" s="275"/>
      <c r="AF158" s="275"/>
      <c r="AG158" s="275"/>
      <c r="AH158" s="275"/>
      <c r="AI158" s="275"/>
      <c r="AJ158" s="275"/>
      <c r="AK158" s="275"/>
      <c r="AL158" s="275"/>
      <c r="AM158" s="275"/>
      <c r="AN158" s="275"/>
      <c r="AO158" s="275"/>
      <c r="AP158" s="275"/>
      <c r="AQ158" s="275"/>
      <c r="AR158" s="275"/>
      <c r="AS158" s="275"/>
      <c r="AT158" s="275"/>
      <c r="AU158" s="275"/>
      <c r="AW158" s="275"/>
      <c r="AX158" s="275"/>
      <c r="AY158" s="275"/>
      <c r="AZ158" s="275"/>
      <c r="BB158" s="310">
        <v>-214.5</v>
      </c>
      <c r="BC158" s="275"/>
      <c r="BD158" s="275"/>
      <c r="BE158" s="275"/>
      <c r="BF158" s="275"/>
      <c r="BG158" s="268" t="s">
        <v>0</v>
      </c>
      <c r="BJ158" s="275" t="s">
        <v>0</v>
      </c>
      <c r="BK158" s="275"/>
      <c r="BL158" s="275"/>
      <c r="BM158" s="275"/>
      <c r="BN158" s="275"/>
      <c r="BQ158" s="275"/>
      <c r="BS158" s="275" t="s">
        <v>0</v>
      </c>
      <c r="BU158" s="275"/>
      <c r="BV158" s="585">
        <v>-60</v>
      </c>
      <c r="BW158" s="275"/>
      <c r="BX158" s="275"/>
      <c r="BY158" s="275">
        <v>-60</v>
      </c>
      <c r="BZ158" s="275"/>
      <c r="CA158" s="275"/>
      <c r="CB158" s="275"/>
      <c r="CC158" s="275"/>
      <c r="CD158" s="275"/>
      <c r="CE158" s="211">
        <v>-60</v>
      </c>
      <c r="CI158" s="211">
        <v>-60</v>
      </c>
      <c r="CM158" s="211">
        <v>-60</v>
      </c>
      <c r="CR158" s="211">
        <v>-60</v>
      </c>
      <c r="CS158" s="211">
        <v>-60</v>
      </c>
      <c r="CT158" s="211">
        <v>-60</v>
      </c>
      <c r="CU158" s="211">
        <v>-60</v>
      </c>
      <c r="CV158" s="211">
        <v>-60</v>
      </c>
      <c r="CW158" s="211">
        <v>-60</v>
      </c>
      <c r="CX158" s="211">
        <v>-60</v>
      </c>
      <c r="CY158" s="211">
        <v>-60</v>
      </c>
      <c r="CZ158" s="211">
        <v>-60</v>
      </c>
    </row>
    <row r="159" spans="1:104" s="211" customFormat="1" ht="15" outlineLevel="1">
      <c r="A159" s="323"/>
      <c r="B159" s="519" t="s">
        <v>179</v>
      </c>
      <c r="F159" s="268"/>
      <c r="G159" s="268"/>
      <c r="H159" s="269">
        <v>-186</v>
      </c>
      <c r="I159" s="268"/>
      <c r="J159" s="268"/>
      <c r="K159" s="268"/>
      <c r="L159" s="269">
        <f>H159</f>
        <v>-186</v>
      </c>
      <c r="M159" s="268"/>
      <c r="N159" s="268"/>
      <c r="O159" s="268" t="s">
        <v>0</v>
      </c>
      <c r="P159" s="275" t="s">
        <v>0</v>
      </c>
      <c r="Q159" s="310">
        <v>-186</v>
      </c>
      <c r="R159" s="275"/>
      <c r="S159" s="275" t="str">
        <f>O159</f>
        <v xml:space="preserve"> </v>
      </c>
      <c r="T159" s="275"/>
      <c r="U159" s="310">
        <v>-186</v>
      </c>
      <c r="V159" s="275"/>
      <c r="W159" s="275" t="str">
        <f>S159</f>
        <v xml:space="preserve"> </v>
      </c>
      <c r="X159" s="275"/>
      <c r="Y159" s="275"/>
      <c r="Z159" s="310">
        <v>-186.17</v>
      </c>
      <c r="AA159" s="275"/>
      <c r="AB159" s="275" t="str">
        <f>O159</f>
        <v xml:space="preserve"> </v>
      </c>
      <c r="AC159" s="275"/>
      <c r="AD159" s="310">
        <v>-186.26</v>
      </c>
      <c r="AE159" s="275"/>
      <c r="AF159" s="275" t="str">
        <f>S159</f>
        <v xml:space="preserve"> </v>
      </c>
      <c r="AG159" s="275"/>
      <c r="AH159" s="310">
        <v>-186.17</v>
      </c>
      <c r="AI159" s="275" t="s">
        <v>0</v>
      </c>
      <c r="AK159" s="275"/>
      <c r="AM159" s="310">
        <v>-200.01</v>
      </c>
      <c r="AN159" s="275"/>
      <c r="AO159" s="275">
        <v>0</v>
      </c>
      <c r="AP159" s="275" t="s">
        <v>0</v>
      </c>
      <c r="AQ159" s="310">
        <v>-102.72</v>
      </c>
      <c r="AR159" s="275"/>
      <c r="AS159" s="275"/>
      <c r="AU159" s="310">
        <v>-127.96</v>
      </c>
      <c r="AV159" s="275" t="s">
        <v>0</v>
      </c>
      <c r="AW159" s="569"/>
      <c r="AX159" s="275"/>
      <c r="AZ159" s="310">
        <v>-127.87</v>
      </c>
      <c r="BA159" s="275"/>
      <c r="BB159" s="275" t="s">
        <v>0</v>
      </c>
      <c r="BE159" s="310">
        <v>-127.87</v>
      </c>
      <c r="BF159" s="275" t="s">
        <v>0</v>
      </c>
      <c r="BI159" s="275"/>
      <c r="BJ159" s="310">
        <v>-127.87</v>
      </c>
      <c r="BK159" s="275"/>
      <c r="BL159" s="275"/>
      <c r="BM159" s="275"/>
      <c r="BN159" s="275"/>
      <c r="BQ159" s="275"/>
      <c r="BR159" s="310">
        <v>-130.47</v>
      </c>
      <c r="BS159" s="275"/>
      <c r="BU159" s="275"/>
      <c r="BV159" s="585">
        <v>-186</v>
      </c>
      <c r="BW159" s="275"/>
      <c r="BX159" s="275"/>
      <c r="BY159" s="275">
        <v>-186</v>
      </c>
      <c r="BZ159" s="275"/>
      <c r="CA159" s="275"/>
      <c r="CB159" s="275"/>
      <c r="CC159" s="275"/>
      <c r="CD159" s="275"/>
      <c r="CE159" s="275">
        <v>-186</v>
      </c>
      <c r="CF159" s="275"/>
      <c r="CG159" s="275"/>
      <c r="CI159" s="275">
        <v>-186</v>
      </c>
      <c r="CJ159" s="275"/>
      <c r="CK159" s="275"/>
      <c r="CL159" s="275"/>
      <c r="CM159" s="275">
        <v>-186</v>
      </c>
      <c r="CR159" s="275">
        <v>-186</v>
      </c>
      <c r="CS159" s="275">
        <v>-186</v>
      </c>
      <c r="CT159" s="275">
        <v>-186</v>
      </c>
      <c r="CU159" s="275">
        <v>-186</v>
      </c>
      <c r="CV159" s="275">
        <v>-186</v>
      </c>
      <c r="CW159" s="275">
        <v>-186</v>
      </c>
      <c r="CX159" s="275">
        <v>-186</v>
      </c>
      <c r="CY159" s="275">
        <v>-186</v>
      </c>
      <c r="CZ159" s="275">
        <v>-186</v>
      </c>
    </row>
    <row r="160" spans="1:104" s="211" customFormat="1" ht="15" outlineLevel="1">
      <c r="A160" s="323"/>
      <c r="B160" s="519" t="s">
        <v>180</v>
      </c>
      <c r="F160" s="268"/>
      <c r="G160" s="268"/>
      <c r="H160" s="268"/>
      <c r="I160" s="268"/>
      <c r="J160" s="268"/>
      <c r="K160" s="268"/>
      <c r="L160" s="269">
        <v>-35.67</v>
      </c>
      <c r="M160" s="268"/>
      <c r="N160" s="268"/>
      <c r="O160" s="268"/>
      <c r="P160" s="310">
        <v>-36</v>
      </c>
      <c r="Q160" s="275"/>
      <c r="R160" s="275"/>
      <c r="S160" s="275"/>
      <c r="T160" s="310">
        <v>-35.67</v>
      </c>
      <c r="U160" s="275"/>
      <c r="V160" s="275"/>
      <c r="W160" s="275"/>
      <c r="X160" s="275"/>
      <c r="Y160" s="310">
        <v>-35.67</v>
      </c>
      <c r="Z160" s="275"/>
      <c r="AA160" s="275"/>
      <c r="AB160" s="275"/>
      <c r="AC160" s="310">
        <v>-35.67</v>
      </c>
      <c r="AD160" s="275"/>
      <c r="AE160" s="275"/>
      <c r="AF160" s="275"/>
      <c r="AG160" s="310">
        <v>-35.67</v>
      </c>
      <c r="AH160" s="275" t="s">
        <v>0</v>
      </c>
      <c r="AI160" s="275"/>
      <c r="AJ160" s="275"/>
      <c r="AK160" s="275">
        <v>0</v>
      </c>
      <c r="AL160" s="310">
        <v>-35.67</v>
      </c>
      <c r="AM160" s="275"/>
      <c r="AN160" s="275"/>
      <c r="AO160" s="275">
        <v>0</v>
      </c>
      <c r="AP160" s="310">
        <v>-35.67</v>
      </c>
      <c r="AQ160" s="275"/>
      <c r="AR160" s="275"/>
      <c r="AS160" s="275"/>
      <c r="AU160" s="310">
        <v>-35.67</v>
      </c>
      <c r="AV160" s="275" t="s">
        <v>0</v>
      </c>
      <c r="AW160" s="275" t="s">
        <v>0</v>
      </c>
      <c r="AX160" s="275"/>
      <c r="AY160" s="310">
        <v>-35.67</v>
      </c>
      <c r="AZ160" s="275"/>
      <c r="BA160" s="275"/>
      <c r="BC160" s="310">
        <v>-38.130000000000003</v>
      </c>
      <c r="BE160" s="275"/>
      <c r="BF160" s="275"/>
      <c r="BJ160" s="310">
        <v>-38.130000000000003</v>
      </c>
      <c r="BK160" s="275"/>
      <c r="BL160" s="275"/>
      <c r="BM160" s="275"/>
      <c r="BN160" s="275"/>
      <c r="BP160" s="627">
        <v>-38.130000000000003</v>
      </c>
      <c r="BQ160" s="275"/>
      <c r="BR160" s="275"/>
      <c r="BS160" s="275"/>
      <c r="BU160" s="275"/>
      <c r="BV160" s="585">
        <v>-35.67</v>
      </c>
      <c r="BW160" s="275"/>
      <c r="BX160" s="275"/>
      <c r="BY160" s="275">
        <v>-35.67</v>
      </c>
      <c r="BZ160" s="275"/>
      <c r="CA160" s="275"/>
      <c r="CB160" s="275"/>
      <c r="CC160" s="275"/>
      <c r="CD160" s="275"/>
      <c r="CE160" s="275">
        <v>-35.67</v>
      </c>
      <c r="CF160" s="275"/>
      <c r="CG160" s="275"/>
      <c r="CI160" s="275">
        <v>-35.67</v>
      </c>
      <c r="CJ160" s="275"/>
      <c r="CK160" s="275"/>
      <c r="CL160" s="275"/>
      <c r="CM160" s="275">
        <v>-35.67</v>
      </c>
      <c r="CR160" s="275">
        <v>-35.67</v>
      </c>
      <c r="CS160" s="275">
        <v>-35.67</v>
      </c>
      <c r="CT160" s="275">
        <v>-35.67</v>
      </c>
      <c r="CU160" s="275">
        <v>-35.67</v>
      </c>
      <c r="CV160" s="275">
        <v>-35.67</v>
      </c>
      <c r="CW160" s="275">
        <v>-35.67</v>
      </c>
      <c r="CX160" s="275">
        <v>-35.67</v>
      </c>
      <c r="CY160" s="275">
        <v>-35.67</v>
      </c>
      <c r="CZ160" s="275">
        <v>-35.67</v>
      </c>
    </row>
    <row r="161" spans="1:104" s="211" customFormat="1" ht="15" outlineLevel="1">
      <c r="A161" s="323"/>
      <c r="B161" s="519" t="s">
        <v>181</v>
      </c>
      <c r="F161" s="268"/>
      <c r="G161" s="268"/>
      <c r="H161" s="268"/>
      <c r="I161" s="268"/>
      <c r="J161" s="268"/>
      <c r="K161" s="268"/>
      <c r="L161" s="268"/>
      <c r="M161" s="269">
        <v>-20</v>
      </c>
      <c r="N161" s="268"/>
      <c r="O161" s="268"/>
      <c r="P161" s="275"/>
      <c r="Q161" s="275"/>
      <c r="R161" s="310">
        <v>-20</v>
      </c>
      <c r="S161" s="275"/>
      <c r="T161" s="275"/>
      <c r="U161" s="275"/>
      <c r="V161" s="310">
        <v>-20</v>
      </c>
      <c r="W161" s="275"/>
      <c r="X161" s="275"/>
      <c r="Y161" s="275"/>
      <c r="Z161" s="310">
        <v>-20</v>
      </c>
      <c r="AA161" s="275"/>
      <c r="AB161" s="275"/>
      <c r="AC161" s="275"/>
      <c r="AD161" s="275"/>
      <c r="AE161" s="310">
        <v>-20</v>
      </c>
      <c r="AF161" s="275"/>
      <c r="AG161" s="275"/>
      <c r="AH161" s="275"/>
      <c r="AI161" s="310">
        <v>-20</v>
      </c>
      <c r="AJ161" s="275"/>
      <c r="AK161" s="275"/>
      <c r="AL161" s="275"/>
      <c r="AM161" s="310">
        <v>-20</v>
      </c>
      <c r="AN161" s="275"/>
      <c r="AO161" s="275"/>
      <c r="AP161" s="275"/>
      <c r="AQ161" s="275"/>
      <c r="AR161" s="310">
        <v>-20</v>
      </c>
      <c r="AS161" s="275"/>
      <c r="AT161" s="275"/>
      <c r="AU161" s="275"/>
      <c r="AW161" s="275">
        <v>0</v>
      </c>
      <c r="AX161" s="275">
        <v>0</v>
      </c>
      <c r="AY161" s="275"/>
      <c r="BE161" s="275" t="s">
        <v>0</v>
      </c>
      <c r="BG161" s="275" t="s">
        <v>0</v>
      </c>
      <c r="BK161" s="275"/>
      <c r="BL161" s="275" t="s">
        <v>0</v>
      </c>
      <c r="BM161" s="275" t="s">
        <v>0</v>
      </c>
      <c r="BN161" s="275"/>
      <c r="BQ161" s="275"/>
      <c r="BR161" s="275" t="s">
        <v>0</v>
      </c>
      <c r="BS161" s="275" t="s">
        <v>0</v>
      </c>
      <c r="BU161" s="275"/>
      <c r="BV161" s="585">
        <v>-20</v>
      </c>
      <c r="BW161" s="275"/>
      <c r="BX161" s="275"/>
      <c r="BY161" s="275">
        <v>-20</v>
      </c>
      <c r="BZ161" s="275"/>
      <c r="CA161" s="275"/>
      <c r="CB161" s="275"/>
      <c r="CC161" s="275"/>
      <c r="CD161" s="275"/>
      <c r="CE161" s="275">
        <v>-20</v>
      </c>
      <c r="CF161" s="275"/>
      <c r="CG161" s="275"/>
      <c r="CI161" s="275">
        <v>-20</v>
      </c>
      <c r="CJ161" s="275"/>
      <c r="CK161" s="275"/>
      <c r="CL161" s="275"/>
      <c r="CM161" s="275">
        <v>-20</v>
      </c>
      <c r="CR161" s="275">
        <v>-20</v>
      </c>
      <c r="CS161" s="275">
        <v>-20</v>
      </c>
      <c r="CT161" s="275">
        <v>-20</v>
      </c>
      <c r="CU161" s="275">
        <v>-20</v>
      </c>
      <c r="CV161" s="275">
        <v>-20</v>
      </c>
      <c r="CW161" s="275">
        <v>-20</v>
      </c>
      <c r="CX161" s="275">
        <v>-20</v>
      </c>
      <c r="CY161" s="275">
        <v>-20</v>
      </c>
      <c r="CZ161" s="275">
        <v>-20</v>
      </c>
    </row>
    <row r="162" spans="1:104" s="211" customFormat="1" ht="15" outlineLevel="1">
      <c r="A162" s="323"/>
      <c r="B162" s="519" t="s">
        <v>182</v>
      </c>
      <c r="F162" s="268"/>
      <c r="G162" s="268"/>
      <c r="H162" s="268"/>
      <c r="I162" s="268"/>
      <c r="J162" s="268"/>
      <c r="K162" s="268"/>
      <c r="L162" s="268"/>
      <c r="M162" s="268"/>
      <c r="N162" s="269">
        <v>-28</v>
      </c>
      <c r="O162" s="269">
        <v>-30.05</v>
      </c>
      <c r="P162" s="275" t="s">
        <v>0</v>
      </c>
      <c r="Q162" s="310">
        <v>-17</v>
      </c>
      <c r="R162" s="310">
        <f>-6.8-9-19.9</f>
        <v>-35.700000000000003</v>
      </c>
      <c r="S162" s="275"/>
      <c r="T162" s="310">
        <f>-11.39-6.8-10.7</f>
        <v>-28.89</v>
      </c>
      <c r="U162" s="275"/>
      <c r="V162" s="275"/>
      <c r="W162" s="275"/>
      <c r="X162" s="310">
        <v>-17</v>
      </c>
      <c r="Y162" s="310">
        <f>-39.5-11.2-2</f>
        <v>-52.7</v>
      </c>
      <c r="Z162" s="310">
        <f>-13.5-33.6-0.48</f>
        <v>-47.58</v>
      </c>
      <c r="AA162" s="310">
        <v>-12</v>
      </c>
      <c r="AB162" s="275"/>
      <c r="AC162" s="310">
        <f>-9-13.5</f>
        <v>-22.5</v>
      </c>
      <c r="AD162" s="310">
        <v>-16.100000000000001</v>
      </c>
      <c r="AE162" s="310">
        <v>-13.5</v>
      </c>
      <c r="AF162" s="275"/>
      <c r="AG162" s="275"/>
      <c r="AH162" s="310">
        <f>-160-1-52.66</f>
        <v>-213.66</v>
      </c>
      <c r="AI162" s="310">
        <f>-5-57.6</f>
        <v>-62.6</v>
      </c>
      <c r="AJ162" s="310">
        <f>-3.4-21.25-3.4-27.96</f>
        <v>-56.01</v>
      </c>
      <c r="AK162" s="275"/>
      <c r="AL162" s="310">
        <v>-55.27</v>
      </c>
      <c r="AM162" s="310">
        <v>-250</v>
      </c>
      <c r="AN162" s="310">
        <f>250-101.34</f>
        <v>148.66</v>
      </c>
      <c r="AO162" s="275"/>
      <c r="AP162" s="275"/>
      <c r="AQ162" s="275"/>
      <c r="AR162" s="310">
        <v>-101.34</v>
      </c>
      <c r="AS162" s="275"/>
      <c r="AT162" s="275"/>
      <c r="AU162" s="275"/>
      <c r="AV162" s="310">
        <v>-26.35</v>
      </c>
      <c r="AW162" s="275"/>
      <c r="AX162" s="275"/>
      <c r="AZ162" s="310">
        <f>-12.5-6.99</f>
        <v>-19.490000000000002</v>
      </c>
      <c r="BA162" s="310">
        <f>-1.9</f>
        <v>-1.9</v>
      </c>
      <c r="BB162" s="310">
        <f>-16.5-74</f>
        <v>-90.5</v>
      </c>
      <c r="BE162" s="275"/>
      <c r="BF162" s="275"/>
      <c r="BG162" s="275"/>
      <c r="BH162" s="275"/>
      <c r="BI162" s="275"/>
      <c r="BJ162" s="310">
        <v>-12.25</v>
      </c>
      <c r="BK162" s="275"/>
      <c r="BL162" s="310">
        <v>-188.93</v>
      </c>
      <c r="BM162" s="275"/>
      <c r="BN162" s="275"/>
      <c r="BO162" s="607">
        <v>-8.99</v>
      </c>
      <c r="BP162" s="607">
        <v>-13.65</v>
      </c>
      <c r="BV162" s="583"/>
    </row>
    <row r="163" spans="1:104" s="211" customFormat="1" ht="15" outlineLevel="1">
      <c r="A163" s="323"/>
      <c r="B163" s="519" t="s">
        <v>183</v>
      </c>
      <c r="F163" s="268"/>
      <c r="G163" s="268"/>
      <c r="H163" s="268"/>
      <c r="I163" s="268"/>
      <c r="J163" s="268"/>
      <c r="K163" s="268"/>
      <c r="L163" s="268"/>
      <c r="M163" s="268"/>
      <c r="N163" s="269">
        <v>-425</v>
      </c>
      <c r="O163" s="268"/>
      <c r="P163" s="275"/>
      <c r="Q163" s="310">
        <v>-553</v>
      </c>
      <c r="R163" s="275"/>
      <c r="S163" s="275"/>
      <c r="T163" s="275"/>
      <c r="U163" s="275"/>
      <c r="V163" s="275"/>
      <c r="W163" s="275"/>
      <c r="X163" s="275"/>
      <c r="Y163" s="275"/>
      <c r="Z163" s="275"/>
      <c r="AA163" s="275"/>
      <c r="AB163" s="275"/>
      <c r="AC163" s="275"/>
      <c r="AD163" s="275"/>
      <c r="AE163" s="275"/>
      <c r="AF163" s="275"/>
      <c r="AG163" s="275"/>
      <c r="AH163" s="275"/>
      <c r="AI163" s="275"/>
      <c r="AJ163" s="275"/>
      <c r="AK163" s="275"/>
      <c r="AL163" s="275"/>
      <c r="AM163" s="275"/>
      <c r="AN163" s="275"/>
      <c r="AO163" s="275"/>
      <c r="AP163" s="275"/>
      <c r="AQ163" s="275"/>
      <c r="AR163" s="275"/>
      <c r="AS163" s="275"/>
      <c r="AT163" s="275"/>
      <c r="AU163" s="275"/>
      <c r="AV163" s="275"/>
      <c r="AW163" s="275"/>
      <c r="AX163" s="275"/>
      <c r="AY163" s="275"/>
      <c r="AZ163" s="275"/>
      <c r="BA163" s="275"/>
      <c r="BC163" s="275"/>
      <c r="BE163" s="275"/>
      <c r="BF163" s="275"/>
      <c r="BG163" s="275"/>
      <c r="BH163" s="275"/>
      <c r="BK163" s="275"/>
      <c r="BL163" s="275" t="s">
        <v>0</v>
      </c>
      <c r="BM163" s="275"/>
      <c r="BN163" s="275" t="s">
        <v>0</v>
      </c>
      <c r="BR163" s="211" t="s">
        <v>0</v>
      </c>
      <c r="BV163" s="583"/>
      <c r="BW163" s="211">
        <f>-460.02-260</f>
        <v>-720.02</v>
      </c>
    </row>
    <row r="164" spans="1:104" s="211" customFormat="1" ht="15" outlineLevel="1">
      <c r="A164" s="323"/>
      <c r="B164" s="519" t="s">
        <v>184</v>
      </c>
      <c r="F164" s="268"/>
      <c r="G164" s="268"/>
      <c r="H164" s="268"/>
      <c r="I164" s="268"/>
      <c r="J164" s="268"/>
      <c r="K164" s="268"/>
      <c r="L164" s="268"/>
      <c r="M164" s="268"/>
      <c r="N164" s="269"/>
      <c r="O164" s="268"/>
      <c r="P164" s="310">
        <v>-617</v>
      </c>
      <c r="Q164" s="275"/>
      <c r="R164" s="275"/>
      <c r="S164" s="275"/>
      <c r="T164" s="275"/>
      <c r="U164" s="275"/>
      <c r="V164" s="275"/>
      <c r="W164" s="275"/>
      <c r="X164" s="275"/>
      <c r="Y164" s="275"/>
      <c r="Z164" s="275"/>
      <c r="AA164" s="275"/>
      <c r="AB164" s="275"/>
      <c r="AC164" s="275"/>
      <c r="AD164" s="275"/>
      <c r="AE164" s="275"/>
      <c r="AF164" s="275"/>
      <c r="AG164" s="275"/>
      <c r="AH164" s="275"/>
      <c r="AI164" s="275"/>
      <c r="AJ164" s="275"/>
      <c r="AK164" s="275"/>
      <c r="AL164" s="275"/>
      <c r="AM164" s="275"/>
      <c r="AN164" s="275"/>
      <c r="AO164" s="275"/>
      <c r="AP164" s="275"/>
      <c r="AQ164" s="275"/>
      <c r="AR164" s="275"/>
      <c r="AS164" s="275"/>
      <c r="AT164" s="275"/>
      <c r="AU164" s="275"/>
      <c r="AV164" s="275"/>
      <c r="AW164" s="275"/>
      <c r="AX164" s="275"/>
      <c r="AY164" s="275"/>
      <c r="AZ164" s="275"/>
      <c r="BA164" s="275"/>
      <c r="BC164" s="275"/>
      <c r="BE164" s="275"/>
      <c r="BF164" s="275"/>
      <c r="BG164" s="275"/>
      <c r="BH164" s="275"/>
      <c r="BI164" s="275"/>
      <c r="BJ164" s="275"/>
      <c r="BK164" s="275"/>
      <c r="BL164" s="275"/>
      <c r="BM164" s="275"/>
      <c r="BN164" s="275"/>
      <c r="BT164" s="211" t="s">
        <v>0</v>
      </c>
      <c r="BV164" s="583"/>
    </row>
    <row r="165" spans="1:104" ht="12.75" customHeight="1" outlineLevel="1">
      <c r="A165" s="648"/>
      <c r="B165" s="628" t="s">
        <v>185</v>
      </c>
      <c r="C165" s="263"/>
      <c r="D165" s="211"/>
      <c r="E165" s="211"/>
      <c r="F165" s="268"/>
      <c r="G165" s="268"/>
      <c r="H165" s="268"/>
      <c r="I165" s="268"/>
      <c r="J165" s="268"/>
      <c r="K165" s="326"/>
      <c r="L165" s="268"/>
      <c r="M165" s="337"/>
      <c r="N165" s="268"/>
      <c r="O165" s="268"/>
      <c r="P165" s="629">
        <f>-4556-15</f>
        <v>-4571</v>
      </c>
      <c r="Q165" s="268"/>
      <c r="R165" s="268"/>
      <c r="S165" s="268"/>
      <c r="T165" s="268"/>
      <c r="U165" s="268"/>
      <c r="V165" s="268"/>
      <c r="W165" s="268"/>
      <c r="X165" s="268"/>
      <c r="Y165" s="268"/>
      <c r="Z165" s="268"/>
      <c r="AA165" s="268"/>
      <c r="AB165" s="268"/>
      <c r="AC165" s="268"/>
      <c r="AD165" s="268"/>
      <c r="AE165" s="268"/>
      <c r="AF165" s="268"/>
      <c r="AG165" s="268"/>
      <c r="AH165" s="268"/>
      <c r="AI165" s="268"/>
      <c r="AJ165" s="268"/>
      <c r="AK165" s="268"/>
      <c r="AL165" s="268"/>
      <c r="AM165" s="268"/>
      <c r="AN165" s="268"/>
      <c r="AV165" s="268"/>
      <c r="AW165" s="275"/>
      <c r="AX165" s="268"/>
      <c r="AY165" s="268"/>
      <c r="AZ165" s="268"/>
      <c r="BA165" s="268"/>
      <c r="BC165" s="268"/>
      <c r="BE165" s="268"/>
      <c r="BF165" s="268"/>
      <c r="BG165" s="268"/>
      <c r="BH165" s="268"/>
      <c r="BI165" s="268"/>
      <c r="BJ165" s="268"/>
      <c r="BK165" s="268"/>
      <c r="BL165" s="268"/>
      <c r="BM165" s="268"/>
      <c r="BN165" s="268"/>
      <c r="BO165" s="268"/>
      <c r="BQ165" s="268"/>
      <c r="BR165" s="268"/>
      <c r="BS165" s="268"/>
      <c r="BV165" s="584"/>
    </row>
    <row r="166" spans="1:104" s="211" customFormat="1" ht="15" outlineLevel="1">
      <c r="A166" s="323"/>
      <c r="B166" s="519" t="s">
        <v>186</v>
      </c>
      <c r="F166" s="268"/>
      <c r="G166" s="268"/>
      <c r="H166" s="268"/>
      <c r="I166" s="268"/>
      <c r="J166" s="268"/>
      <c r="K166" s="268"/>
      <c r="L166" s="268"/>
      <c r="M166" s="268"/>
      <c r="N166" s="268"/>
      <c r="O166" s="268"/>
      <c r="P166" s="275"/>
      <c r="Q166" s="275"/>
      <c r="R166" s="310">
        <v>-1000</v>
      </c>
      <c r="S166" s="275"/>
      <c r="T166" s="275"/>
      <c r="U166" s="310">
        <v>-1000</v>
      </c>
      <c r="V166" s="275"/>
      <c r="W166" s="275" t="s">
        <v>0</v>
      </c>
      <c r="X166" s="275"/>
      <c r="Y166" s="275">
        <v>0</v>
      </c>
      <c r="Z166" s="275"/>
      <c r="AA166" s="275">
        <v>0</v>
      </c>
      <c r="AB166" s="269">
        <v>-1000</v>
      </c>
      <c r="AC166" s="275"/>
      <c r="AD166" s="275"/>
      <c r="AE166" s="275">
        <v>0</v>
      </c>
      <c r="AG166" s="275" t="s">
        <v>0</v>
      </c>
      <c r="AH166" s="310">
        <v>-909.6</v>
      </c>
      <c r="AK166" s="275">
        <v>0</v>
      </c>
      <c r="AM166" s="275" t="s">
        <v>0</v>
      </c>
      <c r="AN166" s="275" t="s">
        <v>0</v>
      </c>
      <c r="AO166" s="310">
        <v>-693</v>
      </c>
      <c r="AP166" s="275"/>
      <c r="AQ166" s="275"/>
      <c r="AR166" s="275"/>
      <c r="AT166" s="310">
        <v>-198</v>
      </c>
      <c r="AU166" s="275">
        <v>0</v>
      </c>
      <c r="AV166" s="275" t="s">
        <v>0</v>
      </c>
      <c r="AW166" s="275">
        <v>0</v>
      </c>
      <c r="AX166" s="310">
        <v>-176</v>
      </c>
      <c r="AY166" s="275"/>
      <c r="AZ166" s="275"/>
      <c r="BA166" s="275"/>
      <c r="BF166" s="275" t="s">
        <v>0</v>
      </c>
      <c r="BG166" s="310">
        <v>-396</v>
      </c>
      <c r="BH166" s="275"/>
      <c r="BI166" s="275"/>
      <c r="BJ166" s="275"/>
      <c r="BK166" s="275"/>
      <c r="BL166" s="275"/>
      <c r="BM166" s="275"/>
      <c r="BN166" s="275"/>
      <c r="BQ166" s="275"/>
      <c r="BR166" s="275" t="s">
        <v>0</v>
      </c>
      <c r="BS166" s="275" t="s">
        <v>0</v>
      </c>
      <c r="BT166" s="310">
        <v>-396</v>
      </c>
      <c r="BU166" s="275"/>
      <c r="BV166" s="585"/>
      <c r="BW166" s="275"/>
      <c r="BX166" s="275"/>
      <c r="CA166" s="275"/>
      <c r="CB166" s="275"/>
      <c r="CC166" s="275"/>
      <c r="CD166" s="275"/>
      <c r="CE166" s="275">
        <v>-250</v>
      </c>
      <c r="CF166" s="275"/>
      <c r="CG166" s="275"/>
      <c r="CI166" s="275">
        <v>-250</v>
      </c>
      <c r="CJ166" s="275"/>
      <c r="CK166" s="275"/>
      <c r="CL166" s="275"/>
      <c r="CM166" s="275">
        <v>-250</v>
      </c>
      <c r="CR166" s="275">
        <v>-250</v>
      </c>
      <c r="CS166" s="275">
        <v>-250</v>
      </c>
      <c r="CT166" s="275">
        <v>-250</v>
      </c>
      <c r="CU166" s="275">
        <v>-250</v>
      </c>
      <c r="CV166" s="275">
        <v>-250</v>
      </c>
      <c r="CW166" s="275">
        <v>-250</v>
      </c>
      <c r="CX166" s="275">
        <v>-250</v>
      </c>
      <c r="CY166" s="275">
        <v>-250</v>
      </c>
      <c r="CZ166" s="275">
        <v>-250</v>
      </c>
    </row>
    <row r="167" spans="1:104" s="211" customFormat="1" ht="15" outlineLevel="1">
      <c r="A167" s="323"/>
      <c r="B167" s="519" t="s">
        <v>187</v>
      </c>
      <c r="F167" s="268"/>
      <c r="G167" s="268"/>
      <c r="H167" s="268"/>
      <c r="I167" s="268"/>
      <c r="J167" s="268"/>
      <c r="K167" s="268"/>
      <c r="L167" s="268"/>
      <c r="M167" s="268"/>
      <c r="N167" s="268"/>
      <c r="O167" s="268"/>
      <c r="P167" s="275"/>
      <c r="Q167" s="275"/>
      <c r="R167" s="310">
        <v>-289</v>
      </c>
      <c r="S167" s="275"/>
      <c r="T167" s="275"/>
      <c r="U167" s="275"/>
      <c r="V167" s="275"/>
      <c r="W167" s="275"/>
      <c r="X167" s="275"/>
      <c r="Y167" s="275"/>
      <c r="Z167" s="275"/>
      <c r="AA167" s="275"/>
      <c r="AB167" s="275"/>
      <c r="AC167" s="275"/>
      <c r="AD167" s="275"/>
      <c r="AE167" s="275"/>
      <c r="AF167" s="275"/>
      <c r="AG167" s="275"/>
      <c r="AH167" s="275"/>
      <c r="AI167" s="275"/>
      <c r="AJ167" s="275"/>
      <c r="AK167" s="275"/>
      <c r="AL167" s="275"/>
      <c r="AM167" s="275"/>
      <c r="AN167" s="275"/>
      <c r="AO167" s="275"/>
      <c r="AP167" s="275"/>
      <c r="AQ167" s="275"/>
      <c r="AR167" s="275"/>
      <c r="AS167" s="275"/>
      <c r="AT167" s="275"/>
      <c r="AU167" s="275"/>
      <c r="AV167" s="275"/>
      <c r="AX167" s="310">
        <v>-4755</v>
      </c>
      <c r="AY167" s="275"/>
      <c r="AZ167" s="275"/>
      <c r="BA167" s="275"/>
      <c r="BB167" s="275"/>
      <c r="BC167" s="275"/>
      <c r="BD167" s="275"/>
      <c r="BE167" s="275"/>
      <c r="BF167" s="275"/>
      <c r="BG167" s="275"/>
      <c r="BH167" s="275"/>
      <c r="BI167" s="275"/>
      <c r="BJ167" s="275"/>
      <c r="BK167" s="275"/>
      <c r="BL167" s="275"/>
      <c r="BM167" s="275"/>
      <c r="BN167" s="275"/>
      <c r="BV167" s="583"/>
      <c r="CZ167" s="351"/>
    </row>
    <row r="168" spans="1:104" s="211" customFormat="1" ht="15" outlineLevel="1">
      <c r="A168" s="323"/>
      <c r="B168" s="519" t="s">
        <v>188</v>
      </c>
      <c r="F168" s="268"/>
      <c r="G168" s="268"/>
      <c r="H168" s="268"/>
      <c r="I168" s="268"/>
      <c r="J168" s="268"/>
      <c r="K168" s="268"/>
      <c r="L168" s="268"/>
      <c r="M168" s="268"/>
      <c r="N168" s="268"/>
      <c r="O168" s="268"/>
      <c r="P168" s="275"/>
      <c r="Q168" s="275"/>
      <c r="R168" s="275"/>
      <c r="S168" s="310">
        <f>-23.9-7</f>
        <v>-30.9</v>
      </c>
      <c r="T168" s="275"/>
      <c r="U168" s="275"/>
      <c r="V168" s="275"/>
      <c r="W168" s="275"/>
      <c r="X168" s="275"/>
      <c r="Y168" s="275"/>
      <c r="Z168" s="275"/>
      <c r="AA168" s="275"/>
      <c r="AB168" s="275"/>
      <c r="AC168" s="275"/>
      <c r="AD168" s="275"/>
      <c r="AE168" s="275"/>
      <c r="AF168" s="275"/>
      <c r="AG168" s="275"/>
      <c r="AH168" s="275"/>
      <c r="AI168" s="275"/>
      <c r="AJ168" s="275"/>
      <c r="AK168" s="275"/>
      <c r="AL168" s="275"/>
      <c r="AM168" s="275"/>
      <c r="AN168" s="275"/>
      <c r="AO168" s="275"/>
      <c r="AP168" s="275"/>
      <c r="AQ168" s="275"/>
      <c r="AR168" s="275"/>
      <c r="AS168" s="275"/>
      <c r="AT168" s="275"/>
      <c r="AU168" s="275"/>
      <c r="AV168" s="275"/>
      <c r="AW168" s="275"/>
      <c r="AX168" s="275"/>
      <c r="AY168" s="275"/>
      <c r="AZ168" s="275"/>
      <c r="BA168" s="275"/>
      <c r="BB168" s="275"/>
      <c r="BC168" s="275"/>
      <c r="BD168" s="275"/>
      <c r="BE168" s="275"/>
      <c r="BF168" s="275"/>
      <c r="BG168" s="275"/>
      <c r="BH168" s="275"/>
      <c r="BI168" s="275"/>
      <c r="BJ168" s="275"/>
      <c r="BK168" s="275"/>
      <c r="BL168" s="275"/>
      <c r="BM168" s="275"/>
      <c r="BN168" s="275"/>
      <c r="BV168" s="583"/>
      <c r="CZ168" s="351"/>
    </row>
    <row r="169" spans="1:104" s="211" customFormat="1" ht="15" outlineLevel="1">
      <c r="A169" s="323"/>
      <c r="B169" s="519" t="s">
        <v>189</v>
      </c>
      <c r="F169" s="268"/>
      <c r="G169" s="268"/>
      <c r="H169" s="268"/>
      <c r="I169" s="268"/>
      <c r="J169" s="268"/>
      <c r="K169" s="268"/>
      <c r="L169" s="268"/>
      <c r="M169" s="268"/>
      <c r="N169" s="268"/>
      <c r="O169" s="268"/>
      <c r="P169" s="275"/>
      <c r="Q169" s="275"/>
      <c r="R169" s="275"/>
      <c r="S169" s="275"/>
      <c r="T169" s="310">
        <v>-3075</v>
      </c>
      <c r="U169" s="275"/>
      <c r="V169" s="275"/>
      <c r="W169" s="275"/>
      <c r="X169" s="275"/>
      <c r="Y169" s="275"/>
      <c r="Z169" s="275"/>
      <c r="AA169" s="275"/>
      <c r="AB169" s="275"/>
      <c r="AC169" s="275"/>
      <c r="AD169" s="275"/>
      <c r="AE169" s="275"/>
      <c r="AF169" s="275"/>
      <c r="AG169" s="275"/>
      <c r="AH169" s="275"/>
      <c r="AI169" s="275"/>
      <c r="AJ169" s="275"/>
      <c r="AK169" s="275"/>
      <c r="AL169" s="275"/>
      <c r="AM169" s="275"/>
      <c r="AN169" s="275"/>
      <c r="AO169" s="275"/>
      <c r="AP169" s="275"/>
      <c r="AQ169" s="275"/>
      <c r="AR169" s="275"/>
      <c r="AS169" s="275"/>
      <c r="AT169" s="275"/>
      <c r="AU169" s="275"/>
      <c r="AV169" s="275"/>
      <c r="AW169" s="275"/>
      <c r="AX169" s="275"/>
      <c r="AY169" s="275"/>
      <c r="AZ169" s="275"/>
      <c r="BA169" s="275"/>
      <c r="BB169" s="275"/>
      <c r="BC169" s="275"/>
      <c r="BD169" s="275"/>
      <c r="BE169" s="275"/>
      <c r="BF169" s="275"/>
      <c r="BG169" s="275"/>
      <c r="BH169" s="275"/>
      <c r="BI169" s="275"/>
      <c r="BJ169" s="275"/>
      <c r="BK169" s="275"/>
      <c r="BL169" s="275"/>
      <c r="BM169" s="275"/>
      <c r="BN169" s="275"/>
      <c r="BV169" s="583"/>
      <c r="CZ169" s="351"/>
    </row>
    <row r="170" spans="1:104" s="211" customFormat="1" ht="15" outlineLevel="1">
      <c r="A170" s="323"/>
      <c r="B170" s="519" t="s">
        <v>190</v>
      </c>
      <c r="F170" s="268"/>
      <c r="G170" s="268"/>
      <c r="H170" s="268"/>
      <c r="I170" s="268"/>
      <c r="J170" s="268"/>
      <c r="K170" s="268"/>
      <c r="L170" s="268"/>
      <c r="M170" s="268"/>
      <c r="N170" s="268"/>
      <c r="O170" s="268"/>
      <c r="P170" s="275"/>
      <c r="Q170" s="275"/>
      <c r="R170" s="275"/>
      <c r="S170" s="275"/>
      <c r="T170" s="310">
        <v>-600</v>
      </c>
      <c r="U170" s="275"/>
      <c r="V170" s="275"/>
      <c r="W170" s="275"/>
      <c r="X170" s="275"/>
      <c r="Y170" s="275"/>
      <c r="Z170" s="275"/>
      <c r="AA170" s="275"/>
      <c r="AB170" s="275"/>
      <c r="AC170" s="275"/>
      <c r="AD170" s="275"/>
      <c r="AE170" s="275"/>
      <c r="AF170" s="275"/>
      <c r="AG170" s="275"/>
      <c r="AH170" s="275"/>
      <c r="AI170" s="275"/>
      <c r="AJ170" s="275"/>
      <c r="AK170" s="275"/>
      <c r="AL170" s="275"/>
      <c r="AM170" s="275"/>
      <c r="AN170" s="275"/>
      <c r="AO170" s="275"/>
      <c r="AP170" s="275"/>
      <c r="AQ170" s="275"/>
      <c r="AR170" s="275"/>
      <c r="AS170" s="275"/>
      <c r="AT170" s="275"/>
      <c r="AU170" s="275"/>
      <c r="AV170" s="275"/>
      <c r="AW170" s="275"/>
      <c r="AX170" s="275"/>
      <c r="AY170" s="275"/>
      <c r="AZ170" s="275"/>
      <c r="BA170" s="275"/>
      <c r="BB170" s="275"/>
      <c r="BC170" s="275"/>
      <c r="BD170" s="275"/>
      <c r="BE170" s="275"/>
      <c r="BF170" s="275"/>
      <c r="BG170" s="275"/>
      <c r="BH170" s="275"/>
      <c r="BI170" s="275"/>
      <c r="BJ170" s="275"/>
      <c r="BK170" s="275"/>
      <c r="BL170" s="275"/>
      <c r="BM170" s="275"/>
      <c r="BN170" s="275"/>
      <c r="BV170" s="583"/>
      <c r="CZ170" s="351"/>
    </row>
    <row r="171" spans="1:104" s="211" customFormat="1" ht="15" outlineLevel="1">
      <c r="A171" s="323"/>
      <c r="B171" s="519" t="s">
        <v>191</v>
      </c>
      <c r="F171" s="268"/>
      <c r="G171" s="268"/>
      <c r="H171" s="268"/>
      <c r="I171" s="268"/>
      <c r="J171" s="268"/>
      <c r="K171" s="268"/>
      <c r="L171" s="268"/>
      <c r="M171" s="268"/>
      <c r="N171" s="268"/>
      <c r="O171" s="268"/>
      <c r="P171" s="275"/>
      <c r="Q171" s="275"/>
      <c r="R171" s="275"/>
      <c r="S171" s="275"/>
      <c r="T171" s="310"/>
      <c r="U171" s="275"/>
      <c r="V171" s="275"/>
      <c r="W171" s="310">
        <v>-488.06</v>
      </c>
      <c r="X171" s="275">
        <v>0</v>
      </c>
      <c r="Y171" s="275"/>
      <c r="Z171" s="275"/>
      <c r="AA171" s="275"/>
      <c r="AB171" s="275"/>
      <c r="AC171" s="275"/>
      <c r="AD171" s="275"/>
      <c r="AE171" s="275"/>
      <c r="AF171" s="275"/>
      <c r="AG171" s="275"/>
      <c r="AH171" s="275"/>
      <c r="AI171" s="275"/>
      <c r="AJ171" s="275"/>
      <c r="AK171" s="275"/>
      <c r="AL171" s="275"/>
      <c r="AM171" s="275"/>
      <c r="AN171" s="275"/>
      <c r="AO171" s="275"/>
      <c r="AP171" s="275"/>
      <c r="AQ171" s="275"/>
      <c r="AR171" s="275"/>
      <c r="AS171" s="275"/>
      <c r="AT171" s="275"/>
      <c r="AU171" s="275"/>
      <c r="AV171" s="275"/>
      <c r="AW171" s="275"/>
      <c r="AX171" s="275"/>
      <c r="AY171" s="275"/>
      <c r="AZ171" s="275"/>
      <c r="BA171" s="275"/>
      <c r="BB171" s="275"/>
      <c r="BC171" s="275"/>
      <c r="BD171" s="275"/>
      <c r="BE171" s="275"/>
      <c r="BF171" s="275"/>
      <c r="BG171" s="275"/>
      <c r="BH171" s="275"/>
      <c r="BI171" s="275"/>
      <c r="BJ171" s="275"/>
      <c r="BK171" s="275"/>
      <c r="BL171" s="275"/>
      <c r="BM171" s="275"/>
      <c r="BN171" s="275"/>
      <c r="BV171" s="583"/>
      <c r="CZ171" s="351"/>
    </row>
    <row r="172" spans="1:104" s="211" customFormat="1" ht="15" outlineLevel="1">
      <c r="A172" s="323"/>
      <c r="B172" s="519" t="s">
        <v>192</v>
      </c>
      <c r="F172" s="268"/>
      <c r="G172" s="268"/>
      <c r="H172" s="268"/>
      <c r="I172" s="268"/>
      <c r="J172" s="268"/>
      <c r="K172" s="268"/>
      <c r="L172" s="268"/>
      <c r="M172" s="268"/>
      <c r="N172" s="268"/>
      <c r="O172" s="268"/>
      <c r="P172" s="275"/>
      <c r="Q172" s="275"/>
      <c r="R172" s="275"/>
      <c r="S172" s="275"/>
      <c r="T172" s="310"/>
      <c r="U172" s="275"/>
      <c r="V172" s="275"/>
      <c r="W172" s="310"/>
      <c r="X172" s="275"/>
      <c r="Y172" s="275"/>
      <c r="Z172" s="275"/>
      <c r="AA172" s="275"/>
      <c r="AB172" s="275"/>
      <c r="AC172" s="310">
        <v>-284</v>
      </c>
      <c r="AD172" s="275"/>
      <c r="AE172" s="275"/>
      <c r="AF172" s="275"/>
      <c r="AG172" s="275"/>
      <c r="AH172" s="310">
        <v>-232.5</v>
      </c>
      <c r="AI172" s="275"/>
      <c r="AJ172" s="275"/>
      <c r="AK172" s="275"/>
      <c r="AL172" s="275"/>
      <c r="AM172" s="275"/>
      <c r="AN172" s="310">
        <v>-297</v>
      </c>
      <c r="AO172" s="275"/>
      <c r="AP172" s="275"/>
      <c r="AQ172" s="275"/>
      <c r="AR172" s="275"/>
      <c r="AS172" s="275"/>
      <c r="AT172" s="275"/>
      <c r="AU172" s="310">
        <v>-262.5</v>
      </c>
      <c r="AV172" s="275"/>
      <c r="AW172" s="275"/>
      <c r="AX172" s="275"/>
      <c r="AY172" s="275"/>
      <c r="BA172" s="310">
        <v>-462.5</v>
      </c>
      <c r="BB172" s="275"/>
      <c r="BC172" s="275"/>
      <c r="BD172" s="275"/>
      <c r="BE172" s="275"/>
      <c r="BF172" s="275"/>
      <c r="BG172" s="275"/>
      <c r="BH172" s="275"/>
      <c r="BI172" s="275"/>
      <c r="BJ172" s="275"/>
      <c r="BK172" s="275"/>
      <c r="BL172" s="275"/>
      <c r="BM172" s="275"/>
      <c r="BN172" s="275"/>
      <c r="BV172" s="583"/>
      <c r="CZ172" s="351"/>
    </row>
    <row r="173" spans="1:104" s="211" customFormat="1" ht="15" outlineLevel="1">
      <c r="A173" s="323"/>
      <c r="B173" s="519" t="s">
        <v>193</v>
      </c>
      <c r="F173" s="268"/>
      <c r="G173" s="268"/>
      <c r="H173" s="268"/>
      <c r="I173" s="268"/>
      <c r="J173" s="268"/>
      <c r="K173" s="268"/>
      <c r="L173" s="268"/>
      <c r="M173" s="268"/>
      <c r="N173" s="268"/>
      <c r="O173" s="268"/>
      <c r="P173" s="275"/>
      <c r="Q173" s="275"/>
      <c r="R173" s="275"/>
      <c r="S173" s="275"/>
      <c r="T173" s="310"/>
      <c r="U173" s="275"/>
      <c r="V173" s="275"/>
      <c r="W173" s="310"/>
      <c r="X173" s="275"/>
      <c r="Y173" s="275"/>
      <c r="Z173" s="275"/>
      <c r="AA173" s="275"/>
      <c r="AB173" s="275"/>
      <c r="AC173" s="275"/>
      <c r="AD173" s="310">
        <v>-2452.0500000000002</v>
      </c>
      <c r="AE173" s="275"/>
      <c r="AF173" s="275"/>
      <c r="AG173" s="275"/>
      <c r="AH173" s="275"/>
      <c r="AI173" s="275"/>
      <c r="AJ173" s="275"/>
      <c r="AK173" s="275"/>
      <c r="AL173" s="275"/>
      <c r="AM173" s="275"/>
      <c r="AN173" s="275"/>
      <c r="AO173" s="275"/>
      <c r="AP173" s="275"/>
      <c r="AQ173" s="275"/>
      <c r="AR173" s="275"/>
      <c r="AS173" s="275"/>
      <c r="AT173" s="275"/>
      <c r="AU173" s="275"/>
      <c r="AV173" s="275"/>
      <c r="AW173" s="275"/>
      <c r="AX173" s="275"/>
      <c r="AY173" s="275"/>
      <c r="AZ173" s="275"/>
      <c r="BA173" s="275"/>
      <c r="BB173" s="275"/>
      <c r="BC173" s="275"/>
      <c r="BD173" s="275"/>
      <c r="BE173" s="275"/>
      <c r="BF173" s="275"/>
      <c r="BG173" s="275"/>
      <c r="BH173" s="275"/>
      <c r="BI173" s="275"/>
      <c r="BJ173" s="275"/>
      <c r="BK173" s="275"/>
      <c r="BL173" s="275"/>
      <c r="BM173" s="275"/>
      <c r="BN173" s="275"/>
      <c r="BV173" s="583"/>
      <c r="CZ173" s="351"/>
    </row>
    <row r="174" spans="1:104" s="211" customFormat="1" ht="15" outlineLevel="1">
      <c r="A174" s="323"/>
      <c r="B174" s="519" t="s">
        <v>720</v>
      </c>
      <c r="F174" s="268"/>
      <c r="G174" s="268"/>
      <c r="H174" s="268"/>
      <c r="I174" s="268"/>
      <c r="J174" s="268"/>
      <c r="K174" s="268"/>
      <c r="L174" s="268"/>
      <c r="M174" s="268"/>
      <c r="N174" s="268"/>
      <c r="O174" s="268"/>
      <c r="P174" s="275"/>
      <c r="Q174" s="275"/>
      <c r="R174" s="275"/>
      <c r="S174" s="275"/>
      <c r="T174" s="310"/>
      <c r="U174" s="275"/>
      <c r="V174" s="275"/>
      <c r="W174" s="310"/>
      <c r="X174" s="275"/>
      <c r="Y174" s="275"/>
      <c r="Z174" s="275"/>
      <c r="AA174" s="275"/>
      <c r="AB174" s="275"/>
      <c r="AC174" s="275"/>
      <c r="AD174" s="310"/>
      <c r="AE174" s="275"/>
      <c r="AF174" s="275"/>
      <c r="AG174" s="275"/>
      <c r="AH174" s="275"/>
      <c r="AI174" s="275"/>
      <c r="AJ174" s="275"/>
      <c r="AK174" s="275"/>
      <c r="AL174" s="275"/>
      <c r="AM174" s="275"/>
      <c r="AN174" s="275"/>
      <c r="AO174" s="275"/>
      <c r="AP174" s="275"/>
      <c r="AQ174" s="275"/>
      <c r="AR174" s="275"/>
      <c r="AS174" s="275"/>
      <c r="AT174" s="275"/>
      <c r="AU174" s="275"/>
      <c r="AV174" s="275"/>
      <c r="AX174" s="310">
        <v>-728.74</v>
      </c>
      <c r="AY174" s="275"/>
      <c r="AZ174" s="275"/>
      <c r="BA174" s="275"/>
      <c r="BB174" s="310">
        <v>-428.8</v>
      </c>
      <c r="BC174" s="275"/>
      <c r="BD174" s="275"/>
      <c r="BE174" s="275"/>
      <c r="BF174" s="275"/>
      <c r="BG174" s="275"/>
      <c r="BH174" s="275"/>
      <c r="BI174" s="275"/>
      <c r="BJ174" s="275"/>
      <c r="BK174" s="275"/>
      <c r="BL174" s="275"/>
      <c r="BM174" s="275"/>
      <c r="BN174" s="275"/>
      <c r="BV174" s="583"/>
      <c r="CZ174" s="351"/>
    </row>
    <row r="175" spans="1:104" s="211" customFormat="1" ht="15" outlineLevel="1">
      <c r="A175" s="323"/>
      <c r="B175" s="519" t="s">
        <v>742</v>
      </c>
      <c r="F175" s="268"/>
      <c r="G175" s="268"/>
      <c r="H175" s="268"/>
      <c r="I175" s="268"/>
      <c r="J175" s="268"/>
      <c r="K175" s="268"/>
      <c r="L175" s="268"/>
      <c r="M175" s="268"/>
      <c r="N175" s="268"/>
      <c r="O175" s="268"/>
      <c r="P175" s="275"/>
      <c r="Q175" s="275"/>
      <c r="R175" s="275"/>
      <c r="S175" s="275"/>
      <c r="T175" s="310"/>
      <c r="U175" s="275"/>
      <c r="V175" s="275"/>
      <c r="W175" s="310"/>
      <c r="X175" s="275"/>
      <c r="Y175" s="275"/>
      <c r="Z175" s="275"/>
      <c r="AA175" s="275"/>
      <c r="AB175" s="275"/>
      <c r="AC175" s="275"/>
      <c r="AD175" s="310"/>
      <c r="AE175" s="275"/>
      <c r="AF175" s="275"/>
      <c r="AG175" s="275"/>
      <c r="AH175" s="275"/>
      <c r="AI175" s="275"/>
      <c r="AJ175" s="275"/>
      <c r="AK175" s="275"/>
      <c r="AL175" s="275"/>
      <c r="AM175" s="275"/>
      <c r="AN175" s="275"/>
      <c r="AO175" s="275"/>
      <c r="AP175" s="275"/>
      <c r="AQ175" s="275"/>
      <c r="AR175" s="275"/>
      <c r="AS175" s="275"/>
      <c r="AT175" s="275"/>
      <c r="AU175" s="275"/>
      <c r="AV175" s="275"/>
      <c r="AX175" s="275"/>
      <c r="AY175" s="275"/>
      <c r="AZ175" s="275"/>
      <c r="BA175" s="275"/>
      <c r="BB175" s="310">
        <v>-545</v>
      </c>
      <c r="BC175" s="275"/>
      <c r="BD175" s="275"/>
      <c r="BE175" s="275"/>
      <c r="BF175" s="275"/>
      <c r="BG175" s="275"/>
      <c r="BH175" s="275"/>
      <c r="BI175" s="275"/>
      <c r="BJ175" s="275"/>
      <c r="BK175" s="275"/>
      <c r="BL175" s="275"/>
      <c r="BM175" s="275"/>
      <c r="BN175" s="275"/>
      <c r="BV175" s="583"/>
      <c r="CZ175" s="351"/>
    </row>
    <row r="176" spans="1:104" s="211" customFormat="1" ht="14.25" customHeight="1">
      <c r="A176" s="323"/>
      <c r="B176" s="615" t="s">
        <v>194</v>
      </c>
      <c r="F176" s="268"/>
      <c r="G176" s="268"/>
      <c r="H176" s="268"/>
      <c r="I176" s="268"/>
      <c r="J176" s="268"/>
      <c r="K176" s="268"/>
      <c r="L176" s="268"/>
      <c r="M176" s="268"/>
      <c r="N176" s="268"/>
      <c r="O176" s="268"/>
      <c r="P176" s="275"/>
      <c r="Q176" s="275"/>
      <c r="R176" s="275"/>
      <c r="S176" s="275"/>
      <c r="T176" s="275"/>
      <c r="U176" s="275"/>
      <c r="V176" s="275"/>
      <c r="W176" s="275"/>
      <c r="X176" s="275"/>
      <c r="Y176" s="275"/>
      <c r="Z176" s="275"/>
      <c r="AA176" s="275"/>
      <c r="AB176" s="275"/>
      <c r="AC176" s="275"/>
      <c r="AD176" s="275"/>
      <c r="AE176" s="275"/>
      <c r="AF176" s="275"/>
      <c r="AG176" s="275"/>
      <c r="AH176" s="275"/>
      <c r="AI176" s="275"/>
      <c r="AJ176" s="275"/>
      <c r="AK176" s="275"/>
      <c r="AL176" s="275"/>
      <c r="AM176" s="275"/>
      <c r="AN176" s="275"/>
      <c r="AO176" s="275"/>
      <c r="AP176" s="275"/>
      <c r="AQ176" s="275"/>
      <c r="AR176" s="275"/>
      <c r="AS176" s="275"/>
      <c r="AT176" s="275"/>
      <c r="AU176" s="275"/>
      <c r="AV176" s="275"/>
      <c r="AW176" s="275"/>
      <c r="AX176" s="275"/>
      <c r="AY176" s="275"/>
      <c r="AZ176" s="275"/>
      <c r="BA176" s="275"/>
      <c r="BB176" s="275"/>
      <c r="BC176" s="275"/>
      <c r="BD176" s="275"/>
      <c r="BE176" s="275"/>
      <c r="BF176" s="275"/>
      <c r="BG176" s="275"/>
      <c r="BH176" s="275"/>
      <c r="BI176" s="275"/>
      <c r="BJ176" s="275"/>
      <c r="BK176" s="275"/>
      <c r="BL176" s="275"/>
      <c r="BM176" s="275"/>
      <c r="BN176" s="275"/>
      <c r="BV176" s="583"/>
      <c r="CZ176" s="351"/>
    </row>
    <row r="177" spans="1:104" ht="15">
      <c r="A177" s="648"/>
      <c r="B177" s="621" t="s">
        <v>195</v>
      </c>
      <c r="C177" s="211">
        <v>-8794</v>
      </c>
      <c r="F177" s="269">
        <v>-3800</v>
      </c>
      <c r="G177" s="269">
        <f>-2000*0.8</f>
        <v>-1600</v>
      </c>
      <c r="H177" s="269">
        <v>-2000</v>
      </c>
      <c r="I177" s="268" t="s">
        <v>0</v>
      </c>
      <c r="J177" s="269">
        <f>-800-594</f>
        <v>-1394</v>
      </c>
      <c r="K177" s="268" t="s">
        <v>0</v>
      </c>
      <c r="L177" s="268" t="s">
        <v>0</v>
      </c>
      <c r="M177" s="268" t="s">
        <v>0</v>
      </c>
      <c r="N177" s="268" t="s">
        <v>0</v>
      </c>
      <c r="O177" s="268" t="s">
        <v>0</v>
      </c>
      <c r="P177" s="268" t="s">
        <v>0</v>
      </c>
      <c r="Q177" s="268" t="s">
        <v>0</v>
      </c>
      <c r="R177" s="268" t="s">
        <v>0</v>
      </c>
      <c r="S177" s="268" t="s">
        <v>0</v>
      </c>
      <c r="T177" s="268" t="s">
        <v>0</v>
      </c>
      <c r="U177" s="268" t="s">
        <v>0</v>
      </c>
      <c r="V177" s="268" t="s">
        <v>0</v>
      </c>
      <c r="W177" s="268" t="s">
        <v>0</v>
      </c>
      <c r="X177" s="268"/>
      <c r="Y177" s="268"/>
      <c r="Z177" s="268"/>
      <c r="AA177" s="268"/>
      <c r="AB177" s="268" t="s">
        <v>0</v>
      </c>
      <c r="AC177" s="268"/>
      <c r="AD177" s="268"/>
      <c r="AE177" s="268"/>
      <c r="AF177" s="268" t="s">
        <v>0</v>
      </c>
      <c r="AG177" s="268"/>
      <c r="AH177" s="268"/>
      <c r="AI177" s="268"/>
      <c r="AJ177" s="268" t="s">
        <v>0</v>
      </c>
      <c r="AK177" s="268"/>
      <c r="AL177" s="268"/>
      <c r="AM177" s="268"/>
      <c r="AN177" s="268"/>
      <c r="AO177" s="268" t="s">
        <v>0</v>
      </c>
      <c r="AP177" s="268"/>
      <c r="AQ177" s="268"/>
      <c r="AR177" s="268"/>
      <c r="AS177" s="268"/>
      <c r="AT177" s="268"/>
      <c r="AU177" s="268"/>
      <c r="AV177" s="268" t="s">
        <v>0</v>
      </c>
      <c r="AW177" s="275" t="s">
        <v>0</v>
      </c>
      <c r="AX177" s="268"/>
      <c r="AY177" s="268"/>
      <c r="AZ177" s="268"/>
      <c r="BA177" s="268"/>
      <c r="BB177" s="268" t="s">
        <v>0</v>
      </c>
      <c r="BC177" s="268"/>
      <c r="BD177" s="268"/>
      <c r="BE177" s="268"/>
      <c r="BF177" s="268"/>
      <c r="BG177" s="268" t="s">
        <v>0</v>
      </c>
      <c r="BH177" s="268"/>
      <c r="BI177" s="268"/>
      <c r="BJ177" s="268"/>
      <c r="BK177" s="268"/>
      <c r="BL177" s="268"/>
      <c r="BM177" s="268"/>
      <c r="BN177" s="268"/>
      <c r="BV177" s="584"/>
      <c r="CZ177" s="207"/>
    </row>
    <row r="178" spans="1:104" ht="15">
      <c r="A178" s="648"/>
      <c r="B178" s="621" t="s">
        <v>196</v>
      </c>
      <c r="C178" s="211">
        <f>-10315-12625</f>
        <v>-22940</v>
      </c>
      <c r="F178" s="268">
        <v>-4000</v>
      </c>
      <c r="G178" s="268">
        <v>-2000</v>
      </c>
      <c r="H178" s="268">
        <v>-2000</v>
      </c>
      <c r="I178" s="268">
        <v>-2000</v>
      </c>
      <c r="J178" s="268">
        <v>-2000</v>
      </c>
      <c r="K178" s="268">
        <v>-2000</v>
      </c>
      <c r="L178" s="268">
        <v>-2000</v>
      </c>
      <c r="M178" s="268">
        <v>-2000</v>
      </c>
      <c r="O178" s="268">
        <v>-2000</v>
      </c>
      <c r="P178" s="268">
        <v>-2940</v>
      </c>
      <c r="Q178" s="268" t="s">
        <v>0</v>
      </c>
      <c r="R178" s="268" t="s">
        <v>0</v>
      </c>
      <c r="S178" s="268" t="s">
        <v>0</v>
      </c>
      <c r="T178" s="268" t="s">
        <v>0</v>
      </c>
      <c r="U178" s="268" t="s">
        <v>0</v>
      </c>
      <c r="V178" s="268" t="s">
        <v>0</v>
      </c>
      <c r="W178" s="268" t="s">
        <v>0</v>
      </c>
      <c r="X178" s="268"/>
      <c r="Y178" s="268"/>
      <c r="Z178" s="268"/>
      <c r="AA178" s="268"/>
      <c r="AB178" s="268" t="s">
        <v>0</v>
      </c>
      <c r="AC178" s="268"/>
      <c r="AD178" s="268"/>
      <c r="AE178" s="268"/>
      <c r="AF178" s="268" t="s">
        <v>0</v>
      </c>
      <c r="AG178" s="268"/>
      <c r="AH178" s="268"/>
      <c r="AI178" s="268"/>
      <c r="AJ178" s="268" t="s">
        <v>0</v>
      </c>
      <c r="AK178" s="268"/>
      <c r="AL178" s="268"/>
      <c r="AM178" s="268" t="s">
        <v>0</v>
      </c>
      <c r="AN178" s="268"/>
      <c r="AO178" s="268" t="s">
        <v>0</v>
      </c>
      <c r="AP178" s="268"/>
      <c r="AQ178" s="268"/>
      <c r="AR178" s="268"/>
      <c r="AS178" s="268"/>
      <c r="AT178" s="268"/>
      <c r="AU178" s="268"/>
      <c r="AV178" s="268" t="s">
        <v>0</v>
      </c>
      <c r="AW178" s="275" t="s">
        <v>0</v>
      </c>
      <c r="AX178" s="268"/>
      <c r="AY178" s="268"/>
      <c r="AZ178" s="268"/>
      <c r="BA178" s="268"/>
      <c r="BB178" s="268" t="s">
        <v>0</v>
      </c>
      <c r="BC178" s="268"/>
      <c r="BD178" s="268"/>
      <c r="BE178" s="268"/>
      <c r="BF178" s="268"/>
      <c r="BG178" s="268" t="s">
        <v>0</v>
      </c>
      <c r="BH178" s="268"/>
      <c r="BI178" s="268"/>
      <c r="BJ178" s="268"/>
      <c r="BK178" s="268"/>
      <c r="BL178" s="268"/>
      <c r="BM178" s="268"/>
      <c r="BN178" s="268"/>
      <c r="BT178" s="3" t="s">
        <v>0</v>
      </c>
      <c r="BV178" s="584"/>
      <c r="CZ178" s="207"/>
    </row>
    <row r="179" spans="1:104" s="211" customFormat="1">
      <c r="A179" s="323"/>
      <c r="B179" s="227"/>
      <c r="F179" s="268"/>
      <c r="G179" s="268"/>
      <c r="H179" s="268"/>
      <c r="I179" s="268"/>
      <c r="J179" s="268"/>
      <c r="K179" s="268"/>
      <c r="L179" s="268"/>
      <c r="M179" s="268"/>
      <c r="N179" s="268"/>
      <c r="O179" s="268"/>
      <c r="P179" s="275"/>
      <c r="Q179" s="275"/>
      <c r="R179" s="275"/>
      <c r="S179" s="275"/>
      <c r="T179" s="275"/>
      <c r="U179" s="275"/>
      <c r="V179" s="275"/>
      <c r="W179" s="275"/>
      <c r="X179" s="275"/>
      <c r="Y179" s="275"/>
      <c r="Z179" s="275"/>
      <c r="AA179" s="275"/>
      <c r="AB179" s="275"/>
      <c r="AC179" s="275"/>
      <c r="AD179" s="275"/>
      <c r="AE179" s="275"/>
      <c r="AF179" s="275"/>
      <c r="AG179" s="275"/>
      <c r="AH179" s="275"/>
      <c r="AI179" s="275"/>
      <c r="AJ179" s="275"/>
      <c r="AK179" s="275"/>
      <c r="AL179" s="275"/>
      <c r="AM179" s="275"/>
      <c r="AN179" s="275"/>
      <c r="AO179" s="275"/>
      <c r="AP179" s="275"/>
      <c r="AQ179" s="275"/>
      <c r="AR179" s="275"/>
      <c r="AS179" s="275"/>
      <c r="AT179" s="275"/>
      <c r="AU179" s="275"/>
      <c r="AV179" s="275"/>
      <c r="AW179" s="275"/>
      <c r="AX179" s="275"/>
      <c r="AY179" s="275"/>
      <c r="AZ179" s="275"/>
      <c r="BA179" s="275"/>
      <c r="BB179" s="275"/>
      <c r="BC179" s="275"/>
      <c r="BD179" s="275"/>
      <c r="BE179" s="275"/>
      <c r="BF179" s="275"/>
      <c r="BG179" s="275"/>
      <c r="BH179" s="275"/>
      <c r="BI179" s="275"/>
      <c r="BJ179" s="275"/>
      <c r="BK179" s="275"/>
      <c r="BL179" s="275"/>
      <c r="BM179" s="275"/>
      <c r="BN179" s="275"/>
      <c r="BV179" s="583"/>
      <c r="CZ179" s="351"/>
    </row>
    <row r="180" spans="1:104" s="211" customFormat="1">
      <c r="A180" s="323"/>
      <c r="B180" s="519"/>
      <c r="F180" s="268"/>
      <c r="G180" s="268"/>
      <c r="H180" s="268"/>
      <c r="I180" s="268"/>
      <c r="J180" s="268"/>
      <c r="K180" s="268"/>
      <c r="L180" s="268"/>
      <c r="M180" s="268"/>
      <c r="N180" s="268"/>
      <c r="O180" s="268"/>
      <c r="P180" s="275"/>
      <c r="Q180" s="275"/>
      <c r="R180" s="275"/>
      <c r="S180" s="275"/>
      <c r="T180" s="275"/>
      <c r="U180" s="275"/>
      <c r="V180" s="275"/>
      <c r="W180" s="275"/>
      <c r="X180" s="275"/>
      <c r="Y180" s="275"/>
      <c r="Z180" s="275"/>
      <c r="AA180" s="275"/>
      <c r="AB180" s="275"/>
      <c r="AC180" s="275"/>
      <c r="AD180" s="275"/>
      <c r="AE180" s="275"/>
      <c r="AF180" s="275"/>
      <c r="AG180" s="275"/>
      <c r="AH180" s="275"/>
      <c r="AI180" s="275"/>
      <c r="AJ180" s="275"/>
      <c r="AK180" s="275"/>
      <c r="AL180" s="275"/>
      <c r="AM180" s="275"/>
      <c r="AN180" s="275"/>
      <c r="AO180" s="275"/>
      <c r="AP180" s="275"/>
      <c r="AQ180" s="275"/>
      <c r="AR180" s="275"/>
      <c r="AS180" s="275"/>
      <c r="AT180" s="275"/>
      <c r="AU180" s="275"/>
      <c r="AV180" s="275"/>
      <c r="AW180" s="275"/>
      <c r="AX180" s="275"/>
      <c r="AY180" s="275"/>
      <c r="AZ180" s="275"/>
      <c r="BA180" s="275"/>
      <c r="BB180" s="275"/>
      <c r="BC180" s="275"/>
      <c r="BD180" s="275"/>
      <c r="BE180" s="275"/>
      <c r="BF180" s="275"/>
      <c r="BG180" s="275"/>
      <c r="BH180" s="275"/>
      <c r="BI180" s="275"/>
      <c r="BJ180" s="275"/>
      <c r="BK180" s="275"/>
      <c r="BL180" s="275"/>
      <c r="BM180" s="275"/>
      <c r="BN180" s="275"/>
      <c r="BV180" s="583"/>
      <c r="CM180" s="211" t="s">
        <v>0</v>
      </c>
      <c r="CZ180" s="351"/>
    </row>
    <row r="181" spans="1:104" s="211" customFormat="1" ht="12.75" customHeight="1">
      <c r="A181" s="323"/>
      <c r="B181" s="630" t="s">
        <v>197</v>
      </c>
      <c r="F181" s="268"/>
      <c r="G181" s="268"/>
      <c r="H181" s="268"/>
      <c r="I181" s="268"/>
      <c r="J181" s="268"/>
      <c r="K181" s="268"/>
      <c r="L181" s="268"/>
      <c r="M181" s="268"/>
      <c r="N181" s="268"/>
      <c r="O181" s="268"/>
      <c r="P181" s="275" t="s">
        <v>0</v>
      </c>
      <c r="Q181" s="275"/>
      <c r="R181" s="275"/>
      <c r="S181" s="275"/>
      <c r="T181" s="275"/>
      <c r="U181" s="275"/>
      <c r="V181" s="275"/>
      <c r="W181" s="275"/>
      <c r="X181" s="275"/>
      <c r="Y181" s="275"/>
      <c r="Z181" s="275"/>
      <c r="AA181" s="275"/>
      <c r="AB181" s="275"/>
      <c r="AC181" s="275"/>
      <c r="AD181" s="275"/>
      <c r="AE181" s="275"/>
      <c r="AF181" s="275"/>
      <c r="AG181" s="275"/>
      <c r="AH181" s="275"/>
      <c r="AI181" s="275"/>
      <c r="AJ181" s="275"/>
      <c r="AK181" s="275"/>
      <c r="AL181" s="275"/>
      <c r="AM181" s="275"/>
      <c r="AN181" s="275"/>
      <c r="AO181" s="275"/>
      <c r="AP181" s="275"/>
      <c r="AQ181" s="275"/>
      <c r="AR181" s="275"/>
      <c r="AS181" s="275"/>
      <c r="AT181" s="275"/>
      <c r="AU181" s="275"/>
      <c r="AV181" s="275"/>
      <c r="AW181" s="275"/>
      <c r="AX181" s="275"/>
      <c r="AY181" s="275"/>
      <c r="AZ181" s="275"/>
      <c r="BA181" s="275"/>
      <c r="BB181" s="275"/>
      <c r="BC181" s="275"/>
      <c r="BD181" s="275"/>
      <c r="BE181" s="275"/>
      <c r="BF181" s="275"/>
      <c r="BG181" s="275"/>
      <c r="BH181" s="275"/>
      <c r="BI181" s="275"/>
      <c r="BJ181" s="275"/>
      <c r="BK181" s="275"/>
      <c r="BL181" s="275"/>
      <c r="BM181" s="275"/>
      <c r="BN181" s="275"/>
      <c r="BV181" s="583"/>
      <c r="CM181" s="211" t="s">
        <v>0</v>
      </c>
      <c r="CZ181" s="351"/>
    </row>
    <row r="182" spans="1:104" s="211" customFormat="1" ht="12.75" customHeight="1">
      <c r="A182" s="323"/>
      <c r="B182" s="519" t="s">
        <v>735</v>
      </c>
      <c r="F182" s="268"/>
      <c r="G182" s="268"/>
      <c r="H182" s="268"/>
      <c r="I182" s="268"/>
      <c r="J182" s="268"/>
      <c r="K182" s="268"/>
      <c r="L182" s="268"/>
      <c r="M182" s="268"/>
      <c r="N182" s="268"/>
      <c r="O182" s="268"/>
      <c r="P182" s="275"/>
      <c r="Q182" s="275"/>
      <c r="R182" s="275"/>
      <c r="S182" s="275"/>
      <c r="T182" s="275"/>
      <c r="U182" s="275"/>
      <c r="V182" s="275"/>
      <c r="W182" s="275"/>
      <c r="X182" s="275"/>
      <c r="Y182" s="275"/>
      <c r="Z182" s="275"/>
      <c r="AA182" s="275"/>
      <c r="AB182" s="275"/>
      <c r="AC182" s="275"/>
      <c r="AD182" s="275"/>
      <c r="AE182" s="275"/>
      <c r="AF182" s="275"/>
      <c r="AG182" s="275"/>
      <c r="AH182" s="275"/>
      <c r="AI182" s="275"/>
      <c r="AJ182" s="275"/>
      <c r="AK182" s="275"/>
      <c r="AL182" s="275"/>
      <c r="AM182" s="275"/>
      <c r="AN182" s="275"/>
      <c r="AO182" s="275"/>
      <c r="AP182" s="275"/>
      <c r="AQ182" s="275"/>
      <c r="AR182" s="275"/>
      <c r="AS182" s="275"/>
      <c r="AT182" s="275"/>
      <c r="AU182" s="275"/>
      <c r="AV182" s="275"/>
      <c r="AW182" s="275"/>
      <c r="AX182" s="275"/>
      <c r="AY182" s="275"/>
      <c r="AZ182" s="275"/>
      <c r="BA182" s="275"/>
      <c r="BB182" s="275"/>
      <c r="BC182" s="275"/>
      <c r="BD182" s="275"/>
      <c r="BE182" s="607">
        <v>-3599.87</v>
      </c>
      <c r="BF182" s="275" t="s">
        <v>0</v>
      </c>
      <c r="BG182" s="275"/>
      <c r="BH182" s="275"/>
      <c r="BI182" s="275"/>
      <c r="BJ182" s="310">
        <v>-3599.87</v>
      </c>
      <c r="BK182" s="275"/>
      <c r="BL182" s="275" t="s">
        <v>0</v>
      </c>
      <c r="BM182" s="275"/>
      <c r="BN182" s="275"/>
      <c r="BO182" s="211" t="s">
        <v>0</v>
      </c>
      <c r="BR182" s="607">
        <v>-3599.87</v>
      </c>
      <c r="BT182" s="211" t="s">
        <v>0</v>
      </c>
      <c r="BV182" s="583">
        <v>-3599.87</v>
      </c>
      <c r="BY182" s="211">
        <v>-4500</v>
      </c>
      <c r="CE182" s="211">
        <v>-3599.87</v>
      </c>
      <c r="CH182" s="211">
        <v>-3599.87</v>
      </c>
      <c r="CZ182" s="351"/>
    </row>
    <row r="183" spans="1:104" s="211" customFormat="1" ht="12.75" customHeight="1">
      <c r="A183" s="323"/>
      <c r="B183" s="631" t="s">
        <v>736</v>
      </c>
      <c r="D183" s="211" t="s">
        <v>0</v>
      </c>
      <c r="F183" s="268"/>
      <c r="G183" s="268"/>
      <c r="H183" s="268"/>
      <c r="I183" s="268"/>
      <c r="J183" s="268"/>
      <c r="K183" s="268"/>
      <c r="L183" s="268"/>
      <c r="M183" s="268"/>
      <c r="N183" s="268"/>
      <c r="O183" s="268"/>
      <c r="P183" s="275"/>
      <c r="Q183" s="275"/>
      <c r="R183" s="275"/>
      <c r="S183" s="275"/>
      <c r="T183" s="275"/>
      <c r="U183" s="275"/>
      <c r="V183" s="275"/>
      <c r="W183" s="275"/>
      <c r="X183" s="275"/>
      <c r="Y183" s="275"/>
      <c r="Z183" s="275"/>
      <c r="AA183" s="275"/>
      <c r="AB183" s="275"/>
      <c r="AC183" s="275"/>
      <c r="AD183" s="275"/>
      <c r="AE183" s="275"/>
      <c r="AF183" s="275"/>
      <c r="AG183" s="275"/>
      <c r="AH183" s="275"/>
      <c r="AI183" s="275"/>
      <c r="AJ183" s="275"/>
      <c r="AK183" s="275"/>
      <c r="AL183" s="275"/>
      <c r="AM183" s="275"/>
      <c r="AN183" s="275"/>
      <c r="AO183" s="275"/>
      <c r="AP183" s="275"/>
      <c r="AQ183" s="275"/>
      <c r="AR183" s="275"/>
      <c r="AS183" s="275"/>
      <c r="AT183" s="275"/>
      <c r="AU183" s="275"/>
      <c r="AV183" s="275"/>
      <c r="AW183" s="275"/>
      <c r="AX183" s="275"/>
      <c r="AY183" s="275"/>
      <c r="AZ183" s="310">
        <v>20000</v>
      </c>
      <c r="BA183" s="310">
        <f>20000+20000+30000</f>
        <v>70000</v>
      </c>
      <c r="BB183" s="275"/>
      <c r="BC183" s="275"/>
      <c r="BD183" s="275"/>
      <c r="BE183" s="275"/>
      <c r="BF183" s="275"/>
      <c r="BG183" s="275"/>
      <c r="BH183" s="275"/>
      <c r="BI183" s="275"/>
      <c r="BJ183" s="275"/>
      <c r="BK183" s="275"/>
      <c r="BL183" s="310">
        <v>157000</v>
      </c>
      <c r="BM183" s="275"/>
      <c r="BN183" s="275"/>
      <c r="BV183" s="583"/>
      <c r="CZ183" s="351"/>
    </row>
    <row r="184" spans="1:104" s="211" customFormat="1" ht="12.75" customHeight="1">
      <c r="A184" s="323"/>
      <c r="B184" s="519" t="s">
        <v>198</v>
      </c>
      <c r="F184" s="268"/>
      <c r="G184" s="268"/>
      <c r="H184" s="268"/>
      <c r="I184" s="268"/>
      <c r="J184" s="268"/>
      <c r="K184" s="268"/>
      <c r="L184" s="268"/>
      <c r="M184" s="268"/>
      <c r="N184" s="268"/>
      <c r="O184" s="268"/>
      <c r="P184" s="275"/>
      <c r="Q184" s="275"/>
      <c r="R184" s="275"/>
      <c r="S184" s="275"/>
      <c r="T184" s="275"/>
      <c r="U184" s="275"/>
      <c r="V184" s="275"/>
      <c r="W184" s="275"/>
      <c r="X184" s="275"/>
      <c r="Y184" s="275"/>
      <c r="Z184" s="275"/>
      <c r="AA184" s="275"/>
      <c r="AB184" s="275"/>
      <c r="AC184" s="275"/>
      <c r="AD184" s="275"/>
      <c r="AE184" s="275"/>
      <c r="AF184" s="275"/>
      <c r="AG184" s="275"/>
      <c r="AH184" s="275"/>
      <c r="AI184" s="275"/>
      <c r="AJ184" s="275"/>
      <c r="AK184" s="275"/>
      <c r="AL184" s="275"/>
      <c r="AM184" s="275"/>
      <c r="AN184" s="275"/>
      <c r="AO184" s="275"/>
      <c r="AP184" s="275" t="s">
        <v>0</v>
      </c>
      <c r="AQ184" s="310">
        <v>-2696</v>
      </c>
      <c r="AR184" s="275"/>
      <c r="AS184" s="275"/>
      <c r="AT184" s="310">
        <v>-3031.4</v>
      </c>
      <c r="AU184" s="275"/>
      <c r="AV184" s="275"/>
      <c r="AW184" s="569"/>
      <c r="AX184" s="310">
        <v>-3031.4</v>
      </c>
      <c r="AZ184" s="275"/>
      <c r="BA184" s="275"/>
      <c r="BC184" s="310">
        <v>-3031.4</v>
      </c>
      <c r="BD184" s="275"/>
      <c r="BE184" s="275"/>
      <c r="BF184" s="275"/>
      <c r="BI184" s="310">
        <v>-3031.4</v>
      </c>
      <c r="BL184" s="275"/>
      <c r="BM184" s="275"/>
      <c r="BN184" s="275"/>
      <c r="BP184" s="607">
        <v>-3031.4</v>
      </c>
      <c r="BT184" s="211">
        <v>0</v>
      </c>
      <c r="BV184" s="654">
        <v>-3031.4</v>
      </c>
      <c r="CM184" s="211" t="s">
        <v>0</v>
      </c>
      <c r="CZ184" s="351"/>
    </row>
    <row r="185" spans="1:104" s="211" customFormat="1" ht="15">
      <c r="A185" s="323"/>
      <c r="B185" s="282" t="s">
        <v>199</v>
      </c>
      <c r="F185" s="268"/>
      <c r="G185" s="268"/>
      <c r="H185" s="268"/>
      <c r="I185" s="268"/>
      <c r="J185" s="269">
        <v>-1658</v>
      </c>
      <c r="K185" s="268"/>
      <c r="L185" s="268"/>
      <c r="M185" s="268"/>
      <c r="N185" s="269">
        <f>J185</f>
        <v>-1658</v>
      </c>
      <c r="O185" s="268" t="s">
        <v>0</v>
      </c>
      <c r="P185" s="275"/>
      <c r="Q185" s="275"/>
      <c r="R185" s="310">
        <v>-1658</v>
      </c>
      <c r="T185" s="275"/>
      <c r="U185" s="275"/>
      <c r="V185" s="275">
        <v>0</v>
      </c>
      <c r="W185" s="269">
        <v>-1658.6</v>
      </c>
      <c r="X185" s="268"/>
      <c r="Y185" s="268"/>
      <c r="Z185" s="268">
        <v>0</v>
      </c>
      <c r="AA185" s="269">
        <v>-1658</v>
      </c>
      <c r="AC185" s="275"/>
      <c r="AD185" s="275">
        <v>0</v>
      </c>
      <c r="AE185" s="310">
        <v>-1658.6</v>
      </c>
      <c r="AF185" s="275" t="s">
        <v>0</v>
      </c>
      <c r="AG185" s="275"/>
      <c r="AH185" s="275"/>
      <c r="AJ185" s="310">
        <v>-1658</v>
      </c>
      <c r="AK185" s="275"/>
      <c r="AL185" s="275"/>
      <c r="AM185" s="275"/>
      <c r="AN185" s="310">
        <v>-1658</v>
      </c>
      <c r="AO185" s="275" t="s">
        <v>0</v>
      </c>
      <c r="AP185" s="275"/>
      <c r="AQ185" s="275"/>
      <c r="AR185" s="310">
        <v>-1658</v>
      </c>
      <c r="AT185" s="275"/>
      <c r="AU185" s="275"/>
      <c r="AV185" s="275" t="s">
        <v>0</v>
      </c>
      <c r="AW185" s="310">
        <v>-1658</v>
      </c>
      <c r="AX185" s="275"/>
      <c r="AY185" s="275"/>
      <c r="AZ185" s="275"/>
      <c r="BA185" s="310">
        <v>-1658</v>
      </c>
      <c r="BC185" s="275"/>
      <c r="BD185" s="275"/>
      <c r="BE185" s="275"/>
      <c r="BF185" s="310">
        <v>-1658</v>
      </c>
      <c r="BH185" s="275"/>
      <c r="BI185" s="275"/>
      <c r="BJ185" s="275"/>
      <c r="BK185" s="275"/>
      <c r="BL185" s="275"/>
      <c r="BM185" s="310">
        <v>-1658</v>
      </c>
      <c r="BN185" s="275"/>
      <c r="BP185" s="275"/>
      <c r="BQ185" s="275"/>
      <c r="BR185" s="275"/>
      <c r="BS185" s="310">
        <v>-1658</v>
      </c>
      <c r="BU185" s="275"/>
      <c r="BV185" s="585"/>
      <c r="BW185" s="275"/>
      <c r="BX185" s="275"/>
      <c r="BY185" s="275">
        <v>-1658</v>
      </c>
      <c r="BZ185" s="275"/>
      <c r="CA185" s="275"/>
      <c r="CB185" s="275"/>
      <c r="CC185" s="275"/>
      <c r="CD185" s="275"/>
      <c r="CE185" s="275">
        <v>-1658</v>
      </c>
      <c r="CF185" s="275"/>
      <c r="CG185" s="275"/>
      <c r="CH185" s="275">
        <v>-1658</v>
      </c>
      <c r="CI185" s="275"/>
      <c r="CJ185" s="275"/>
      <c r="CK185" s="275"/>
      <c r="CL185" s="275"/>
      <c r="CZ185" s="351"/>
    </row>
    <row r="186" spans="1:104" s="211" customFormat="1" ht="15">
      <c r="A186" s="323"/>
      <c r="B186" s="282" t="s">
        <v>200</v>
      </c>
      <c r="F186" s="268"/>
      <c r="G186" s="268"/>
      <c r="H186" s="268"/>
      <c r="I186" s="269">
        <v>-7004</v>
      </c>
      <c r="J186" s="268"/>
      <c r="K186" s="268"/>
      <c r="L186" s="268"/>
      <c r="M186" s="268"/>
      <c r="N186" s="269">
        <f>I186</f>
        <v>-7004</v>
      </c>
      <c r="O186" s="268" t="s">
        <v>0</v>
      </c>
      <c r="P186" s="275"/>
      <c r="Q186" s="275"/>
      <c r="R186" s="310">
        <v>-7004</v>
      </c>
      <c r="T186" s="275"/>
      <c r="U186" s="275"/>
      <c r="V186" s="310">
        <v>-6987.46</v>
      </c>
      <c r="W186" s="268" t="s">
        <v>0</v>
      </c>
      <c r="X186" s="268"/>
      <c r="Y186" s="268"/>
      <c r="Z186" s="268">
        <v>0</v>
      </c>
      <c r="AA186" s="269">
        <v>-7012.42</v>
      </c>
      <c r="AC186" s="275"/>
      <c r="AD186" s="275">
        <v>0</v>
      </c>
      <c r="AE186" s="310">
        <v>-7004.93</v>
      </c>
      <c r="AF186" s="275" t="s">
        <v>0</v>
      </c>
      <c r="AG186" s="275"/>
      <c r="AH186" s="275"/>
      <c r="AJ186" s="310">
        <v>-7004.93</v>
      </c>
      <c r="AK186" s="275"/>
      <c r="AL186" s="275"/>
      <c r="AM186" s="275"/>
      <c r="AN186" s="310">
        <v>-7004.93</v>
      </c>
      <c r="AO186" s="275" t="s">
        <v>0</v>
      </c>
      <c r="AP186" s="275"/>
      <c r="AQ186" s="275"/>
      <c r="AR186" s="310">
        <v>-7004.93</v>
      </c>
      <c r="AS186" s="275" t="s">
        <v>0</v>
      </c>
      <c r="AT186" s="275"/>
      <c r="AU186" s="275"/>
      <c r="AV186" s="310">
        <v>-7369.22</v>
      </c>
      <c r="AW186" s="275" t="s">
        <v>0</v>
      </c>
      <c r="AX186" s="275"/>
      <c r="AY186" s="275"/>
      <c r="AZ186" s="275"/>
      <c r="BA186" s="275"/>
      <c r="BB186" s="275" t="s">
        <v>0</v>
      </c>
      <c r="BC186" s="275"/>
      <c r="BD186" s="275"/>
      <c r="BE186" s="275"/>
      <c r="BF186" s="275"/>
      <c r="BG186" s="275" t="s">
        <v>0</v>
      </c>
      <c r="BH186" s="275"/>
      <c r="BI186" s="275"/>
      <c r="BJ186" s="275"/>
      <c r="BK186" s="275"/>
      <c r="BL186" s="275"/>
      <c r="BM186" s="275"/>
      <c r="BN186" s="275"/>
      <c r="BV186" s="583"/>
      <c r="CZ186" s="351"/>
    </row>
    <row r="187" spans="1:104" s="211" customFormat="1" ht="15">
      <c r="A187" s="323"/>
      <c r="B187" s="282" t="s">
        <v>201</v>
      </c>
      <c r="F187" s="268"/>
      <c r="G187" s="268"/>
      <c r="H187" s="269">
        <v>-4371</v>
      </c>
      <c r="I187" s="268" t="s">
        <v>0</v>
      </c>
      <c r="J187" s="268"/>
      <c r="K187" s="268"/>
      <c r="L187" s="269">
        <v>-4371</v>
      </c>
      <c r="M187" s="268"/>
      <c r="P187" s="269">
        <v>-4371</v>
      </c>
      <c r="Q187" s="275"/>
      <c r="R187" s="275"/>
      <c r="S187" s="275" t="s">
        <v>0</v>
      </c>
      <c r="T187" s="275">
        <v>0</v>
      </c>
      <c r="U187" s="310">
        <v>-4371</v>
      </c>
      <c r="V187" s="275"/>
      <c r="W187" s="275" t="s">
        <v>0</v>
      </c>
      <c r="X187" s="275"/>
      <c r="Y187" s="310">
        <v>-4371</v>
      </c>
      <c r="Z187" s="275"/>
      <c r="AA187" s="275"/>
      <c r="AC187" s="275" t="s">
        <v>0</v>
      </c>
      <c r="AD187" s="310">
        <v>-4371</v>
      </c>
      <c r="AE187" s="275"/>
      <c r="AF187" s="275"/>
      <c r="AG187" s="275"/>
      <c r="AH187" s="275"/>
      <c r="AI187" s="275"/>
      <c r="AJ187" s="275"/>
      <c r="AK187" s="275"/>
      <c r="AL187" s="275"/>
      <c r="AM187" s="275"/>
      <c r="AN187" s="275"/>
      <c r="AO187" s="275"/>
      <c r="AP187" s="275"/>
      <c r="AQ187" s="275"/>
      <c r="AR187" s="275"/>
      <c r="AS187" s="275"/>
      <c r="AT187" s="275"/>
      <c r="AU187" s="275"/>
      <c r="AV187" s="275"/>
      <c r="AW187" s="275"/>
      <c r="AX187" s="275"/>
      <c r="AY187" s="275"/>
      <c r="AZ187" s="275"/>
      <c r="BA187" s="275"/>
      <c r="BB187" s="275"/>
      <c r="BC187" s="275"/>
      <c r="BD187" s="275"/>
      <c r="BE187" s="275"/>
      <c r="BF187" s="275"/>
      <c r="BG187" s="275"/>
      <c r="BH187" s="275"/>
      <c r="BI187" s="275"/>
      <c r="BJ187" s="275"/>
      <c r="BK187" s="275"/>
      <c r="BL187" s="275"/>
      <c r="BM187" s="275"/>
      <c r="BN187" s="275"/>
      <c r="BV187" s="583"/>
      <c r="CZ187" s="351"/>
    </row>
    <row r="188" spans="1:104" ht="15">
      <c r="A188" s="648"/>
      <c r="B188" s="632" t="s">
        <v>202</v>
      </c>
      <c r="C188" s="263"/>
      <c r="D188" s="211"/>
      <c r="E188" s="211"/>
      <c r="F188" s="268"/>
      <c r="G188" s="268"/>
      <c r="H188" s="268"/>
      <c r="I188" s="268"/>
      <c r="J188" s="268"/>
      <c r="K188" s="268"/>
      <c r="L188" s="268"/>
      <c r="M188" s="268"/>
      <c r="N188" s="268"/>
      <c r="O188" s="276">
        <v>100000</v>
      </c>
      <c r="P188" s="268" t="s">
        <v>0</v>
      </c>
      <c r="R188" s="268"/>
      <c r="S188" s="268"/>
      <c r="T188" s="268"/>
      <c r="U188" s="268"/>
      <c r="V188" s="268"/>
      <c r="W188" s="268"/>
      <c r="X188" s="268"/>
      <c r="Y188" s="268"/>
      <c r="Z188" s="268"/>
      <c r="AA188" s="276">
        <v>80000</v>
      </c>
      <c r="AB188" s="276">
        <v>20000</v>
      </c>
      <c r="AC188" s="276">
        <f>30000+50000</f>
        <v>80000</v>
      </c>
      <c r="AE188" s="633">
        <f>50000+30000</f>
        <v>80000</v>
      </c>
      <c r="AF188" s="268"/>
      <c r="AG188" s="268"/>
      <c r="AH188" s="268"/>
      <c r="AI188" s="268"/>
      <c r="AJ188" s="268"/>
      <c r="AK188" s="268"/>
      <c r="AL188" s="276">
        <v>40000</v>
      </c>
      <c r="AN188" s="268"/>
      <c r="AO188" s="268"/>
      <c r="AP188" s="268"/>
      <c r="AQ188" s="268"/>
      <c r="AR188" s="268"/>
      <c r="AS188" s="268"/>
      <c r="AT188" s="268"/>
      <c r="AU188" s="268"/>
      <c r="AV188" s="268" t="s">
        <v>0</v>
      </c>
      <c r="AW188" s="275"/>
      <c r="AX188" s="268"/>
      <c r="AY188" s="268"/>
      <c r="AZ188" s="268"/>
      <c r="BA188" s="268"/>
      <c r="BB188" s="268"/>
      <c r="BC188" s="268"/>
      <c r="BD188" s="268"/>
      <c r="BE188" s="268"/>
      <c r="BF188" s="268"/>
      <c r="BG188" s="268"/>
      <c r="BH188" s="268"/>
      <c r="BI188" s="268"/>
      <c r="BJ188" s="268"/>
      <c r="BK188" s="268"/>
      <c r="BL188" s="268"/>
      <c r="BM188" s="268"/>
      <c r="BN188" s="268"/>
      <c r="BT188" s="3" t="s">
        <v>0</v>
      </c>
      <c r="BV188" s="584"/>
      <c r="CZ188" s="207"/>
    </row>
    <row r="189" spans="1:104" s="211" customFormat="1" ht="15">
      <c r="A189" s="323"/>
      <c r="B189" s="632" t="s">
        <v>203</v>
      </c>
      <c r="F189" s="268"/>
      <c r="G189" s="268"/>
      <c r="H189" s="268"/>
      <c r="I189" s="268"/>
      <c r="J189" s="268"/>
      <c r="K189" s="268"/>
      <c r="L189" s="268"/>
      <c r="M189" s="268"/>
      <c r="P189" s="268"/>
      <c r="Q189" s="275"/>
      <c r="R189" s="275"/>
      <c r="S189" s="275"/>
      <c r="T189" s="275"/>
      <c r="U189" s="275"/>
      <c r="V189" s="275"/>
      <c r="W189" s="275"/>
      <c r="X189" s="275"/>
      <c r="Y189" s="275"/>
      <c r="Z189" s="275"/>
      <c r="AA189" s="275"/>
      <c r="AC189" s="275"/>
      <c r="AE189" s="633">
        <v>-25000</v>
      </c>
      <c r="AF189" s="211" t="s">
        <v>0</v>
      </c>
      <c r="AJ189" s="275"/>
      <c r="AK189" s="275"/>
      <c r="AL189" s="275"/>
      <c r="AM189" s="275"/>
      <c r="AN189" s="275"/>
      <c r="AP189" s="275"/>
      <c r="AQ189" s="275"/>
      <c r="AR189" s="633">
        <v>0</v>
      </c>
      <c r="AS189" s="275"/>
      <c r="AT189" s="275"/>
      <c r="AU189" s="275"/>
      <c r="AV189" s="634">
        <v>0</v>
      </c>
      <c r="AW189" s="569"/>
      <c r="AX189" s="275"/>
      <c r="AY189" s="275"/>
      <c r="AZ189" s="275"/>
      <c r="BA189" s="275"/>
      <c r="BB189" s="635">
        <v>-25000</v>
      </c>
      <c r="BC189" s="275"/>
      <c r="BD189" s="275"/>
      <c r="BE189" s="275"/>
      <c r="BI189" s="268"/>
      <c r="BJ189" s="268"/>
      <c r="BK189" s="268"/>
      <c r="BL189" s="268"/>
      <c r="BT189" s="635">
        <v>-75000</v>
      </c>
      <c r="BV189" s="583"/>
      <c r="CA189" s="634">
        <v>-75000</v>
      </c>
      <c r="CD189" s="634">
        <v>-100000</v>
      </c>
      <c r="CE189" s="211" t="s">
        <v>0</v>
      </c>
      <c r="CH189" s="634">
        <v>-60000</v>
      </c>
      <c r="CM189" s="634">
        <v>-60000</v>
      </c>
      <c r="CR189" s="634">
        <v>-60000</v>
      </c>
      <c r="CS189" s="211" t="s">
        <v>0</v>
      </c>
      <c r="CZ189" s="351"/>
    </row>
    <row r="190" spans="1:104" s="211" customFormat="1" ht="23" customHeight="1">
      <c r="A190" s="323"/>
      <c r="B190" s="632" t="s">
        <v>204</v>
      </c>
      <c r="F190" s="268"/>
      <c r="G190" s="268"/>
      <c r="H190" s="268"/>
      <c r="I190" s="268"/>
      <c r="J190" s="268"/>
      <c r="K190" s="268"/>
      <c r="L190" s="268"/>
      <c r="M190" s="268"/>
      <c r="P190" s="268"/>
      <c r="Q190" s="275"/>
      <c r="R190" s="275"/>
      <c r="S190" s="275"/>
      <c r="T190" s="275"/>
      <c r="U190" s="275"/>
      <c r="V190" s="275"/>
      <c r="W190" s="275"/>
      <c r="X190" s="275"/>
      <c r="Y190" s="275"/>
      <c r="Z190" s="275"/>
      <c r="AA190" s="275"/>
      <c r="AB190" s="275"/>
      <c r="AC190" s="275"/>
      <c r="AD190" s="275"/>
      <c r="AE190" s="275"/>
      <c r="AF190" s="275"/>
      <c r="AG190" s="275"/>
      <c r="AH190" s="633">
        <v>-30000</v>
      </c>
      <c r="AI190" s="275"/>
      <c r="AJ190" s="275"/>
      <c r="AK190" s="275"/>
      <c r="AL190" s="275"/>
      <c r="AM190" s="275"/>
      <c r="AN190" s="275"/>
      <c r="AO190" s="275"/>
      <c r="AP190" s="275"/>
      <c r="AQ190" s="275"/>
      <c r="AR190" s="275"/>
      <c r="AS190" s="633">
        <v>29900</v>
      </c>
      <c r="AU190" s="275"/>
      <c r="AV190" s="275"/>
      <c r="AW190" s="275"/>
      <c r="AX190" s="275"/>
      <c r="AY190" s="275"/>
      <c r="AZ190" s="275"/>
      <c r="BA190" s="275"/>
      <c r="BB190" s="275"/>
      <c r="BC190" s="275"/>
      <c r="BD190" s="275"/>
      <c r="BE190" s="275"/>
      <c r="BF190" s="275"/>
      <c r="BG190" s="275"/>
      <c r="BH190" s="275"/>
      <c r="BI190" s="275"/>
      <c r="BJ190" s="275"/>
      <c r="BK190" s="275"/>
      <c r="BL190" s="275"/>
      <c r="BM190" s="275"/>
      <c r="BN190" s="275"/>
      <c r="BV190" s="583"/>
      <c r="CZ190" s="351"/>
    </row>
    <row r="191" spans="1:104" ht="15">
      <c r="A191" s="648"/>
      <c r="B191" s="617" t="s">
        <v>205</v>
      </c>
      <c r="C191" s="211"/>
      <c r="F191" s="268"/>
      <c r="G191" s="268"/>
      <c r="H191" s="268"/>
      <c r="I191" s="268"/>
      <c r="J191" s="268"/>
      <c r="K191" s="268"/>
      <c r="L191" s="268"/>
      <c r="M191" s="268"/>
      <c r="N191" s="268"/>
      <c r="O191" s="277"/>
      <c r="P191" s="275"/>
      <c r="Q191" s="275"/>
      <c r="R191" s="275"/>
      <c r="S191" s="275"/>
      <c r="T191" s="275"/>
      <c r="U191" s="275"/>
      <c r="V191" s="275"/>
      <c r="W191" s="275"/>
      <c r="X191" s="275"/>
      <c r="Y191" s="275"/>
      <c r="Z191" s="275"/>
      <c r="AA191" s="275"/>
      <c r="AB191" s="275"/>
      <c r="AC191" s="275"/>
      <c r="AD191" s="275"/>
      <c r="AE191" s="275"/>
      <c r="AF191" s="275"/>
      <c r="AG191" s="275"/>
      <c r="AH191" s="275"/>
      <c r="AI191" s="275"/>
      <c r="AJ191" s="275"/>
      <c r="AK191" s="275"/>
      <c r="AL191" s="275"/>
      <c r="AM191" s="275"/>
      <c r="AN191" s="275"/>
      <c r="AO191" s="275"/>
      <c r="AP191" s="275"/>
      <c r="AQ191" s="275"/>
      <c r="AR191" s="275"/>
      <c r="AS191" s="275"/>
      <c r="AT191" s="275"/>
      <c r="AU191" s="275"/>
      <c r="AV191" s="275"/>
      <c r="AW191" s="275"/>
      <c r="AX191" s="275"/>
      <c r="AY191" s="275"/>
      <c r="AZ191" s="275"/>
      <c r="BA191" s="275"/>
      <c r="BB191" s="275"/>
      <c r="BC191" s="275"/>
      <c r="BD191" s="275"/>
      <c r="BE191" s="275"/>
      <c r="BF191" s="275"/>
      <c r="BG191" s="275"/>
      <c r="BH191" s="275"/>
      <c r="BI191" s="275"/>
      <c r="BJ191" s="275"/>
      <c r="BK191" s="275"/>
      <c r="BL191" s="275"/>
      <c r="BM191" s="275"/>
      <c r="BN191" s="275"/>
      <c r="BV191" s="584"/>
      <c r="CS191" s="211" t="s">
        <v>0</v>
      </c>
      <c r="CZ191" s="207"/>
    </row>
    <row r="192" spans="1:104" ht="15">
      <c r="A192" s="648"/>
      <c r="B192" s="282" t="s">
        <v>724</v>
      </c>
      <c r="C192" s="211">
        <v>0</v>
      </c>
      <c r="F192" s="268"/>
      <c r="G192" s="310">
        <v>-2600</v>
      </c>
      <c r="H192" s="268"/>
      <c r="I192" s="268"/>
      <c r="J192" s="269">
        <f>-(10383+387)-G192</f>
        <v>-8170</v>
      </c>
      <c r="K192" s="268"/>
      <c r="L192" s="268"/>
      <c r="M192" s="268"/>
      <c r="O192" s="268" t="s">
        <v>0</v>
      </c>
      <c r="P192" s="277"/>
      <c r="Q192" s="277"/>
      <c r="R192" s="310">
        <v>-7079</v>
      </c>
      <c r="S192" s="275"/>
      <c r="T192" s="275"/>
      <c r="U192" s="310">
        <v>-3456</v>
      </c>
      <c r="V192" s="275">
        <v>0</v>
      </c>
      <c r="W192" s="275" t="s">
        <v>0</v>
      </c>
      <c r="X192" s="275"/>
      <c r="Y192" s="275"/>
      <c r="Z192" s="275" t="s">
        <v>0</v>
      </c>
      <c r="AA192" s="310">
        <v>-14446.67</v>
      </c>
      <c r="AC192" s="275"/>
      <c r="AD192" s="275"/>
      <c r="AE192" s="275">
        <v>0</v>
      </c>
      <c r="AF192" s="310">
        <v>-12994.42</v>
      </c>
      <c r="AG192" s="275"/>
      <c r="AH192" s="275"/>
      <c r="AI192" s="275"/>
      <c r="AJ192" s="310">
        <v>-26684.37</v>
      </c>
      <c r="AK192" s="275"/>
      <c r="AL192" s="275"/>
      <c r="AM192" s="275"/>
      <c r="AO192" s="310">
        <v>-39783.410000000003</v>
      </c>
      <c r="AP192" s="275"/>
      <c r="AQ192" s="275" t="s">
        <v>0</v>
      </c>
      <c r="AR192" s="275"/>
      <c r="AT192" s="310">
        <v>-23659.119999999999</v>
      </c>
      <c r="AU192" s="275"/>
      <c r="AV192" s="310">
        <v>-10000</v>
      </c>
      <c r="AX192" s="310">
        <f>-37375.73+10000</f>
        <v>-27375.730000000003</v>
      </c>
      <c r="AY192" s="275"/>
      <c r="AZ192" s="310">
        <v>-20000</v>
      </c>
      <c r="BA192" s="627">
        <f>-29754.23-AZ192</f>
        <v>-9754.23</v>
      </c>
      <c r="BC192" s="275"/>
      <c r="BD192" s="275"/>
      <c r="BE192" s="310">
        <v>-10000</v>
      </c>
      <c r="BF192" s="310">
        <f>-3000-5000</f>
        <v>-8000</v>
      </c>
      <c r="BH192" s="627">
        <f>-71369.13-BE192-BF192</f>
        <v>-53369.130000000005</v>
      </c>
      <c r="BI192" s="275"/>
      <c r="BJ192" s="275"/>
      <c r="BK192" s="275"/>
      <c r="BL192" s="275"/>
      <c r="BM192" s="275"/>
      <c r="BN192" s="275"/>
      <c r="BO192" s="310">
        <v>-64849.9</v>
      </c>
      <c r="BP192" s="275"/>
      <c r="BQ192" s="275"/>
      <c r="BR192" s="275"/>
      <c r="BS192" s="275"/>
      <c r="BV192" s="585">
        <v>-26635.79</v>
      </c>
      <c r="BW192" s="275"/>
      <c r="BX192" s="275"/>
      <c r="BZ192" s="275">
        <v>-10678.69</v>
      </c>
      <c r="CA192" s="275"/>
      <c r="CB192" s="275"/>
      <c r="CC192" s="275"/>
      <c r="CD192" s="275"/>
      <c r="CE192" s="275">
        <v>-54778.93</v>
      </c>
      <c r="CF192" s="275"/>
      <c r="CG192" s="275"/>
      <c r="CI192" s="3">
        <v>-8284.74</v>
      </c>
      <c r="CZ192" s="207"/>
    </row>
    <row r="193" spans="1:104" ht="15">
      <c r="A193" s="648"/>
      <c r="B193" s="282" t="s">
        <v>769</v>
      </c>
      <c r="C193" s="211"/>
      <c r="F193" s="268"/>
      <c r="G193" s="268"/>
      <c r="H193" s="268"/>
      <c r="I193" s="268"/>
      <c r="J193" s="268"/>
      <c r="K193" s="268"/>
      <c r="L193" s="269">
        <v>-30000</v>
      </c>
      <c r="M193" s="310">
        <f>-44439-L193</f>
        <v>-14439</v>
      </c>
      <c r="N193" s="268"/>
      <c r="O193" s="269">
        <v>-5000</v>
      </c>
      <c r="P193" s="269">
        <v>-5000</v>
      </c>
      <c r="Q193" s="269">
        <f>-5000-10000</f>
        <v>-15000</v>
      </c>
      <c r="R193" s="310">
        <v>-5000</v>
      </c>
      <c r="S193" s="310">
        <f>-78782+5000+5000+5000+10000+5000</f>
        <v>-48782</v>
      </c>
      <c r="T193" s="275"/>
      <c r="U193" s="275"/>
      <c r="W193" s="275" t="s">
        <v>0</v>
      </c>
      <c r="X193" s="310">
        <v>-43765</v>
      </c>
      <c r="Y193" s="275"/>
      <c r="Z193" s="275"/>
      <c r="AA193" s="310">
        <v>-25117</v>
      </c>
      <c r="AC193" s="275"/>
      <c r="AD193" s="275"/>
      <c r="AE193" s="275">
        <v>0</v>
      </c>
      <c r="AF193" s="310">
        <v>-33511.980000000003</v>
      </c>
      <c r="AG193" s="275"/>
      <c r="AH193" s="275"/>
      <c r="AJ193" s="310">
        <v>-39612.93</v>
      </c>
      <c r="AK193" s="275"/>
      <c r="AL193" s="275"/>
      <c r="AM193" s="275"/>
      <c r="AO193" s="310">
        <v>-41886</v>
      </c>
      <c r="AP193" s="275"/>
      <c r="AQ193" s="275"/>
      <c r="AR193" s="275"/>
      <c r="AT193" s="275"/>
      <c r="AU193" s="275"/>
      <c r="AV193" s="275" t="s">
        <v>0</v>
      </c>
      <c r="AW193" s="310">
        <v>-10000</v>
      </c>
      <c r="AX193" s="310">
        <v>-36935.1</v>
      </c>
      <c r="AY193" s="275"/>
      <c r="AZ193" s="275"/>
      <c r="BB193" s="627">
        <f>-70013.4+10000</f>
        <v>-60013.399999999994</v>
      </c>
      <c r="BC193" s="275"/>
      <c r="BD193" s="275"/>
      <c r="BE193" s="275"/>
      <c r="BF193" s="275"/>
      <c r="BH193" s="310">
        <v>-40247.26</v>
      </c>
      <c r="BI193" s="275"/>
      <c r="BJ193" s="275"/>
      <c r="BK193" s="275"/>
      <c r="BL193" s="275"/>
      <c r="BM193" s="275"/>
      <c r="BN193" s="275"/>
      <c r="BO193" s="310">
        <v>-34711.230000000003</v>
      </c>
      <c r="BP193" s="275"/>
      <c r="BQ193" s="275"/>
      <c r="BR193" s="275"/>
      <c r="BS193" s="275"/>
      <c r="BV193" s="585">
        <v>-80574.710000000006</v>
      </c>
      <c r="BZ193" s="275">
        <v>-64212.47</v>
      </c>
      <c r="CE193" s="275">
        <v>-36972.42</v>
      </c>
      <c r="CZ193" s="207"/>
    </row>
    <row r="194" spans="1:104" ht="30">
      <c r="A194" s="648"/>
      <c r="B194" s="282" t="s">
        <v>730</v>
      </c>
      <c r="C194" s="211">
        <v>-14884</v>
      </c>
      <c r="F194" s="268"/>
      <c r="G194" s="269">
        <v>-1576</v>
      </c>
      <c r="H194" s="268"/>
      <c r="I194" s="268"/>
      <c r="J194" s="269">
        <f>(C194-G194)/2</f>
        <v>-6654</v>
      </c>
      <c r="K194" s="268"/>
      <c r="L194" s="269">
        <f>J194</f>
        <v>-6654</v>
      </c>
      <c r="M194" s="268"/>
      <c r="N194" s="269">
        <v>-2300</v>
      </c>
      <c r="O194" s="211"/>
      <c r="P194" s="277"/>
      <c r="Q194" s="607">
        <v>-3000</v>
      </c>
      <c r="R194" s="310">
        <f>-8443-Q194</f>
        <v>-5443</v>
      </c>
      <c r="S194" s="275"/>
      <c r="T194" s="275"/>
      <c r="U194" s="310">
        <f>-5900-3668.94</f>
        <v>-9568.94</v>
      </c>
      <c r="V194" s="275">
        <v>0</v>
      </c>
      <c r="W194" s="275"/>
      <c r="X194" s="275"/>
      <c r="Y194" s="275"/>
      <c r="Z194" s="275"/>
      <c r="AA194" s="275"/>
      <c r="AB194" s="275"/>
      <c r="AC194" s="275"/>
      <c r="AD194" s="310">
        <v>-7695.49</v>
      </c>
      <c r="AE194" s="569" t="s">
        <v>0</v>
      </c>
      <c r="AF194" s="310">
        <v>-13986.67</v>
      </c>
      <c r="AH194" s="310">
        <v>13986.67</v>
      </c>
      <c r="AJ194" s="310">
        <v>-10540</v>
      </c>
      <c r="AK194" s="275"/>
      <c r="AL194" s="275"/>
      <c r="AM194" s="275"/>
      <c r="AQ194" s="310">
        <v>-5706.06</v>
      </c>
      <c r="AR194" s="275"/>
      <c r="AU194" s="310">
        <v>-6230.59</v>
      </c>
      <c r="AV194" s="275" t="s">
        <v>0</v>
      </c>
      <c r="AW194" s="310">
        <v>-17401</v>
      </c>
      <c r="AX194" s="275"/>
      <c r="AY194" s="275"/>
      <c r="AZ194" s="275"/>
      <c r="BB194" s="627">
        <v>-5958.91</v>
      </c>
      <c r="BC194" s="310">
        <v>-5000</v>
      </c>
      <c r="BF194" s="275">
        <v>0</v>
      </c>
      <c r="BH194" s="310">
        <f>-43385.99-BC194</f>
        <v>-38385.99</v>
      </c>
      <c r="BI194" s="275"/>
      <c r="BJ194" s="275"/>
      <c r="BK194" s="275"/>
      <c r="BL194" s="275"/>
      <c r="BM194" s="275"/>
      <c r="BO194" s="310">
        <v>-19602.04</v>
      </c>
      <c r="BP194" s="275"/>
      <c r="BQ194" s="275"/>
      <c r="BR194" s="275"/>
      <c r="BS194" s="275"/>
      <c r="BV194" s="585">
        <f>-29149.74-BO194</f>
        <v>-9547.7000000000007</v>
      </c>
      <c r="BW194" s="275"/>
      <c r="BX194" s="275"/>
      <c r="BZ194" s="275">
        <v>-10000</v>
      </c>
      <c r="CA194" s="275"/>
      <c r="CB194" s="275"/>
      <c r="CC194" s="275"/>
      <c r="CD194" s="275"/>
      <c r="CZ194" s="207"/>
    </row>
    <row r="195" spans="1:104" ht="15">
      <c r="A195" s="648"/>
      <c r="B195" s="282" t="s">
        <v>770</v>
      </c>
      <c r="C195" s="211"/>
      <c r="F195" s="269">
        <v>-4140</v>
      </c>
      <c r="G195" s="268"/>
      <c r="H195" s="268"/>
      <c r="I195" s="268" t="s">
        <v>0</v>
      </c>
      <c r="J195" s="269">
        <v>-4140</v>
      </c>
      <c r="K195" s="268" t="s">
        <v>0</v>
      </c>
      <c r="L195" s="268"/>
      <c r="M195" s="268"/>
      <c r="N195" s="268" t="s">
        <v>0</v>
      </c>
      <c r="Q195" s="275"/>
      <c r="R195" s="275"/>
      <c r="S195" s="269">
        <v>-3000</v>
      </c>
      <c r="T195" s="275" t="s">
        <v>0</v>
      </c>
      <c r="U195" s="269">
        <f>-8280*2-S195</f>
        <v>-13560</v>
      </c>
      <c r="V195" s="275"/>
      <c r="W195" s="275" t="s">
        <v>0</v>
      </c>
      <c r="X195" s="275">
        <v>0</v>
      </c>
      <c r="Z195" s="275">
        <v>0</v>
      </c>
      <c r="AA195" s="310">
        <f>-8613-3522.4</f>
        <v>-12135.4</v>
      </c>
      <c r="AB195" s="275"/>
      <c r="AC195" s="275"/>
      <c r="AD195" s="275"/>
      <c r="AE195" s="275"/>
      <c r="AF195" s="310">
        <v>-18653.25</v>
      </c>
      <c r="AG195" s="275"/>
      <c r="AH195" s="275"/>
      <c r="AI195" s="275"/>
      <c r="AJ195" s="310">
        <v>-20136.32</v>
      </c>
      <c r="AK195" s="275"/>
      <c r="AL195" s="275"/>
      <c r="AM195" s="275"/>
      <c r="AQ195" s="310">
        <v>-17321.580000000002</v>
      </c>
      <c r="AR195" s="275"/>
      <c r="AV195" s="310">
        <v>-10679</v>
      </c>
      <c r="AY195" s="627">
        <v>-10505.72</v>
      </c>
      <c r="AZ195" s="275"/>
      <c r="BB195" s="627">
        <v>-8881.33</v>
      </c>
      <c r="BC195" s="275"/>
      <c r="BD195" s="275"/>
      <c r="BE195" s="275"/>
      <c r="BF195" s="275"/>
      <c r="BH195" s="626">
        <v>-15947</v>
      </c>
      <c r="BI195" s="275"/>
      <c r="BJ195" s="275"/>
      <c r="BK195" s="275"/>
      <c r="BL195" s="275"/>
      <c r="BM195" s="275"/>
      <c r="BN195" s="275"/>
      <c r="BO195" s="627">
        <f>-5522.04+0.9</f>
        <v>-5521.14</v>
      </c>
      <c r="BP195" s="275"/>
      <c r="BQ195" s="275"/>
      <c r="BR195" s="275"/>
      <c r="BS195" s="275"/>
      <c r="BV195" s="585">
        <v>-3608.54</v>
      </c>
      <c r="BZ195" s="275">
        <v>-6490.77</v>
      </c>
      <c r="CZ195" s="207"/>
    </row>
    <row r="196" spans="1:104" ht="15">
      <c r="A196" s="648"/>
      <c r="B196" s="282" t="s">
        <v>211</v>
      </c>
      <c r="C196" s="211"/>
      <c r="F196" s="269">
        <v>-5285</v>
      </c>
      <c r="G196" s="269">
        <v>-5379</v>
      </c>
      <c r="H196" s="268"/>
      <c r="I196" s="268"/>
      <c r="J196" s="269">
        <v>-6700</v>
      </c>
      <c r="K196" s="269">
        <f>-7200-G196</f>
        <v>-1821</v>
      </c>
      <c r="L196" s="268"/>
      <c r="M196" s="268"/>
      <c r="N196" s="268"/>
      <c r="O196" s="275" t="s">
        <v>0</v>
      </c>
      <c r="P196" s="310">
        <v>-7200</v>
      </c>
      <c r="Q196" s="277"/>
      <c r="R196" s="269">
        <v>-8000</v>
      </c>
      <c r="S196" s="275" t="s">
        <v>0</v>
      </c>
      <c r="T196" s="275" t="s">
        <v>0</v>
      </c>
      <c r="U196" s="310">
        <f>-7246.66-8801.36</f>
        <v>-16048.02</v>
      </c>
      <c r="V196" s="275"/>
      <c r="W196" s="275"/>
      <c r="X196" s="275"/>
      <c r="Y196" s="275"/>
      <c r="Z196" s="275" t="s">
        <v>0</v>
      </c>
      <c r="AA196" s="275">
        <v>0</v>
      </c>
      <c r="AB196" s="636">
        <v>-14774.13</v>
      </c>
      <c r="AC196" s="275"/>
      <c r="AD196" s="275"/>
      <c r="AE196" s="275"/>
      <c r="AF196" s="310">
        <v>-13986.67</v>
      </c>
      <c r="AG196" s="275"/>
      <c r="AH196" s="275"/>
      <c r="AI196" s="275"/>
      <c r="AJ196" s="275"/>
      <c r="AK196" s="310">
        <v>-1146.57</v>
      </c>
      <c r="AL196" s="275"/>
      <c r="AM196" s="275"/>
      <c r="AN196" s="310">
        <v>-6312.41</v>
      </c>
      <c r="AP196" s="275"/>
      <c r="AQ196" s="275"/>
      <c r="AR196" s="275"/>
      <c r="AS196" s="275"/>
      <c r="AT196" s="275"/>
      <c r="AU196" s="275"/>
      <c r="AW196" s="569" t="s">
        <v>0</v>
      </c>
      <c r="AX196" s="627">
        <v>-8115.31</v>
      </c>
      <c r="AY196" s="627">
        <v>-7279.02</v>
      </c>
      <c r="AZ196" s="569"/>
      <c r="BA196" s="310">
        <v>-2645.07</v>
      </c>
      <c r="BC196" s="275"/>
      <c r="BD196" s="275"/>
      <c r="BE196" s="275"/>
      <c r="BF196" s="275"/>
      <c r="BH196" s="310">
        <v>-1860.43</v>
      </c>
      <c r="BI196" s="275"/>
      <c r="BJ196" s="275"/>
      <c r="BK196" s="275"/>
      <c r="BL196" s="275"/>
      <c r="BM196" s="275"/>
      <c r="BN196" s="275"/>
      <c r="BO196" s="627">
        <v>-11083.25</v>
      </c>
      <c r="BP196" s="275"/>
      <c r="BQ196" s="275"/>
      <c r="BR196" s="275"/>
      <c r="BS196" s="275"/>
      <c r="BV196" s="585">
        <v>-28718.720000000001</v>
      </c>
      <c r="BW196" s="275"/>
      <c r="BX196" s="275"/>
      <c r="BZ196" s="275">
        <v>-14072.04</v>
      </c>
      <c r="CA196" s="275"/>
      <c r="CB196" s="275"/>
      <c r="CC196" s="275"/>
      <c r="CD196" s="275"/>
      <c r="CZ196" s="207"/>
    </row>
    <row r="197" spans="1:104" ht="15">
      <c r="A197" s="648"/>
      <c r="B197" s="282" t="s">
        <v>731</v>
      </c>
      <c r="C197" s="232"/>
      <c r="F197" s="268"/>
      <c r="G197" s="268"/>
      <c r="H197" s="268"/>
      <c r="I197" s="268"/>
      <c r="J197" s="268"/>
      <c r="K197" s="268"/>
      <c r="L197" s="268"/>
      <c r="M197" s="268"/>
      <c r="N197" s="268"/>
      <c r="O197" s="275"/>
      <c r="P197" s="277"/>
      <c r="Q197" s="277"/>
      <c r="R197" s="277"/>
      <c r="S197" s="275"/>
      <c r="T197" s="275"/>
      <c r="U197" s="275"/>
      <c r="W197" s="275"/>
      <c r="X197" s="275"/>
      <c r="Y197" s="275"/>
      <c r="AB197" s="275"/>
      <c r="AC197" s="310"/>
      <c r="AD197" s="275"/>
      <c r="AE197" s="275"/>
      <c r="AF197" s="275"/>
      <c r="AG197" s="275"/>
      <c r="AH197" s="275"/>
      <c r="AI197" s="275"/>
      <c r="AJ197" s="275"/>
      <c r="AK197" s="275"/>
      <c r="AL197" s="275"/>
      <c r="AM197" s="275"/>
      <c r="AN197" s="275"/>
      <c r="AO197" s="275"/>
      <c r="AP197" s="275"/>
      <c r="AQ197" s="275"/>
      <c r="AR197" s="275"/>
      <c r="AS197" s="275"/>
      <c r="AT197" s="275"/>
      <c r="AU197" s="275"/>
      <c r="AV197" s="275"/>
      <c r="AW197" s="275"/>
      <c r="AX197" s="627">
        <v>-2867.13</v>
      </c>
      <c r="AY197" s="275"/>
      <c r="AZ197" s="275"/>
      <c r="BA197" s="310">
        <v>-4773.63</v>
      </c>
      <c r="BC197" s="275"/>
      <c r="BD197" s="275"/>
      <c r="BE197" s="275"/>
      <c r="BF197" s="275"/>
      <c r="BH197" s="310">
        <v>-8919.9599999999991</v>
      </c>
      <c r="BI197" s="275"/>
      <c r="BJ197" s="275"/>
      <c r="BK197" s="275"/>
      <c r="BL197" s="275"/>
      <c r="BM197" s="275"/>
      <c r="BN197" s="275"/>
      <c r="BO197" s="627">
        <f>-18882.96-BH197</f>
        <v>-9963</v>
      </c>
      <c r="BV197" s="585">
        <v>-1162.23</v>
      </c>
      <c r="BZ197" s="275">
        <v>-2049.1799999999998</v>
      </c>
      <c r="CZ197" s="207"/>
    </row>
    <row r="198" spans="1:104" ht="15">
      <c r="A198" s="648"/>
      <c r="B198" s="299" t="s">
        <v>786</v>
      </c>
      <c r="C198" s="263"/>
      <c r="D198" s="211">
        <v>0</v>
      </c>
      <c r="E198" s="211"/>
      <c r="F198" s="268"/>
      <c r="G198" s="268"/>
      <c r="H198" s="268"/>
      <c r="I198" s="268"/>
      <c r="J198" s="268"/>
      <c r="K198" s="268"/>
      <c r="L198" s="268"/>
      <c r="M198" s="268"/>
      <c r="N198" s="268"/>
      <c r="O198" s="268"/>
      <c r="P198" s="268"/>
      <c r="Q198" s="268"/>
      <c r="R198" s="268"/>
      <c r="S198" s="268"/>
      <c r="T198" s="268"/>
      <c r="U198" s="268"/>
      <c r="V198" s="268"/>
      <c r="W198" s="268"/>
      <c r="X198" s="268"/>
      <c r="Y198" s="268"/>
      <c r="Z198" s="268"/>
      <c r="AA198" s="268"/>
      <c r="AB198" s="268"/>
      <c r="AC198" s="268"/>
      <c r="AD198" s="268"/>
      <c r="AE198" s="268"/>
      <c r="AF198" s="308"/>
      <c r="AG198" s="308"/>
      <c r="AH198" s="308"/>
      <c r="AI198" s="308"/>
      <c r="AJ198" s="268"/>
      <c r="AK198" s="268"/>
      <c r="AL198" s="268"/>
      <c r="AM198" s="268"/>
      <c r="AN198" s="268"/>
      <c r="AO198" s="268"/>
      <c r="AP198" s="268"/>
      <c r="AQ198" s="268"/>
      <c r="AR198" s="268"/>
      <c r="AS198" s="268"/>
      <c r="AT198" s="268"/>
      <c r="AU198" s="268"/>
      <c r="AV198" s="268"/>
      <c r="AW198" s="275"/>
      <c r="AY198" s="268" t="s">
        <v>0</v>
      </c>
      <c r="AZ198" s="268"/>
      <c r="BB198" s="268" t="s">
        <v>0</v>
      </c>
      <c r="BC198" s="268" t="s">
        <v>0</v>
      </c>
      <c r="BD198" s="268" t="s">
        <v>0</v>
      </c>
      <c r="BG198" s="269">
        <v>-3232.44</v>
      </c>
      <c r="BH198" s="268"/>
      <c r="BI198" s="269">
        <v>-3943.38</v>
      </c>
      <c r="BJ198" s="269">
        <v>-3916.32</v>
      </c>
      <c r="BK198" s="268"/>
      <c r="BL198" s="268"/>
      <c r="BM198" s="268" t="s">
        <v>0</v>
      </c>
      <c r="BN198" s="268"/>
      <c r="BO198" s="268" t="s">
        <v>0</v>
      </c>
      <c r="BP198" s="268"/>
      <c r="BQ198" s="268"/>
      <c r="BR198" s="268" t="s">
        <v>0</v>
      </c>
      <c r="BV198" s="582" t="s">
        <v>0</v>
      </c>
      <c r="BX198" s="3" t="s">
        <v>0</v>
      </c>
      <c r="BZ198" s="275">
        <v>-9443.4</v>
      </c>
      <c r="CE198" s="275">
        <v>-5000</v>
      </c>
      <c r="CF198" s="275"/>
      <c r="CG198" s="275"/>
      <c r="CZ198" s="207"/>
    </row>
    <row r="199" spans="1:104" ht="15">
      <c r="A199" s="648"/>
      <c r="B199" s="282" t="s">
        <v>732</v>
      </c>
      <c r="C199" s="232"/>
      <c r="F199" s="268"/>
      <c r="G199" s="268"/>
      <c r="H199" s="268"/>
      <c r="I199" s="268"/>
      <c r="J199" s="268"/>
      <c r="K199" s="268"/>
      <c r="L199" s="268"/>
      <c r="M199" s="268"/>
      <c r="N199" s="268"/>
      <c r="O199" s="275"/>
      <c r="P199" s="277"/>
      <c r="Q199" s="277"/>
      <c r="R199" s="277"/>
      <c r="S199" s="275"/>
      <c r="T199" s="275"/>
      <c r="U199" s="275"/>
      <c r="W199" s="275"/>
      <c r="X199" s="275"/>
      <c r="Y199" s="275"/>
      <c r="AB199" s="275"/>
      <c r="AC199" s="310"/>
      <c r="AD199" s="275"/>
      <c r="AE199" s="275"/>
      <c r="AF199" s="275"/>
      <c r="AG199" s="275"/>
      <c r="AH199" s="275"/>
      <c r="AI199" s="275"/>
      <c r="AJ199" s="275"/>
      <c r="AK199" s="275"/>
      <c r="AL199" s="275"/>
      <c r="AM199" s="275"/>
      <c r="AN199" s="275"/>
      <c r="AO199" s="275"/>
      <c r="AP199" s="275"/>
      <c r="AQ199" s="275"/>
      <c r="AR199" s="275"/>
      <c r="AS199" s="275"/>
      <c r="AT199" s="275"/>
      <c r="AU199" s="275"/>
      <c r="AV199" s="275"/>
      <c r="AW199" s="275"/>
      <c r="AX199" s="275"/>
      <c r="AZ199" s="275" t="s">
        <v>0</v>
      </c>
      <c r="BB199" s="627">
        <f>-243.54-6707.27</f>
        <v>-6950.81</v>
      </c>
      <c r="BC199" s="275"/>
      <c r="BD199" s="275"/>
      <c r="BE199" s="275"/>
      <c r="BF199" s="275"/>
      <c r="BK199" s="275"/>
      <c r="BM199" s="627">
        <f>-3805.75-9728.36-9436.24</f>
        <v>-22970.35</v>
      </c>
      <c r="BN199" s="275"/>
      <c r="BT199" s="569" t="s">
        <v>0</v>
      </c>
      <c r="BU199" s="569"/>
      <c r="BV199" s="585">
        <v>-12561.37</v>
      </c>
      <c r="BY199" s="569" t="s">
        <v>0</v>
      </c>
      <c r="BZ199" s="569">
        <v>-11085.96</v>
      </c>
      <c r="CZ199" s="207"/>
    </row>
    <row r="200" spans="1:104" ht="15">
      <c r="A200" s="648"/>
      <c r="B200" s="282" t="s">
        <v>723</v>
      </c>
      <c r="C200" s="232"/>
      <c r="F200" s="268"/>
      <c r="G200" s="268"/>
      <c r="H200" s="268"/>
      <c r="I200" s="268"/>
      <c r="J200" s="268"/>
      <c r="K200" s="268"/>
      <c r="L200" s="268"/>
      <c r="M200" s="268"/>
      <c r="N200" s="268"/>
      <c r="O200" s="275"/>
      <c r="P200" s="277"/>
      <c r="Q200" s="277"/>
      <c r="R200" s="277"/>
      <c r="S200" s="275"/>
      <c r="T200" s="275"/>
      <c r="U200" s="275"/>
      <c r="W200" s="275"/>
      <c r="X200" s="275"/>
      <c r="Y200" s="275"/>
      <c r="AB200" s="275"/>
      <c r="AC200" s="310"/>
      <c r="AD200" s="275"/>
      <c r="AE200" s="275"/>
      <c r="AF200" s="275"/>
      <c r="AG200" s="275"/>
      <c r="AH200" s="275"/>
      <c r="AI200" s="275"/>
      <c r="AJ200" s="275"/>
      <c r="AK200" s="275"/>
      <c r="AL200" s="275"/>
      <c r="AM200" s="275"/>
      <c r="AN200" s="275"/>
      <c r="AO200" s="275"/>
      <c r="AP200" s="275"/>
      <c r="AQ200" s="275"/>
      <c r="AR200" s="275"/>
      <c r="AS200" s="275"/>
      <c r="AT200" s="275"/>
      <c r="AU200" s="275"/>
      <c r="AV200" s="275"/>
      <c r="AW200" s="275"/>
      <c r="AX200" s="275"/>
      <c r="AY200" s="275"/>
      <c r="AZ200" s="275"/>
      <c r="BA200" s="275"/>
      <c r="BB200" s="275"/>
      <c r="BC200" s="275"/>
      <c r="BD200" s="275"/>
      <c r="BE200" s="275"/>
      <c r="BF200" s="275"/>
      <c r="BI200" s="275" t="s">
        <v>0</v>
      </c>
      <c r="BJ200" s="275"/>
      <c r="BN200" s="275"/>
      <c r="BO200" s="310">
        <v>-7209.94</v>
      </c>
      <c r="BV200" s="584"/>
      <c r="CZ200" s="207"/>
    </row>
    <row r="201" spans="1:104" ht="15">
      <c r="A201" s="648"/>
      <c r="B201" s="282" t="s">
        <v>206</v>
      </c>
      <c r="C201" s="211">
        <v>189000</v>
      </c>
      <c r="F201" s="268"/>
      <c r="G201" s="268"/>
      <c r="H201" s="268"/>
      <c r="I201" s="268"/>
      <c r="J201" s="268"/>
      <c r="K201" s="268"/>
      <c r="L201" s="268"/>
      <c r="M201" s="269">
        <v>-15000</v>
      </c>
      <c r="N201" s="268"/>
      <c r="P201" s="268"/>
      <c r="Q201" s="268">
        <v>0</v>
      </c>
      <c r="R201" s="269">
        <v>-15000</v>
      </c>
      <c r="T201" s="275"/>
      <c r="U201" s="310">
        <v>-15000</v>
      </c>
      <c r="V201" s="275"/>
      <c r="W201" s="275" t="s">
        <v>0</v>
      </c>
      <c r="X201" s="275"/>
      <c r="Y201" s="275"/>
      <c r="Z201" s="310">
        <v>-15000</v>
      </c>
      <c r="AA201" s="275"/>
      <c r="AB201" s="275">
        <v>0</v>
      </c>
      <c r="AC201" s="275"/>
      <c r="AD201" s="275">
        <v>0</v>
      </c>
      <c r="AE201" s="310">
        <f>-17500-12.7</f>
        <v>-17512.7</v>
      </c>
      <c r="AF201" s="275" t="s">
        <v>0</v>
      </c>
      <c r="AG201" s="275"/>
      <c r="AH201" s="275"/>
      <c r="AI201" s="310">
        <v>-17500</v>
      </c>
      <c r="AK201" s="275"/>
      <c r="AL201" s="275"/>
      <c r="AM201" s="275"/>
      <c r="AN201" s="310">
        <v>-17500</v>
      </c>
      <c r="AP201" s="275"/>
      <c r="AQ201" s="275"/>
      <c r="AR201" s="310">
        <v>-20000</v>
      </c>
      <c r="AS201" s="275"/>
      <c r="AT201" s="275"/>
      <c r="AU201" s="275"/>
      <c r="AX201" s="310">
        <v>-20000</v>
      </c>
      <c r="AY201" s="275"/>
      <c r="BA201" s="310">
        <v>-20000</v>
      </c>
      <c r="BC201" s="275"/>
      <c r="BD201" s="275"/>
      <c r="BE201" s="275"/>
      <c r="BI201" s="275" t="s">
        <v>0</v>
      </c>
      <c r="BK201" s="275"/>
      <c r="BL201" s="310">
        <v>-15459.2</v>
      </c>
      <c r="BM201" s="275"/>
      <c r="BN201" s="275"/>
      <c r="BO201" s="275">
        <v>0</v>
      </c>
      <c r="BP201" s="275"/>
      <c r="BQ201" s="275"/>
      <c r="BR201" s="275"/>
      <c r="BS201" s="275"/>
      <c r="BV201" s="584"/>
      <c r="CZ201" s="207"/>
    </row>
    <row r="202" spans="1:104" ht="15">
      <c r="A202" s="648"/>
      <c r="B202" s="282" t="s">
        <v>207</v>
      </c>
      <c r="C202" s="211">
        <v>201000</v>
      </c>
      <c r="F202" s="268" t="s">
        <v>0</v>
      </c>
      <c r="G202" s="268"/>
      <c r="H202" s="268"/>
      <c r="I202" s="268"/>
      <c r="J202" s="268"/>
      <c r="K202" s="268"/>
      <c r="L202" s="268" t="s">
        <v>0</v>
      </c>
      <c r="M202" s="268"/>
      <c r="N202" s="269">
        <v>-10000</v>
      </c>
      <c r="P202" s="277"/>
      <c r="Q202" s="277"/>
      <c r="R202" s="310">
        <v>-10000</v>
      </c>
      <c r="T202" s="275"/>
      <c r="U202" s="310">
        <v>-10000</v>
      </c>
      <c r="V202" s="275">
        <v>0</v>
      </c>
      <c r="W202" s="275" t="s">
        <v>0</v>
      </c>
      <c r="X202" s="275"/>
      <c r="Y202" s="275"/>
      <c r="Z202" s="275">
        <v>0</v>
      </c>
      <c r="AA202" s="310">
        <v>-15000</v>
      </c>
      <c r="AB202" s="275">
        <v>0</v>
      </c>
      <c r="AC202" s="275"/>
      <c r="AD202" s="275">
        <v>0</v>
      </c>
      <c r="AE202" s="275">
        <v>0</v>
      </c>
      <c r="AF202" s="310">
        <v>-15000</v>
      </c>
      <c r="AG202" s="275"/>
      <c r="AH202" s="275"/>
      <c r="AJ202" s="310">
        <v>-15000</v>
      </c>
      <c r="AK202" s="275"/>
      <c r="AL202" s="275"/>
      <c r="AM202" s="275"/>
      <c r="AO202" s="310">
        <v>-20000</v>
      </c>
      <c r="AP202" s="275"/>
      <c r="AQ202" s="275"/>
      <c r="AR202" s="275"/>
      <c r="AS202" s="310">
        <v>-20000</v>
      </c>
      <c r="AT202" s="275"/>
      <c r="AU202" s="275"/>
      <c r="AV202" s="275" t="s">
        <v>0</v>
      </c>
      <c r="AX202" s="310">
        <v>-20000</v>
      </c>
      <c r="AY202" s="275"/>
      <c r="AZ202" s="275"/>
      <c r="BB202" s="310">
        <v>-20000</v>
      </c>
      <c r="BC202" s="275"/>
      <c r="BD202" s="275"/>
      <c r="BE202" s="275"/>
      <c r="BF202" s="275"/>
      <c r="BH202" s="310">
        <v>-20000</v>
      </c>
      <c r="BI202" s="275"/>
      <c r="BJ202" s="275"/>
      <c r="BK202" s="275"/>
      <c r="BL202" s="275"/>
      <c r="BM202" s="275"/>
      <c r="BN202" s="275"/>
      <c r="BO202" s="310">
        <v>-20000</v>
      </c>
      <c r="BP202" s="275"/>
      <c r="BQ202" s="275"/>
      <c r="BR202" s="275"/>
      <c r="BS202" s="275"/>
      <c r="BV202" s="592">
        <v>-6128.51</v>
      </c>
      <c r="BW202" s="275"/>
      <c r="BX202" s="275"/>
      <c r="CZ202" s="207"/>
    </row>
    <row r="203" spans="1:104" ht="15">
      <c r="A203" s="648"/>
      <c r="B203" s="282" t="s">
        <v>209</v>
      </c>
      <c r="C203" s="211">
        <v>108000</v>
      </c>
      <c r="F203" s="269">
        <v>-48000</v>
      </c>
      <c r="G203" s="268"/>
      <c r="H203" s="268"/>
      <c r="I203" s="268"/>
      <c r="J203" s="268"/>
      <c r="K203" s="268"/>
      <c r="L203" s="269">
        <v>-10000</v>
      </c>
      <c r="M203" s="268"/>
      <c r="N203" s="268"/>
      <c r="P203" s="277"/>
      <c r="Q203" s="310">
        <v>-10000</v>
      </c>
      <c r="R203" s="268" t="s">
        <v>0</v>
      </c>
      <c r="T203" s="275"/>
      <c r="U203" s="310">
        <f>-10000-441.13</f>
        <v>-10441.129999999999</v>
      </c>
      <c r="V203" s="275"/>
      <c r="X203" s="275"/>
      <c r="Y203" s="275"/>
      <c r="Z203" s="275">
        <v>0</v>
      </c>
      <c r="AA203" s="310">
        <v>-10000</v>
      </c>
      <c r="AB203" s="275">
        <v>0</v>
      </c>
      <c r="AC203" s="275"/>
      <c r="AD203" s="275">
        <v>0</v>
      </c>
      <c r="AE203" s="275">
        <v>0</v>
      </c>
      <c r="AF203" s="310">
        <v>-10000</v>
      </c>
      <c r="AG203" s="275"/>
      <c r="AH203" s="275"/>
      <c r="AJ203" s="310">
        <f>-10873+441-0.61</f>
        <v>-10432.61</v>
      </c>
      <c r="AK203" s="275"/>
      <c r="AL203" s="275"/>
      <c r="AM203" s="275"/>
      <c r="AN203" s="275"/>
      <c r="AO203" s="275"/>
      <c r="AP203" s="275"/>
      <c r="AQ203" s="275"/>
      <c r="AR203" s="275"/>
      <c r="AS203" s="275"/>
      <c r="AT203" s="275"/>
      <c r="AU203" s="275"/>
      <c r="AV203" s="275"/>
      <c r="AW203" s="275"/>
      <c r="AX203" s="275"/>
      <c r="AY203" s="275"/>
      <c r="AZ203" s="275"/>
      <c r="BA203" s="275"/>
      <c r="BB203" s="275"/>
      <c r="BC203" s="275"/>
      <c r="BD203" s="275"/>
      <c r="BE203" s="275"/>
      <c r="BF203" s="275"/>
      <c r="BG203" s="275"/>
      <c r="BH203" s="275"/>
      <c r="BI203" s="275"/>
      <c r="BJ203" s="275"/>
      <c r="BK203" s="275"/>
      <c r="BL203" s="275"/>
      <c r="BM203" s="275"/>
      <c r="BN203" s="275"/>
      <c r="BV203" s="584"/>
      <c r="CZ203" s="207"/>
    </row>
    <row r="204" spans="1:104" ht="15">
      <c r="A204" s="648"/>
      <c r="B204" s="282" t="s">
        <v>210</v>
      </c>
      <c r="C204" s="211"/>
      <c r="F204" s="268"/>
      <c r="G204" s="268"/>
      <c r="H204" s="268"/>
      <c r="I204" s="268"/>
      <c r="J204" s="268"/>
      <c r="K204" s="268"/>
      <c r="L204" s="268"/>
      <c r="M204" s="268"/>
      <c r="N204" s="268"/>
      <c r="P204" s="277"/>
      <c r="Q204" s="275"/>
      <c r="R204" s="277"/>
      <c r="T204" s="275"/>
      <c r="U204" s="275"/>
      <c r="V204" s="275"/>
      <c r="W204" s="275">
        <v>0</v>
      </c>
      <c r="X204" s="275"/>
      <c r="Z204" s="275">
        <v>0</v>
      </c>
      <c r="AA204" s="275">
        <v>0</v>
      </c>
      <c r="AB204" s="275">
        <v>0</v>
      </c>
      <c r="AC204" s="275">
        <v>0</v>
      </c>
      <c r="AD204" s="275"/>
      <c r="AE204" s="275">
        <v>0</v>
      </c>
      <c r="AF204" s="310">
        <v>-2849</v>
      </c>
      <c r="AG204" s="275"/>
      <c r="AH204" s="275"/>
      <c r="AJ204" s="310">
        <v>-376.38</v>
      </c>
      <c r="AK204" s="275"/>
      <c r="AL204" s="275"/>
      <c r="AM204" s="275"/>
      <c r="AN204" s="275"/>
      <c r="AO204" s="275"/>
      <c r="AP204" s="275"/>
      <c r="AQ204" s="275"/>
      <c r="AR204" s="275"/>
      <c r="AS204" s="275"/>
      <c r="AT204" s="275"/>
      <c r="AU204" s="275"/>
      <c r="AV204" s="275"/>
      <c r="AW204" s="275"/>
      <c r="AX204" s="275"/>
      <c r="AY204" s="275"/>
      <c r="AZ204" s="275"/>
      <c r="BA204" s="275"/>
      <c r="BB204" s="275"/>
      <c r="BC204" s="275"/>
      <c r="BD204" s="275"/>
      <c r="BE204" s="275"/>
      <c r="BF204" s="275"/>
      <c r="BG204" s="275"/>
      <c r="BH204" s="275"/>
      <c r="BI204" s="275"/>
      <c r="BJ204" s="275"/>
      <c r="BK204" s="275"/>
      <c r="BL204" s="275"/>
      <c r="BM204" s="275"/>
      <c r="BN204" s="275"/>
      <c r="BV204" s="584"/>
      <c r="CZ204" s="207"/>
    </row>
    <row r="205" spans="1:104" ht="15">
      <c r="A205" s="648"/>
      <c r="B205" s="282" t="s">
        <v>212</v>
      </c>
      <c r="C205" s="211">
        <v>-5385</v>
      </c>
      <c r="F205" s="268"/>
      <c r="G205" s="268"/>
      <c r="H205" s="268"/>
      <c r="I205" s="269">
        <f>(-4678-707)/2</f>
        <v>-2692.5</v>
      </c>
      <c r="J205" s="268" t="s">
        <v>0</v>
      </c>
      <c r="K205" s="268"/>
      <c r="L205" s="268"/>
      <c r="M205" s="269">
        <f>(-4678-707)/2</f>
        <v>-2692.5</v>
      </c>
      <c r="N205" s="268"/>
      <c r="O205" s="275"/>
      <c r="P205" s="277"/>
      <c r="Q205" s="277"/>
      <c r="R205" s="277"/>
      <c r="S205" s="275"/>
      <c r="T205" s="275"/>
      <c r="U205" s="275" t="s">
        <v>0</v>
      </c>
      <c r="V205" s="275"/>
      <c r="W205" s="275"/>
      <c r="X205" s="275"/>
      <c r="Y205" s="275"/>
      <c r="Z205" s="275"/>
      <c r="AA205" s="275"/>
      <c r="AB205" s="275"/>
      <c r="AC205" s="275"/>
      <c r="AD205" s="275"/>
      <c r="AE205" s="275"/>
      <c r="AF205" s="275"/>
      <c r="AG205" s="275"/>
      <c r="AH205" s="275"/>
      <c r="AI205" s="275"/>
      <c r="AJ205" s="275"/>
      <c r="AK205" s="275"/>
      <c r="AL205" s="275"/>
      <c r="AM205" s="275"/>
      <c r="AN205" s="275"/>
      <c r="AO205" s="275"/>
      <c r="AP205" s="275"/>
      <c r="AQ205" s="275"/>
      <c r="AR205" s="275"/>
      <c r="AS205" s="275"/>
      <c r="AT205" s="275"/>
      <c r="AU205" s="275"/>
      <c r="AV205" s="275"/>
      <c r="AW205" s="275"/>
      <c r="AX205" s="275"/>
      <c r="AY205" s="275"/>
      <c r="AZ205" s="275"/>
      <c r="BA205" s="275"/>
      <c r="BB205" s="275"/>
      <c r="BC205" s="275"/>
      <c r="BD205" s="275"/>
      <c r="BE205" s="275"/>
      <c r="BF205" s="275"/>
      <c r="BG205" s="275"/>
      <c r="BH205" s="275"/>
      <c r="BI205" s="275"/>
      <c r="BJ205" s="275"/>
      <c r="BK205" s="275"/>
      <c r="BL205" s="275"/>
      <c r="BM205" s="275"/>
      <c r="BN205" s="275"/>
      <c r="BV205" s="584"/>
      <c r="CZ205" s="207"/>
    </row>
    <row r="206" spans="1:104" ht="30">
      <c r="A206" s="648"/>
      <c r="B206" s="282" t="s">
        <v>215</v>
      </c>
      <c r="C206" s="211"/>
      <c r="F206" s="268"/>
      <c r="G206" s="269">
        <f>-1049.87-225.19</f>
        <v>-1275.06</v>
      </c>
      <c r="H206" s="268"/>
      <c r="I206" s="268"/>
      <c r="J206" s="269">
        <f>-(3413.12-1049.87-225.19)</f>
        <v>-2138.06</v>
      </c>
      <c r="K206" s="268"/>
      <c r="L206" s="268"/>
      <c r="M206" s="268"/>
      <c r="N206" s="268"/>
      <c r="O206" s="275"/>
      <c r="P206" s="277"/>
      <c r="Q206" s="277"/>
      <c r="R206" s="277"/>
      <c r="S206" s="275"/>
      <c r="T206" s="275"/>
      <c r="U206" s="275"/>
      <c r="V206" s="275"/>
      <c r="W206" s="275"/>
      <c r="X206" s="275"/>
      <c r="Y206" s="275"/>
      <c r="Z206" s="275"/>
      <c r="AA206" s="275"/>
      <c r="AB206" s="275"/>
      <c r="AC206" s="310">
        <v>-6643.39</v>
      </c>
      <c r="AD206" s="275" t="s">
        <v>0</v>
      </c>
      <c r="AE206" s="275"/>
      <c r="AF206" s="275"/>
      <c r="AG206" s="275"/>
      <c r="AH206" s="275"/>
      <c r="AI206" s="275"/>
      <c r="AJ206" s="275"/>
      <c r="AK206" s="275"/>
      <c r="AL206" s="275"/>
      <c r="AM206" s="275"/>
      <c r="AN206" s="275"/>
      <c r="AO206" s="275"/>
      <c r="AP206" s="275"/>
      <c r="AQ206" s="275"/>
      <c r="AR206" s="275"/>
      <c r="AS206" s="275"/>
      <c r="AT206" s="275"/>
      <c r="AU206" s="275"/>
      <c r="AV206" s="275"/>
      <c r="AW206" s="275"/>
      <c r="AX206" s="275"/>
      <c r="AY206" s="275"/>
      <c r="AZ206" s="275"/>
      <c r="BA206" s="275"/>
      <c r="BB206" s="275"/>
      <c r="BC206" s="275"/>
      <c r="BD206" s="275"/>
      <c r="BE206" s="275"/>
      <c r="BH206" s="310">
        <v>-935.71</v>
      </c>
      <c r="BI206" s="275"/>
      <c r="BJ206" s="275"/>
      <c r="BK206" s="275"/>
      <c r="BL206" s="275"/>
      <c r="BM206" s="275"/>
      <c r="BN206" s="275"/>
      <c r="BV206" s="584"/>
      <c r="CZ206" s="207"/>
    </row>
    <row r="207" spans="1:104" ht="15">
      <c r="A207" s="648"/>
      <c r="B207" s="282" t="s">
        <v>216</v>
      </c>
      <c r="F207" s="268"/>
      <c r="G207" s="268"/>
      <c r="H207" s="268"/>
      <c r="I207" s="268"/>
      <c r="J207" s="268"/>
      <c r="K207" s="268"/>
      <c r="L207" s="268"/>
      <c r="M207" s="268"/>
      <c r="N207" s="268"/>
      <c r="O207" s="275"/>
      <c r="P207" s="277"/>
      <c r="Q207" s="277"/>
      <c r="R207" s="277"/>
      <c r="S207" s="275"/>
      <c r="T207" s="275"/>
      <c r="U207" s="275"/>
      <c r="W207" s="275" t="s">
        <v>0</v>
      </c>
      <c r="X207" s="275"/>
      <c r="Y207" s="275">
        <v>0</v>
      </c>
      <c r="Z207" s="275">
        <v>0</v>
      </c>
      <c r="AA207" s="275"/>
      <c r="AB207" s="275">
        <v>0</v>
      </c>
      <c r="AC207" s="275"/>
      <c r="AD207" s="275"/>
      <c r="AE207" s="275"/>
      <c r="AF207" s="275" t="s">
        <v>0</v>
      </c>
      <c r="AG207" s="275"/>
      <c r="AH207" s="275"/>
      <c r="AI207" s="275"/>
      <c r="AJ207" s="275" t="s">
        <v>0</v>
      </c>
      <c r="AK207" s="275"/>
      <c r="AL207" s="275"/>
      <c r="AM207" s="275"/>
      <c r="AN207" s="275"/>
      <c r="AO207" s="275" t="s">
        <v>0</v>
      </c>
      <c r="AP207" s="275"/>
      <c r="AQ207" s="275"/>
      <c r="AR207" s="275"/>
      <c r="AS207" s="275"/>
      <c r="AT207" s="275"/>
      <c r="AU207" s="275"/>
      <c r="AV207" s="275"/>
      <c r="AW207" s="275"/>
      <c r="AX207" s="275"/>
      <c r="AY207" s="275"/>
      <c r="AZ207" s="275"/>
      <c r="BA207" s="275"/>
      <c r="BB207" s="275"/>
      <c r="BC207" s="275"/>
      <c r="BD207" s="275"/>
      <c r="BE207" s="275"/>
      <c r="BF207" s="275"/>
      <c r="BG207" s="275"/>
      <c r="BH207" s="275"/>
      <c r="BI207" s="275"/>
      <c r="BJ207" s="275"/>
      <c r="BK207" s="275"/>
      <c r="BL207" s="275"/>
      <c r="BM207" s="275"/>
      <c r="BN207" s="275"/>
      <c r="BV207" s="584"/>
      <c r="CZ207" s="207"/>
    </row>
    <row r="208" spans="1:104" ht="15">
      <c r="A208" s="648"/>
      <c r="B208" s="282" t="s">
        <v>217</v>
      </c>
      <c r="C208" s="232">
        <f>-'Job Calculations'!B132</f>
        <v>-35000</v>
      </c>
      <c r="F208" s="268"/>
      <c r="G208" s="268"/>
      <c r="H208" s="268"/>
      <c r="I208" s="268"/>
      <c r="J208" s="268"/>
      <c r="K208" s="268"/>
      <c r="L208" s="268"/>
      <c r="M208" s="268"/>
      <c r="N208" s="268"/>
      <c r="O208" s="275"/>
      <c r="P208" s="277"/>
      <c r="Q208" s="277"/>
      <c r="R208" s="277"/>
      <c r="S208" s="275"/>
      <c r="T208" s="275"/>
      <c r="U208" s="275"/>
      <c r="W208" s="275"/>
      <c r="X208" s="275"/>
      <c r="Y208" s="275"/>
      <c r="Z208" s="275"/>
      <c r="AA208" s="275"/>
      <c r="AB208" s="275"/>
      <c r="AC208" s="275"/>
      <c r="AD208" s="275"/>
      <c r="AE208" s="275"/>
      <c r="AF208" s="275"/>
      <c r="AG208" s="275"/>
      <c r="AH208" s="275"/>
      <c r="AI208" s="275"/>
      <c r="AJ208" s="275" t="s">
        <v>0</v>
      </c>
      <c r="AK208" s="275"/>
      <c r="AL208" s="275"/>
      <c r="AM208" s="275"/>
      <c r="AN208" s="275"/>
      <c r="AO208" s="275" t="s">
        <v>0</v>
      </c>
      <c r="AP208" s="275"/>
      <c r="AQ208" s="275"/>
      <c r="AR208" s="275"/>
      <c r="AS208" s="275"/>
      <c r="AT208" s="275"/>
      <c r="AU208" s="275"/>
      <c r="AV208" s="275"/>
      <c r="AW208" s="275"/>
      <c r="AX208" s="275"/>
      <c r="AY208" s="275"/>
      <c r="AZ208" s="275"/>
      <c r="BA208" s="275"/>
      <c r="BB208" s="275"/>
      <c r="BC208" s="275"/>
      <c r="BD208" s="275"/>
      <c r="BE208" s="275"/>
      <c r="BF208" s="275"/>
      <c r="BG208" s="275"/>
      <c r="BH208" s="275"/>
      <c r="BI208" s="275"/>
      <c r="BJ208" s="275"/>
      <c r="BK208" s="275"/>
      <c r="BL208" s="275"/>
      <c r="BM208" s="275"/>
      <c r="BN208" s="275"/>
      <c r="BV208" s="584"/>
      <c r="CZ208" s="207"/>
    </row>
    <row r="209" spans="1:104" ht="15">
      <c r="A209" s="648"/>
      <c r="B209" s="282" t="s">
        <v>218</v>
      </c>
      <c r="C209" s="637">
        <f>(-58196+7354)</f>
        <v>-50842</v>
      </c>
      <c r="D209" s="232">
        <f>C209*1.17</f>
        <v>-59485.14</v>
      </c>
      <c r="E209" s="232"/>
      <c r="F209" s="268"/>
      <c r="G209" s="268"/>
      <c r="H209" s="268"/>
      <c r="I209" s="268"/>
      <c r="J209" s="268"/>
      <c r="K209" s="268"/>
      <c r="L209" s="268"/>
      <c r="M209" s="268"/>
      <c r="N209" s="268"/>
      <c r="O209" s="275"/>
      <c r="P209" s="277"/>
      <c r="Q209" s="277"/>
      <c r="R209" s="277"/>
      <c r="S209" s="275"/>
      <c r="T209" s="275"/>
      <c r="U209" s="275"/>
      <c r="W209" s="275"/>
      <c r="X209" s="275"/>
      <c r="Y209" s="275"/>
      <c r="Z209" s="563" t="s">
        <v>0</v>
      </c>
      <c r="AA209" s="563" t="s">
        <v>0</v>
      </c>
      <c r="AB209" s="310">
        <f>-15286-15</f>
        <v>-15301</v>
      </c>
      <c r="AC209" s="275">
        <v>0</v>
      </c>
      <c r="AD209" s="275" t="s">
        <v>0</v>
      </c>
      <c r="AE209" s="310">
        <f>-15266.85-15</f>
        <v>-15281.85</v>
      </c>
      <c r="AG209" s="275"/>
      <c r="AH209" s="275"/>
      <c r="AS209" s="275"/>
      <c r="AU209" s="275" t="s">
        <v>0</v>
      </c>
      <c r="AV209" s="275"/>
      <c r="AW209" s="275"/>
      <c r="AX209" s="275"/>
      <c r="AZ209" s="310">
        <f>-30533.39-15</f>
        <v>-30548.39</v>
      </c>
      <c r="BC209" s="275"/>
      <c r="BD209" s="275"/>
      <c r="BE209" s="275"/>
      <c r="BF209" s="275"/>
      <c r="BG209" s="275"/>
      <c r="BH209" s="275"/>
      <c r="BI209" s="275"/>
      <c r="BJ209" s="275"/>
      <c r="BK209" s="275"/>
      <c r="BL209" s="275"/>
      <c r="BM209" s="275"/>
      <c r="BN209" s="275"/>
      <c r="BV209" s="584"/>
      <c r="CZ209" s="207"/>
    </row>
    <row r="210" spans="1:104" ht="15">
      <c r="A210" s="648"/>
      <c r="B210" s="282" t="s">
        <v>219</v>
      </c>
      <c r="C210" s="637"/>
      <c r="D210" s="232"/>
      <c r="E210" s="232"/>
      <c r="F210" s="268"/>
      <c r="G210" s="268"/>
      <c r="H210" s="268"/>
      <c r="I210" s="268"/>
      <c r="J210" s="268"/>
      <c r="K210" s="268"/>
      <c r="L210" s="268"/>
      <c r="M210" s="268"/>
      <c r="N210" s="268"/>
      <c r="O210" s="275"/>
      <c r="P210" s="277"/>
      <c r="Q210" s="277"/>
      <c r="R210" s="277"/>
      <c r="S210" s="275"/>
      <c r="T210" s="275"/>
      <c r="U210" s="275"/>
      <c r="W210" s="275"/>
      <c r="X210" s="275"/>
      <c r="Y210" s="275"/>
      <c r="Z210" s="563"/>
      <c r="AA210" s="563"/>
      <c r="AB210" s="310"/>
      <c r="AC210" s="275"/>
      <c r="AD210" s="275"/>
      <c r="AE210" s="310"/>
      <c r="AG210" s="275"/>
      <c r="AH210" s="275"/>
      <c r="AI210" s="310">
        <f>-3730-15</f>
        <v>-3745</v>
      </c>
      <c r="AJ210" s="275"/>
      <c r="AK210" s="275"/>
      <c r="AL210" s="275"/>
      <c r="AM210" s="275"/>
      <c r="AN210" s="275"/>
      <c r="AO210" s="275"/>
      <c r="AP210" s="275"/>
      <c r="AQ210" s="275"/>
      <c r="AR210" s="275"/>
      <c r="AS210" s="275"/>
      <c r="AT210" s="275"/>
      <c r="AU210" s="275"/>
      <c r="AV210" s="275"/>
      <c r="AW210" s="275"/>
      <c r="AX210" s="275"/>
      <c r="AY210" s="275"/>
      <c r="AZ210" s="275"/>
      <c r="BA210" s="275"/>
      <c r="BB210" s="275"/>
      <c r="BC210" s="275"/>
      <c r="BD210" s="275"/>
      <c r="BE210" s="275"/>
      <c r="BF210" s="275"/>
      <c r="BG210" s="275"/>
      <c r="BH210" s="275"/>
      <c r="BI210" s="275"/>
      <c r="BJ210" s="275"/>
      <c r="BK210" s="275"/>
      <c r="BL210" s="275"/>
      <c r="BM210" s="275"/>
      <c r="BN210" s="275"/>
      <c r="BV210" s="584"/>
      <c r="CZ210" s="207"/>
    </row>
    <row r="211" spans="1:104" ht="15">
      <c r="A211" s="648"/>
      <c r="B211" s="282" t="s">
        <v>220</v>
      </c>
      <c r="C211" s="232">
        <v>-5000</v>
      </c>
      <c r="F211" s="268"/>
      <c r="G211" s="268"/>
      <c r="H211" s="268"/>
      <c r="I211" s="268"/>
      <c r="J211" s="268"/>
      <c r="K211" s="268"/>
      <c r="L211" s="268"/>
      <c r="M211" s="268"/>
      <c r="N211" s="268"/>
      <c r="O211" s="275"/>
      <c r="P211" s="277"/>
      <c r="Q211" s="277"/>
      <c r="R211" s="277"/>
      <c r="S211" s="275"/>
      <c r="T211" s="275"/>
      <c r="U211" s="275"/>
      <c r="W211" s="275"/>
      <c r="X211" s="275"/>
      <c r="Y211" s="275"/>
      <c r="AB211" s="275"/>
      <c r="AC211" s="275"/>
      <c r="AD211" s="275"/>
      <c r="AE211" s="275"/>
      <c r="AF211" s="275"/>
      <c r="AG211" s="275"/>
      <c r="AH211" s="275"/>
      <c r="AI211" s="275"/>
      <c r="AJ211" s="275" t="s">
        <v>0</v>
      </c>
      <c r="AK211" s="275"/>
      <c r="AL211" s="275"/>
      <c r="AM211" s="275"/>
      <c r="AN211" s="275"/>
      <c r="AO211" s="275"/>
      <c r="AP211" s="275"/>
      <c r="AQ211" s="275"/>
      <c r="AR211" s="275"/>
      <c r="AS211" s="275"/>
      <c r="AT211" s="275"/>
      <c r="AU211" s="275"/>
      <c r="AV211" s="275"/>
      <c r="AW211" s="275"/>
      <c r="AX211" s="275"/>
      <c r="AY211" s="275"/>
      <c r="AZ211" s="275"/>
      <c r="BA211" s="275"/>
      <c r="BB211" s="275"/>
      <c r="BC211" s="275"/>
      <c r="BD211" s="275"/>
      <c r="BE211" s="275"/>
      <c r="BF211" s="275"/>
      <c r="BG211" s="275"/>
      <c r="BH211" s="275"/>
      <c r="BI211" s="275"/>
      <c r="BJ211" s="275"/>
      <c r="BK211" s="275"/>
      <c r="BL211" s="275"/>
      <c r="BM211" s="275"/>
      <c r="BN211" s="275"/>
      <c r="BV211" s="584"/>
      <c r="CZ211" s="207"/>
    </row>
    <row r="212" spans="1:104" ht="15">
      <c r="A212" s="648"/>
      <c r="B212" s="282" t="s">
        <v>191</v>
      </c>
      <c r="C212" s="232"/>
      <c r="F212" s="268"/>
      <c r="G212" s="268"/>
      <c r="H212" s="268"/>
      <c r="I212" s="268"/>
      <c r="J212" s="268"/>
      <c r="K212" s="268"/>
      <c r="L212" s="268"/>
      <c r="M212" s="268"/>
      <c r="N212" s="268"/>
      <c r="O212" s="275"/>
      <c r="P212" s="277"/>
      <c r="Q212" s="277"/>
      <c r="R212" s="277"/>
      <c r="S212" s="275"/>
      <c r="T212" s="275"/>
      <c r="U212" s="275"/>
      <c r="W212" s="275"/>
      <c r="X212" s="275"/>
      <c r="Y212" s="275"/>
      <c r="AB212" s="275"/>
      <c r="AC212" s="310">
        <f>-1227.18-488.93</f>
        <v>-1716.1100000000001</v>
      </c>
      <c r="AD212" s="275"/>
      <c r="AE212" s="275"/>
      <c r="AF212" s="275"/>
      <c r="AG212" s="275"/>
      <c r="AH212" s="275"/>
      <c r="AI212" s="275"/>
      <c r="AJ212" s="275"/>
      <c r="AK212" s="275"/>
      <c r="AL212" s="275"/>
      <c r="AM212" s="275"/>
      <c r="AN212" s="275"/>
      <c r="AO212" s="275"/>
      <c r="AP212" s="275"/>
      <c r="AQ212" s="275"/>
      <c r="AR212" s="275"/>
      <c r="AS212" s="275"/>
      <c r="AT212" s="275"/>
      <c r="AU212" s="275"/>
      <c r="AV212" s="275"/>
      <c r="AW212" s="275"/>
      <c r="AX212" s="275"/>
      <c r="AY212" s="275"/>
      <c r="AZ212" s="275"/>
      <c r="BA212" s="275"/>
      <c r="BB212" s="275"/>
      <c r="BC212" s="275"/>
      <c r="BD212" s="275"/>
      <c r="BE212" s="275"/>
      <c r="BF212" s="275"/>
      <c r="BG212" s="275"/>
      <c r="BH212" s="275"/>
      <c r="BI212" s="275"/>
      <c r="BJ212" s="275"/>
      <c r="BK212" s="275"/>
      <c r="BL212" s="275"/>
      <c r="BM212" s="275"/>
      <c r="BN212" s="275"/>
      <c r="BV212" s="584"/>
      <c r="CZ212" s="207"/>
    </row>
    <row r="213" spans="1:104" ht="15">
      <c r="A213" s="648"/>
      <c r="B213" s="282" t="s">
        <v>738</v>
      </c>
      <c r="C213" s="232"/>
      <c r="F213" s="268"/>
      <c r="G213" s="268"/>
      <c r="H213" s="268"/>
      <c r="I213" s="268"/>
      <c r="J213" s="268"/>
      <c r="K213" s="268"/>
      <c r="L213" s="268"/>
      <c r="M213" s="268"/>
      <c r="N213" s="268"/>
      <c r="O213" s="275"/>
      <c r="P213" s="277"/>
      <c r="Q213" s="277"/>
      <c r="R213" s="277"/>
      <c r="S213" s="275"/>
      <c r="T213" s="275"/>
      <c r="U213" s="275"/>
      <c r="W213" s="275"/>
      <c r="X213" s="275"/>
      <c r="Y213" s="275"/>
      <c r="AB213" s="275"/>
      <c r="AC213" s="310"/>
      <c r="AD213" s="275"/>
      <c r="AE213" s="275"/>
      <c r="AF213" s="275"/>
      <c r="AG213" s="275"/>
      <c r="AH213" s="275"/>
      <c r="AI213" s="275"/>
      <c r="AJ213" s="275"/>
      <c r="AK213" s="275"/>
      <c r="AL213" s="275"/>
      <c r="AM213" s="275"/>
      <c r="AN213" s="275"/>
      <c r="AO213" s="275"/>
      <c r="AP213" s="275"/>
      <c r="AQ213" s="275"/>
      <c r="AR213" s="275"/>
      <c r="AS213" s="275"/>
      <c r="AT213" s="275"/>
      <c r="AU213" s="275"/>
      <c r="AV213" s="275"/>
      <c r="AW213" s="275"/>
      <c r="AX213" s="275"/>
      <c r="AY213" s="275"/>
      <c r="AZ213" s="275"/>
      <c r="BA213" s="275"/>
      <c r="BB213" s="310">
        <v>-2578.52</v>
      </c>
      <c r="BC213" s="275"/>
      <c r="BD213" s="275"/>
      <c r="BE213" s="275"/>
      <c r="BF213" s="275"/>
      <c r="BG213" s="275"/>
      <c r="BH213" s="275"/>
      <c r="BI213" s="275"/>
      <c r="BJ213" s="275"/>
      <c r="BK213" s="275"/>
      <c r="BL213" s="275"/>
      <c r="BM213" s="275"/>
      <c r="BN213" s="275"/>
      <c r="BV213" s="584"/>
      <c r="CZ213" s="207"/>
    </row>
    <row r="214" spans="1:104" ht="15">
      <c r="A214" s="648"/>
      <c r="B214" s="282" t="s">
        <v>733</v>
      </c>
      <c r="C214" s="232"/>
      <c r="F214" s="268"/>
      <c r="G214" s="268"/>
      <c r="H214" s="268"/>
      <c r="I214" s="268"/>
      <c r="J214" s="268"/>
      <c r="K214" s="268"/>
      <c r="L214" s="268"/>
      <c r="M214" s="268"/>
      <c r="N214" s="268"/>
      <c r="O214" s="275"/>
      <c r="P214" s="277"/>
      <c r="Q214" s="277"/>
      <c r="R214" s="277"/>
      <c r="S214" s="275"/>
      <c r="T214" s="275"/>
      <c r="U214" s="275"/>
      <c r="W214" s="275"/>
      <c r="X214" s="275"/>
      <c r="Y214" s="275"/>
      <c r="AB214" s="275"/>
      <c r="AC214" s="310"/>
      <c r="AD214" s="275"/>
      <c r="AE214" s="275"/>
      <c r="AF214" s="275"/>
      <c r="AG214" s="275"/>
      <c r="AH214" s="275"/>
      <c r="AI214" s="275"/>
      <c r="AJ214" s="275"/>
      <c r="AK214" s="275"/>
      <c r="AL214" s="275"/>
      <c r="AM214" s="275"/>
      <c r="AN214" s="275"/>
      <c r="AO214" s="275"/>
      <c r="AP214" s="275"/>
      <c r="AQ214" s="275"/>
      <c r="AR214" s="275"/>
      <c r="AS214" s="275"/>
      <c r="AT214" s="275"/>
      <c r="AU214" s="275"/>
      <c r="AV214" s="275"/>
      <c r="AW214" s="275"/>
      <c r="AX214" s="275"/>
      <c r="AY214" s="310">
        <v>-600</v>
      </c>
      <c r="AZ214" s="275"/>
      <c r="BA214" s="310">
        <v>-600</v>
      </c>
      <c r="BB214" s="275"/>
      <c r="BC214" s="275"/>
      <c r="BD214" s="275"/>
      <c r="BE214" s="275"/>
      <c r="BF214" s="275"/>
      <c r="BG214" s="275"/>
      <c r="BH214" s="275"/>
      <c r="BI214" s="275"/>
      <c r="BJ214" s="275"/>
      <c r="BK214" s="275"/>
      <c r="BL214" s="275"/>
      <c r="BM214" s="275"/>
      <c r="BN214" s="275"/>
      <c r="BV214" s="584"/>
      <c r="CZ214" s="207"/>
    </row>
    <row r="215" spans="1:104">
      <c r="A215" s="648"/>
      <c r="B215" s="617"/>
      <c r="C215" s="211"/>
      <c r="F215" s="268"/>
      <c r="G215" s="268"/>
      <c r="H215" s="268"/>
      <c r="I215" s="268"/>
      <c r="J215" s="268"/>
      <c r="K215" s="268"/>
      <c r="L215" s="268"/>
      <c r="M215" s="268"/>
      <c r="N215" s="268"/>
      <c r="O215" s="275"/>
      <c r="P215" s="277"/>
      <c r="Q215" s="277"/>
      <c r="R215" s="277"/>
      <c r="S215" s="275"/>
      <c r="T215" s="275"/>
      <c r="U215" s="275"/>
      <c r="V215" s="275"/>
      <c r="W215" s="275"/>
      <c r="X215" s="275"/>
      <c r="Y215" s="275"/>
      <c r="Z215" s="275"/>
      <c r="AA215" s="275"/>
      <c r="AB215" s="275"/>
      <c r="AC215" s="275"/>
      <c r="AD215" s="275"/>
      <c r="AE215" s="275"/>
      <c r="AF215" s="275"/>
      <c r="AG215" s="275"/>
      <c r="AH215" s="275"/>
      <c r="AI215" s="275"/>
      <c r="AJ215" s="275"/>
      <c r="AK215" s="275"/>
      <c r="AL215" s="275"/>
      <c r="AM215" s="275"/>
      <c r="AN215" s="275"/>
      <c r="AO215" s="275"/>
      <c r="AP215" s="275"/>
      <c r="AQ215" s="275"/>
      <c r="AR215" s="275"/>
      <c r="AS215" s="275"/>
      <c r="AT215" s="275"/>
      <c r="AU215" s="275"/>
      <c r="AV215" s="275"/>
      <c r="AW215" s="275"/>
      <c r="AX215" s="275"/>
      <c r="AY215" s="275"/>
      <c r="AZ215" s="275"/>
      <c r="BA215" s="275"/>
      <c r="BB215" s="275"/>
      <c r="BC215" s="275"/>
      <c r="BD215" s="275"/>
      <c r="BE215" s="275"/>
      <c r="BF215" s="275"/>
      <c r="BG215" s="275"/>
      <c r="BH215" s="275"/>
      <c r="BI215" s="275"/>
      <c r="BJ215" s="275"/>
      <c r="BK215" s="275"/>
      <c r="BL215" s="275"/>
      <c r="BM215" s="275"/>
      <c r="BN215" s="275"/>
      <c r="BV215" s="584"/>
      <c r="CZ215" s="207"/>
    </row>
    <row r="216" spans="1:104" ht="15">
      <c r="A216" s="648"/>
      <c r="B216" s="282" t="s">
        <v>221</v>
      </c>
      <c r="C216" s="211">
        <v>-12500</v>
      </c>
      <c r="F216" s="268"/>
      <c r="G216" s="268"/>
      <c r="H216" s="268"/>
      <c r="I216" s="268"/>
      <c r="J216" s="269">
        <v>-3000</v>
      </c>
      <c r="K216" s="268"/>
      <c r="L216" s="268"/>
      <c r="P216" s="310">
        <v>-3000</v>
      </c>
      <c r="Q216" s="275" t="s">
        <v>0</v>
      </c>
      <c r="T216" s="310">
        <v>-2000</v>
      </c>
      <c r="U216" s="268" t="s">
        <v>0</v>
      </c>
      <c r="W216" s="275" t="s">
        <v>0</v>
      </c>
      <c r="X216" s="275"/>
      <c r="AB216" s="310">
        <v>-4000</v>
      </c>
      <c r="AF216" s="275"/>
      <c r="AG216" s="275"/>
      <c r="AH216" s="275"/>
      <c r="AI216" s="275"/>
      <c r="AJ216" s="275"/>
      <c r="AK216" s="275"/>
      <c r="AL216" s="275"/>
      <c r="AM216" s="275"/>
      <c r="AN216" s="275"/>
      <c r="AO216" s="275"/>
      <c r="AP216" s="275"/>
      <c r="AQ216" s="275"/>
      <c r="AR216" s="275"/>
      <c r="AS216" s="275"/>
      <c r="AT216" s="275"/>
      <c r="AU216" s="275"/>
      <c r="AV216" s="275"/>
      <c r="AW216" s="275" t="s">
        <v>0</v>
      </c>
      <c r="AX216" s="275"/>
      <c r="AY216" s="275"/>
      <c r="AZ216" s="275"/>
      <c r="BA216" s="275"/>
      <c r="BB216" s="275"/>
      <c r="BC216" s="275"/>
      <c r="BD216" s="275"/>
      <c r="BE216" s="275"/>
      <c r="BF216" s="275"/>
      <c r="BG216" s="275"/>
      <c r="BH216" s="275"/>
      <c r="BI216" s="275"/>
      <c r="BJ216" s="275"/>
      <c r="BK216" s="275"/>
      <c r="BL216" s="275"/>
      <c r="BM216" s="275"/>
      <c r="BN216" s="275"/>
      <c r="BV216" s="584"/>
      <c r="CZ216" s="207"/>
    </row>
    <row r="217" spans="1:104" ht="15">
      <c r="A217" s="648"/>
      <c r="B217" s="282" t="s">
        <v>222</v>
      </c>
      <c r="C217" s="211">
        <v>-25000</v>
      </c>
      <c r="F217" s="268"/>
      <c r="G217" s="268"/>
      <c r="H217" s="268"/>
      <c r="I217" s="268"/>
      <c r="J217" s="269">
        <v>-5000</v>
      </c>
      <c r="K217" s="268"/>
      <c r="L217" s="268"/>
      <c r="P217" s="310">
        <v>-7500</v>
      </c>
      <c r="Q217" s="275" t="s">
        <v>0</v>
      </c>
      <c r="T217" s="310">
        <v>-7500</v>
      </c>
      <c r="U217" s="268" t="s">
        <v>0</v>
      </c>
      <c r="W217" s="275" t="s">
        <v>0</v>
      </c>
      <c r="X217" s="275"/>
      <c r="AB217" s="310">
        <v>-5000</v>
      </c>
      <c r="AF217" s="275"/>
      <c r="AG217" s="275"/>
      <c r="AH217" s="275"/>
      <c r="AI217" s="275"/>
      <c r="AJ217" s="275"/>
      <c r="AK217" s="275"/>
      <c r="AL217" s="275"/>
      <c r="AM217" s="275"/>
      <c r="AN217" s="275"/>
      <c r="AO217" s="275"/>
      <c r="AP217" s="275"/>
      <c r="AQ217" s="275"/>
      <c r="AR217" s="275"/>
      <c r="AS217" s="275"/>
      <c r="AT217" s="275"/>
      <c r="AU217" s="275"/>
      <c r="AV217" s="275"/>
      <c r="AW217" s="275"/>
      <c r="AX217" s="275"/>
      <c r="AY217" s="275"/>
      <c r="AZ217" s="275"/>
      <c r="BA217" s="275"/>
      <c r="BB217" s="275"/>
      <c r="BC217" s="275"/>
      <c r="BD217" s="275"/>
      <c r="BE217" s="275"/>
      <c r="BF217" s="275"/>
      <c r="BG217" s="275"/>
      <c r="BH217" s="275"/>
      <c r="BI217" s="275"/>
      <c r="BJ217" s="275"/>
      <c r="BK217" s="275"/>
      <c r="BL217" s="275"/>
      <c r="BM217" s="275"/>
      <c r="BN217" s="275"/>
      <c r="BV217" s="584"/>
      <c r="CZ217" s="207"/>
    </row>
    <row r="218" spans="1:104" ht="16" thickBot="1">
      <c r="A218" s="648"/>
      <c r="B218" s="282" t="s">
        <v>223</v>
      </c>
      <c r="C218" s="211"/>
      <c r="F218" s="268"/>
      <c r="G218" s="268"/>
      <c r="H218" s="268"/>
      <c r="I218" s="268"/>
      <c r="J218" s="268"/>
      <c r="K218" s="268"/>
      <c r="L218" s="268"/>
      <c r="M218" s="268"/>
      <c r="N218" s="268"/>
      <c r="O218" s="277"/>
      <c r="P218" s="277"/>
      <c r="Q218" s="277"/>
      <c r="R218" s="277"/>
      <c r="S218" s="275"/>
      <c r="T218" s="275"/>
      <c r="U218" s="275"/>
      <c r="V218" s="275"/>
      <c r="W218" s="275"/>
      <c r="X218" s="275"/>
      <c r="Y218" s="275"/>
      <c r="Z218" s="275"/>
      <c r="AA218" s="275"/>
      <c r="AB218" s="275"/>
      <c r="AC218" s="275"/>
      <c r="AD218" s="275"/>
      <c r="AE218" s="275"/>
      <c r="AF218" s="275"/>
      <c r="AG218" s="275"/>
      <c r="AH218" s="275"/>
      <c r="AI218" s="275"/>
      <c r="AJ218" s="275"/>
      <c r="AK218" s="310">
        <v>-1.1599999999999999</v>
      </c>
      <c r="AL218" s="275"/>
      <c r="AM218" s="275"/>
      <c r="AN218" s="275">
        <v>-1.77</v>
      </c>
      <c r="AO218" s="275"/>
      <c r="AP218" s="275"/>
      <c r="AQ218" s="275"/>
      <c r="AR218" s="275"/>
      <c r="AS218" s="275"/>
      <c r="AT218" s="275"/>
      <c r="AU218" s="275"/>
      <c r="AV218" s="275" t="s">
        <v>0</v>
      </c>
      <c r="AW218" s="569">
        <v>-1.67</v>
      </c>
      <c r="AY218" s="275">
        <v>-1.06</v>
      </c>
      <c r="AZ218" s="275"/>
      <c r="BA218" s="275"/>
      <c r="BB218" s="275"/>
      <c r="BC218" s="275"/>
      <c r="BD218" s="275"/>
      <c r="BE218" s="275"/>
      <c r="BF218" s="275"/>
      <c r="BG218" s="275"/>
      <c r="BH218" s="275"/>
      <c r="BI218" s="275"/>
      <c r="BJ218" s="275"/>
      <c r="BK218" s="275"/>
      <c r="BL218" s="275"/>
      <c r="BM218" s="275"/>
      <c r="BN218" s="275"/>
      <c r="BV218" s="589"/>
      <c r="CZ218" s="207"/>
    </row>
    <row r="219" spans="1:104" ht="15">
      <c r="A219" s="648"/>
      <c r="B219" s="638" t="s">
        <v>224</v>
      </c>
      <c r="C219" s="639"/>
      <c r="D219" s="640"/>
      <c r="E219" s="640"/>
      <c r="F219" s="641">
        <f t="shared" ref="F219:AK219" si="4">SUM(F8:F218)</f>
        <v>45589</v>
      </c>
      <c r="G219" s="641">
        <f t="shared" si="4"/>
        <v>-4627.4600000000009</v>
      </c>
      <c r="H219" s="641">
        <f t="shared" si="4"/>
        <v>154.1100000000024</v>
      </c>
      <c r="I219" s="641">
        <f t="shared" si="4"/>
        <v>69108.7</v>
      </c>
      <c r="J219" s="641">
        <f t="shared" si="4"/>
        <v>-14001.199999999995</v>
      </c>
      <c r="K219" s="641">
        <f t="shared" si="4"/>
        <v>18765.130000000005</v>
      </c>
      <c r="L219" s="641">
        <f t="shared" si="4"/>
        <v>-29496.839999999986</v>
      </c>
      <c r="M219" s="641">
        <f t="shared" si="4"/>
        <v>-67716.532399999996</v>
      </c>
      <c r="N219" s="641">
        <f t="shared" si="4"/>
        <v>33259.279999999992</v>
      </c>
      <c r="O219" s="641">
        <f t="shared" si="4"/>
        <v>101124.89</v>
      </c>
      <c r="P219" s="641">
        <f t="shared" si="4"/>
        <v>21741.25</v>
      </c>
      <c r="Q219" s="641">
        <f t="shared" si="4"/>
        <v>-33925.61</v>
      </c>
      <c r="R219" s="641">
        <f t="shared" si="4"/>
        <v>18417.809999999998</v>
      </c>
      <c r="S219" s="642">
        <f t="shared" si="4"/>
        <v>4494.760000000002</v>
      </c>
      <c r="T219" s="642">
        <f t="shared" si="4"/>
        <v>32310.389999999985</v>
      </c>
      <c r="U219" s="642">
        <f t="shared" si="4"/>
        <v>-57109.29</v>
      </c>
      <c r="V219" s="642">
        <f t="shared" si="4"/>
        <v>-50013.55</v>
      </c>
      <c r="W219" s="642">
        <f t="shared" si="4"/>
        <v>-28733.719999999998</v>
      </c>
      <c r="X219" s="642">
        <f t="shared" si="4"/>
        <v>-60356</v>
      </c>
      <c r="Y219" s="642">
        <f t="shared" si="4"/>
        <v>101587.56000000003</v>
      </c>
      <c r="Z219" s="642">
        <f t="shared" si="4"/>
        <v>-14556.210000000005</v>
      </c>
      <c r="AA219" s="642">
        <f t="shared" si="4"/>
        <v>-59264.419999999991</v>
      </c>
      <c r="AB219" s="642">
        <f t="shared" si="4"/>
        <v>-10042.520000000013</v>
      </c>
      <c r="AC219" s="642">
        <f t="shared" si="4"/>
        <v>12892.169999999998</v>
      </c>
      <c r="AD219" s="642">
        <f t="shared" si="4"/>
        <v>13832.37</v>
      </c>
      <c r="AE219" s="642">
        <f t="shared" si="4"/>
        <v>13569.289999999981</v>
      </c>
      <c r="AF219" s="642">
        <f t="shared" si="4"/>
        <v>148674.60999999993</v>
      </c>
      <c r="AG219" s="642">
        <f t="shared" si="4"/>
        <v>14720.340000000009</v>
      </c>
      <c r="AH219" s="642">
        <f t="shared" si="4"/>
        <v>9609.0499999999938</v>
      </c>
      <c r="AI219" s="642">
        <f t="shared" si="4"/>
        <v>-71130.139999999985</v>
      </c>
      <c r="AJ219" s="642">
        <f t="shared" si="4"/>
        <v>-35576.060000000005</v>
      </c>
      <c r="AK219" s="642">
        <f t="shared" si="4"/>
        <v>10027.799999999996</v>
      </c>
      <c r="AL219" s="642">
        <f t="shared" ref="AL219:BQ219" si="5">SUM(AL8:AL218)</f>
        <v>44722.53</v>
      </c>
      <c r="AM219" s="642">
        <f t="shared" si="5"/>
        <v>-127996.56999999999</v>
      </c>
      <c r="AN219" s="642">
        <f t="shared" si="5"/>
        <v>67106.12999999999</v>
      </c>
      <c r="AO219" s="642">
        <f t="shared" si="5"/>
        <v>-86840.59</v>
      </c>
      <c r="AP219" s="642">
        <f t="shared" si="5"/>
        <v>107703.80000000002</v>
      </c>
      <c r="AQ219" s="642">
        <f t="shared" si="5"/>
        <v>-56379.899999999994</v>
      </c>
      <c r="AR219" s="642">
        <f t="shared" si="5"/>
        <v>-339.99000000000524</v>
      </c>
      <c r="AS219" s="642">
        <f t="shared" si="5"/>
        <v>-36573.699999999997</v>
      </c>
      <c r="AT219" s="642">
        <f t="shared" si="5"/>
        <v>52423.859999999986</v>
      </c>
      <c r="AU219" s="642">
        <f t="shared" si="5"/>
        <v>-23762.819999999996</v>
      </c>
      <c r="AV219" s="642">
        <f t="shared" si="5"/>
        <v>-61784.65</v>
      </c>
      <c r="AW219" s="642">
        <f t="shared" si="5"/>
        <v>-601.73999999998512</v>
      </c>
      <c r="AX219" s="642">
        <f t="shared" si="5"/>
        <v>35712.029999999941</v>
      </c>
      <c r="AY219" s="642">
        <f t="shared" si="5"/>
        <v>-11544.1</v>
      </c>
      <c r="AZ219" s="642">
        <f t="shared" si="5"/>
        <v>32863.729999999996</v>
      </c>
      <c r="BA219" s="642">
        <f t="shared" si="5"/>
        <v>-56005.93</v>
      </c>
      <c r="BB219" s="642">
        <f t="shared" si="5"/>
        <v>151207.77999999997</v>
      </c>
      <c r="BC219" s="642">
        <f t="shared" si="5"/>
        <v>-104333.31999999999</v>
      </c>
      <c r="BD219" s="642">
        <f t="shared" si="5"/>
        <v>0</v>
      </c>
      <c r="BE219" s="642">
        <f t="shared" si="5"/>
        <v>73283.920000000013</v>
      </c>
      <c r="BF219" s="642">
        <f t="shared" si="5"/>
        <v>-87248.000000000015</v>
      </c>
      <c r="BG219" s="642">
        <f t="shared" si="5"/>
        <v>36536.23000000001</v>
      </c>
      <c r="BH219" s="642">
        <f t="shared" si="5"/>
        <v>25379.819999999985</v>
      </c>
      <c r="BI219" s="642">
        <f t="shared" si="5"/>
        <v>-47614.680000000008</v>
      </c>
      <c r="BJ219" s="642">
        <f t="shared" si="5"/>
        <v>90397.76999999999</v>
      </c>
      <c r="BK219" s="642">
        <f t="shared" si="5"/>
        <v>0</v>
      </c>
      <c r="BL219" s="642">
        <f t="shared" si="5"/>
        <v>29218.279999999995</v>
      </c>
      <c r="BM219" s="642">
        <f t="shared" si="5"/>
        <v>-18013.949999999997</v>
      </c>
      <c r="BN219" s="642">
        <f t="shared" si="5"/>
        <v>0</v>
      </c>
      <c r="BO219" s="642">
        <f t="shared" si="5"/>
        <v>-76620.160000000003</v>
      </c>
      <c r="BP219" s="642">
        <f t="shared" si="5"/>
        <v>-60817.97</v>
      </c>
      <c r="BQ219" s="642">
        <f t="shared" si="5"/>
        <v>0</v>
      </c>
      <c r="BR219" s="642">
        <f>SUM(BR8:BR218)</f>
        <v>2491.5300000000025</v>
      </c>
      <c r="BS219" s="642">
        <f>SUM(BS8:BS218)</f>
        <v>81405.039999999994</v>
      </c>
      <c r="BT219" s="642">
        <f t="shared" ref="BT219:CZ219" si="6">SUM(BT7:BT218)</f>
        <v>69485.219999999943</v>
      </c>
      <c r="BU219" s="642">
        <f t="shared" si="6"/>
        <v>0</v>
      </c>
      <c r="BV219" s="642">
        <f t="shared" si="6"/>
        <v>-203883.80000000002</v>
      </c>
      <c r="BW219" s="642">
        <f t="shared" si="6"/>
        <v>3446.98</v>
      </c>
      <c r="BX219" s="642">
        <f t="shared" si="6"/>
        <v>81962.600000000006</v>
      </c>
      <c r="BY219" s="642">
        <f t="shared" si="6"/>
        <v>-60020.71</v>
      </c>
      <c r="BZ219" s="642">
        <f t="shared" si="6"/>
        <v>85967.49000000002</v>
      </c>
      <c r="CA219" s="642">
        <f t="shared" si="6"/>
        <v>-44038.38</v>
      </c>
      <c r="CB219" s="642">
        <f t="shared" si="6"/>
        <v>-1720</v>
      </c>
      <c r="CC219" s="642">
        <f t="shared" si="6"/>
        <v>27500</v>
      </c>
      <c r="CD219" s="642">
        <f t="shared" si="6"/>
        <v>-112438</v>
      </c>
      <c r="CE219" s="642">
        <f t="shared" si="6"/>
        <v>-139692.93</v>
      </c>
      <c r="CF219" s="642">
        <f t="shared" si="6"/>
        <v>23200</v>
      </c>
      <c r="CG219" s="642">
        <f t="shared" si="6"/>
        <v>-55000</v>
      </c>
      <c r="CH219" s="642">
        <f t="shared" si="6"/>
        <v>-88047.51</v>
      </c>
      <c r="CI219" s="642">
        <f t="shared" si="6"/>
        <v>172174.19</v>
      </c>
      <c r="CJ219" s="642">
        <f t="shared" si="6"/>
        <v>-11800</v>
      </c>
      <c r="CK219" s="642">
        <f t="shared" si="6"/>
        <v>-72733</v>
      </c>
      <c r="CL219" s="642">
        <f t="shared" si="6"/>
        <v>-39800</v>
      </c>
      <c r="CM219" s="642">
        <f t="shared" si="6"/>
        <v>3049.2900000000081</v>
      </c>
      <c r="CN219" s="642">
        <f t="shared" si="6"/>
        <v>-11800</v>
      </c>
      <c r="CO219" s="642">
        <f t="shared" si="6"/>
        <v>-72733</v>
      </c>
      <c r="CP219" s="642">
        <f t="shared" si="6"/>
        <v>-49800</v>
      </c>
      <c r="CQ219" s="642">
        <f t="shared" si="6"/>
        <v>238000</v>
      </c>
      <c r="CR219" s="642">
        <f t="shared" si="6"/>
        <v>8816.2900000000081</v>
      </c>
      <c r="CS219" s="642">
        <f t="shared" si="6"/>
        <v>128816.29</v>
      </c>
      <c r="CT219" s="642">
        <f t="shared" si="6"/>
        <v>68816.290000000008</v>
      </c>
      <c r="CU219" s="642">
        <f t="shared" si="6"/>
        <v>128816.29</v>
      </c>
      <c r="CV219" s="642">
        <f t="shared" si="6"/>
        <v>68816.290000000008</v>
      </c>
      <c r="CW219" s="642">
        <f t="shared" si="6"/>
        <v>168816.28999999998</v>
      </c>
      <c r="CX219" s="642">
        <f t="shared" si="6"/>
        <v>74816.290000000008</v>
      </c>
      <c r="CY219" s="642">
        <f t="shared" si="6"/>
        <v>-54183.71</v>
      </c>
      <c r="CZ219" s="642">
        <f t="shared" si="6"/>
        <v>-104183.70999999999</v>
      </c>
    </row>
    <row r="220" spans="1:104" ht="16" thickBot="1">
      <c r="A220" s="650"/>
      <c r="B220" s="651" t="s">
        <v>225</v>
      </c>
      <c r="C220" s="571"/>
      <c r="D220" s="572"/>
      <c r="E220" s="572"/>
      <c r="F220" s="573">
        <f>F219</f>
        <v>45589</v>
      </c>
      <c r="G220" s="573">
        <v>48154</v>
      </c>
      <c r="H220" s="573">
        <f>G220+H219</f>
        <v>48308.11</v>
      </c>
      <c r="I220" s="573">
        <v>112921.45</v>
      </c>
      <c r="J220" s="573">
        <v>103166</v>
      </c>
      <c r="K220" s="573">
        <f>J220+K219</f>
        <v>121931.13</v>
      </c>
      <c r="L220" s="573">
        <f>K220+L219</f>
        <v>92434.290000000023</v>
      </c>
      <c r="M220" s="573">
        <f>L220+M219</f>
        <v>24717.757600000026</v>
      </c>
      <c r="N220" s="573">
        <f>M220+N219</f>
        <v>57977.037600000018</v>
      </c>
      <c r="O220" s="573">
        <f t="shared" ref="O220:X220" si="7">N220+O219</f>
        <v>159101.92760000002</v>
      </c>
      <c r="P220" s="573">
        <f t="shared" si="7"/>
        <v>180843.17760000002</v>
      </c>
      <c r="Q220" s="573">
        <f t="shared" si="7"/>
        <v>146917.56760000001</v>
      </c>
      <c r="R220" s="573">
        <f>Q220+R219</f>
        <v>165335.37760000001</v>
      </c>
      <c r="S220" s="573">
        <f t="shared" si="7"/>
        <v>169830.13760000002</v>
      </c>
      <c r="T220" s="573">
        <f t="shared" si="7"/>
        <v>202140.5276</v>
      </c>
      <c r="U220" s="571">
        <f t="shared" si="7"/>
        <v>145031.23759999999</v>
      </c>
      <c r="V220" s="573">
        <f t="shared" si="7"/>
        <v>95017.68759999999</v>
      </c>
      <c r="W220" s="573">
        <f t="shared" si="7"/>
        <v>66283.967599999989</v>
      </c>
      <c r="X220" s="573">
        <f t="shared" si="7"/>
        <v>5927.967599999989</v>
      </c>
      <c r="Y220" s="573">
        <f t="shared" ref="Y220:AS220" si="8">X220+Y219</f>
        <v>107515.52760000002</v>
      </c>
      <c r="Z220" s="573">
        <f t="shared" si="8"/>
        <v>92959.317600000009</v>
      </c>
      <c r="AA220" s="573">
        <f t="shared" si="8"/>
        <v>33694.897600000018</v>
      </c>
      <c r="AB220" s="573">
        <f t="shared" si="8"/>
        <v>23652.377600000007</v>
      </c>
      <c r="AC220" s="573">
        <f t="shared" si="8"/>
        <v>36544.547600000005</v>
      </c>
      <c r="AD220" s="573">
        <f t="shared" si="8"/>
        <v>50376.917600000008</v>
      </c>
      <c r="AE220" s="573">
        <f t="shared" si="8"/>
        <v>63946.207599999987</v>
      </c>
      <c r="AF220" s="573">
        <f t="shared" si="8"/>
        <v>212620.81759999992</v>
      </c>
      <c r="AG220" s="573">
        <f t="shared" si="8"/>
        <v>227341.15759999992</v>
      </c>
      <c r="AH220" s="573">
        <f t="shared" si="8"/>
        <v>236950.20759999991</v>
      </c>
      <c r="AI220" s="573">
        <f t="shared" si="8"/>
        <v>165820.06759999992</v>
      </c>
      <c r="AJ220" s="573">
        <f t="shared" si="8"/>
        <v>130244.00759999992</v>
      </c>
      <c r="AK220" s="573">
        <f t="shared" si="8"/>
        <v>140271.80759999991</v>
      </c>
      <c r="AL220" s="573">
        <f t="shared" si="8"/>
        <v>184994.33759999991</v>
      </c>
      <c r="AM220" s="573">
        <f t="shared" si="8"/>
        <v>56997.767599999919</v>
      </c>
      <c r="AN220" s="573">
        <f t="shared" si="8"/>
        <v>124103.89759999991</v>
      </c>
      <c r="AO220" s="573">
        <f t="shared" si="8"/>
        <v>37263.307599999913</v>
      </c>
      <c r="AP220" s="573">
        <f t="shared" si="8"/>
        <v>144967.10759999993</v>
      </c>
      <c r="AQ220" s="573">
        <f t="shared" si="8"/>
        <v>88587.207599999936</v>
      </c>
      <c r="AR220" s="573">
        <f t="shared" si="8"/>
        <v>88247.217599999931</v>
      </c>
      <c r="AS220" s="573">
        <f t="shared" si="8"/>
        <v>51673.517599999934</v>
      </c>
      <c r="AT220" s="573">
        <f t="shared" ref="AT220:BI220" si="9">AS220+AT219</f>
        <v>104097.37759999992</v>
      </c>
      <c r="AU220" s="573">
        <f t="shared" si="9"/>
        <v>80334.557599999927</v>
      </c>
      <c r="AV220" s="573">
        <f t="shared" si="9"/>
        <v>18549.907599999926</v>
      </c>
      <c r="AW220" s="573">
        <f t="shared" si="9"/>
        <v>17948.167599999942</v>
      </c>
      <c r="AX220" s="571">
        <f t="shared" si="9"/>
        <v>53660.197599999883</v>
      </c>
      <c r="AY220" s="573">
        <f t="shared" si="9"/>
        <v>42116.097599999885</v>
      </c>
      <c r="AZ220" s="573">
        <f t="shared" si="9"/>
        <v>74979.827599999873</v>
      </c>
      <c r="BA220" s="573">
        <f t="shared" si="9"/>
        <v>18973.897599999873</v>
      </c>
      <c r="BB220" s="573">
        <f t="shared" si="9"/>
        <v>170181.67759999985</v>
      </c>
      <c r="BC220" s="573">
        <f t="shared" si="9"/>
        <v>65848.357599999857</v>
      </c>
      <c r="BD220" s="573">
        <f>BC220+BD219</f>
        <v>65848.357599999857</v>
      </c>
      <c r="BE220" s="573">
        <f>BD220+BE219</f>
        <v>139132.27759999986</v>
      </c>
      <c r="BF220" s="573">
        <f t="shared" si="9"/>
        <v>51884.277599999841</v>
      </c>
      <c r="BG220" s="573">
        <f t="shared" si="9"/>
        <v>88420.507599999852</v>
      </c>
      <c r="BH220" s="573">
        <f t="shared" si="9"/>
        <v>113800.32759999984</v>
      </c>
      <c r="BI220" s="573">
        <f t="shared" si="9"/>
        <v>66185.647599999837</v>
      </c>
      <c r="BJ220" s="573">
        <f t="shared" ref="BJ220:BY220" si="10">BI220+BJ219</f>
        <v>156583.41759999981</v>
      </c>
      <c r="BK220" s="573">
        <f t="shared" si="10"/>
        <v>156583.41759999981</v>
      </c>
      <c r="BL220" s="573">
        <f t="shared" si="10"/>
        <v>185801.69759999981</v>
      </c>
      <c r="BM220" s="573">
        <f t="shared" si="10"/>
        <v>167787.74759999983</v>
      </c>
      <c r="BN220" s="573">
        <f t="shared" si="10"/>
        <v>167787.74759999983</v>
      </c>
      <c r="BO220" s="573">
        <f t="shared" si="10"/>
        <v>91167.587599999824</v>
      </c>
      <c r="BP220" s="573">
        <f t="shared" si="10"/>
        <v>30349.617599999823</v>
      </c>
      <c r="BQ220" s="573">
        <f t="shared" si="10"/>
        <v>30349.617599999823</v>
      </c>
      <c r="BR220" s="573">
        <f t="shared" si="10"/>
        <v>32841.147599999822</v>
      </c>
      <c r="BS220" s="573">
        <f t="shared" si="10"/>
        <v>114246.18759999982</v>
      </c>
      <c r="BT220" s="573">
        <f t="shared" si="10"/>
        <v>183731.40759999974</v>
      </c>
      <c r="BU220" s="573">
        <f t="shared" si="10"/>
        <v>183731.40759999974</v>
      </c>
      <c r="BV220" s="573">
        <f t="shared" si="10"/>
        <v>-20152.392400000273</v>
      </c>
      <c r="BW220" s="573">
        <f t="shared" si="10"/>
        <v>-16705.412400000274</v>
      </c>
      <c r="BX220" s="573">
        <f t="shared" si="10"/>
        <v>65257.187599999728</v>
      </c>
      <c r="BY220" s="573">
        <f t="shared" si="10"/>
        <v>5236.4775999997291</v>
      </c>
      <c r="BZ220" s="573">
        <f t="shared" ref="BZ220:CE220" si="11">BY220+BZ219</f>
        <v>91203.967599999742</v>
      </c>
      <c r="CA220" s="573">
        <f t="shared" si="11"/>
        <v>47165.587599999744</v>
      </c>
      <c r="CB220" s="573">
        <f t="shared" si="11"/>
        <v>45445.587599999744</v>
      </c>
      <c r="CC220" s="573">
        <f t="shared" si="11"/>
        <v>72945.587599999737</v>
      </c>
      <c r="CD220" s="573">
        <f t="shared" si="11"/>
        <v>-39492.412400000263</v>
      </c>
      <c r="CE220" s="573">
        <f t="shared" si="11"/>
        <v>-179185.34240000026</v>
      </c>
      <c r="CF220" s="573">
        <f t="shared" ref="CF220:CZ220" si="12">CE220+CF219</f>
        <v>-155985.34240000026</v>
      </c>
      <c r="CG220" s="573">
        <f t="shared" si="12"/>
        <v>-210985.34240000026</v>
      </c>
      <c r="CH220" s="573">
        <f t="shared" si="12"/>
        <v>-299032.85240000027</v>
      </c>
      <c r="CI220" s="573">
        <f t="shared" si="12"/>
        <v>-126858.66240000026</v>
      </c>
      <c r="CJ220" s="573">
        <f t="shared" si="12"/>
        <v>-138658.66240000026</v>
      </c>
      <c r="CK220" s="573">
        <f t="shared" si="12"/>
        <v>-211391.66240000026</v>
      </c>
      <c r="CL220" s="573">
        <f t="shared" si="12"/>
        <v>-251191.66240000026</v>
      </c>
      <c r="CM220" s="573">
        <f t="shared" si="12"/>
        <v>-248142.37240000025</v>
      </c>
      <c r="CN220" s="573">
        <f t="shared" si="12"/>
        <v>-259942.37240000025</v>
      </c>
      <c r="CO220" s="573">
        <f t="shared" si="12"/>
        <v>-332675.37240000023</v>
      </c>
      <c r="CP220" s="573">
        <f t="shared" si="12"/>
        <v>-382475.37240000023</v>
      </c>
      <c r="CQ220" s="573">
        <f t="shared" si="12"/>
        <v>-144475.37240000023</v>
      </c>
      <c r="CR220" s="573">
        <f t="shared" si="12"/>
        <v>-135659.08240000022</v>
      </c>
      <c r="CS220" s="573">
        <f t="shared" si="12"/>
        <v>-6842.792400000224</v>
      </c>
      <c r="CT220" s="573">
        <f t="shared" si="12"/>
        <v>61973.497599999784</v>
      </c>
      <c r="CU220" s="573">
        <f t="shared" si="12"/>
        <v>190789.78759999978</v>
      </c>
      <c r="CV220" s="573">
        <f t="shared" si="12"/>
        <v>259606.07759999979</v>
      </c>
      <c r="CW220" s="573">
        <f t="shared" si="12"/>
        <v>428422.36759999976</v>
      </c>
      <c r="CX220" s="573">
        <f t="shared" si="12"/>
        <v>503238.6575999998</v>
      </c>
      <c r="CY220" s="573">
        <f t="shared" si="12"/>
        <v>449054.94759999978</v>
      </c>
      <c r="CZ220" s="652">
        <f t="shared" si="12"/>
        <v>344871.23759999976</v>
      </c>
    </row>
    <row r="221" spans="1:104" ht="17.5" customHeight="1">
      <c r="C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c r="AA221" s="211"/>
      <c r="AB221" s="211"/>
      <c r="AC221" s="211"/>
      <c r="AD221" s="211"/>
      <c r="AE221" s="211"/>
      <c r="AF221" s="211"/>
      <c r="AG221" s="211"/>
      <c r="AH221" s="211"/>
      <c r="AI221" s="211"/>
      <c r="AJ221" s="211"/>
      <c r="AK221" s="211"/>
      <c r="AL221" s="211"/>
      <c r="AM221" s="211"/>
      <c r="AN221" s="211"/>
      <c r="AO221" s="211"/>
      <c r="AP221" s="211"/>
      <c r="AQ221" s="211"/>
      <c r="AR221" s="211"/>
      <c r="AS221" s="211"/>
      <c r="AT221" s="211"/>
      <c r="AU221" s="211"/>
      <c r="AV221" s="569"/>
      <c r="AW221" s="211"/>
      <c r="AX221" s="211"/>
      <c r="AY221" s="211"/>
      <c r="AZ221" s="211"/>
      <c r="BA221" s="211"/>
      <c r="BB221" s="211"/>
      <c r="BC221" s="211"/>
      <c r="BD221" s="211"/>
      <c r="BE221" s="211"/>
      <c r="BF221" s="211"/>
      <c r="BG221" s="211"/>
      <c r="BH221" s="211"/>
      <c r="BI221" s="211"/>
      <c r="BJ221" s="211"/>
      <c r="BK221" s="211"/>
      <c r="BL221" s="211"/>
      <c r="BM221" s="211"/>
      <c r="BN221" s="211"/>
    </row>
    <row r="222" spans="1:104">
      <c r="C222" s="211" t="s">
        <v>0</v>
      </c>
      <c r="D222" s="211"/>
      <c r="E222" s="211"/>
      <c r="F222" s="211"/>
      <c r="G222" s="211"/>
      <c r="H222" s="211"/>
      <c r="I222" s="211"/>
      <c r="J222" s="211"/>
      <c r="K222" s="211"/>
      <c r="L222" s="267" t="s">
        <v>9</v>
      </c>
      <c r="M222" s="267" t="s">
        <v>10</v>
      </c>
      <c r="N222" s="267" t="s">
        <v>11</v>
      </c>
      <c r="O222" s="267" t="s">
        <v>12</v>
      </c>
      <c r="P222" s="267" t="s">
        <v>13</v>
      </c>
      <c r="Q222" s="267" t="s">
        <v>14</v>
      </c>
      <c r="R222" s="267" t="s">
        <v>15</v>
      </c>
      <c r="S222" s="267" t="s">
        <v>16</v>
      </c>
      <c r="T222" s="267" t="s">
        <v>17</v>
      </c>
      <c r="U222" s="267" t="s">
        <v>18</v>
      </c>
      <c r="V222" s="267" t="s">
        <v>19</v>
      </c>
      <c r="W222" s="267" t="s">
        <v>20</v>
      </c>
      <c r="X222" s="267" t="s">
        <v>226</v>
      </c>
      <c r="Y222" s="267" t="s">
        <v>227</v>
      </c>
      <c r="Z222" s="267" t="s">
        <v>228</v>
      </c>
      <c r="AA222" s="267"/>
      <c r="AB222" s="267"/>
      <c r="AC222" s="267"/>
      <c r="AD222" s="267"/>
      <c r="AE222" s="267"/>
      <c r="AF222" s="267"/>
      <c r="AG222" s="267"/>
      <c r="AH222" s="267"/>
      <c r="AI222" s="267"/>
      <c r="AJ222" s="267"/>
      <c r="AK222" s="267"/>
      <c r="AL222" s="267"/>
      <c r="AM222" s="267"/>
      <c r="AN222" s="267"/>
      <c r="AO222" s="267"/>
      <c r="AP222" s="267"/>
      <c r="AQ222" s="267"/>
      <c r="AR222" s="267"/>
      <c r="AS222" s="267"/>
      <c r="AT222" s="267"/>
      <c r="AU222" s="267"/>
      <c r="AV222" s="267"/>
      <c r="AW222" s="267"/>
      <c r="AX222" s="267"/>
      <c r="AY222" s="267"/>
      <c r="AZ222" s="267"/>
      <c r="BA222" s="267"/>
      <c r="BB222" s="267"/>
      <c r="BC222" s="267"/>
      <c r="BD222" s="267"/>
      <c r="BE222" s="267"/>
      <c r="BF222" s="267"/>
      <c r="BG222" s="267"/>
      <c r="BH222" s="267"/>
      <c r="BI222" s="267"/>
      <c r="BJ222" s="267"/>
      <c r="BK222" s="267"/>
      <c r="BL222" s="267"/>
      <c r="BM222" s="267"/>
      <c r="BN222" s="267"/>
    </row>
    <row r="223" spans="1:104" ht="15" thickBot="1">
      <c r="C223" s="211"/>
      <c r="D223" s="211"/>
      <c r="E223" s="211"/>
      <c r="F223" s="211"/>
      <c r="G223" s="211"/>
      <c r="H223" s="211"/>
      <c r="I223" s="211"/>
      <c r="J223" s="211"/>
      <c r="K223" s="211"/>
      <c r="L223" s="211"/>
      <c r="M223" s="211"/>
      <c r="N223" s="267"/>
      <c r="O223" s="267"/>
      <c r="P223" s="267"/>
      <c r="Q223" s="267"/>
      <c r="R223" s="267"/>
      <c r="S223" s="267"/>
      <c r="T223" s="267"/>
      <c r="U223" s="267"/>
      <c r="V223" s="267"/>
      <c r="W223" s="267"/>
      <c r="X223" s="267"/>
      <c r="Y223" s="267"/>
      <c r="Z223" s="267"/>
      <c r="AA223" s="267"/>
      <c r="AB223" s="267"/>
      <c r="AC223" s="267"/>
      <c r="AD223" s="267"/>
      <c r="AE223" s="267"/>
      <c r="AF223" s="267"/>
      <c r="AG223" s="267"/>
      <c r="AH223" s="267"/>
      <c r="AI223" s="267"/>
      <c r="AJ223" s="267"/>
      <c r="AK223" s="267"/>
      <c r="AL223" s="267"/>
      <c r="AM223" s="267"/>
      <c r="AN223" s="267"/>
      <c r="AO223" s="267"/>
      <c r="AP223" s="267"/>
      <c r="AQ223" s="267"/>
      <c r="AR223" s="267"/>
      <c r="AS223" s="267"/>
      <c r="AT223" s="267"/>
      <c r="AU223" s="267"/>
      <c r="AV223" s="267"/>
      <c r="AW223" s="267"/>
      <c r="AX223" s="267"/>
      <c r="AY223" s="267"/>
      <c r="AZ223" s="267"/>
      <c r="BA223" s="267"/>
      <c r="BB223" s="267"/>
      <c r="BC223" s="267"/>
      <c r="BD223" s="267"/>
      <c r="BE223" s="267"/>
      <c r="BF223" s="267"/>
      <c r="BG223" s="267"/>
      <c r="BH223" s="267"/>
      <c r="BI223" s="267"/>
      <c r="BJ223" s="267"/>
      <c r="BK223" s="267"/>
      <c r="BL223" s="267"/>
      <c r="BM223" s="267"/>
      <c r="BN223" s="267"/>
    </row>
    <row r="224" spans="1:104" ht="16" thickBot="1">
      <c r="B224" s="295" t="s">
        <v>229</v>
      </c>
      <c r="C224" s="323"/>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512"/>
      <c r="AA224" s="512"/>
      <c r="AB224" s="211" t="s">
        <v>0</v>
      </c>
      <c r="AC224" s="211"/>
      <c r="AD224" s="211"/>
      <c r="AE224" s="211"/>
      <c r="AF224" s="211"/>
      <c r="AG224" s="211"/>
      <c r="AH224" s="211"/>
      <c r="AI224" s="211"/>
      <c r="AJ224" s="211"/>
      <c r="AK224" s="211"/>
      <c r="AL224" s="211"/>
      <c r="AM224" s="211"/>
      <c r="AN224" s="211"/>
      <c r="AO224" s="211"/>
      <c r="AP224" s="211"/>
      <c r="AQ224" s="211"/>
      <c r="AR224" s="211"/>
      <c r="AS224" s="211"/>
      <c r="AT224" s="211"/>
      <c r="AU224" s="211"/>
      <c r="AV224" s="211"/>
      <c r="AW224" s="211"/>
      <c r="AX224" s="211"/>
      <c r="AY224" s="211"/>
      <c r="AZ224" s="211"/>
      <c r="BA224" s="211"/>
      <c r="BB224" s="211"/>
      <c r="BC224" s="211"/>
      <c r="BD224" s="211"/>
      <c r="BE224" s="211"/>
      <c r="BF224" s="211"/>
      <c r="BG224" s="268" t="s">
        <v>0</v>
      </c>
      <c r="BH224" s="268"/>
      <c r="BI224" s="268"/>
      <c r="BJ224" s="268"/>
      <c r="BK224" s="268"/>
      <c r="BL224" s="268"/>
      <c r="BM224" s="268"/>
      <c r="BN224" s="268"/>
      <c r="BO224" s="268" t="s">
        <v>0</v>
      </c>
      <c r="BP224" s="268"/>
      <c r="BQ224" s="268"/>
      <c r="BR224" s="268"/>
      <c r="BS224" s="268"/>
      <c r="BT224" s="268" t="s">
        <v>0</v>
      </c>
      <c r="BU224" s="268"/>
      <c r="BV224" s="268"/>
      <c r="BW224" s="268"/>
      <c r="BX224" s="268"/>
    </row>
    <row r="225" spans="2:82">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c r="AA225" s="211"/>
      <c r="AB225" s="211"/>
      <c r="AC225" s="211"/>
      <c r="AD225" s="211"/>
      <c r="AE225" s="211"/>
      <c r="AF225" s="211"/>
      <c r="AG225" s="211"/>
      <c r="AH225" s="211"/>
      <c r="AI225" s="211"/>
      <c r="AJ225" s="211"/>
      <c r="AK225" s="211"/>
      <c r="AL225" s="211"/>
      <c r="AM225" s="211" t="s">
        <v>0</v>
      </c>
      <c r="AN225" s="211"/>
      <c r="AO225" s="211"/>
      <c r="AP225" s="211"/>
      <c r="AQ225" s="211"/>
      <c r="AR225" s="211"/>
      <c r="AS225" s="211"/>
      <c r="AT225" s="211"/>
      <c r="AU225" s="211"/>
      <c r="AV225" s="211"/>
      <c r="AW225" s="211"/>
      <c r="AX225" s="211"/>
      <c r="AY225" s="211"/>
      <c r="AZ225" s="211"/>
      <c r="BA225" s="211"/>
      <c r="BB225" s="211"/>
      <c r="BC225" s="211"/>
      <c r="BD225" s="211"/>
      <c r="BE225" s="211"/>
      <c r="BF225" s="211"/>
    </row>
    <row r="226" spans="2:82" ht="15" thickBot="1"/>
    <row r="227" spans="2:82" ht="16" thickBot="1">
      <c r="B227" s="591" t="s">
        <v>796</v>
      </c>
    </row>
    <row r="228" spans="2:82" ht="15">
      <c r="B228" s="568" t="s">
        <v>113</v>
      </c>
      <c r="C228" s="211"/>
      <c r="D228" s="211">
        <v>516000</v>
      </c>
      <c r="E228" s="211"/>
      <c r="F228" s="268"/>
      <c r="G228" s="268"/>
      <c r="H228" s="268"/>
      <c r="I228" s="268"/>
      <c r="J228" s="268"/>
      <c r="K228" s="268"/>
      <c r="L228" s="268"/>
      <c r="M228" s="268"/>
      <c r="N228" s="268"/>
      <c r="O228" s="268"/>
      <c r="P228" s="268"/>
      <c r="R228" s="268"/>
      <c r="S228" s="268"/>
      <c r="T228" s="268"/>
      <c r="U228" s="268"/>
      <c r="V228" s="268"/>
      <c r="W228" s="268"/>
      <c r="X228" s="268"/>
      <c r="Y228" s="268"/>
      <c r="Z228" s="268"/>
      <c r="AA228" s="268"/>
      <c r="AB228" s="268"/>
      <c r="AC228" s="268"/>
      <c r="AD228" s="268"/>
      <c r="AE228" s="268"/>
      <c r="AG228" s="268"/>
      <c r="AH228" s="268"/>
      <c r="AI228" s="268"/>
      <c r="AJ228" s="268"/>
      <c r="AK228" s="268"/>
      <c r="AL228" s="268"/>
      <c r="AM228" s="268"/>
      <c r="AN228" s="564" t="s">
        <v>0</v>
      </c>
      <c r="AP228" s="268"/>
      <c r="AQ228" s="268" t="s">
        <v>0</v>
      </c>
      <c r="AR228" s="268"/>
      <c r="AS228" s="268" t="s">
        <v>0</v>
      </c>
      <c r="AT228" s="268"/>
      <c r="AU228" s="557" t="s">
        <v>0</v>
      </c>
      <c r="AV228" s="268" t="s">
        <v>0</v>
      </c>
      <c r="AW228" s="275" t="s">
        <v>0</v>
      </c>
      <c r="AX228" s="268"/>
      <c r="AY228" s="268"/>
      <c r="AZ228" s="268"/>
      <c r="BC228" s="268"/>
      <c r="BD228" s="268"/>
      <c r="BE228" s="268"/>
      <c r="BF228" s="268" t="s">
        <v>0</v>
      </c>
      <c r="BI228" s="268"/>
      <c r="BJ228" s="268"/>
      <c r="BK228" s="268"/>
      <c r="BL228" s="268"/>
      <c r="BM228" s="268">
        <v>120000</v>
      </c>
      <c r="BN228" s="268"/>
      <c r="BP228" s="268"/>
      <c r="BQ228" s="268"/>
      <c r="BR228" s="268"/>
      <c r="BS228" s="268">
        <v>120000</v>
      </c>
      <c r="BV228" s="268"/>
      <c r="BW228" s="268"/>
      <c r="BX228" s="268">
        <v>120000</v>
      </c>
      <c r="CA228" s="268"/>
      <c r="CB228" s="268"/>
      <c r="CC228" s="268"/>
      <c r="CD228" s="268">
        <v>156000</v>
      </c>
    </row>
    <row r="229" spans="2:82" ht="15">
      <c r="B229" s="568" t="s">
        <v>114</v>
      </c>
      <c r="C229" s="211"/>
      <c r="D229" s="211">
        <v>144000</v>
      </c>
      <c r="E229" s="211"/>
      <c r="F229" s="268"/>
      <c r="G229" s="268"/>
      <c r="H229" s="268"/>
      <c r="I229" s="268"/>
      <c r="J229" s="268"/>
      <c r="K229" s="268"/>
      <c r="L229" s="268"/>
      <c r="M229" s="268"/>
      <c r="N229" s="268"/>
      <c r="O229" s="268"/>
      <c r="P229" s="268"/>
      <c r="R229" s="268"/>
      <c r="S229" s="268"/>
      <c r="T229" s="268"/>
      <c r="U229" s="268"/>
      <c r="V229" s="268"/>
      <c r="W229" s="268"/>
      <c r="X229" s="268"/>
      <c r="Y229" s="268"/>
      <c r="Z229" s="268"/>
      <c r="AA229" s="268"/>
      <c r="AB229" s="268"/>
      <c r="AC229" s="268"/>
      <c r="AD229" s="268"/>
      <c r="AE229" s="268"/>
      <c r="AG229" s="268"/>
      <c r="AH229" s="268"/>
      <c r="AI229" s="268"/>
      <c r="AJ229" s="268"/>
      <c r="AK229" s="268"/>
      <c r="AL229" s="268"/>
      <c r="AM229" s="268"/>
      <c r="AN229" s="326"/>
      <c r="AP229" s="268"/>
      <c r="AQ229" s="268"/>
      <c r="AR229" s="268"/>
      <c r="AS229" s="268"/>
      <c r="AT229" s="268"/>
      <c r="AU229" s="268"/>
      <c r="AW229" s="275" t="s">
        <v>0</v>
      </c>
      <c r="AX229" s="268"/>
      <c r="AY229" s="268"/>
      <c r="AZ229" s="268"/>
      <c r="BA229" s="268"/>
      <c r="BB229" s="268" t="s">
        <v>0</v>
      </c>
      <c r="BC229" s="268"/>
      <c r="BD229" s="268"/>
      <c r="BE229" s="268"/>
      <c r="BF229" s="268"/>
      <c r="BI229" s="268">
        <v>11000</v>
      </c>
      <c r="BJ229" s="268">
        <v>11000</v>
      </c>
      <c r="BK229" s="268"/>
      <c r="BL229" s="268">
        <v>11000</v>
      </c>
      <c r="BM229" s="268">
        <v>15000</v>
      </c>
      <c r="BN229" s="268"/>
      <c r="BP229" s="268"/>
      <c r="BQ229" s="268"/>
      <c r="BR229" s="268"/>
      <c r="BS229" s="268">
        <v>48000</v>
      </c>
      <c r="BV229" s="268"/>
      <c r="BW229" s="268"/>
      <c r="BX229" s="268">
        <v>48000</v>
      </c>
      <c r="CD229" s="3" t="s">
        <v>0</v>
      </c>
    </row>
    <row r="230" spans="2:82" ht="15">
      <c r="B230" s="568" t="s">
        <v>115</v>
      </c>
      <c r="C230" s="211" t="s">
        <v>0</v>
      </c>
      <c r="D230" s="211">
        <v>-240000</v>
      </c>
      <c r="E230" s="211"/>
      <c r="F230" s="268"/>
      <c r="G230" s="268"/>
      <c r="H230" s="268"/>
      <c r="I230" s="268"/>
      <c r="J230" s="268"/>
      <c r="K230" s="268"/>
      <c r="L230" s="268"/>
      <c r="M230" s="268"/>
      <c r="N230" s="268"/>
      <c r="O230" s="268"/>
      <c r="P230" s="268"/>
      <c r="R230" s="268"/>
      <c r="S230" s="268"/>
      <c r="T230" s="268"/>
      <c r="U230" s="268"/>
      <c r="V230" s="268"/>
      <c r="W230" s="268"/>
      <c r="X230" s="268"/>
      <c r="Y230" s="268"/>
      <c r="Z230" s="268"/>
      <c r="AA230" s="268"/>
      <c r="AB230" s="268"/>
      <c r="AC230" s="268"/>
      <c r="AD230" s="268"/>
      <c r="AE230" s="268"/>
      <c r="AG230" s="268"/>
      <c r="AH230" s="268"/>
      <c r="AI230" s="268"/>
      <c r="AJ230" s="268"/>
      <c r="AK230" s="268"/>
      <c r="AL230" s="268"/>
      <c r="AM230" s="268"/>
      <c r="AN230" s="268"/>
      <c r="AP230" s="268" t="s">
        <v>0</v>
      </c>
      <c r="AQ230" s="268" t="s">
        <v>0</v>
      </c>
      <c r="AR230" s="268" t="s">
        <v>0</v>
      </c>
      <c r="AS230" s="268" t="s">
        <v>0</v>
      </c>
      <c r="AT230" s="268" t="s">
        <v>0</v>
      </c>
      <c r="AU230" s="268" t="s">
        <v>0</v>
      </c>
      <c r="AV230" s="268" t="s">
        <v>0</v>
      </c>
      <c r="AW230" s="275" t="s">
        <v>0</v>
      </c>
      <c r="AX230" s="268">
        <v>0</v>
      </c>
      <c r="AY230" s="268">
        <v>0</v>
      </c>
      <c r="AZ230" s="268">
        <v>0</v>
      </c>
      <c r="BA230" s="268" t="s">
        <v>0</v>
      </c>
      <c r="BB230" s="268" t="s">
        <v>0</v>
      </c>
      <c r="BC230" s="268" t="s">
        <v>0</v>
      </c>
      <c r="BD230" s="268"/>
      <c r="BE230" s="268" t="s">
        <v>0</v>
      </c>
      <c r="BF230" s="565" t="s">
        <v>0</v>
      </c>
      <c r="BG230" s="565" t="s">
        <v>0</v>
      </c>
      <c r="BH230" s="565"/>
      <c r="BI230" s="268">
        <v>-11000</v>
      </c>
      <c r="BJ230" s="268">
        <v>-11000</v>
      </c>
      <c r="BK230" s="268"/>
      <c r="BL230" s="268">
        <v>-11000</v>
      </c>
      <c r="BM230" s="268">
        <v>-22000</v>
      </c>
      <c r="BN230" s="268"/>
      <c r="BP230" s="268"/>
      <c r="BQ230" s="268"/>
      <c r="BR230" s="268"/>
      <c r="BS230" s="268">
        <v>-54440</v>
      </c>
      <c r="BV230" s="268"/>
      <c r="BW230" s="268"/>
      <c r="BX230" s="268">
        <v>-75000</v>
      </c>
      <c r="CA230" s="268"/>
      <c r="CB230" s="268"/>
      <c r="CC230" s="268"/>
      <c r="CD230" s="268">
        <v>-55560</v>
      </c>
    </row>
    <row r="231" spans="2:82" ht="15">
      <c r="B231" s="568" t="s">
        <v>116</v>
      </c>
      <c r="C231" s="211"/>
      <c r="D231" s="211">
        <v>0</v>
      </c>
      <c r="E231" s="211"/>
      <c r="F231" s="268"/>
      <c r="G231" s="268"/>
      <c r="H231" s="268"/>
      <c r="I231" s="268"/>
      <c r="J231" s="268"/>
      <c r="K231" s="268"/>
      <c r="L231" s="268"/>
      <c r="M231" s="268"/>
      <c r="N231" s="268"/>
      <c r="O231" s="268"/>
      <c r="P231" s="268"/>
      <c r="R231" s="268"/>
      <c r="S231" s="268"/>
      <c r="T231" s="268"/>
      <c r="U231" s="268"/>
      <c r="V231" s="268"/>
      <c r="W231" s="268"/>
      <c r="X231" s="268"/>
      <c r="Y231" s="268"/>
      <c r="Z231" s="268"/>
      <c r="AA231" s="268"/>
      <c r="AB231" s="268"/>
      <c r="AC231" s="268"/>
      <c r="AD231" s="268"/>
      <c r="AE231" s="268"/>
      <c r="AG231" s="268"/>
      <c r="AH231" s="268"/>
      <c r="AI231" s="268"/>
      <c r="AJ231" s="268"/>
      <c r="AK231" s="268"/>
      <c r="AL231" s="268"/>
      <c r="AM231" s="268"/>
      <c r="AN231" s="268"/>
      <c r="AO231" s="268"/>
      <c r="AP231" s="268"/>
      <c r="AQ231" s="268"/>
      <c r="AR231" s="268"/>
      <c r="AS231" s="268"/>
      <c r="AT231" s="268"/>
      <c r="AU231" s="268"/>
      <c r="AV231" s="268"/>
      <c r="AW231" s="275"/>
      <c r="AX231" s="268"/>
      <c r="AY231" s="268"/>
      <c r="AZ231" s="268"/>
      <c r="BA231" s="268"/>
      <c r="BB231" s="268"/>
      <c r="BC231" s="268"/>
      <c r="BD231" s="268"/>
      <c r="BE231" s="268"/>
      <c r="BF231" s="268"/>
      <c r="BG231" s="268"/>
      <c r="BH231" s="268"/>
      <c r="BI231" s="268"/>
      <c r="BJ231" s="268"/>
      <c r="BK231" s="268"/>
      <c r="BL231" s="268"/>
      <c r="BM231" s="268"/>
      <c r="BN231" s="268"/>
    </row>
    <row r="232" spans="2:82" ht="15">
      <c r="B232" s="568" t="s">
        <v>214</v>
      </c>
      <c r="C232" s="211">
        <f>'Job Calculations'!B160</f>
        <v>-100056</v>
      </c>
      <c r="F232" s="268"/>
      <c r="G232" s="310"/>
      <c r="H232" s="268"/>
      <c r="I232" s="268"/>
      <c r="J232" s="269"/>
      <c r="K232" s="268"/>
      <c r="L232" s="268"/>
      <c r="M232" s="268"/>
      <c r="O232" s="268"/>
      <c r="P232" s="277"/>
      <c r="Q232" s="277"/>
      <c r="R232" s="310"/>
      <c r="S232" s="275"/>
      <c r="T232" s="275"/>
      <c r="U232" s="310"/>
      <c r="V232" s="275"/>
      <c r="W232" s="275"/>
      <c r="X232" s="275"/>
      <c r="Y232" s="275"/>
      <c r="Z232" s="275"/>
      <c r="AA232" s="310"/>
      <c r="AC232" s="275"/>
      <c r="AD232" s="275"/>
      <c r="AE232" s="275"/>
      <c r="AF232" s="560"/>
      <c r="AG232" s="275"/>
      <c r="AH232" s="275"/>
      <c r="AI232" s="275"/>
      <c r="AJ232" s="275"/>
      <c r="AK232" s="275"/>
      <c r="AL232" s="275"/>
      <c r="AM232" s="275"/>
      <c r="AN232" s="275"/>
      <c r="AO232" s="275"/>
      <c r="AP232" s="275"/>
      <c r="AQ232" s="275"/>
      <c r="AR232" s="326" t="s">
        <v>0</v>
      </c>
      <c r="AS232" s="326" t="s">
        <v>0</v>
      </c>
      <c r="AT232" s="275"/>
      <c r="AU232" s="275"/>
      <c r="AV232" s="275"/>
      <c r="AW232" s="275"/>
      <c r="AX232" s="275"/>
      <c r="AY232" s="275"/>
      <c r="AZ232" s="275"/>
      <c r="BA232" s="275"/>
      <c r="BC232" s="275"/>
      <c r="BD232" s="275"/>
      <c r="BE232" s="275"/>
      <c r="BI232" s="275"/>
      <c r="BJ232" s="275"/>
      <c r="BK232" s="275"/>
      <c r="BL232" s="275"/>
      <c r="BM232" s="275"/>
      <c r="BN232" s="275"/>
      <c r="BT232" s="566">
        <v>-50000</v>
      </c>
      <c r="BU232" s="566"/>
      <c r="BV232" s="566"/>
      <c r="BW232" s="566"/>
      <c r="BX232" s="566"/>
      <c r="BY232" s="566">
        <v>-50056</v>
      </c>
      <c r="BZ232" s="566"/>
      <c r="CA232" s="275"/>
      <c r="CB232" s="275"/>
      <c r="CC232" s="275"/>
      <c r="CD232" s="275"/>
    </row>
    <row r="234" spans="2:82" ht="15">
      <c r="B234" s="391" t="s">
        <v>703</v>
      </c>
      <c r="C234" s="263"/>
      <c r="D234" s="211"/>
      <c r="E234" s="211"/>
      <c r="F234" s="268"/>
      <c r="G234" s="268"/>
      <c r="H234" s="268"/>
      <c r="I234" s="268"/>
      <c r="J234" s="268"/>
      <c r="K234" s="268"/>
      <c r="L234" s="268"/>
      <c r="M234" s="268"/>
      <c r="N234" s="268"/>
      <c r="O234" s="268"/>
      <c r="P234" s="268"/>
      <c r="Q234" s="268"/>
      <c r="R234" s="268"/>
      <c r="S234" s="268"/>
      <c r="T234" s="268"/>
      <c r="U234" s="268"/>
      <c r="V234" s="268"/>
      <c r="W234" s="268"/>
      <c r="X234" s="268"/>
      <c r="Y234" s="268"/>
      <c r="Z234" s="268"/>
      <c r="AA234" s="268"/>
      <c r="AB234" s="268"/>
      <c r="AC234" s="268"/>
      <c r="AD234" s="268"/>
      <c r="AF234" s="268"/>
      <c r="AG234" s="268"/>
      <c r="AH234" s="268"/>
      <c r="AI234" s="268"/>
      <c r="AJ234" s="268"/>
      <c r="AK234" s="268"/>
      <c r="AL234" s="269"/>
      <c r="AM234" s="268"/>
      <c r="AN234" s="268"/>
      <c r="AO234" s="268"/>
      <c r="AP234" s="268"/>
      <c r="AQ234" s="268"/>
      <c r="AR234" s="268"/>
      <c r="AS234" s="268"/>
      <c r="AT234" s="268"/>
      <c r="AU234" s="268"/>
      <c r="AW234" s="275"/>
      <c r="AX234" s="268"/>
      <c r="AY234" s="268"/>
      <c r="AZ234" s="268"/>
      <c r="BA234" s="268"/>
      <c r="BG234" s="268"/>
      <c r="BH234" s="268"/>
      <c r="BI234" s="268"/>
      <c r="BJ234" s="268"/>
      <c r="BK234" s="268"/>
      <c r="BM234" s="268" t="s">
        <v>0</v>
      </c>
      <c r="BN234" s="268"/>
      <c r="BO234" s="268" t="s">
        <v>0</v>
      </c>
      <c r="BP234" s="268"/>
      <c r="BQ234" s="268"/>
      <c r="BR234" s="277" t="s">
        <v>705</v>
      </c>
      <c r="BS234" s="559">
        <v>50000</v>
      </c>
      <c r="BT234" s="559" t="s">
        <v>0</v>
      </c>
      <c r="BU234" s="559"/>
      <c r="BV234" s="559"/>
      <c r="BW234" s="559"/>
      <c r="BX234" s="559">
        <v>50000</v>
      </c>
      <c r="BY234" s="559">
        <v>50000</v>
      </c>
      <c r="BZ234" s="559"/>
      <c r="CA234" s="268"/>
      <c r="CB234" s="268"/>
      <c r="CC234" s="268"/>
      <c r="CD234" s="268"/>
    </row>
    <row r="235" spans="2:82" ht="15">
      <c r="B235" s="391" t="s">
        <v>704</v>
      </c>
      <c r="C235" s="263"/>
      <c r="D235" s="211"/>
      <c r="E235" s="211"/>
      <c r="F235" s="268"/>
      <c r="G235" s="268"/>
      <c r="H235" s="268"/>
      <c r="I235" s="268"/>
      <c r="J235" s="268"/>
      <c r="K235" s="268"/>
      <c r="L235" s="268"/>
      <c r="M235" s="268"/>
      <c r="N235" s="268"/>
      <c r="O235" s="268"/>
      <c r="P235" s="268"/>
      <c r="Q235" s="268"/>
      <c r="R235" s="268"/>
      <c r="S235" s="268"/>
      <c r="T235" s="268"/>
      <c r="U235" s="268"/>
      <c r="V235" s="268"/>
      <c r="W235" s="268"/>
      <c r="X235" s="268"/>
      <c r="Y235" s="268"/>
      <c r="Z235" s="268"/>
      <c r="AA235" s="268"/>
      <c r="AB235" s="268"/>
      <c r="AC235" s="268"/>
      <c r="AD235" s="268"/>
      <c r="AF235" s="268"/>
      <c r="AG235" s="268"/>
      <c r="AH235" s="268"/>
      <c r="AI235" s="268"/>
      <c r="AJ235" s="268"/>
      <c r="AK235" s="268"/>
      <c r="AL235" s="269"/>
      <c r="AM235" s="268"/>
      <c r="AN235" s="268"/>
      <c r="AO235" s="268"/>
      <c r="AP235" s="268"/>
      <c r="AQ235" s="268"/>
      <c r="AR235" s="268"/>
      <c r="AS235" s="268"/>
      <c r="AT235" s="268"/>
      <c r="AU235" s="268"/>
      <c r="AV235" s="268"/>
      <c r="AW235" s="275"/>
      <c r="AX235" s="268"/>
      <c r="AY235" s="268"/>
      <c r="AZ235" s="268"/>
      <c r="BA235" s="268"/>
      <c r="BG235" s="268"/>
      <c r="BH235" s="268"/>
      <c r="BI235" s="268"/>
      <c r="BJ235" s="268"/>
      <c r="BK235" s="268"/>
      <c r="BM235" s="268" t="s">
        <v>0</v>
      </c>
      <c r="BN235" s="268"/>
      <c r="BO235" s="268" t="s">
        <v>0</v>
      </c>
      <c r="BP235" s="268"/>
      <c r="BQ235" s="268"/>
      <c r="BR235" s="277" t="s">
        <v>705</v>
      </c>
      <c r="BS235" s="559">
        <v>-15000</v>
      </c>
      <c r="BT235" s="559" t="s">
        <v>0</v>
      </c>
      <c r="BU235" s="559"/>
      <c r="BV235" s="559"/>
      <c r="BW235" s="559"/>
      <c r="BX235" s="559">
        <v>-15000</v>
      </c>
      <c r="BY235" s="559">
        <v>-15000</v>
      </c>
      <c r="BZ235" s="559"/>
      <c r="CA235" s="268"/>
      <c r="CB235" s="268"/>
      <c r="CC235" s="268"/>
      <c r="CD235" s="268"/>
    </row>
    <row r="237" spans="2:82" ht="15">
      <c r="B237" s="567" t="s">
        <v>713</v>
      </c>
      <c r="C237" s="263"/>
      <c r="D237" s="211">
        <v>48900</v>
      </c>
      <c r="E237" s="211"/>
      <c r="F237" s="268"/>
      <c r="G237" s="268"/>
      <c r="H237" s="268"/>
      <c r="I237" s="268"/>
      <c r="J237" s="268"/>
      <c r="K237" s="268"/>
      <c r="L237" s="268"/>
      <c r="M237" s="268"/>
      <c r="N237" s="268"/>
      <c r="O237" s="268"/>
      <c r="P237" s="268"/>
      <c r="Q237" s="268"/>
      <c r="R237" s="268"/>
      <c r="S237" s="268"/>
      <c r="T237" s="268"/>
      <c r="U237" s="268"/>
      <c r="V237" s="268"/>
      <c r="W237" s="268"/>
      <c r="X237" s="268"/>
      <c r="Y237" s="268"/>
      <c r="Z237" s="268"/>
      <c r="AA237" s="268"/>
      <c r="AB237" s="268"/>
      <c r="AC237" s="268"/>
      <c r="AD237" s="268"/>
      <c r="AF237" s="268"/>
      <c r="AG237" s="268"/>
      <c r="AH237" s="268"/>
      <c r="AI237" s="268"/>
      <c r="AJ237" s="268"/>
      <c r="AK237" s="268"/>
      <c r="AL237" s="268"/>
      <c r="AM237" s="268"/>
      <c r="AN237" s="268"/>
      <c r="AO237" s="268"/>
      <c r="AP237" s="268"/>
      <c r="AQ237" s="268"/>
      <c r="AS237" s="268"/>
      <c r="AT237" s="268"/>
      <c r="AU237" s="268"/>
      <c r="AV237" s="277"/>
      <c r="AW237" s="561"/>
      <c r="AX237" s="268"/>
      <c r="AY237" s="562" t="s">
        <v>716</v>
      </c>
      <c r="BO237" s="558">
        <v>18000</v>
      </c>
      <c r="BP237" s="268"/>
      <c r="BQ237" s="268"/>
      <c r="BR237" s="268"/>
      <c r="BS237" s="268"/>
      <c r="BT237" s="558">
        <v>19000</v>
      </c>
      <c r="BU237" s="558"/>
    </row>
    <row r="238" spans="2:82" ht="15">
      <c r="B238" s="567" t="s">
        <v>714</v>
      </c>
      <c r="C238" s="263">
        <f>SUM(D237:D238)</f>
        <v>22004.999999999996</v>
      </c>
      <c r="D238" s="211">
        <f>-(D237)*0.55</f>
        <v>-26895.000000000004</v>
      </c>
      <c r="E238" s="211"/>
      <c r="F238" s="268"/>
      <c r="G238" s="268"/>
      <c r="H238" s="268"/>
      <c r="I238" s="268"/>
      <c r="J238" s="268"/>
      <c r="K238" s="268"/>
      <c r="L238" s="268"/>
      <c r="M238" s="268"/>
      <c r="N238" s="268"/>
      <c r="O238" s="268"/>
      <c r="P238" s="268"/>
      <c r="Q238" s="268"/>
      <c r="R238" s="268"/>
      <c r="S238" s="268"/>
      <c r="T238" s="268"/>
      <c r="U238" s="268"/>
      <c r="V238" s="268"/>
      <c r="W238" s="268"/>
      <c r="X238" s="268"/>
      <c r="Y238" s="268"/>
      <c r="Z238" s="268"/>
      <c r="AA238" s="268"/>
      <c r="AB238" s="268"/>
      <c r="AC238" s="268"/>
      <c r="AD238" s="268"/>
      <c r="AF238" s="268"/>
      <c r="AG238" s="268"/>
      <c r="AH238" s="268"/>
      <c r="AI238" s="268"/>
      <c r="AJ238" s="268"/>
      <c r="AK238" s="268"/>
      <c r="AL238" s="268"/>
      <c r="AM238" s="268"/>
      <c r="AN238" s="268"/>
      <c r="AO238" s="268"/>
      <c r="AP238" s="268"/>
      <c r="AQ238" s="268"/>
      <c r="AS238" s="268"/>
      <c r="AT238" s="268"/>
      <c r="AU238" s="268"/>
      <c r="AV238" s="277"/>
      <c r="AW238" s="561"/>
      <c r="AX238" s="268"/>
      <c r="AY238" s="268"/>
      <c r="BL238" s="558">
        <v>-2200</v>
      </c>
      <c r="BM238" s="268"/>
      <c r="BN238" s="558">
        <v>-2200</v>
      </c>
      <c r="BO238" s="558">
        <v>-2200</v>
      </c>
      <c r="BP238" s="268"/>
      <c r="BQ238" s="558">
        <v>-2200</v>
      </c>
      <c r="BR238" s="558">
        <v>-2200</v>
      </c>
      <c r="BS238" s="268"/>
      <c r="BT238" s="558">
        <v>-2200</v>
      </c>
      <c r="BU238" s="558"/>
    </row>
    <row r="239" spans="2:82" ht="15">
      <c r="B239" s="567" t="s">
        <v>734</v>
      </c>
      <c r="C239" s="263"/>
      <c r="D239" s="211">
        <v>39000</v>
      </c>
      <c r="E239" s="211"/>
      <c r="F239" s="268"/>
      <c r="G239" s="268"/>
      <c r="H239" s="268"/>
      <c r="I239" s="268"/>
      <c r="J239" s="268"/>
      <c r="K239" s="268"/>
      <c r="L239" s="268"/>
      <c r="M239" s="268"/>
      <c r="N239" s="268"/>
      <c r="O239" s="268"/>
      <c r="P239" s="268"/>
      <c r="Q239" s="268"/>
      <c r="R239" s="268"/>
      <c r="S239" s="268"/>
      <c r="T239" s="268"/>
      <c r="U239" s="268"/>
      <c r="V239" s="268"/>
      <c r="W239" s="268"/>
      <c r="X239" s="268"/>
      <c r="Y239" s="268"/>
      <c r="Z239" s="268"/>
      <c r="AA239" s="268"/>
      <c r="AB239" s="268"/>
      <c r="AC239" s="268"/>
      <c r="AD239" s="268"/>
      <c r="AF239" s="268"/>
      <c r="AG239" s="268"/>
      <c r="AH239" s="268"/>
      <c r="AI239" s="268"/>
      <c r="AJ239" s="268"/>
      <c r="AK239" s="268"/>
      <c r="AL239" s="268"/>
      <c r="AM239" s="268"/>
      <c r="AN239" s="268"/>
      <c r="AO239" s="268"/>
      <c r="AP239" s="268"/>
      <c r="AQ239" s="268"/>
      <c r="AS239" s="268"/>
      <c r="AT239" s="268"/>
      <c r="AU239" s="268"/>
      <c r="AV239" s="277"/>
      <c r="AW239" s="563" t="s">
        <v>716</v>
      </c>
      <c r="AX239" s="268"/>
      <c r="AY239" s="268"/>
      <c r="AZ239" s="268"/>
      <c r="BB239" s="559" t="s">
        <v>740</v>
      </c>
      <c r="BC239" s="268"/>
      <c r="BD239" s="268"/>
      <c r="BE239" s="268"/>
      <c r="BF239" s="268"/>
      <c r="BG239" s="268"/>
      <c r="BH239" s="268"/>
      <c r="BJ239" s="268"/>
      <c r="BK239" s="268"/>
      <c r="BL239" s="558">
        <v>14000</v>
      </c>
      <c r="BM239" s="268"/>
      <c r="BN239" s="268"/>
      <c r="BR239" s="558">
        <v>14000</v>
      </c>
    </row>
    <row r="240" spans="2:82" ht="15">
      <c r="B240" s="587" t="s">
        <v>791</v>
      </c>
      <c r="D240" s="211">
        <v>80000</v>
      </c>
      <c r="BX240" s="558">
        <v>25000</v>
      </c>
      <c r="BY240" s="558">
        <v>55000</v>
      </c>
      <c r="BZ240" s="558"/>
    </row>
    <row r="241" spans="2:4" ht="15">
      <c r="B241" s="587" t="s">
        <v>798</v>
      </c>
      <c r="D241" s="211">
        <v>600000</v>
      </c>
    </row>
    <row r="243" spans="2:4" ht="15">
      <c r="B243" s="282" t="s">
        <v>792</v>
      </c>
      <c r="D243" s="268">
        <v>100000</v>
      </c>
    </row>
  </sheetData>
  <phoneticPr fontId="12" type="noConversion"/>
  <pageMargins left="0.70866141732283472" right="0.70866141732283472" top="0.74803149606299213" bottom="0.74803149606299213" header="0.31496062992125984" footer="0.31496062992125984"/>
  <pageSetup paperSize="8" scale="23" fitToHeight="3"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8063-97A3-4976-9010-D4E35D8BAE10}">
  <sheetPr filterMode="1"/>
  <dimension ref="C1:V60"/>
  <sheetViews>
    <sheetView zoomScale="90" zoomScaleNormal="90" workbookViewId="0">
      <selection activeCell="J46" sqref="J46"/>
    </sheetView>
  </sheetViews>
  <sheetFormatPr baseColWidth="10" defaultColWidth="8.83203125" defaultRowHeight="15"/>
  <cols>
    <col min="2" max="2" width="5.83203125" customWidth="1"/>
    <col min="3" max="3" width="23.1640625" bestFit="1" customWidth="1"/>
    <col min="4" max="4" width="13.83203125" customWidth="1"/>
    <col min="5" max="7" width="18.83203125" customWidth="1"/>
    <col min="8" max="8" width="16.5" customWidth="1"/>
    <col min="9" max="9" width="19.83203125" customWidth="1"/>
    <col min="10" max="10" width="17" customWidth="1"/>
    <col min="11" max="11" width="13.1640625" bestFit="1" customWidth="1"/>
    <col min="13" max="13" width="9.83203125" bestFit="1" customWidth="1"/>
    <col min="14" max="22" width="11.5" customWidth="1"/>
  </cols>
  <sheetData>
    <row r="1" spans="3:15">
      <c r="C1" s="253" t="s">
        <v>450</v>
      </c>
      <c r="D1" s="253"/>
    </row>
    <row r="2" spans="3:15" hidden="1">
      <c r="C2" s="11" t="s">
        <v>451</v>
      </c>
      <c r="D2" s="11" t="s">
        <v>452</v>
      </c>
      <c r="E2" s="3"/>
      <c r="F2" s="3"/>
      <c r="G2" s="3"/>
      <c r="H2" s="3"/>
      <c r="I2" s="3"/>
      <c r="J2" s="9"/>
    </row>
    <row r="3" spans="3:15">
      <c r="C3" s="254" t="s">
        <v>453</v>
      </c>
      <c r="D3" s="254" t="s">
        <v>454</v>
      </c>
      <c r="E3" s="255">
        <v>2275.1799999999998</v>
      </c>
      <c r="F3" s="255">
        <f>E3*0.8</f>
        <v>1820.144</v>
      </c>
      <c r="G3" s="255">
        <v>13000</v>
      </c>
      <c r="H3" s="255">
        <v>10000</v>
      </c>
      <c r="I3" s="255">
        <f>SUM(E3:H3)</f>
        <v>27095.324000000001</v>
      </c>
      <c r="J3" s="109" t="s">
        <v>455</v>
      </c>
      <c r="K3">
        <v>4</v>
      </c>
    </row>
    <row r="4" spans="3:15">
      <c r="C4" t="s">
        <v>456</v>
      </c>
      <c r="D4" t="s">
        <v>454</v>
      </c>
      <c r="E4" s="256">
        <v>18000</v>
      </c>
      <c r="F4" s="255">
        <f>E4*0.8</f>
        <v>14400</v>
      </c>
      <c r="G4" s="47"/>
      <c r="H4" s="47"/>
      <c r="I4" s="47">
        <f>SUM(E4:H4)</f>
        <v>32400</v>
      </c>
      <c r="J4" s="109" t="s">
        <v>457</v>
      </c>
      <c r="K4">
        <v>1</v>
      </c>
    </row>
    <row r="5" spans="3:15" hidden="1">
      <c r="C5" s="8" t="s">
        <v>458</v>
      </c>
      <c r="D5" s="8" t="s">
        <v>452</v>
      </c>
      <c r="E5" s="2"/>
      <c r="F5" s="2"/>
      <c r="G5" s="2"/>
      <c r="H5" s="2"/>
      <c r="I5" s="2"/>
      <c r="J5" s="9"/>
    </row>
    <row r="6" spans="3:15" hidden="1">
      <c r="C6" s="1" t="s">
        <v>459</v>
      </c>
      <c r="D6" s="1" t="s">
        <v>460</v>
      </c>
      <c r="E6" s="2"/>
      <c r="F6" s="2"/>
      <c r="G6" s="2"/>
      <c r="H6" s="2"/>
      <c r="I6" s="2"/>
      <c r="J6" s="9"/>
    </row>
    <row r="7" spans="3:15">
      <c r="C7" s="254" t="s">
        <v>461</v>
      </c>
      <c r="D7" s="254" t="s">
        <v>454</v>
      </c>
      <c r="E7" s="255">
        <v>8584</v>
      </c>
      <c r="F7" s="255">
        <f>E7*0.8</f>
        <v>6867.2000000000007</v>
      </c>
      <c r="G7" s="255"/>
      <c r="H7" s="255"/>
      <c r="I7" s="255">
        <f>SUM(E7:H7)</f>
        <v>15451.2</v>
      </c>
      <c r="J7" s="109" t="s">
        <v>462</v>
      </c>
      <c r="K7">
        <v>4</v>
      </c>
    </row>
    <row r="8" spans="3:15">
      <c r="C8" s="254" t="s">
        <v>463</v>
      </c>
      <c r="D8" s="254" t="s">
        <v>454</v>
      </c>
      <c r="E8" s="257">
        <v>5812.5</v>
      </c>
      <c r="F8" s="255">
        <f>E8*0.8</f>
        <v>4650</v>
      </c>
      <c r="G8" s="255"/>
      <c r="H8" s="255"/>
      <c r="I8" s="255">
        <f>SUM(E8:H8)</f>
        <v>10462.5</v>
      </c>
      <c r="J8" s="109" t="s">
        <v>457</v>
      </c>
      <c r="K8">
        <v>1</v>
      </c>
    </row>
    <row r="9" spans="3:15" hidden="1">
      <c r="C9" s="8" t="s">
        <v>464</v>
      </c>
      <c r="D9" s="8" t="s">
        <v>452</v>
      </c>
      <c r="E9" s="2"/>
      <c r="F9" s="2"/>
      <c r="G9" s="2"/>
      <c r="H9" s="2"/>
      <c r="I9" s="2"/>
      <c r="J9" s="9"/>
    </row>
    <row r="10" spans="3:15">
      <c r="C10" s="254" t="s">
        <v>465</v>
      </c>
      <c r="D10" s="254" t="s">
        <v>454</v>
      </c>
      <c r="E10" s="257">
        <v>16950</v>
      </c>
      <c r="F10" s="255">
        <f>E10*0.8</f>
        <v>13560</v>
      </c>
      <c r="G10" s="255"/>
      <c r="H10" s="255"/>
      <c r="I10" s="255">
        <f>SUM(E10:H10)</f>
        <v>30510</v>
      </c>
      <c r="J10" s="109" t="s">
        <v>457</v>
      </c>
      <c r="K10">
        <v>1</v>
      </c>
    </row>
    <row r="11" spans="3:15" hidden="1">
      <c r="C11" s="1" t="s">
        <v>466</v>
      </c>
      <c r="D11" s="1" t="s">
        <v>460</v>
      </c>
      <c r="E11" s="2"/>
      <c r="F11" s="2"/>
      <c r="G11" s="2">
        <v>7500</v>
      </c>
      <c r="H11" s="1"/>
      <c r="I11" s="2">
        <f>SUM(E11:H11)</f>
        <v>7500</v>
      </c>
      <c r="J11" s="9"/>
    </row>
    <row r="12" spans="3:15" hidden="1">
      <c r="C12" s="8" t="s">
        <v>467</v>
      </c>
      <c r="D12" s="8" t="s">
        <v>452</v>
      </c>
      <c r="E12" s="2"/>
      <c r="F12" s="2"/>
      <c r="G12" s="2"/>
      <c r="H12" s="2"/>
      <c r="I12" s="2"/>
      <c r="J12" s="9"/>
    </row>
    <row r="13" spans="3:15" ht="19" hidden="1">
      <c r="C13" s="6" t="s">
        <v>468</v>
      </c>
      <c r="D13" s="6"/>
      <c r="E13" s="6" t="s">
        <v>469</v>
      </c>
      <c r="F13" s="6"/>
      <c r="G13" s="6" t="s">
        <v>470</v>
      </c>
      <c r="H13" s="7" t="s">
        <v>471</v>
      </c>
      <c r="I13" s="6" t="s">
        <v>437</v>
      </c>
      <c r="J13" s="4" t="s">
        <v>374</v>
      </c>
    </row>
    <row r="14" spans="3:15">
      <c r="C14" s="254" t="s">
        <v>62</v>
      </c>
      <c r="D14" s="254" t="s">
        <v>454</v>
      </c>
      <c r="E14" s="257">
        <v>18750</v>
      </c>
      <c r="F14" s="255">
        <f>E14*0.8</f>
        <v>15000</v>
      </c>
      <c r="G14" s="255"/>
      <c r="H14" s="255"/>
      <c r="I14" s="255">
        <f>SUM(E14:H14)</f>
        <v>33750</v>
      </c>
      <c r="J14" s="109" t="s">
        <v>472</v>
      </c>
      <c r="K14">
        <v>1</v>
      </c>
      <c r="O14">
        <v>2024</v>
      </c>
    </row>
    <row r="15" spans="3:15" hidden="1">
      <c r="C15" s="8" t="s">
        <v>473</v>
      </c>
      <c r="D15" s="8" t="s">
        <v>452</v>
      </c>
      <c r="E15" s="2"/>
      <c r="F15" s="2"/>
      <c r="G15" s="2"/>
      <c r="H15" s="2"/>
      <c r="I15" s="2"/>
      <c r="J15" s="9"/>
      <c r="L15" s="4"/>
    </row>
    <row r="16" spans="3:15" hidden="1">
      <c r="C16" s="1" t="s">
        <v>474</v>
      </c>
      <c r="D16" s="1" t="s">
        <v>460</v>
      </c>
      <c r="E16" s="2"/>
      <c r="F16" s="2"/>
      <c r="G16" s="2"/>
      <c r="H16" s="2"/>
      <c r="I16" s="2">
        <f>SUM(E16:H16)</f>
        <v>0</v>
      </c>
      <c r="J16" s="9"/>
    </row>
    <row r="17" spans="3:15" hidden="1">
      <c r="C17" s="8" t="s">
        <v>475</v>
      </c>
      <c r="D17" s="8" t="s">
        <v>452</v>
      </c>
      <c r="E17" s="2"/>
      <c r="F17" s="2"/>
      <c r="G17" s="2"/>
      <c r="H17" s="2"/>
      <c r="I17" s="2"/>
      <c r="J17" s="9"/>
    </row>
    <row r="18" spans="3:15">
      <c r="C18" s="254" t="s">
        <v>476</v>
      </c>
      <c r="D18" s="254" t="s">
        <v>454</v>
      </c>
      <c r="E18" s="257">
        <v>4000</v>
      </c>
      <c r="F18" s="255">
        <f>E18*0.8</f>
        <v>3200</v>
      </c>
      <c r="G18" s="255"/>
      <c r="H18" s="255"/>
      <c r="I18" s="257">
        <f>SUM(E18:H18)</f>
        <v>7200</v>
      </c>
      <c r="J18" s="109" t="s">
        <v>477</v>
      </c>
      <c r="K18">
        <v>2</v>
      </c>
      <c r="O18">
        <v>1856</v>
      </c>
    </row>
    <row r="19" spans="3:15" hidden="1">
      <c r="C19" s="1" t="s">
        <v>478</v>
      </c>
      <c r="D19" s="1" t="s">
        <v>0</v>
      </c>
      <c r="E19" s="2">
        <v>3175</v>
      </c>
      <c r="F19" s="2"/>
      <c r="G19" s="2"/>
      <c r="H19" s="2"/>
      <c r="I19" s="2">
        <f>SUM(E19:H19)</f>
        <v>3175</v>
      </c>
      <c r="J19" s="9" t="s">
        <v>479</v>
      </c>
      <c r="K19" t="s">
        <v>480</v>
      </c>
    </row>
    <row r="20" spans="3:15">
      <c r="C20" s="254" t="s">
        <v>481</v>
      </c>
      <c r="D20" s="254" t="s">
        <v>454</v>
      </c>
      <c r="E20" s="255">
        <v>26000</v>
      </c>
      <c r="F20" s="255">
        <f>E20*0.8</f>
        <v>20800</v>
      </c>
      <c r="G20" s="255">
        <v>60000</v>
      </c>
      <c r="H20" s="255"/>
      <c r="I20" s="255">
        <f>SUM(E20:H20)</f>
        <v>106800</v>
      </c>
      <c r="J20" s="109" t="s">
        <v>482</v>
      </c>
      <c r="K20">
        <v>4</v>
      </c>
      <c r="O20">
        <v>1552</v>
      </c>
    </row>
    <row r="21" spans="3:15" hidden="1">
      <c r="C21" s="1" t="s">
        <v>483</v>
      </c>
      <c r="D21" s="1" t="s">
        <v>460</v>
      </c>
      <c r="E21" s="2"/>
      <c r="F21" s="2"/>
      <c r="G21" s="2"/>
      <c r="H21" s="2"/>
      <c r="I21" s="2">
        <f>SUM(E21:H21)</f>
        <v>0</v>
      </c>
      <c r="J21" s="9"/>
    </row>
    <row r="22" spans="3:15">
      <c r="C22" s="254" t="s">
        <v>484</v>
      </c>
      <c r="D22" s="254" t="s">
        <v>454</v>
      </c>
      <c r="E22" s="257">
        <v>5419.31</v>
      </c>
      <c r="F22" s="255">
        <f>E22*0.8</f>
        <v>4335.4480000000003</v>
      </c>
      <c r="G22" s="255"/>
      <c r="H22" s="255"/>
      <c r="I22" s="255">
        <f>SUM(E22:H22)</f>
        <v>9754.7580000000016</v>
      </c>
      <c r="J22" s="109" t="s">
        <v>485</v>
      </c>
      <c r="K22">
        <v>1</v>
      </c>
      <c r="O22">
        <v>2830</v>
      </c>
    </row>
    <row r="23" spans="3:15" hidden="1">
      <c r="C23" s="8" t="s">
        <v>486</v>
      </c>
      <c r="D23" s="8" t="s">
        <v>452</v>
      </c>
      <c r="E23" s="2"/>
      <c r="F23" s="2"/>
      <c r="G23" s="2"/>
      <c r="H23" s="2"/>
      <c r="I23" s="2"/>
      <c r="J23" s="9"/>
    </row>
    <row r="24" spans="3:15" hidden="1">
      <c r="C24" s="1" t="s">
        <v>487</v>
      </c>
      <c r="D24" s="1" t="s">
        <v>460</v>
      </c>
      <c r="E24" s="2"/>
      <c r="F24" s="2"/>
      <c r="G24" s="2"/>
      <c r="H24" s="2">
        <v>10000</v>
      </c>
      <c r="I24" s="2">
        <f>SUM(E24:H24)</f>
        <v>10000</v>
      </c>
      <c r="J24" s="9"/>
    </row>
    <row r="25" spans="3:15">
      <c r="C25" s="254" t="s">
        <v>488</v>
      </c>
      <c r="D25" s="254" t="s">
        <v>454</v>
      </c>
      <c r="E25" s="257">
        <v>2362</v>
      </c>
      <c r="F25" s="255">
        <f>E25*0.8</f>
        <v>1889.6000000000001</v>
      </c>
      <c r="G25" s="255"/>
      <c r="H25" s="255"/>
      <c r="I25" s="257">
        <f>SUM(E25:H25)</f>
        <v>4251.6000000000004</v>
      </c>
      <c r="J25" s="109" t="s">
        <v>489</v>
      </c>
      <c r="K25">
        <v>3</v>
      </c>
      <c r="O25">
        <v>3599</v>
      </c>
    </row>
    <row r="26" spans="3:15">
      <c r="C26" s="254" t="s">
        <v>490</v>
      </c>
      <c r="D26" s="254" t="s">
        <v>454</v>
      </c>
      <c r="E26" s="255">
        <v>2500</v>
      </c>
      <c r="F26" s="255">
        <f>E26*0.8</f>
        <v>2000</v>
      </c>
      <c r="G26" s="255">
        <v>15000</v>
      </c>
      <c r="H26" s="255">
        <v>15000</v>
      </c>
      <c r="I26" s="255">
        <f>SUM(E26:H26)</f>
        <v>34500</v>
      </c>
      <c r="J26" s="109" t="s">
        <v>455</v>
      </c>
      <c r="K26">
        <v>4</v>
      </c>
      <c r="O26">
        <v>2407</v>
      </c>
    </row>
    <row r="27" spans="3:15">
      <c r="C27" s="254" t="s">
        <v>491</v>
      </c>
      <c r="D27" s="254" t="s">
        <v>454</v>
      </c>
      <c r="E27" s="257">
        <v>42000</v>
      </c>
      <c r="F27" s="255">
        <f>E27*0.8</f>
        <v>33600</v>
      </c>
      <c r="G27" s="255"/>
      <c r="H27" s="255"/>
      <c r="I27" s="257">
        <f>SUM(E27:H27)</f>
        <v>75600</v>
      </c>
      <c r="J27" s="109" t="s">
        <v>492</v>
      </c>
      <c r="K27">
        <v>3</v>
      </c>
      <c r="O27">
        <v>3044</v>
      </c>
    </row>
    <row r="28" spans="3:15">
      <c r="C28" s="254" t="s">
        <v>493</v>
      </c>
      <c r="D28" s="254" t="s">
        <v>454</v>
      </c>
      <c r="E28" s="257">
        <v>55480.05</v>
      </c>
      <c r="F28" s="255">
        <f>E28*0.8</f>
        <v>44384.040000000008</v>
      </c>
      <c r="G28" s="255"/>
      <c r="H28" s="255"/>
      <c r="I28" s="255">
        <f>SUM(E28:H28)</f>
        <v>99864.090000000011</v>
      </c>
      <c r="J28" s="109" t="s">
        <v>494</v>
      </c>
      <c r="K28">
        <v>1</v>
      </c>
      <c r="O28">
        <v>1660</v>
      </c>
    </row>
    <row r="29" spans="3:15" hidden="1">
      <c r="C29" s="8" t="s">
        <v>495</v>
      </c>
      <c r="D29" s="8" t="s">
        <v>452</v>
      </c>
      <c r="E29" s="2"/>
      <c r="F29" s="2"/>
      <c r="G29" s="2"/>
      <c r="H29" s="13"/>
      <c r="I29" s="2"/>
      <c r="J29" s="9"/>
    </row>
    <row r="30" spans="3:15" hidden="1">
      <c r="C30" s="1" t="s">
        <v>496</v>
      </c>
      <c r="D30" s="1" t="s">
        <v>460</v>
      </c>
      <c r="E30" s="2"/>
      <c r="F30" s="2"/>
      <c r="G30" s="2"/>
      <c r="H30" s="2">
        <v>40000</v>
      </c>
      <c r="I30" s="2">
        <f t="shared" ref="I30:I38" si="0">SUM(E30:H30)</f>
        <v>40000</v>
      </c>
      <c r="J30" s="9"/>
    </row>
    <row r="31" spans="3:15">
      <c r="C31" s="254" t="s">
        <v>497</v>
      </c>
      <c r="D31" s="254" t="s">
        <v>454</v>
      </c>
      <c r="E31" s="255">
        <f>7500-7500</f>
        <v>0</v>
      </c>
      <c r="F31" s="255">
        <f>E31*0.8</f>
        <v>0</v>
      </c>
      <c r="G31" s="255"/>
      <c r="H31" s="254"/>
      <c r="I31" s="255">
        <f t="shared" si="0"/>
        <v>0</v>
      </c>
      <c r="J31" s="109" t="s">
        <v>482</v>
      </c>
      <c r="K31">
        <v>4</v>
      </c>
      <c r="O31">
        <v>2900</v>
      </c>
    </row>
    <row r="32" spans="3:15" hidden="1">
      <c r="C32" s="1" t="s">
        <v>497</v>
      </c>
      <c r="D32" s="1"/>
      <c r="E32" s="2"/>
      <c r="F32" s="2"/>
      <c r="G32" s="2"/>
      <c r="H32" s="2">
        <v>40000</v>
      </c>
      <c r="I32" s="2">
        <f t="shared" si="0"/>
        <v>40000</v>
      </c>
      <c r="J32" s="9"/>
    </row>
    <row r="33" spans="3:15" hidden="1">
      <c r="C33" s="1" t="s">
        <v>498</v>
      </c>
      <c r="D33" s="1" t="s">
        <v>460</v>
      </c>
      <c r="E33" s="2"/>
      <c r="F33" s="2"/>
      <c r="G33" s="2"/>
      <c r="H33" s="2">
        <v>10000</v>
      </c>
      <c r="I33" s="2">
        <f t="shared" si="0"/>
        <v>10000</v>
      </c>
      <c r="J33" s="9"/>
    </row>
    <row r="34" spans="3:15" hidden="1">
      <c r="C34" s="1" t="s">
        <v>499</v>
      </c>
      <c r="D34" s="1" t="s">
        <v>0</v>
      </c>
      <c r="E34" s="2">
        <v>2198</v>
      </c>
      <c r="F34" s="2"/>
      <c r="G34" s="2"/>
      <c r="H34" s="13"/>
      <c r="I34" s="2">
        <f t="shared" si="0"/>
        <v>2198</v>
      </c>
      <c r="J34" s="9" t="s">
        <v>500</v>
      </c>
      <c r="K34" t="s">
        <v>480</v>
      </c>
    </row>
    <row r="35" spans="3:15" hidden="1">
      <c r="C35" s="1" t="s">
        <v>501</v>
      </c>
      <c r="D35" s="1" t="s">
        <v>460</v>
      </c>
      <c r="E35" s="2"/>
      <c r="F35" s="2"/>
      <c r="G35" s="2"/>
      <c r="H35" s="2">
        <v>4158</v>
      </c>
      <c r="I35" s="2">
        <f t="shared" si="0"/>
        <v>4158</v>
      </c>
      <c r="J35" s="9"/>
    </row>
    <row r="36" spans="3:15">
      <c r="C36" s="254" t="s">
        <v>502</v>
      </c>
      <c r="D36" s="254" t="s">
        <v>454</v>
      </c>
      <c r="E36" s="255">
        <v>3394.5</v>
      </c>
      <c r="F36" s="255">
        <f>E36*0.8</f>
        <v>2715.6000000000004</v>
      </c>
      <c r="G36" s="255">
        <v>45000</v>
      </c>
      <c r="H36" s="255">
        <v>40000</v>
      </c>
      <c r="I36" s="255">
        <f t="shared" si="0"/>
        <v>91110.1</v>
      </c>
      <c r="J36" s="109" t="s">
        <v>455</v>
      </c>
      <c r="K36">
        <v>4</v>
      </c>
      <c r="O36">
        <v>3300</v>
      </c>
    </row>
    <row r="37" spans="3:15">
      <c r="C37" s="254" t="s">
        <v>503</v>
      </c>
      <c r="D37" s="254" t="s">
        <v>454</v>
      </c>
      <c r="E37" s="257">
        <v>4500</v>
      </c>
      <c r="F37" s="255">
        <f>E37*0.8</f>
        <v>3600</v>
      </c>
      <c r="G37" s="255"/>
      <c r="H37" s="255"/>
      <c r="I37" s="255">
        <f t="shared" si="0"/>
        <v>8100</v>
      </c>
      <c r="J37" s="109" t="s">
        <v>457</v>
      </c>
      <c r="K37">
        <v>1</v>
      </c>
      <c r="O37">
        <v>1615</v>
      </c>
    </row>
    <row r="38" spans="3:15" hidden="1">
      <c r="C38" s="8" t="s">
        <v>504</v>
      </c>
      <c r="D38" s="8" t="s">
        <v>452</v>
      </c>
      <c r="E38" s="2"/>
      <c r="F38" s="2"/>
      <c r="G38" s="2"/>
      <c r="H38" s="2"/>
      <c r="I38" s="2">
        <f t="shared" si="0"/>
        <v>0</v>
      </c>
      <c r="J38" s="9"/>
    </row>
    <row r="39" spans="3:15" hidden="1">
      <c r="C39" s="8" t="s">
        <v>505</v>
      </c>
      <c r="D39" s="8" t="s">
        <v>452</v>
      </c>
      <c r="E39" s="2"/>
      <c r="F39" s="2"/>
      <c r="G39" s="2"/>
      <c r="H39" s="2"/>
      <c r="I39" s="2"/>
      <c r="J39" s="9"/>
    </row>
    <row r="40" spans="3:15" hidden="1">
      <c r="C40" s="12"/>
      <c r="D40" s="12"/>
      <c r="E40" s="12"/>
      <c r="F40" s="12"/>
      <c r="G40" s="12"/>
      <c r="H40" s="12"/>
      <c r="I40" s="12"/>
      <c r="J40" s="4"/>
    </row>
    <row r="41" spans="3:15" hidden="1">
      <c r="C41" s="1"/>
      <c r="D41" s="1"/>
      <c r="E41" s="1"/>
      <c r="F41" s="1"/>
      <c r="G41" s="1"/>
      <c r="H41" s="1"/>
      <c r="I41" s="1"/>
      <c r="J41" s="4"/>
    </row>
    <row r="42" spans="3:15" ht="16" hidden="1" thickBot="1">
      <c r="C42" s="3"/>
      <c r="D42" s="3"/>
      <c r="E42" s="10">
        <f>SUM(E6:E40)</f>
        <v>201125.36</v>
      </c>
      <c r="F42" s="10"/>
      <c r="G42" s="10">
        <f>SUM(G5:G41)</f>
        <v>127500</v>
      </c>
      <c r="H42" s="10">
        <f>SUM(H5:H41)</f>
        <v>159158</v>
      </c>
      <c r="I42" s="10">
        <f>SUM(I6:I40)</f>
        <v>644385.24800000002</v>
      </c>
      <c r="J42" s="9"/>
    </row>
    <row r="43" spans="3:15" hidden="1">
      <c r="C43" s="4"/>
      <c r="D43" s="4"/>
      <c r="E43" s="4"/>
      <c r="F43" s="4"/>
      <c r="G43" s="4"/>
      <c r="H43" s="4"/>
      <c r="I43" s="4"/>
      <c r="J43" s="4"/>
    </row>
    <row r="44" spans="3:15" hidden="1"/>
    <row r="45" spans="3:15" hidden="1"/>
    <row r="46" spans="3:15">
      <c r="C46" t="s">
        <v>506</v>
      </c>
      <c r="O46">
        <v>1900</v>
      </c>
    </row>
    <row r="47" spans="3:15">
      <c r="C47" t="s">
        <v>459</v>
      </c>
      <c r="E47" s="257">
        <f>7049.88/2</f>
        <v>3524.94</v>
      </c>
      <c r="O47">
        <f>SUBTOTAL(9,O14:O46)</f>
        <v>28687</v>
      </c>
    </row>
    <row r="48" spans="3:15">
      <c r="E48">
        <f>SUBTOTAL(9,E3:E37)</f>
        <v>216027.53999999998</v>
      </c>
      <c r="F48" s="255">
        <f>E48*0.8</f>
        <v>172822.03200000001</v>
      </c>
    </row>
    <row r="49" spans="3:22">
      <c r="C49" t="s">
        <v>507</v>
      </c>
      <c r="D49">
        <v>6400</v>
      </c>
      <c r="E49">
        <f>D49-6184</f>
        <v>216</v>
      </c>
      <c r="F49" s="47"/>
    </row>
    <row r="50" spans="3:22">
      <c r="F50" s="47"/>
    </row>
    <row r="53" spans="3:22" s="258" customFormat="1">
      <c r="G53" s="258">
        <v>2023</v>
      </c>
      <c r="H53" s="258">
        <v>2024</v>
      </c>
      <c r="I53" s="258">
        <v>2024</v>
      </c>
      <c r="J53" s="258">
        <v>2024</v>
      </c>
      <c r="K53" s="258">
        <v>2024</v>
      </c>
    </row>
    <row r="54" spans="3:22" s="258" customFormat="1">
      <c r="G54" s="259">
        <v>45170</v>
      </c>
      <c r="H54" s="258" t="s">
        <v>508</v>
      </c>
      <c r="I54" s="258" t="s">
        <v>509</v>
      </c>
      <c r="J54" s="258" t="s">
        <v>510</v>
      </c>
      <c r="K54" s="258" t="s">
        <v>511</v>
      </c>
      <c r="L54" s="258" t="s">
        <v>0</v>
      </c>
    </row>
    <row r="55" spans="3:22" s="258" customFormat="1"/>
    <row r="56" spans="3:22" s="258" customFormat="1">
      <c r="C56" s="258" t="s">
        <v>512</v>
      </c>
      <c r="G56" s="260">
        <f>F48-H56-I56-J56</f>
        <v>115927.41200000001</v>
      </c>
      <c r="H56" s="260">
        <f>F18</f>
        <v>3200</v>
      </c>
      <c r="I56" s="261">
        <f>E27</f>
        <v>42000</v>
      </c>
      <c r="J56" s="260">
        <f>E3+E26+E31+E36+E47</f>
        <v>11694.62</v>
      </c>
    </row>
    <row r="57" spans="3:22" s="258" customFormat="1"/>
    <row r="58" spans="3:22" s="258" customFormat="1"/>
    <row r="59" spans="3:22" s="258" customFormat="1">
      <c r="G59" s="259">
        <v>45170</v>
      </c>
      <c r="H59" s="259">
        <v>45200</v>
      </c>
      <c r="I59" s="259">
        <v>45231</v>
      </c>
      <c r="J59" s="259">
        <v>45261</v>
      </c>
      <c r="K59" s="259">
        <v>45292</v>
      </c>
      <c r="L59" s="259">
        <v>45323</v>
      </c>
      <c r="M59" s="259">
        <v>45352</v>
      </c>
      <c r="N59" s="259">
        <v>45383</v>
      </c>
      <c r="O59" s="259">
        <v>45413</v>
      </c>
      <c r="P59" s="259">
        <v>45444</v>
      </c>
      <c r="Q59" s="259">
        <v>45474</v>
      </c>
      <c r="R59" s="259">
        <v>45505</v>
      </c>
      <c r="S59" s="259">
        <v>45536</v>
      </c>
      <c r="T59" s="259">
        <v>45566</v>
      </c>
      <c r="U59" s="259">
        <v>45597</v>
      </c>
      <c r="V59" s="259">
        <v>45627</v>
      </c>
    </row>
    <row r="60" spans="3:22">
      <c r="G60" s="262">
        <f>E28+E4+E14</f>
        <v>92230.05</v>
      </c>
      <c r="H60" s="262">
        <f>E37+E22+E8</f>
        <v>15731.810000000001</v>
      </c>
    </row>
  </sheetData>
  <autoFilter ref="C1:P45" xr:uid="{F8158063-97A3-4976-9010-D4E35D8BAE10}">
    <filterColumn colId="1">
      <filters>
        <filter val="r"/>
      </filters>
    </filterColumn>
  </autoFilter>
  <sortState xmlns:xlrd2="http://schemas.microsoft.com/office/spreadsheetml/2017/richdata2" ref="C1:P44">
    <sortCondition ref="C1:C44"/>
  </sortState>
  <phoneticPr fontId="12" type="noConversion"/>
  <pageMargins left="0.7" right="0.7" top="0.75" bottom="0.75" header="0.3" footer="0.3"/>
  <pageSetup paperSize="9" orientation="portrait" horizontalDpi="4294967293"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91AD3-E421-430B-BF8A-D6E948A83618}">
  <sheetPr>
    <pageSetUpPr fitToPage="1"/>
  </sheetPr>
  <dimension ref="A1:X459"/>
  <sheetViews>
    <sheetView topLeftCell="A262" zoomScale="75" zoomScaleNormal="75" workbookViewId="0">
      <selection activeCell="C435" sqref="C435:C437"/>
    </sheetView>
  </sheetViews>
  <sheetFormatPr baseColWidth="10" defaultColWidth="8.83203125" defaultRowHeight="15"/>
  <cols>
    <col min="1" max="1" width="3.83203125" customWidth="1"/>
    <col min="2" max="2" width="32.83203125" bestFit="1" customWidth="1"/>
    <col min="3" max="3" width="29.1640625" bestFit="1" customWidth="1"/>
    <col min="4" max="6" width="25.83203125" customWidth="1"/>
    <col min="7" max="7" width="9.1640625" bestFit="1" customWidth="1"/>
    <col min="8" max="8" width="13.5" bestFit="1" customWidth="1"/>
    <col min="9" max="9" width="22.1640625" bestFit="1" customWidth="1"/>
    <col min="10" max="10" width="14.5" customWidth="1"/>
    <col min="11" max="11" width="11.5" bestFit="1" customWidth="1"/>
    <col min="12" max="12" width="9.1640625" bestFit="1" customWidth="1"/>
    <col min="13" max="13" width="14" customWidth="1"/>
    <col min="14" max="14" width="9.1640625" bestFit="1" customWidth="1"/>
    <col min="15" max="15" width="18" customWidth="1"/>
    <col min="16" max="16" width="10.83203125" bestFit="1" customWidth="1"/>
    <col min="18" max="18" width="25.1640625" bestFit="1" customWidth="1"/>
    <col min="19" max="19" width="12" bestFit="1" customWidth="1"/>
    <col min="20" max="20" width="11.5" bestFit="1" customWidth="1"/>
  </cols>
  <sheetData>
    <row r="1" spans="2:16">
      <c r="B1" s="3"/>
      <c r="C1" s="3"/>
      <c r="D1" s="3"/>
      <c r="E1" s="3"/>
      <c r="F1" s="3"/>
      <c r="G1" s="3"/>
      <c r="H1" s="3"/>
      <c r="I1" s="3"/>
      <c r="J1" s="3"/>
      <c r="K1" s="3"/>
      <c r="L1" s="3"/>
      <c r="M1" s="3"/>
      <c r="N1" s="3"/>
      <c r="O1" s="3"/>
      <c r="P1" s="3"/>
    </row>
    <row r="2" spans="2:16" ht="22" thickBot="1">
      <c r="B2" s="390" t="s">
        <v>231</v>
      </c>
      <c r="C2" s="3"/>
      <c r="D2" s="3"/>
      <c r="E2" s="3"/>
      <c r="F2" s="3"/>
      <c r="G2" s="3"/>
      <c r="H2" s="3"/>
      <c r="I2" s="3"/>
      <c r="J2" s="3"/>
      <c r="K2" s="3"/>
      <c r="L2" s="3"/>
      <c r="M2" s="3"/>
      <c r="N2" s="3"/>
      <c r="O2" s="3"/>
      <c r="P2" s="3"/>
    </row>
    <row r="3" spans="2:16">
      <c r="B3" s="360">
        <v>45240</v>
      </c>
      <c r="C3" s="361" t="s">
        <v>232</v>
      </c>
      <c r="D3" s="361">
        <v>9188.5</v>
      </c>
      <c r="E3" s="361">
        <v>7350.8</v>
      </c>
      <c r="F3" s="362">
        <v>1837.7</v>
      </c>
      <c r="G3" s="3"/>
      <c r="H3" s="3"/>
      <c r="J3" s="3"/>
      <c r="K3" s="3"/>
      <c r="L3" s="3"/>
      <c r="M3" s="3"/>
      <c r="N3" s="3"/>
      <c r="O3" s="3"/>
      <c r="P3" s="3"/>
    </row>
    <row r="4" spans="2:16">
      <c r="B4" s="363">
        <v>45240</v>
      </c>
      <c r="C4" s="364" t="s">
        <v>233</v>
      </c>
      <c r="D4" s="364">
        <v>44950</v>
      </c>
      <c r="E4" s="364">
        <v>35960</v>
      </c>
      <c r="F4" s="365">
        <v>8990</v>
      </c>
      <c r="G4" s="3"/>
      <c r="H4" s="3"/>
      <c r="J4" s="3"/>
      <c r="K4" s="3"/>
      <c r="L4" s="3"/>
      <c r="M4" s="3"/>
      <c r="N4" s="3"/>
      <c r="O4" s="3"/>
      <c r="P4" s="3"/>
    </row>
    <row r="5" spans="2:16">
      <c r="B5" s="363">
        <v>45240</v>
      </c>
      <c r="C5" s="364" t="s">
        <v>234</v>
      </c>
      <c r="D5" s="364">
        <v>1062.5</v>
      </c>
      <c r="E5" s="364">
        <v>850</v>
      </c>
      <c r="F5" s="365">
        <v>212.5</v>
      </c>
      <c r="G5" s="3"/>
      <c r="H5" s="3"/>
      <c r="J5" s="3"/>
      <c r="K5" s="3"/>
      <c r="L5" s="3"/>
      <c r="M5" s="3"/>
      <c r="N5" s="3"/>
      <c r="O5" s="3"/>
      <c r="P5" s="3"/>
    </row>
    <row r="6" spans="2:16">
      <c r="B6" s="363">
        <v>45240</v>
      </c>
      <c r="C6" s="364" t="s">
        <v>235</v>
      </c>
      <c r="D6" s="364">
        <v>1050</v>
      </c>
      <c r="E6" s="364">
        <v>1050</v>
      </c>
      <c r="F6" s="365">
        <v>0</v>
      </c>
      <c r="G6" s="3"/>
      <c r="H6" s="3"/>
      <c r="J6" s="3"/>
      <c r="K6" s="3"/>
      <c r="L6" s="3"/>
      <c r="M6" s="3"/>
      <c r="N6" s="3"/>
      <c r="O6" s="3"/>
      <c r="P6" s="3"/>
    </row>
    <row r="7" spans="2:16">
      <c r="B7" s="363">
        <v>45240</v>
      </c>
      <c r="C7" s="364" t="s">
        <v>236</v>
      </c>
      <c r="D7" s="364">
        <v>850</v>
      </c>
      <c r="E7" s="364">
        <v>850</v>
      </c>
      <c r="F7" s="365">
        <v>0</v>
      </c>
      <c r="G7" s="3"/>
      <c r="H7" s="3"/>
      <c r="J7" s="3"/>
      <c r="K7" s="3"/>
      <c r="L7" s="3"/>
      <c r="M7" s="3"/>
      <c r="N7" s="3"/>
      <c r="O7" s="3"/>
      <c r="P7" s="3"/>
    </row>
    <row r="8" spans="2:16">
      <c r="B8" s="363">
        <v>45240</v>
      </c>
      <c r="C8" s="364" t="s">
        <v>237</v>
      </c>
      <c r="D8" s="364">
        <v>960</v>
      </c>
      <c r="E8" s="364">
        <v>960</v>
      </c>
      <c r="F8" s="365">
        <v>0</v>
      </c>
      <c r="G8" s="3"/>
      <c r="H8" s="3"/>
      <c r="J8" s="3"/>
      <c r="K8" s="3"/>
      <c r="L8" s="3"/>
      <c r="M8" s="3"/>
      <c r="N8" s="3"/>
      <c r="O8" s="3"/>
      <c r="P8" s="3"/>
    </row>
    <row r="9" spans="2:16">
      <c r="B9" s="363">
        <v>45240</v>
      </c>
      <c r="C9" s="364" t="s">
        <v>238</v>
      </c>
      <c r="D9" s="364">
        <v>800</v>
      </c>
      <c r="E9" s="364">
        <v>640</v>
      </c>
      <c r="F9" s="365">
        <v>160</v>
      </c>
      <c r="G9" s="3"/>
      <c r="H9" s="3"/>
      <c r="J9" s="3"/>
      <c r="K9" s="3"/>
      <c r="L9" s="3"/>
      <c r="M9" s="3"/>
      <c r="N9" s="3"/>
      <c r="O9" s="3"/>
      <c r="P9" s="3"/>
    </row>
    <row r="10" spans="2:16" ht="16" thickBot="1">
      <c r="B10" s="366">
        <v>45240</v>
      </c>
      <c r="C10" s="367" t="s">
        <v>239</v>
      </c>
      <c r="D10" s="367">
        <v>2000</v>
      </c>
      <c r="E10" s="367">
        <v>2000</v>
      </c>
      <c r="F10" s="368">
        <v>0</v>
      </c>
      <c r="G10" s="3"/>
      <c r="H10" s="3"/>
      <c r="J10" s="3"/>
      <c r="K10" s="3"/>
      <c r="L10" s="3"/>
      <c r="M10" s="3"/>
      <c r="N10" s="3"/>
      <c r="O10" s="3"/>
      <c r="P10" s="3"/>
    </row>
    <row r="11" spans="2:16" ht="16" thickBot="1">
      <c r="B11" s="3"/>
      <c r="C11" s="3"/>
      <c r="D11" s="3"/>
      <c r="E11" s="3"/>
      <c r="F11" s="3"/>
      <c r="G11" s="3"/>
      <c r="H11" s="3"/>
      <c r="I11" s="3"/>
      <c r="J11" s="3"/>
      <c r="K11" s="3"/>
      <c r="L11" s="3"/>
      <c r="M11" s="3"/>
      <c r="N11" s="3"/>
      <c r="O11" s="3"/>
      <c r="P11" s="3"/>
    </row>
    <row r="12" spans="2:16">
      <c r="B12" s="369" t="s">
        <v>240</v>
      </c>
      <c r="C12" s="370"/>
      <c r="D12" s="371" t="s">
        <v>241</v>
      </c>
      <c r="E12" s="372" t="s">
        <v>242</v>
      </c>
      <c r="F12" s="372" t="s">
        <v>243</v>
      </c>
      <c r="G12" s="372" t="s">
        <v>244</v>
      </c>
      <c r="H12" s="372" t="s">
        <v>245</v>
      </c>
      <c r="I12" s="370"/>
      <c r="J12" s="370"/>
      <c r="K12" s="372" t="s">
        <v>246</v>
      </c>
      <c r="L12" s="370"/>
      <c r="M12" s="372" t="s">
        <v>247</v>
      </c>
      <c r="N12" s="372" t="s">
        <v>248</v>
      </c>
      <c r="O12" s="372" t="s">
        <v>249</v>
      </c>
      <c r="P12" s="373" t="s">
        <v>246</v>
      </c>
    </row>
    <row r="13" spans="2:16">
      <c r="B13" s="374"/>
      <c r="C13" s="375" t="s">
        <v>250</v>
      </c>
      <c r="D13" s="376"/>
      <c r="E13" s="377" t="s">
        <v>251</v>
      </c>
      <c r="F13" s="377" t="s">
        <v>252</v>
      </c>
      <c r="G13" s="376"/>
      <c r="H13" s="376"/>
      <c r="I13" s="377" t="s">
        <v>253</v>
      </c>
      <c r="J13" s="377" t="s">
        <v>254</v>
      </c>
      <c r="K13" s="377" t="s">
        <v>255</v>
      </c>
      <c r="L13" s="377" t="s">
        <v>256</v>
      </c>
      <c r="M13" s="376"/>
      <c r="N13" s="376"/>
      <c r="O13" s="377" t="s">
        <v>251</v>
      </c>
      <c r="P13" s="378" t="s">
        <v>257</v>
      </c>
    </row>
    <row r="14" spans="2:16">
      <c r="B14" s="374"/>
      <c r="C14" s="376"/>
      <c r="D14" s="376"/>
      <c r="E14" s="376"/>
      <c r="F14" s="376"/>
      <c r="G14" s="376"/>
      <c r="H14" s="376"/>
      <c r="I14" s="376"/>
      <c r="J14" s="376"/>
      <c r="K14" s="376"/>
      <c r="L14" s="376"/>
      <c r="M14" s="376"/>
      <c r="N14" s="376"/>
      <c r="O14" s="376"/>
      <c r="P14" s="379"/>
    </row>
    <row r="15" spans="2:16">
      <c r="B15" s="380">
        <v>45239</v>
      </c>
      <c r="C15" s="381" t="s">
        <v>258</v>
      </c>
      <c r="D15" s="376"/>
      <c r="E15" s="382">
        <v>819</v>
      </c>
      <c r="F15" s="382">
        <v>0</v>
      </c>
      <c r="G15" s="382">
        <v>0</v>
      </c>
      <c r="H15" s="382">
        <v>19.100000000000001</v>
      </c>
      <c r="I15" s="382">
        <v>73.34</v>
      </c>
      <c r="J15" s="382">
        <v>22.38</v>
      </c>
      <c r="K15" s="382">
        <v>32.76</v>
      </c>
      <c r="L15" s="382">
        <v>0</v>
      </c>
      <c r="M15" s="382">
        <v>84</v>
      </c>
      <c r="N15" s="382">
        <v>7.2</v>
      </c>
      <c r="O15" s="383">
        <v>748.22</v>
      </c>
      <c r="P15" s="384">
        <v>90.5</v>
      </c>
    </row>
    <row r="16" spans="2:16">
      <c r="B16" s="380">
        <v>45239</v>
      </c>
      <c r="C16" s="381" t="s">
        <v>259</v>
      </c>
      <c r="D16" s="376"/>
      <c r="E16" s="382">
        <v>819</v>
      </c>
      <c r="F16" s="382">
        <v>0</v>
      </c>
      <c r="G16" s="382">
        <v>0</v>
      </c>
      <c r="H16" s="382">
        <v>19.100000000000001</v>
      </c>
      <c r="I16" s="382">
        <v>82.77</v>
      </c>
      <c r="J16" s="382">
        <v>22.37</v>
      </c>
      <c r="K16" s="382">
        <v>32.76</v>
      </c>
      <c r="L16" s="382">
        <v>0</v>
      </c>
      <c r="M16" s="382">
        <v>0</v>
      </c>
      <c r="N16" s="382">
        <v>7.2</v>
      </c>
      <c r="O16" s="383">
        <v>654.79999999999995</v>
      </c>
      <c r="P16" s="384">
        <v>90.5</v>
      </c>
    </row>
    <row r="17" spans="2:16">
      <c r="B17" s="380">
        <v>45239</v>
      </c>
      <c r="C17" s="381" t="s">
        <v>260</v>
      </c>
      <c r="D17" s="376"/>
      <c r="E17" s="382">
        <v>819</v>
      </c>
      <c r="F17" s="382">
        <v>0</v>
      </c>
      <c r="G17" s="382">
        <v>0</v>
      </c>
      <c r="H17" s="382">
        <v>19.100000000000001</v>
      </c>
      <c r="I17" s="382">
        <v>94.68</v>
      </c>
      <c r="J17" s="382">
        <v>22.37</v>
      </c>
      <c r="K17" s="382">
        <v>32.76</v>
      </c>
      <c r="L17" s="382">
        <v>0</v>
      </c>
      <c r="M17" s="382">
        <v>84</v>
      </c>
      <c r="N17" s="382">
        <v>7.2</v>
      </c>
      <c r="O17" s="383">
        <v>726.89</v>
      </c>
      <c r="P17" s="384">
        <v>90.5</v>
      </c>
    </row>
    <row r="18" spans="2:16">
      <c r="B18" s="380">
        <v>45239</v>
      </c>
      <c r="C18" s="381" t="s">
        <v>261</v>
      </c>
      <c r="D18" s="376"/>
      <c r="E18" s="382">
        <v>819</v>
      </c>
      <c r="F18" s="382">
        <v>0</v>
      </c>
      <c r="G18" s="382">
        <v>0</v>
      </c>
      <c r="H18" s="382">
        <v>19.100000000000001</v>
      </c>
      <c r="I18" s="382">
        <v>74.88</v>
      </c>
      <c r="J18" s="382">
        <v>22.37</v>
      </c>
      <c r="K18" s="382">
        <v>32.76</v>
      </c>
      <c r="L18" s="382">
        <v>0</v>
      </c>
      <c r="M18" s="382">
        <v>84</v>
      </c>
      <c r="N18" s="382">
        <v>7.2</v>
      </c>
      <c r="O18" s="383">
        <v>746.69</v>
      </c>
      <c r="P18" s="384">
        <v>90.5</v>
      </c>
    </row>
    <row r="19" spans="2:16">
      <c r="B19" s="380">
        <v>45239</v>
      </c>
      <c r="C19" s="381" t="s">
        <v>262</v>
      </c>
      <c r="D19" s="376"/>
      <c r="E19" s="382">
        <v>819</v>
      </c>
      <c r="F19" s="382">
        <v>0</v>
      </c>
      <c r="G19" s="382">
        <v>0</v>
      </c>
      <c r="H19" s="382">
        <v>19.100000000000001</v>
      </c>
      <c r="I19" s="382">
        <v>96.41</v>
      </c>
      <c r="J19" s="382">
        <v>22.37</v>
      </c>
      <c r="K19" s="382">
        <v>32.76</v>
      </c>
      <c r="L19" s="382">
        <v>0</v>
      </c>
      <c r="M19" s="382">
        <v>84</v>
      </c>
      <c r="N19" s="382">
        <v>7.2</v>
      </c>
      <c r="O19" s="383">
        <v>725.16</v>
      </c>
      <c r="P19" s="384">
        <v>90.5</v>
      </c>
    </row>
    <row r="20" spans="2:16">
      <c r="B20" s="380">
        <v>45239</v>
      </c>
      <c r="C20" s="381" t="s">
        <v>263</v>
      </c>
      <c r="D20" s="376"/>
      <c r="E20" s="382">
        <v>1008</v>
      </c>
      <c r="F20" s="382">
        <v>0</v>
      </c>
      <c r="G20" s="382">
        <v>0</v>
      </c>
      <c r="H20" s="382">
        <v>19.100000000000001</v>
      </c>
      <c r="I20" s="382">
        <v>174.15</v>
      </c>
      <c r="J20" s="382">
        <v>30.87</v>
      </c>
      <c r="K20" s="382">
        <v>40.32</v>
      </c>
      <c r="L20" s="382">
        <v>0</v>
      </c>
      <c r="M20" s="382">
        <v>105</v>
      </c>
      <c r="N20" s="382">
        <v>7.2</v>
      </c>
      <c r="O20" s="383">
        <v>841.36</v>
      </c>
      <c r="P20" s="384">
        <v>111.38</v>
      </c>
    </row>
    <row r="21" spans="2:16">
      <c r="B21" s="380">
        <v>45239</v>
      </c>
      <c r="C21" s="381" t="s">
        <v>264</v>
      </c>
      <c r="D21" s="376"/>
      <c r="E21" s="382">
        <v>819</v>
      </c>
      <c r="F21" s="382">
        <v>0</v>
      </c>
      <c r="G21" s="382">
        <v>0</v>
      </c>
      <c r="H21" s="382">
        <v>19.100000000000001</v>
      </c>
      <c r="I21" s="382">
        <v>97.85</v>
      </c>
      <c r="J21" s="382">
        <v>22.37</v>
      </c>
      <c r="K21" s="382">
        <v>32.76</v>
      </c>
      <c r="L21" s="382">
        <v>0</v>
      </c>
      <c r="M21" s="382">
        <v>84</v>
      </c>
      <c r="N21" s="382">
        <v>7.2</v>
      </c>
      <c r="O21" s="383">
        <v>723.72</v>
      </c>
      <c r="P21" s="384">
        <v>90.5</v>
      </c>
    </row>
    <row r="22" spans="2:16">
      <c r="B22" s="380">
        <v>45239</v>
      </c>
      <c r="C22" s="381" t="s">
        <v>265</v>
      </c>
      <c r="D22" s="376"/>
      <c r="E22" s="382">
        <v>780</v>
      </c>
      <c r="F22" s="382">
        <v>0</v>
      </c>
      <c r="G22" s="382">
        <v>0</v>
      </c>
      <c r="H22" s="382">
        <v>0</v>
      </c>
      <c r="I22" s="382">
        <v>55.04</v>
      </c>
      <c r="J22" s="382">
        <v>20.61</v>
      </c>
      <c r="K22" s="382">
        <v>31.2</v>
      </c>
      <c r="L22" s="382">
        <v>0</v>
      </c>
      <c r="M22" s="382">
        <v>0</v>
      </c>
      <c r="N22" s="382">
        <v>0</v>
      </c>
      <c r="O22" s="383">
        <v>673.15</v>
      </c>
      <c r="P22" s="384">
        <v>86.19</v>
      </c>
    </row>
    <row r="23" spans="2:16">
      <c r="B23" s="380">
        <v>45239</v>
      </c>
      <c r="C23" s="381" t="s">
        <v>266</v>
      </c>
      <c r="D23" s="376"/>
      <c r="E23" s="382">
        <v>1055.25</v>
      </c>
      <c r="F23" s="382">
        <v>0</v>
      </c>
      <c r="G23" s="382">
        <v>0</v>
      </c>
      <c r="H23" s="382">
        <v>19.100000000000001</v>
      </c>
      <c r="I23" s="382">
        <v>106.27</v>
      </c>
      <c r="J23" s="382">
        <v>33</v>
      </c>
      <c r="K23" s="382">
        <v>42.21</v>
      </c>
      <c r="L23" s="382">
        <v>0</v>
      </c>
      <c r="M23" s="382">
        <v>84</v>
      </c>
      <c r="N23" s="382">
        <v>7.2</v>
      </c>
      <c r="O23" s="383">
        <v>931.47</v>
      </c>
      <c r="P23" s="384">
        <v>116.61</v>
      </c>
    </row>
    <row r="24" spans="2:16">
      <c r="B24" s="380">
        <v>45239</v>
      </c>
      <c r="C24" s="381" t="s">
        <v>267</v>
      </c>
      <c r="D24" s="376"/>
      <c r="E24" s="382">
        <v>819</v>
      </c>
      <c r="F24" s="382">
        <v>0</v>
      </c>
      <c r="G24" s="382">
        <v>0</v>
      </c>
      <c r="H24" s="382">
        <v>19.100000000000001</v>
      </c>
      <c r="I24" s="382">
        <v>24.88</v>
      </c>
      <c r="J24" s="382">
        <v>22.37</v>
      </c>
      <c r="K24" s="382">
        <v>32.76</v>
      </c>
      <c r="L24" s="382">
        <v>0</v>
      </c>
      <c r="M24" s="382">
        <v>84</v>
      </c>
      <c r="N24" s="382">
        <v>7.2</v>
      </c>
      <c r="O24" s="383">
        <v>796.69</v>
      </c>
      <c r="P24" s="384">
        <v>90.5</v>
      </c>
    </row>
    <row r="25" spans="2:16">
      <c r="B25" s="380">
        <v>45239</v>
      </c>
      <c r="C25" s="381" t="s">
        <v>268</v>
      </c>
      <c r="D25" s="376"/>
      <c r="E25" s="382">
        <v>1153.8499999999999</v>
      </c>
      <c r="F25" s="382">
        <v>0</v>
      </c>
      <c r="G25" s="382">
        <v>0</v>
      </c>
      <c r="H25" s="382">
        <v>0</v>
      </c>
      <c r="I25" s="382">
        <v>239.43</v>
      </c>
      <c r="J25" s="382">
        <v>37.44</v>
      </c>
      <c r="K25" s="382">
        <v>46.15</v>
      </c>
      <c r="L25" s="382">
        <v>0</v>
      </c>
      <c r="M25" s="382">
        <v>75</v>
      </c>
      <c r="N25" s="382">
        <v>0</v>
      </c>
      <c r="O25" s="383">
        <v>905.83</v>
      </c>
      <c r="P25" s="384">
        <v>127.5</v>
      </c>
    </row>
    <row r="26" spans="2:16">
      <c r="B26" s="380">
        <v>45239</v>
      </c>
      <c r="C26" s="381" t="s">
        <v>269</v>
      </c>
      <c r="D26" s="376"/>
      <c r="E26" s="382">
        <v>1155.75</v>
      </c>
      <c r="F26" s="382">
        <v>0</v>
      </c>
      <c r="G26" s="382">
        <v>0</v>
      </c>
      <c r="H26" s="382">
        <v>19.100000000000001</v>
      </c>
      <c r="I26" s="382">
        <v>197.3</v>
      </c>
      <c r="J26" s="382">
        <v>37.53</v>
      </c>
      <c r="K26" s="382">
        <v>46.23</v>
      </c>
      <c r="L26" s="382">
        <v>0</v>
      </c>
      <c r="M26" s="382">
        <v>180</v>
      </c>
      <c r="N26" s="382">
        <v>7.2</v>
      </c>
      <c r="O26" s="383">
        <v>1028.3900000000001</v>
      </c>
      <c r="P26" s="384">
        <v>127.71</v>
      </c>
    </row>
    <row r="27" spans="2:16">
      <c r="B27" s="374"/>
      <c r="C27" s="376"/>
      <c r="D27" s="376"/>
      <c r="E27" s="376"/>
      <c r="F27" s="376"/>
      <c r="G27" s="376"/>
      <c r="H27" s="376"/>
      <c r="I27" s="376"/>
      <c r="J27" s="376"/>
      <c r="K27" s="376"/>
      <c r="L27" s="376"/>
      <c r="M27" s="376"/>
      <c r="N27" s="376"/>
      <c r="O27" s="376"/>
      <c r="P27" s="379"/>
    </row>
    <row r="28" spans="2:16" ht="16" thickBot="1">
      <c r="B28" s="385" t="s">
        <v>270</v>
      </c>
      <c r="C28" s="386"/>
      <c r="D28" s="386"/>
      <c r="E28" s="387">
        <v>10885.85</v>
      </c>
      <c r="F28" s="387">
        <v>0</v>
      </c>
      <c r="G28" s="387">
        <v>0</v>
      </c>
      <c r="H28" s="387">
        <v>191.00000000000003</v>
      </c>
      <c r="I28" s="387">
        <v>1317</v>
      </c>
      <c r="J28" s="387">
        <v>316.05</v>
      </c>
      <c r="K28" s="387">
        <v>435.43</v>
      </c>
      <c r="L28" s="387">
        <v>0</v>
      </c>
      <c r="M28" s="387">
        <v>948</v>
      </c>
      <c r="N28" s="387">
        <v>72</v>
      </c>
      <c r="O28" s="387">
        <v>9502.3700000000008</v>
      </c>
      <c r="P28" s="388">
        <v>1202.8900000000001</v>
      </c>
    </row>
    <row r="29" spans="2:16">
      <c r="B29" s="3"/>
      <c r="C29" s="3"/>
      <c r="D29" s="3"/>
      <c r="E29" s="3"/>
      <c r="F29" s="3"/>
      <c r="G29" s="3"/>
      <c r="H29" s="3"/>
      <c r="I29" s="3"/>
      <c r="J29" s="3"/>
      <c r="K29" s="3"/>
      <c r="L29" s="3"/>
      <c r="M29" s="3"/>
      <c r="N29" s="3"/>
      <c r="O29" s="3"/>
      <c r="P29" s="3"/>
    </row>
    <row r="30" spans="2:16">
      <c r="B30" s="3"/>
      <c r="C30" s="3"/>
      <c r="D30" s="3"/>
      <c r="E30" s="3"/>
      <c r="F30" s="3"/>
      <c r="G30" s="3"/>
      <c r="H30" s="3"/>
      <c r="I30" s="3"/>
      <c r="J30" s="3"/>
      <c r="K30" s="3"/>
      <c r="L30" s="3"/>
      <c r="M30" s="3"/>
      <c r="N30" s="3"/>
      <c r="O30" s="3"/>
      <c r="P30" s="3"/>
    </row>
    <row r="31" spans="2:16" ht="21">
      <c r="B31" s="390" t="s">
        <v>271</v>
      </c>
      <c r="C31" s="3"/>
      <c r="D31" s="3"/>
      <c r="E31" s="3"/>
      <c r="F31" s="3"/>
      <c r="G31" s="3"/>
      <c r="H31" s="3"/>
      <c r="I31" s="3"/>
      <c r="J31" s="3"/>
      <c r="K31" s="3"/>
      <c r="L31" s="3"/>
      <c r="M31" s="3"/>
      <c r="N31" s="3"/>
      <c r="O31" s="389">
        <f>O28-O25-O22</f>
        <v>7923.3900000000012</v>
      </c>
      <c r="P31" s="3"/>
    </row>
    <row r="32" spans="2:16" ht="16" thickBot="1"/>
    <row r="33" spans="2:16">
      <c r="B33" s="392"/>
      <c r="C33" s="393"/>
      <c r="D33" s="394"/>
      <c r="E33" s="395" t="s">
        <v>272</v>
      </c>
      <c r="F33" s="396" t="s">
        <v>273</v>
      </c>
      <c r="G33" s="397" t="s">
        <v>274</v>
      </c>
      <c r="H33" s="398" t="s">
        <v>275</v>
      </c>
      <c r="I33" s="399" t="s">
        <v>276</v>
      </c>
      <c r="J33" s="399"/>
      <c r="K33" s="400" t="s">
        <v>277</v>
      </c>
    </row>
    <row r="34" spans="2:16">
      <c r="B34" s="401"/>
      <c r="C34" s="436" t="s">
        <v>278</v>
      </c>
      <c r="D34" s="402">
        <v>43</v>
      </c>
      <c r="E34" s="437">
        <v>20</v>
      </c>
      <c r="F34" s="438">
        <v>56.5</v>
      </c>
      <c r="G34" s="403">
        <v>25</v>
      </c>
      <c r="H34" s="404">
        <f>G34*F34</f>
        <v>1412.5</v>
      </c>
      <c r="I34" s="403">
        <f>(E34/100)*H34</f>
        <v>282.5</v>
      </c>
      <c r="J34" s="403"/>
      <c r="K34" s="405">
        <f>H34-I34</f>
        <v>1130</v>
      </c>
    </row>
    <row r="35" spans="2:16">
      <c r="B35" s="401"/>
      <c r="C35" s="436" t="s">
        <v>279</v>
      </c>
      <c r="D35" s="402">
        <v>43</v>
      </c>
      <c r="E35" s="437">
        <v>0</v>
      </c>
      <c r="F35" s="438">
        <v>42.5</v>
      </c>
      <c r="G35" s="403">
        <v>25</v>
      </c>
      <c r="H35" s="404">
        <f>G35*F35</f>
        <v>1062.5</v>
      </c>
      <c r="I35" s="403">
        <f>(E35/100)*H35</f>
        <v>0</v>
      </c>
      <c r="J35" s="403"/>
      <c r="K35" s="405">
        <f>H35-I35</f>
        <v>1062.5</v>
      </c>
    </row>
    <row r="36" spans="2:16">
      <c r="B36" s="401"/>
      <c r="C36" s="436" t="s">
        <v>280</v>
      </c>
      <c r="D36" s="402">
        <v>43</v>
      </c>
      <c r="E36" s="437">
        <v>0</v>
      </c>
      <c r="F36" s="438">
        <v>50.5</v>
      </c>
      <c r="G36" s="403">
        <v>25</v>
      </c>
      <c r="H36" s="404">
        <f>G36*F36</f>
        <v>1262.5</v>
      </c>
      <c r="I36" s="403">
        <f>(E36/100)*H36</f>
        <v>0</v>
      </c>
      <c r="J36" s="403"/>
      <c r="K36" s="405">
        <f>H36-I36</f>
        <v>1262.5</v>
      </c>
    </row>
    <row r="37" spans="2:16">
      <c r="B37" s="401"/>
      <c r="C37" s="436" t="s">
        <v>281</v>
      </c>
      <c r="D37" s="402">
        <v>43</v>
      </c>
      <c r="E37" s="437">
        <v>0</v>
      </c>
      <c r="F37" s="438">
        <v>55.5</v>
      </c>
      <c r="G37" s="403">
        <v>24</v>
      </c>
      <c r="H37" s="404">
        <f>G37*F37</f>
        <v>1332</v>
      </c>
      <c r="I37" s="403">
        <f>(E37/100)*H37</f>
        <v>0</v>
      </c>
      <c r="J37" s="403"/>
      <c r="K37" s="405">
        <f>H37-I37</f>
        <v>1332</v>
      </c>
    </row>
    <row r="38" spans="2:16">
      <c r="B38" s="401"/>
      <c r="C38" s="436" t="s">
        <v>282</v>
      </c>
      <c r="D38" s="402">
        <v>43</v>
      </c>
      <c r="E38" s="437">
        <v>20</v>
      </c>
      <c r="F38" s="438">
        <v>55.5</v>
      </c>
      <c r="G38" s="403">
        <v>20</v>
      </c>
      <c r="H38" s="404">
        <f>G38*F38</f>
        <v>1110</v>
      </c>
      <c r="I38" s="403">
        <f>(E38/100)*H38</f>
        <v>222</v>
      </c>
      <c r="J38" s="403"/>
      <c r="K38" s="405">
        <f>H38-I38</f>
        <v>888</v>
      </c>
    </row>
    <row r="39" spans="2:16" ht="16" thickBot="1">
      <c r="B39" s="401"/>
      <c r="C39" s="436"/>
      <c r="D39" s="402"/>
      <c r="E39" s="437"/>
      <c r="F39" s="438"/>
      <c r="G39" s="403"/>
      <c r="H39" s="404"/>
      <c r="I39" s="403"/>
      <c r="J39" s="403"/>
      <c r="K39" s="405"/>
    </row>
    <row r="40" spans="2:16">
      <c r="B40" s="406"/>
      <c r="C40" s="407"/>
      <c r="D40" s="408"/>
      <c r="E40" s="409"/>
      <c r="F40" s="410"/>
      <c r="G40" s="411"/>
      <c r="H40" s="412"/>
      <c r="I40" s="411"/>
      <c r="J40" s="411"/>
      <c r="K40" s="413"/>
    </row>
    <row r="41" spans="2:16">
      <c r="B41" s="414"/>
      <c r="C41" s="439" t="s">
        <v>283</v>
      </c>
      <c r="D41" s="415"/>
      <c r="E41" s="440">
        <v>0</v>
      </c>
      <c r="F41" s="441"/>
      <c r="G41" s="416"/>
      <c r="H41" s="417">
        <v>2940</v>
      </c>
      <c r="I41" s="418">
        <f>(E41/100)*H41</f>
        <v>0</v>
      </c>
      <c r="J41" s="416"/>
      <c r="K41" s="469">
        <f>H41-I41</f>
        <v>2940</v>
      </c>
    </row>
    <row r="42" spans="2:16" ht="16" thickBot="1">
      <c r="B42" s="419"/>
      <c r="C42" s="420"/>
      <c r="D42" s="421"/>
      <c r="E42" s="422"/>
      <c r="F42" s="423"/>
      <c r="G42" s="424"/>
      <c r="H42" s="425"/>
      <c r="I42" s="424"/>
      <c r="J42" s="424"/>
      <c r="K42" s="426"/>
    </row>
    <row r="43" spans="2:16" ht="27" thickBot="1">
      <c r="B43" s="427"/>
      <c r="C43" s="428"/>
      <c r="D43" s="429"/>
      <c r="E43" s="430"/>
      <c r="F43" s="429"/>
      <c r="G43" s="431"/>
      <c r="H43" s="432">
        <f>SUM(H33:H42)</f>
        <v>9119.5</v>
      </c>
      <c r="I43" s="433">
        <f>SUM(I33:I42)</f>
        <v>504.5</v>
      </c>
      <c r="J43" s="434"/>
      <c r="K43" s="435">
        <f>SUM(K33:K42)</f>
        <v>8615</v>
      </c>
    </row>
    <row r="44" spans="2:16" ht="17" thickTop="1" thickBot="1">
      <c r="B44" s="442"/>
      <c r="C44" s="443"/>
      <c r="D44" s="444"/>
      <c r="E44" s="445"/>
      <c r="F44" s="444"/>
      <c r="G44" s="446"/>
      <c r="H44" s="447"/>
      <c r="I44" s="447"/>
      <c r="J44" s="444"/>
      <c r="K44" s="448"/>
    </row>
    <row r="45" spans="2:16" ht="16" thickBot="1"/>
    <row r="46" spans="2:16">
      <c r="B46" s="449" t="s">
        <v>240</v>
      </c>
      <c r="C46" s="450"/>
      <c r="D46" s="451" t="s">
        <v>284</v>
      </c>
      <c r="E46" s="452" t="s">
        <v>242</v>
      </c>
      <c r="F46" s="452" t="s">
        <v>243</v>
      </c>
      <c r="G46" s="452" t="s">
        <v>244</v>
      </c>
      <c r="H46" s="452" t="s">
        <v>245</v>
      </c>
      <c r="I46" s="450"/>
      <c r="J46" s="450"/>
      <c r="K46" s="452" t="s">
        <v>246</v>
      </c>
      <c r="L46" s="450"/>
      <c r="M46" s="452" t="s">
        <v>247</v>
      </c>
      <c r="N46" s="452" t="s">
        <v>248</v>
      </c>
      <c r="O46" s="452" t="s">
        <v>249</v>
      </c>
      <c r="P46" s="453" t="s">
        <v>246</v>
      </c>
    </row>
    <row r="47" spans="2:16">
      <c r="B47" s="454"/>
      <c r="C47" s="455" t="s">
        <v>250</v>
      </c>
      <c r="D47" s="456"/>
      <c r="E47" s="457" t="s">
        <v>251</v>
      </c>
      <c r="F47" s="457" t="s">
        <v>252</v>
      </c>
      <c r="G47" s="456"/>
      <c r="H47" s="456"/>
      <c r="I47" s="457" t="s">
        <v>253</v>
      </c>
      <c r="J47" s="457" t="s">
        <v>254</v>
      </c>
      <c r="K47" s="457" t="s">
        <v>255</v>
      </c>
      <c r="L47" s="457" t="s">
        <v>256</v>
      </c>
      <c r="M47" s="456"/>
      <c r="N47" s="456"/>
      <c r="O47" s="457" t="s">
        <v>251</v>
      </c>
      <c r="P47" s="458" t="s">
        <v>257</v>
      </c>
    </row>
    <row r="48" spans="2:16">
      <c r="B48" s="454"/>
      <c r="C48" s="456"/>
      <c r="D48" s="456"/>
      <c r="E48" s="456"/>
      <c r="F48" s="456"/>
      <c r="G48" s="456"/>
      <c r="H48" s="456"/>
      <c r="I48" s="456"/>
      <c r="J48" s="456"/>
      <c r="K48" s="456"/>
      <c r="L48" s="456"/>
      <c r="M48" s="456"/>
      <c r="N48" s="456"/>
      <c r="O48" s="456"/>
      <c r="P48" s="459"/>
    </row>
    <row r="49" spans="2:21">
      <c r="B49" s="460">
        <v>45246</v>
      </c>
      <c r="C49" s="461" t="s">
        <v>258</v>
      </c>
      <c r="D49" s="456"/>
      <c r="E49" s="462">
        <v>819</v>
      </c>
      <c r="F49" s="462">
        <v>0</v>
      </c>
      <c r="G49" s="462">
        <v>0</v>
      </c>
      <c r="H49" s="462">
        <v>19.100000000000001</v>
      </c>
      <c r="I49" s="462">
        <v>73.349999999999994</v>
      </c>
      <c r="J49" s="462">
        <v>22.37</v>
      </c>
      <c r="K49" s="462">
        <v>32.76</v>
      </c>
      <c r="L49" s="462">
        <v>0</v>
      </c>
      <c r="M49" s="462">
        <v>147</v>
      </c>
      <c r="N49" s="462">
        <v>7.2</v>
      </c>
      <c r="O49" s="463">
        <v>811.22</v>
      </c>
      <c r="P49" s="464">
        <v>90.5</v>
      </c>
    </row>
    <row r="50" spans="2:21">
      <c r="B50" s="460">
        <v>45246</v>
      </c>
      <c r="C50" s="461" t="s">
        <v>259</v>
      </c>
      <c r="D50" s="456"/>
      <c r="E50" s="462">
        <v>168</v>
      </c>
      <c r="F50" s="462">
        <v>0</v>
      </c>
      <c r="G50" s="462">
        <v>0</v>
      </c>
      <c r="H50" s="462">
        <v>19.100000000000001</v>
      </c>
      <c r="I50" s="462">
        <v>-47.43</v>
      </c>
      <c r="J50" s="462">
        <v>-6.92</v>
      </c>
      <c r="K50" s="462">
        <v>0</v>
      </c>
      <c r="L50" s="462">
        <v>0</v>
      </c>
      <c r="M50" s="462">
        <v>0</v>
      </c>
      <c r="N50" s="462">
        <v>7.2</v>
      </c>
      <c r="O50" s="463">
        <v>196.05</v>
      </c>
      <c r="P50" s="464">
        <v>14.78</v>
      </c>
    </row>
    <row r="51" spans="2:21">
      <c r="B51" s="460">
        <v>45246</v>
      </c>
      <c r="C51" s="461" t="s">
        <v>260</v>
      </c>
      <c r="D51" s="456"/>
      <c r="E51" s="462">
        <v>1008</v>
      </c>
      <c r="F51" s="462">
        <v>0</v>
      </c>
      <c r="G51" s="462">
        <v>0</v>
      </c>
      <c r="H51" s="462">
        <v>19.100000000000001</v>
      </c>
      <c r="I51" s="462">
        <v>170.27</v>
      </c>
      <c r="J51" s="462">
        <v>30.87</v>
      </c>
      <c r="K51" s="462">
        <v>40.32</v>
      </c>
      <c r="L51" s="462">
        <v>0</v>
      </c>
      <c r="M51" s="462">
        <v>105</v>
      </c>
      <c r="N51" s="462">
        <v>7.2</v>
      </c>
      <c r="O51" s="463">
        <v>845.24</v>
      </c>
      <c r="P51" s="464">
        <v>111.38</v>
      </c>
      <c r="T51" t="s">
        <v>0</v>
      </c>
      <c r="U51" t="s">
        <v>0</v>
      </c>
    </row>
    <row r="52" spans="2:21">
      <c r="B52" s="460">
        <v>45246</v>
      </c>
      <c r="C52" s="461" t="s">
        <v>285</v>
      </c>
      <c r="D52" s="456"/>
      <c r="E52" s="462">
        <v>6153.85</v>
      </c>
      <c r="F52" s="462">
        <v>0</v>
      </c>
      <c r="G52" s="462">
        <v>0</v>
      </c>
      <c r="H52" s="462">
        <v>0</v>
      </c>
      <c r="I52" s="462">
        <v>1828.85</v>
      </c>
      <c r="J52" s="462">
        <v>245.8</v>
      </c>
      <c r="K52" s="462">
        <v>246.15</v>
      </c>
      <c r="L52" s="462">
        <v>0</v>
      </c>
      <c r="M52" s="462">
        <v>320</v>
      </c>
      <c r="N52" s="462">
        <v>0</v>
      </c>
      <c r="O52" s="470">
        <v>4153.05</v>
      </c>
      <c r="P52" s="464">
        <v>0</v>
      </c>
      <c r="T52" t="s">
        <v>0</v>
      </c>
    </row>
    <row r="53" spans="2:21">
      <c r="B53" s="460">
        <v>45246</v>
      </c>
      <c r="C53" s="461" t="s">
        <v>286</v>
      </c>
      <c r="D53" s="456"/>
      <c r="E53" s="462">
        <v>6153.85</v>
      </c>
      <c r="F53" s="462">
        <v>0</v>
      </c>
      <c r="G53" s="462">
        <v>0</v>
      </c>
      <c r="H53" s="462">
        <v>0</v>
      </c>
      <c r="I53" s="462">
        <v>1725.61</v>
      </c>
      <c r="J53" s="462">
        <v>245.8</v>
      </c>
      <c r="K53" s="462">
        <v>246.15</v>
      </c>
      <c r="L53" s="462">
        <v>0</v>
      </c>
      <c r="M53" s="462">
        <v>320</v>
      </c>
      <c r="N53" s="462">
        <v>0</v>
      </c>
      <c r="O53" s="470">
        <v>4256.29</v>
      </c>
      <c r="P53" s="464">
        <v>0</v>
      </c>
      <c r="T53" t="s">
        <v>0</v>
      </c>
    </row>
    <row r="54" spans="2:21">
      <c r="B54" s="460">
        <v>45246</v>
      </c>
      <c r="C54" s="461" t="s">
        <v>261</v>
      </c>
      <c r="D54" s="456"/>
      <c r="E54" s="462">
        <v>819</v>
      </c>
      <c r="F54" s="462">
        <v>0</v>
      </c>
      <c r="G54" s="462">
        <v>0</v>
      </c>
      <c r="H54" s="462">
        <v>19.100000000000001</v>
      </c>
      <c r="I54" s="462">
        <v>74.89</v>
      </c>
      <c r="J54" s="462">
        <v>22.37</v>
      </c>
      <c r="K54" s="462">
        <v>32.76</v>
      </c>
      <c r="L54" s="462">
        <v>0</v>
      </c>
      <c r="M54" s="462">
        <v>105</v>
      </c>
      <c r="N54" s="462">
        <v>7.2</v>
      </c>
      <c r="O54" s="463">
        <v>767.68</v>
      </c>
      <c r="P54" s="464">
        <v>90.5</v>
      </c>
      <c r="T54" t="s">
        <v>0</v>
      </c>
    </row>
    <row r="55" spans="2:21">
      <c r="B55" s="460">
        <v>45246</v>
      </c>
      <c r="C55" s="461" t="s">
        <v>262</v>
      </c>
      <c r="D55" s="456"/>
      <c r="E55" s="462">
        <v>819</v>
      </c>
      <c r="F55" s="462">
        <v>0</v>
      </c>
      <c r="G55" s="462">
        <v>0</v>
      </c>
      <c r="H55" s="462">
        <v>19.100000000000001</v>
      </c>
      <c r="I55" s="462">
        <v>96.4</v>
      </c>
      <c r="J55" s="462">
        <v>22.37</v>
      </c>
      <c r="K55" s="462">
        <v>32.76</v>
      </c>
      <c r="L55" s="462">
        <v>0</v>
      </c>
      <c r="M55" s="462">
        <v>105</v>
      </c>
      <c r="N55" s="462">
        <v>7.2</v>
      </c>
      <c r="O55" s="463">
        <v>746.17</v>
      </c>
      <c r="P55" s="464">
        <v>90.5</v>
      </c>
      <c r="T55" t="s">
        <v>0</v>
      </c>
      <c r="U55" t="s">
        <v>0</v>
      </c>
    </row>
    <row r="56" spans="2:21">
      <c r="B56" s="460">
        <v>45246</v>
      </c>
      <c r="C56" s="461" t="s">
        <v>263</v>
      </c>
      <c r="D56" s="456"/>
      <c r="E56" s="462">
        <v>819</v>
      </c>
      <c r="F56" s="462">
        <v>0</v>
      </c>
      <c r="G56" s="462">
        <v>0</v>
      </c>
      <c r="H56" s="462">
        <v>19.100000000000001</v>
      </c>
      <c r="I56" s="462">
        <v>98.53</v>
      </c>
      <c r="J56" s="462">
        <v>22.37</v>
      </c>
      <c r="K56" s="462">
        <v>32.76</v>
      </c>
      <c r="L56" s="462">
        <v>0</v>
      </c>
      <c r="M56" s="462">
        <v>105</v>
      </c>
      <c r="N56" s="462">
        <v>7.2</v>
      </c>
      <c r="O56" s="463">
        <v>744.04</v>
      </c>
      <c r="P56" s="464">
        <v>90.5</v>
      </c>
      <c r="T56" t="s">
        <v>0</v>
      </c>
    </row>
    <row r="57" spans="2:21">
      <c r="B57" s="460">
        <v>45246</v>
      </c>
      <c r="C57" s="461" t="s">
        <v>264</v>
      </c>
      <c r="D57" s="456"/>
      <c r="E57" s="462">
        <v>819</v>
      </c>
      <c r="F57" s="462">
        <v>0</v>
      </c>
      <c r="G57" s="462">
        <v>0</v>
      </c>
      <c r="H57" s="462">
        <v>19.100000000000001</v>
      </c>
      <c r="I57" s="462">
        <v>97.84</v>
      </c>
      <c r="J57" s="462">
        <v>22.37</v>
      </c>
      <c r="K57" s="462">
        <v>32.76</v>
      </c>
      <c r="L57" s="462">
        <v>0</v>
      </c>
      <c r="M57" s="462">
        <v>147</v>
      </c>
      <c r="N57" s="462">
        <v>7.2</v>
      </c>
      <c r="O57" s="463">
        <v>786.73</v>
      </c>
      <c r="P57" s="464">
        <v>90.5</v>
      </c>
      <c r="T57" t="s">
        <v>0</v>
      </c>
    </row>
    <row r="58" spans="2:21">
      <c r="B58" s="460">
        <v>45246</v>
      </c>
      <c r="C58" s="461" t="s">
        <v>265</v>
      </c>
      <c r="D58" s="456"/>
      <c r="E58" s="462">
        <v>780</v>
      </c>
      <c r="F58" s="462">
        <v>0</v>
      </c>
      <c r="G58" s="462">
        <v>0</v>
      </c>
      <c r="H58" s="462">
        <v>0</v>
      </c>
      <c r="I58" s="462">
        <v>55.04</v>
      </c>
      <c r="J58" s="462">
        <v>20.62</v>
      </c>
      <c r="K58" s="462">
        <v>31.2</v>
      </c>
      <c r="L58" s="462">
        <v>0</v>
      </c>
      <c r="M58" s="462">
        <v>100</v>
      </c>
      <c r="N58" s="462">
        <v>0</v>
      </c>
      <c r="O58" s="470">
        <v>773.14</v>
      </c>
      <c r="P58" s="464">
        <v>86.19</v>
      </c>
    </row>
    <row r="59" spans="2:21">
      <c r="B59" s="460">
        <v>45246</v>
      </c>
      <c r="C59" s="461" t="s">
        <v>266</v>
      </c>
      <c r="D59" s="456"/>
      <c r="E59" s="462">
        <v>819</v>
      </c>
      <c r="F59" s="462">
        <v>0</v>
      </c>
      <c r="G59" s="462">
        <v>0</v>
      </c>
      <c r="H59" s="462">
        <v>19.100000000000001</v>
      </c>
      <c r="I59" s="462">
        <v>59.02</v>
      </c>
      <c r="J59" s="462">
        <v>22.37</v>
      </c>
      <c r="K59" s="462">
        <v>32.76</v>
      </c>
      <c r="L59" s="462">
        <v>0</v>
      </c>
      <c r="M59" s="462">
        <v>105</v>
      </c>
      <c r="N59" s="462">
        <v>7.2</v>
      </c>
      <c r="O59" s="463">
        <v>783.55</v>
      </c>
      <c r="P59" s="464">
        <v>90.5</v>
      </c>
    </row>
    <row r="60" spans="2:21">
      <c r="B60" s="460">
        <v>45246</v>
      </c>
      <c r="C60" s="461" t="s">
        <v>267</v>
      </c>
      <c r="D60" s="456"/>
      <c r="E60" s="462">
        <v>1008</v>
      </c>
      <c r="F60" s="462">
        <v>0</v>
      </c>
      <c r="G60" s="462">
        <v>0</v>
      </c>
      <c r="H60" s="462">
        <v>19.100000000000001</v>
      </c>
      <c r="I60" s="462">
        <v>62.69</v>
      </c>
      <c r="J60" s="462">
        <v>30.88</v>
      </c>
      <c r="K60" s="462">
        <v>40.32</v>
      </c>
      <c r="L60" s="462">
        <v>0</v>
      </c>
      <c r="M60" s="462">
        <v>105</v>
      </c>
      <c r="N60" s="462">
        <v>7.2</v>
      </c>
      <c r="O60" s="463">
        <v>952.81</v>
      </c>
      <c r="P60" s="464">
        <v>111.38</v>
      </c>
    </row>
    <row r="61" spans="2:21">
      <c r="B61" s="460">
        <v>45246</v>
      </c>
      <c r="C61" s="461" t="s">
        <v>268</v>
      </c>
      <c r="D61" s="456"/>
      <c r="E61" s="462">
        <v>1153.8499999999999</v>
      </c>
      <c r="F61" s="462">
        <v>0</v>
      </c>
      <c r="G61" s="462">
        <v>0</v>
      </c>
      <c r="H61" s="462">
        <v>0</v>
      </c>
      <c r="I61" s="462">
        <v>239.42</v>
      </c>
      <c r="J61" s="462">
        <v>37.44</v>
      </c>
      <c r="K61" s="462">
        <v>46.15</v>
      </c>
      <c r="L61" s="462">
        <v>0</v>
      </c>
      <c r="M61" s="462">
        <v>75</v>
      </c>
      <c r="N61" s="462">
        <v>0</v>
      </c>
      <c r="O61" s="470">
        <v>905.84</v>
      </c>
      <c r="P61" s="464">
        <v>127.5</v>
      </c>
    </row>
    <row r="62" spans="2:21">
      <c r="B62" s="460">
        <v>45246</v>
      </c>
      <c r="C62" s="461" t="s">
        <v>269</v>
      </c>
      <c r="D62" s="456"/>
      <c r="E62" s="462">
        <v>897</v>
      </c>
      <c r="F62" s="462">
        <v>0</v>
      </c>
      <c r="G62" s="462">
        <v>0</v>
      </c>
      <c r="H62" s="462">
        <v>19.100000000000001</v>
      </c>
      <c r="I62" s="462">
        <v>93.79</v>
      </c>
      <c r="J62" s="462">
        <v>25.88</v>
      </c>
      <c r="K62" s="462">
        <v>35.880000000000003</v>
      </c>
      <c r="L62" s="462">
        <v>0</v>
      </c>
      <c r="M62" s="462">
        <v>180</v>
      </c>
      <c r="N62" s="462">
        <v>7.2</v>
      </c>
      <c r="O62" s="463">
        <v>895.15</v>
      </c>
      <c r="P62" s="464">
        <v>99.12</v>
      </c>
    </row>
    <row r="63" spans="2:21">
      <c r="B63" s="454"/>
      <c r="C63" s="456"/>
      <c r="D63" s="456"/>
      <c r="E63" s="456"/>
      <c r="F63" s="456"/>
      <c r="G63" s="456"/>
      <c r="H63" s="456"/>
      <c r="I63" s="456"/>
      <c r="J63" s="456"/>
      <c r="K63" s="456"/>
      <c r="L63" s="456"/>
      <c r="M63" s="456"/>
      <c r="N63" s="456"/>
      <c r="O63" s="456"/>
      <c r="P63" s="459"/>
    </row>
    <row r="64" spans="2:21" ht="16" thickBot="1">
      <c r="B64" s="465" t="s">
        <v>270</v>
      </c>
      <c r="C64" s="466"/>
      <c r="D64" s="466"/>
      <c r="E64" s="467">
        <v>22236.55</v>
      </c>
      <c r="F64" s="467">
        <v>0</v>
      </c>
      <c r="G64" s="467">
        <v>0</v>
      </c>
      <c r="H64" s="467">
        <v>191.00000000000003</v>
      </c>
      <c r="I64" s="467">
        <v>4628.2700000000004</v>
      </c>
      <c r="J64" s="467">
        <v>764.59</v>
      </c>
      <c r="K64" s="467">
        <v>882.73</v>
      </c>
      <c r="L64" s="467">
        <v>0</v>
      </c>
      <c r="M64" s="467">
        <v>1919</v>
      </c>
      <c r="N64" s="467">
        <v>72</v>
      </c>
      <c r="O64" s="467">
        <v>17616.96</v>
      </c>
      <c r="P64" s="468">
        <v>1093.3499999999999</v>
      </c>
      <c r="R64" s="471">
        <f>O64-O52-O53-O58-O61</f>
        <v>7528.6399999999994</v>
      </c>
    </row>
    <row r="65" spans="2:24">
      <c r="R65" s="52" cm="1">
        <f t="array" ref="R65:R69">K34:K38</f>
        <v>1130</v>
      </c>
    </row>
    <row r="66" spans="2:24">
      <c r="R66">
        <v>1062.5</v>
      </c>
    </row>
    <row r="67" spans="2:24">
      <c r="R67">
        <v>1262.5</v>
      </c>
    </row>
    <row r="68" spans="2:24">
      <c r="O68" s="471">
        <f>O64+K43</f>
        <v>26231.96</v>
      </c>
      <c r="R68">
        <v>1332</v>
      </c>
    </row>
    <row r="69" spans="2:24">
      <c r="R69">
        <v>888</v>
      </c>
    </row>
    <row r="70" spans="2:24" ht="48" thickBot="1">
      <c r="B70" s="472"/>
      <c r="C70" s="473" t="s">
        <v>287</v>
      </c>
      <c r="D70" s="474" t="s">
        <v>288</v>
      </c>
      <c r="E70" s="475">
        <v>46</v>
      </c>
      <c r="F70" s="476" t="s">
        <v>289</v>
      </c>
      <c r="G70" s="477">
        <f>E70+1</f>
        <v>47</v>
      </c>
      <c r="H70" s="478"/>
      <c r="I70" s="478"/>
      <c r="J70" s="478"/>
      <c r="K70" s="478"/>
      <c r="L70" s="479"/>
      <c r="M70" s="479"/>
      <c r="N70" s="479"/>
      <c r="O70" s="479"/>
      <c r="P70" s="478"/>
      <c r="Q70" s="478"/>
      <c r="R70" s="478"/>
      <c r="S70" s="478"/>
      <c r="T70" s="478"/>
      <c r="U70" s="478"/>
      <c r="V70" s="478"/>
      <c r="W70" s="478"/>
      <c r="X70" s="478"/>
    </row>
    <row r="71" spans="2:24">
      <c r="B71" s="392"/>
      <c r="C71" s="393"/>
      <c r="D71" s="394"/>
      <c r="E71" s="395" t="s">
        <v>272</v>
      </c>
      <c r="F71" s="396" t="s">
        <v>273</v>
      </c>
      <c r="G71" s="397" t="s">
        <v>274</v>
      </c>
      <c r="H71" s="398" t="s">
        <v>275</v>
      </c>
      <c r="I71" s="399" t="s">
        <v>276</v>
      </c>
      <c r="J71" s="399"/>
      <c r="K71" s="400" t="s">
        <v>277</v>
      </c>
      <c r="L71" s="480"/>
    </row>
    <row r="72" spans="2:24">
      <c r="B72" s="481"/>
      <c r="C72" s="482" t="s">
        <v>290</v>
      </c>
      <c r="D72" s="402">
        <v>45</v>
      </c>
      <c r="E72" s="437">
        <v>20</v>
      </c>
      <c r="F72" s="438">
        <v>253</v>
      </c>
      <c r="G72" s="483">
        <v>23.5</v>
      </c>
      <c r="H72" s="404">
        <f>G72*F72</f>
        <v>5945.5</v>
      </c>
      <c r="I72" s="483">
        <f>(E72/100)*H72</f>
        <v>1189.1000000000001</v>
      </c>
      <c r="J72" s="483"/>
      <c r="K72" s="405">
        <f>H72-I72</f>
        <v>4756.3999999999996</v>
      </c>
      <c r="L72" s="480"/>
    </row>
    <row r="73" spans="2:24">
      <c r="B73" s="481"/>
      <c r="C73" s="482" t="s">
        <v>290</v>
      </c>
      <c r="D73" s="402">
        <v>46</v>
      </c>
      <c r="E73" s="437">
        <v>20</v>
      </c>
      <c r="F73" s="438">
        <v>253.5</v>
      </c>
      <c r="G73" s="483">
        <v>23.5</v>
      </c>
      <c r="H73" s="404">
        <f>G73*F73</f>
        <v>5957.25</v>
      </c>
      <c r="I73" s="483">
        <f>(E73/100)*H73</f>
        <v>1191.45</v>
      </c>
      <c r="J73" s="483"/>
      <c r="K73" s="405">
        <f>H73-I73</f>
        <v>4765.8</v>
      </c>
      <c r="L73" s="480"/>
    </row>
    <row r="74" spans="2:24" ht="16" thickBot="1">
      <c r="B74" s="484"/>
      <c r="C74" s="485"/>
      <c r="D74" s="486"/>
      <c r="E74" s="487"/>
      <c r="F74" s="488"/>
      <c r="G74" s="489"/>
      <c r="H74" s="490"/>
      <c r="I74" s="491"/>
      <c r="J74" s="492"/>
      <c r="K74" s="493"/>
      <c r="L74" s="480"/>
    </row>
    <row r="75" spans="2:24">
      <c r="B75" s="406"/>
      <c r="C75" s="407"/>
      <c r="D75" s="408"/>
      <c r="E75" s="409"/>
      <c r="F75" s="410"/>
      <c r="G75" s="411"/>
      <c r="H75" s="412"/>
      <c r="I75" s="494"/>
      <c r="J75" s="411"/>
      <c r="K75" s="413"/>
      <c r="L75" s="480"/>
    </row>
    <row r="76" spans="2:24">
      <c r="B76" s="414"/>
      <c r="C76" s="439" t="s">
        <v>291</v>
      </c>
      <c r="D76" s="402">
        <v>45</v>
      </c>
      <c r="E76" s="440">
        <v>20</v>
      </c>
      <c r="F76" s="441">
        <v>993.5</v>
      </c>
      <c r="G76" s="495">
        <v>25</v>
      </c>
      <c r="H76" s="417">
        <f>G76*F76</f>
        <v>24837.5</v>
      </c>
      <c r="I76" s="418">
        <f>(E76/100)*H76</f>
        <v>4967.5</v>
      </c>
      <c r="J76" s="495"/>
      <c r="K76" s="496">
        <f>H76-I76</f>
        <v>19870</v>
      </c>
      <c r="L76" s="480"/>
    </row>
    <row r="77" spans="2:24">
      <c r="B77" s="414"/>
      <c r="C77" s="439" t="s">
        <v>291</v>
      </c>
      <c r="D77" s="402">
        <v>46</v>
      </c>
      <c r="E77" s="440">
        <v>20</v>
      </c>
      <c r="F77" s="441">
        <v>982</v>
      </c>
      <c r="G77" s="416">
        <v>25</v>
      </c>
      <c r="H77" s="417">
        <f>G77*F77</f>
        <v>24550</v>
      </c>
      <c r="I77" s="418">
        <f>(E77/100)*H77</f>
        <v>4910</v>
      </c>
      <c r="J77" s="416"/>
      <c r="K77" s="496">
        <f>H77-I77</f>
        <v>19640</v>
      </c>
      <c r="L77" s="480"/>
    </row>
    <row r="78" spans="2:24" ht="16" thickBot="1">
      <c r="B78" s="419"/>
      <c r="C78" s="420"/>
      <c r="D78" s="421"/>
      <c r="E78" s="422"/>
      <c r="F78" s="423"/>
      <c r="G78" s="424"/>
      <c r="H78" s="425"/>
      <c r="I78" s="424"/>
      <c r="J78" s="424"/>
      <c r="K78" s="426"/>
      <c r="L78" s="480"/>
    </row>
    <row r="79" spans="2:24">
      <c r="B79" s="414"/>
      <c r="C79" s="439"/>
      <c r="D79" s="415"/>
      <c r="E79" s="440"/>
      <c r="F79" s="441"/>
      <c r="G79" s="416"/>
      <c r="H79" s="417"/>
      <c r="I79" s="416"/>
      <c r="J79" s="416"/>
      <c r="K79" s="496"/>
      <c r="L79" s="480"/>
    </row>
    <row r="80" spans="2:24">
      <c r="B80" s="401"/>
      <c r="C80" s="436" t="s">
        <v>278</v>
      </c>
      <c r="D80" s="402">
        <v>46</v>
      </c>
      <c r="E80" s="437">
        <v>20</v>
      </c>
      <c r="F80" s="438">
        <v>42.5</v>
      </c>
      <c r="G80" s="403">
        <v>25</v>
      </c>
      <c r="H80" s="404">
        <f>G80*F80</f>
        <v>1062.5</v>
      </c>
      <c r="I80" s="403">
        <f>(E80/100)*H80</f>
        <v>212.5</v>
      </c>
      <c r="J80" s="403"/>
      <c r="K80" s="405">
        <f>H80-I80</f>
        <v>850</v>
      </c>
      <c r="L80" s="480"/>
    </row>
    <row r="81" spans="2:16">
      <c r="B81" s="401"/>
      <c r="C81" s="436" t="s">
        <v>279</v>
      </c>
      <c r="D81" s="402">
        <v>46</v>
      </c>
      <c r="E81" s="437">
        <v>0</v>
      </c>
      <c r="F81" s="438">
        <v>42.5</v>
      </c>
      <c r="G81" s="483">
        <v>25</v>
      </c>
      <c r="H81" s="404">
        <f>G81*F81</f>
        <v>1062.5</v>
      </c>
      <c r="I81" s="483">
        <f>(E81/100)*H81</f>
        <v>0</v>
      </c>
      <c r="J81" s="483"/>
      <c r="K81" s="405">
        <f>H81-I81</f>
        <v>1062.5</v>
      </c>
      <c r="L81" s="480"/>
    </row>
    <row r="82" spans="2:16">
      <c r="B82" s="401"/>
      <c r="C82" s="436" t="s">
        <v>280</v>
      </c>
      <c r="D82" s="402">
        <v>46</v>
      </c>
      <c r="E82" s="437">
        <v>0</v>
      </c>
      <c r="F82" s="438">
        <v>50.5</v>
      </c>
      <c r="G82" s="403">
        <v>25</v>
      </c>
      <c r="H82" s="404">
        <f>G82*F82</f>
        <v>1262.5</v>
      </c>
      <c r="I82" s="403">
        <f>(E82/100)*H82</f>
        <v>0</v>
      </c>
      <c r="J82" s="403"/>
      <c r="K82" s="405">
        <f>H82-I82</f>
        <v>1262.5</v>
      </c>
      <c r="L82" s="480"/>
    </row>
    <row r="83" spans="2:16">
      <c r="B83" s="401"/>
      <c r="C83" s="436" t="s">
        <v>281</v>
      </c>
      <c r="D83" s="402">
        <v>46</v>
      </c>
      <c r="E83" s="437">
        <v>0</v>
      </c>
      <c r="F83" s="438">
        <v>40</v>
      </c>
      <c r="G83" s="483">
        <v>24</v>
      </c>
      <c r="H83" s="404">
        <f>G83*F83</f>
        <v>960</v>
      </c>
      <c r="I83" s="483">
        <f>(E83/100)*H83</f>
        <v>0</v>
      </c>
      <c r="J83" s="483"/>
      <c r="K83" s="405">
        <f>H83-I83</f>
        <v>960</v>
      </c>
      <c r="L83" s="480"/>
    </row>
    <row r="84" spans="2:16">
      <c r="B84" s="401"/>
      <c r="C84" s="436" t="s">
        <v>282</v>
      </c>
      <c r="D84" s="402">
        <v>46</v>
      </c>
      <c r="E84" s="437">
        <v>20</v>
      </c>
      <c r="F84" s="438">
        <v>40</v>
      </c>
      <c r="G84" s="403">
        <v>20</v>
      </c>
      <c r="H84" s="404">
        <f>G84*F84</f>
        <v>800</v>
      </c>
      <c r="I84" s="403">
        <f>(E84/100)*H84</f>
        <v>160</v>
      </c>
      <c r="J84" s="403"/>
      <c r="K84" s="405">
        <f>H84-I84</f>
        <v>640</v>
      </c>
      <c r="L84" s="480"/>
    </row>
    <row r="85" spans="2:16" ht="16" thickBot="1">
      <c r="B85" s="419"/>
      <c r="C85" s="420"/>
      <c r="D85" s="421"/>
      <c r="E85" s="422"/>
      <c r="F85" s="423"/>
      <c r="G85" s="424"/>
      <c r="H85" s="425"/>
      <c r="I85" s="424"/>
      <c r="J85" s="424"/>
      <c r="K85" s="426"/>
      <c r="L85" s="480"/>
    </row>
    <row r="86" spans="2:16" ht="27" thickBot="1">
      <c r="B86" s="401"/>
      <c r="C86" s="436"/>
      <c r="D86" s="497"/>
      <c r="E86" s="498"/>
      <c r="F86" s="497"/>
      <c r="G86" s="499"/>
      <c r="H86" s="500">
        <f>SUM(H71:H85)</f>
        <v>66437.75</v>
      </c>
      <c r="I86" s="501">
        <f>SUM(I71:I85)</f>
        <v>12630.55</v>
      </c>
      <c r="J86" s="502"/>
      <c r="K86" s="503">
        <f>SUM(K71:K85)</f>
        <v>53807.199999999997</v>
      </c>
      <c r="L86" s="480"/>
    </row>
    <row r="87" spans="2:16" ht="17" thickTop="1" thickBot="1">
      <c r="B87" s="401"/>
      <c r="C87" s="436"/>
      <c r="D87" s="497"/>
      <c r="E87" s="498"/>
      <c r="F87" s="497"/>
      <c r="G87" s="499"/>
      <c r="H87" s="504"/>
      <c r="I87" s="505"/>
      <c r="J87" s="505"/>
      <c r="K87" s="506"/>
      <c r="L87" s="480"/>
    </row>
    <row r="88" spans="2:16">
      <c r="B88" s="449" t="s">
        <v>240</v>
      </c>
      <c r="C88" s="450"/>
      <c r="D88" s="451" t="s">
        <v>292</v>
      </c>
      <c r="E88" s="452" t="s">
        <v>242</v>
      </c>
      <c r="F88" s="452" t="s">
        <v>243</v>
      </c>
      <c r="G88" s="452" t="s">
        <v>244</v>
      </c>
      <c r="H88" s="452" t="s">
        <v>245</v>
      </c>
      <c r="I88" s="450"/>
      <c r="J88" s="450"/>
      <c r="K88" s="452" t="s">
        <v>246</v>
      </c>
      <c r="L88" s="450"/>
      <c r="M88" s="452" t="s">
        <v>247</v>
      </c>
      <c r="N88" s="452" t="s">
        <v>248</v>
      </c>
      <c r="O88" s="452" t="s">
        <v>249</v>
      </c>
      <c r="P88" s="453" t="s">
        <v>246</v>
      </c>
    </row>
    <row r="89" spans="2:16">
      <c r="B89" s="454"/>
      <c r="C89" s="455" t="s">
        <v>250</v>
      </c>
      <c r="D89" s="456"/>
      <c r="E89" s="457" t="s">
        <v>251</v>
      </c>
      <c r="F89" s="457" t="s">
        <v>252</v>
      </c>
      <c r="G89" s="456"/>
      <c r="H89" s="456"/>
      <c r="I89" s="457" t="s">
        <v>253</v>
      </c>
      <c r="J89" s="457" t="s">
        <v>254</v>
      </c>
      <c r="K89" s="457" t="s">
        <v>255</v>
      </c>
      <c r="L89" s="457" t="s">
        <v>256</v>
      </c>
      <c r="M89" s="456"/>
      <c r="N89" s="456"/>
      <c r="O89" s="457" t="s">
        <v>251</v>
      </c>
      <c r="P89" s="458" t="s">
        <v>257</v>
      </c>
    </row>
    <row r="90" spans="2:16">
      <c r="B90" s="454"/>
      <c r="C90" s="456"/>
      <c r="D90" s="456"/>
      <c r="E90" s="456"/>
      <c r="F90" s="456"/>
      <c r="G90" s="456"/>
      <c r="H90" s="456"/>
      <c r="I90" s="456"/>
      <c r="J90" s="456"/>
      <c r="K90" s="456"/>
      <c r="L90" s="456"/>
      <c r="M90" s="456"/>
      <c r="N90" s="456"/>
      <c r="O90" s="456"/>
      <c r="P90" s="459"/>
    </row>
    <row r="91" spans="2:16">
      <c r="B91" s="460">
        <v>45253</v>
      </c>
      <c r="C91" s="461" t="s">
        <v>258</v>
      </c>
      <c r="D91" s="456"/>
      <c r="E91" s="462">
        <v>651</v>
      </c>
      <c r="F91" s="462">
        <v>0</v>
      </c>
      <c r="G91" s="462">
        <v>0</v>
      </c>
      <c r="H91" s="462">
        <v>19.100000000000001</v>
      </c>
      <c r="I91" s="462">
        <v>39.74</v>
      </c>
      <c r="J91" s="462">
        <v>14.8</v>
      </c>
      <c r="K91" s="462">
        <v>26.04</v>
      </c>
      <c r="L91" s="462">
        <v>0</v>
      </c>
      <c r="M91" s="462">
        <v>84</v>
      </c>
      <c r="N91" s="462">
        <v>7.2</v>
      </c>
      <c r="O91" s="463">
        <v>628.12</v>
      </c>
      <c r="P91" s="464">
        <v>71.94</v>
      </c>
    </row>
    <row r="92" spans="2:16">
      <c r="B92" s="460">
        <v>45253</v>
      </c>
      <c r="C92" s="461" t="s">
        <v>259</v>
      </c>
      <c r="D92" s="456"/>
      <c r="E92" s="462">
        <v>819</v>
      </c>
      <c r="F92" s="462">
        <v>0</v>
      </c>
      <c r="G92" s="462">
        <v>0</v>
      </c>
      <c r="H92" s="462">
        <v>19.100000000000001</v>
      </c>
      <c r="I92" s="462">
        <v>82.77</v>
      </c>
      <c r="J92" s="462">
        <v>22.36</v>
      </c>
      <c r="K92" s="462">
        <v>32.76</v>
      </c>
      <c r="L92" s="462">
        <v>0</v>
      </c>
      <c r="M92" s="462">
        <v>105</v>
      </c>
      <c r="N92" s="462">
        <v>7.2</v>
      </c>
      <c r="O92" s="463">
        <v>759.81</v>
      </c>
      <c r="P92" s="464">
        <v>90.5</v>
      </c>
    </row>
    <row r="93" spans="2:16">
      <c r="B93" s="460">
        <v>45253</v>
      </c>
      <c r="C93" s="461" t="s">
        <v>260</v>
      </c>
      <c r="D93" s="456"/>
      <c r="E93" s="462">
        <v>819</v>
      </c>
      <c r="F93" s="462">
        <v>0</v>
      </c>
      <c r="G93" s="462">
        <v>0</v>
      </c>
      <c r="H93" s="462">
        <v>19.100000000000001</v>
      </c>
      <c r="I93" s="462">
        <v>94.66</v>
      </c>
      <c r="J93" s="462">
        <v>22.36</v>
      </c>
      <c r="K93" s="462">
        <v>32.76</v>
      </c>
      <c r="L93" s="462">
        <v>0</v>
      </c>
      <c r="M93" s="462">
        <v>105</v>
      </c>
      <c r="N93" s="462">
        <v>7.2</v>
      </c>
      <c r="O93" s="463">
        <v>747.92</v>
      </c>
      <c r="P93" s="464">
        <v>90.5</v>
      </c>
    </row>
    <row r="94" spans="2:16">
      <c r="B94" s="460">
        <v>45253</v>
      </c>
      <c r="C94" s="461" t="s">
        <v>261</v>
      </c>
      <c r="D94" s="456"/>
      <c r="E94" s="462">
        <v>819</v>
      </c>
      <c r="F94" s="462">
        <v>0</v>
      </c>
      <c r="G94" s="462">
        <v>0</v>
      </c>
      <c r="H94" s="462">
        <v>19.100000000000001</v>
      </c>
      <c r="I94" s="462">
        <v>74.88</v>
      </c>
      <c r="J94" s="462">
        <v>22.36</v>
      </c>
      <c r="K94" s="462">
        <v>32.76</v>
      </c>
      <c r="L94" s="462">
        <v>0</v>
      </c>
      <c r="M94" s="462">
        <v>105</v>
      </c>
      <c r="N94" s="462">
        <v>7.2</v>
      </c>
      <c r="O94" s="463">
        <v>767.7</v>
      </c>
      <c r="P94" s="464">
        <v>90.5</v>
      </c>
    </row>
    <row r="95" spans="2:16">
      <c r="B95" s="460">
        <v>45253</v>
      </c>
      <c r="C95" s="461" t="s">
        <v>262</v>
      </c>
      <c r="D95" s="456"/>
      <c r="E95" s="462">
        <v>819</v>
      </c>
      <c r="F95" s="462">
        <v>0</v>
      </c>
      <c r="G95" s="462">
        <v>0</v>
      </c>
      <c r="H95" s="462">
        <v>19.100000000000001</v>
      </c>
      <c r="I95" s="462">
        <v>96.41</v>
      </c>
      <c r="J95" s="462">
        <v>22.36</v>
      </c>
      <c r="K95" s="462">
        <v>32.76</v>
      </c>
      <c r="L95" s="462">
        <v>0</v>
      </c>
      <c r="M95" s="462">
        <v>105</v>
      </c>
      <c r="N95" s="462">
        <v>7.2</v>
      </c>
      <c r="O95" s="463">
        <v>746.17</v>
      </c>
      <c r="P95" s="464">
        <v>90.5</v>
      </c>
    </row>
    <row r="96" spans="2:16">
      <c r="B96" s="460">
        <v>45253</v>
      </c>
      <c r="C96" s="461" t="s">
        <v>263</v>
      </c>
      <c r="D96" s="456"/>
      <c r="E96" s="462">
        <v>819</v>
      </c>
      <c r="F96" s="462">
        <v>0</v>
      </c>
      <c r="G96" s="462">
        <v>0</v>
      </c>
      <c r="H96" s="462">
        <v>19.100000000000001</v>
      </c>
      <c r="I96" s="462">
        <v>98.55</v>
      </c>
      <c r="J96" s="462">
        <v>22.36</v>
      </c>
      <c r="K96" s="462">
        <v>32.76</v>
      </c>
      <c r="L96" s="462">
        <v>0</v>
      </c>
      <c r="M96" s="462">
        <v>105</v>
      </c>
      <c r="N96" s="462">
        <v>7.2</v>
      </c>
      <c r="O96" s="463">
        <v>744.03</v>
      </c>
      <c r="P96" s="464">
        <v>90.5</v>
      </c>
    </row>
    <row r="97" spans="2:24">
      <c r="B97" s="460">
        <v>45253</v>
      </c>
      <c r="C97" s="461" t="s">
        <v>264</v>
      </c>
      <c r="D97" s="456"/>
      <c r="E97" s="462">
        <v>651</v>
      </c>
      <c r="F97" s="462">
        <v>0</v>
      </c>
      <c r="G97" s="462">
        <v>0</v>
      </c>
      <c r="H97" s="462">
        <v>19.100000000000001</v>
      </c>
      <c r="I97" s="462">
        <v>30.65</v>
      </c>
      <c r="J97" s="462">
        <v>14.8</v>
      </c>
      <c r="K97" s="462">
        <v>26.04</v>
      </c>
      <c r="L97" s="462">
        <v>0</v>
      </c>
      <c r="M97" s="462">
        <v>84</v>
      </c>
      <c r="N97" s="462">
        <v>7.2</v>
      </c>
      <c r="O97" s="463">
        <v>637.21</v>
      </c>
      <c r="P97" s="464">
        <v>71.94</v>
      </c>
    </row>
    <row r="98" spans="2:24">
      <c r="B98" s="460">
        <v>45253</v>
      </c>
      <c r="C98" s="461" t="s">
        <v>265</v>
      </c>
      <c r="D98" s="456"/>
      <c r="E98" s="507">
        <v>780</v>
      </c>
      <c r="F98" s="462">
        <v>0</v>
      </c>
      <c r="G98" s="462">
        <v>0</v>
      </c>
      <c r="H98" s="462">
        <v>0</v>
      </c>
      <c r="I98" s="462">
        <v>55.04</v>
      </c>
      <c r="J98" s="462">
        <v>20.6</v>
      </c>
      <c r="K98" s="462">
        <v>31.2</v>
      </c>
      <c r="L98" s="462">
        <v>0</v>
      </c>
      <c r="M98" s="462">
        <v>100</v>
      </c>
      <c r="N98" s="462">
        <v>0</v>
      </c>
      <c r="O98" s="470">
        <v>773.16</v>
      </c>
      <c r="P98" s="464">
        <v>86.19</v>
      </c>
    </row>
    <row r="99" spans="2:24">
      <c r="B99" s="460">
        <v>45253</v>
      </c>
      <c r="C99" s="461" t="s">
        <v>266</v>
      </c>
      <c r="D99" s="456"/>
      <c r="E99" s="462">
        <v>819</v>
      </c>
      <c r="F99" s="462">
        <v>0</v>
      </c>
      <c r="G99" s="462">
        <v>0</v>
      </c>
      <c r="H99" s="462">
        <v>19.100000000000001</v>
      </c>
      <c r="I99" s="462">
        <v>59.02</v>
      </c>
      <c r="J99" s="462">
        <v>22.36</v>
      </c>
      <c r="K99" s="462">
        <v>32.76</v>
      </c>
      <c r="L99" s="462">
        <v>0</v>
      </c>
      <c r="M99" s="462">
        <v>105</v>
      </c>
      <c r="N99" s="462">
        <v>7.2</v>
      </c>
      <c r="O99" s="463">
        <v>783.56</v>
      </c>
      <c r="P99" s="464">
        <v>90.5</v>
      </c>
    </row>
    <row r="100" spans="2:24">
      <c r="B100" s="460">
        <v>45253</v>
      </c>
      <c r="C100" s="461" t="s">
        <v>267</v>
      </c>
      <c r="D100" s="456"/>
      <c r="E100" s="462">
        <v>819</v>
      </c>
      <c r="F100" s="462">
        <v>0</v>
      </c>
      <c r="G100" s="462">
        <v>0</v>
      </c>
      <c r="H100" s="462">
        <v>19.100000000000001</v>
      </c>
      <c r="I100" s="462">
        <v>24.88</v>
      </c>
      <c r="J100" s="462">
        <v>22.36</v>
      </c>
      <c r="K100" s="462">
        <v>32.76</v>
      </c>
      <c r="L100" s="462">
        <v>0</v>
      </c>
      <c r="M100" s="462">
        <v>105</v>
      </c>
      <c r="N100" s="462">
        <v>7.2</v>
      </c>
      <c r="O100" s="463">
        <v>817.7</v>
      </c>
      <c r="P100" s="464">
        <v>90.5</v>
      </c>
    </row>
    <row r="101" spans="2:24">
      <c r="B101" s="460">
        <v>45253</v>
      </c>
      <c r="C101" s="461" t="s">
        <v>268</v>
      </c>
      <c r="D101" s="456"/>
      <c r="E101" s="507">
        <v>1153.8499999999999</v>
      </c>
      <c r="F101" s="462">
        <v>0</v>
      </c>
      <c r="G101" s="462">
        <v>0</v>
      </c>
      <c r="H101" s="462">
        <v>0</v>
      </c>
      <c r="I101" s="462">
        <v>239.43</v>
      </c>
      <c r="J101" s="462">
        <v>37.42</v>
      </c>
      <c r="K101" s="462">
        <v>46.15</v>
      </c>
      <c r="L101" s="462">
        <v>0</v>
      </c>
      <c r="M101" s="462">
        <v>75</v>
      </c>
      <c r="N101" s="462">
        <v>0</v>
      </c>
      <c r="O101" s="470">
        <v>905.85</v>
      </c>
      <c r="P101" s="464">
        <v>127.5</v>
      </c>
    </row>
    <row r="102" spans="2:24">
      <c r="B102" s="460">
        <v>45253</v>
      </c>
      <c r="C102" s="461" t="s">
        <v>269</v>
      </c>
      <c r="D102" s="456"/>
      <c r="E102" s="462">
        <v>897</v>
      </c>
      <c r="F102" s="462">
        <v>0</v>
      </c>
      <c r="G102" s="462">
        <v>0</v>
      </c>
      <c r="H102" s="462">
        <v>19.100000000000001</v>
      </c>
      <c r="I102" s="462">
        <v>93.8</v>
      </c>
      <c r="J102" s="462">
        <v>25.87</v>
      </c>
      <c r="K102" s="462">
        <v>35.880000000000003</v>
      </c>
      <c r="L102" s="462">
        <v>0</v>
      </c>
      <c r="M102" s="462">
        <v>180</v>
      </c>
      <c r="N102" s="462">
        <v>7.2</v>
      </c>
      <c r="O102" s="463">
        <v>895.15</v>
      </c>
      <c r="P102" s="464">
        <v>99.12</v>
      </c>
    </row>
    <row r="103" spans="2:24">
      <c r="B103" s="454"/>
      <c r="C103" s="456"/>
      <c r="D103" s="456"/>
      <c r="E103" s="456"/>
      <c r="F103" s="456"/>
      <c r="G103" s="456"/>
      <c r="H103" s="456"/>
      <c r="I103" s="456"/>
      <c r="J103" s="456"/>
      <c r="K103" s="456"/>
      <c r="L103" s="456"/>
      <c r="M103" s="456"/>
      <c r="N103" s="456"/>
      <c r="O103" s="456"/>
      <c r="P103" s="459"/>
    </row>
    <row r="104" spans="2:24" ht="16" thickBot="1">
      <c r="B104" s="465" t="s">
        <v>270</v>
      </c>
      <c r="C104" s="466"/>
      <c r="D104" s="466"/>
      <c r="E104" s="467">
        <v>9865.85</v>
      </c>
      <c r="F104" s="467">
        <v>0</v>
      </c>
      <c r="G104" s="467">
        <v>0</v>
      </c>
      <c r="H104" s="467">
        <v>191.00000000000003</v>
      </c>
      <c r="I104" s="467">
        <v>989.83</v>
      </c>
      <c r="J104" s="467">
        <v>270.01</v>
      </c>
      <c r="K104" s="467">
        <v>394.63</v>
      </c>
      <c r="L104" s="467">
        <v>0</v>
      </c>
      <c r="M104" s="467">
        <v>1258</v>
      </c>
      <c r="N104" s="467">
        <v>72</v>
      </c>
      <c r="O104" s="467">
        <v>9206.3799999999992</v>
      </c>
      <c r="P104" s="468">
        <v>1090.19</v>
      </c>
    </row>
    <row r="107" spans="2:24" ht="48" thickBot="1">
      <c r="B107" s="472"/>
      <c r="C107" s="473" t="s">
        <v>287</v>
      </c>
      <c r="D107" s="474" t="s">
        <v>288</v>
      </c>
      <c r="E107" s="475">
        <v>47</v>
      </c>
      <c r="F107" s="476" t="s">
        <v>289</v>
      </c>
      <c r="G107" s="477">
        <f>E107+1</f>
        <v>48</v>
      </c>
      <c r="H107" s="478"/>
      <c r="I107" s="478"/>
      <c r="J107" s="478"/>
      <c r="K107" s="478"/>
      <c r="L107" s="479"/>
      <c r="M107" s="479"/>
      <c r="N107" s="479"/>
      <c r="O107" s="479"/>
      <c r="P107" s="478"/>
      <c r="Q107" s="478"/>
      <c r="R107" s="478"/>
      <c r="S107" s="478"/>
      <c r="T107" s="478"/>
      <c r="U107" s="478"/>
      <c r="V107" s="478"/>
      <c r="W107" s="478"/>
      <c r="X107" s="478"/>
    </row>
    <row r="108" spans="2:24">
      <c r="B108" s="392"/>
      <c r="C108" s="393"/>
      <c r="D108" s="394"/>
      <c r="E108" s="395" t="s">
        <v>272</v>
      </c>
      <c r="F108" s="396" t="s">
        <v>273</v>
      </c>
      <c r="G108" s="397" t="s">
        <v>274</v>
      </c>
      <c r="H108" s="398" t="s">
        <v>275</v>
      </c>
      <c r="I108" s="399" t="s">
        <v>276</v>
      </c>
      <c r="J108" s="399"/>
      <c r="K108" s="400" t="s">
        <v>277</v>
      </c>
      <c r="L108" s="480"/>
    </row>
    <row r="109" spans="2:24">
      <c r="B109" s="401"/>
      <c r="C109" s="436" t="s">
        <v>278</v>
      </c>
      <c r="D109" s="402">
        <v>47</v>
      </c>
      <c r="E109" s="437">
        <v>20</v>
      </c>
      <c r="F109" s="438">
        <v>55.5</v>
      </c>
      <c r="G109" s="403">
        <v>25</v>
      </c>
      <c r="H109" s="404">
        <f>G109*F109</f>
        <v>1387.5</v>
      </c>
      <c r="I109" s="403">
        <f>(E109/100)*H109</f>
        <v>277.5</v>
      </c>
      <c r="J109" s="403"/>
      <c r="K109" s="405">
        <f>H109-I109</f>
        <v>1110</v>
      </c>
      <c r="L109" s="480"/>
    </row>
    <row r="110" spans="2:24">
      <c r="B110" s="401"/>
      <c r="C110" s="436" t="s">
        <v>279</v>
      </c>
      <c r="D110" s="402">
        <v>47</v>
      </c>
      <c r="E110" s="437">
        <v>0</v>
      </c>
      <c r="F110" s="438">
        <v>42.5</v>
      </c>
      <c r="G110" s="403">
        <v>25</v>
      </c>
      <c r="H110" s="404">
        <f>G110*F110</f>
        <v>1062.5</v>
      </c>
      <c r="I110" s="403">
        <f>(E110/100)*H110</f>
        <v>0</v>
      </c>
      <c r="J110" s="403"/>
      <c r="K110" s="405">
        <f>H110-I110</f>
        <v>1062.5</v>
      </c>
      <c r="L110" s="480"/>
    </row>
    <row r="111" spans="2:24">
      <c r="B111" s="401"/>
      <c r="C111" s="436" t="s">
        <v>280</v>
      </c>
      <c r="D111" s="402">
        <v>47</v>
      </c>
      <c r="E111" s="437">
        <v>0</v>
      </c>
      <c r="F111" s="438">
        <v>50.5</v>
      </c>
      <c r="G111" s="403">
        <v>25</v>
      </c>
      <c r="H111" s="404">
        <f>G111*F111</f>
        <v>1262.5</v>
      </c>
      <c r="I111" s="403">
        <f>(E111/100)*H111</f>
        <v>0</v>
      </c>
      <c r="J111" s="403"/>
      <c r="K111" s="405">
        <f>H111-I111</f>
        <v>1262.5</v>
      </c>
      <c r="L111" s="480"/>
    </row>
    <row r="112" spans="2:24">
      <c r="B112" s="401"/>
      <c r="C112" s="436" t="s">
        <v>281</v>
      </c>
      <c r="D112" s="402">
        <v>47</v>
      </c>
      <c r="E112" s="437">
        <v>0</v>
      </c>
      <c r="F112" s="438">
        <v>55.5</v>
      </c>
      <c r="G112" s="483">
        <v>24</v>
      </c>
      <c r="H112" s="404">
        <f>G112*F112</f>
        <v>1332</v>
      </c>
      <c r="I112" s="483">
        <f>(E112/100)*H112</f>
        <v>0</v>
      </c>
      <c r="J112" s="483"/>
      <c r="K112" s="405">
        <f>H112-I112</f>
        <v>1332</v>
      </c>
      <c r="L112" s="480"/>
    </row>
    <row r="113" spans="2:20">
      <c r="B113" s="401"/>
      <c r="C113" s="436" t="s">
        <v>282</v>
      </c>
      <c r="D113" s="402">
        <v>47</v>
      </c>
      <c r="E113" s="437">
        <v>20</v>
      </c>
      <c r="F113" s="438">
        <v>55.5</v>
      </c>
      <c r="G113" s="403">
        <v>20</v>
      </c>
      <c r="H113" s="404">
        <f>G113*F113</f>
        <v>1110</v>
      </c>
      <c r="I113" s="403">
        <f>(E113/100)*H113</f>
        <v>222</v>
      </c>
      <c r="J113" s="403"/>
      <c r="K113" s="405">
        <f>H113-I113</f>
        <v>888</v>
      </c>
      <c r="L113" s="480"/>
    </row>
    <row r="114" spans="2:20" ht="16" thickBot="1">
      <c r="B114" s="419"/>
      <c r="C114" s="420"/>
      <c r="D114" s="421"/>
      <c r="E114" s="422"/>
      <c r="F114" s="423"/>
      <c r="G114" s="424"/>
      <c r="H114" s="425"/>
      <c r="I114" s="424"/>
      <c r="J114" s="424"/>
      <c r="K114" s="426"/>
      <c r="L114" s="480"/>
    </row>
    <row r="115" spans="2:20">
      <c r="B115" s="414"/>
      <c r="C115" s="439"/>
      <c r="D115" s="510"/>
      <c r="E115" s="440"/>
      <c r="F115" s="441"/>
      <c r="G115" s="416"/>
      <c r="H115" s="511"/>
      <c r="I115" s="416"/>
      <c r="J115" s="416"/>
      <c r="K115" s="496"/>
      <c r="L115" s="480"/>
    </row>
    <row r="116" spans="2:20">
      <c r="B116" s="414"/>
      <c r="C116" s="439" t="s">
        <v>293</v>
      </c>
      <c r="D116" s="510"/>
      <c r="E116" s="440">
        <v>0</v>
      </c>
      <c r="F116" s="441"/>
      <c r="G116" s="416"/>
      <c r="H116" s="511">
        <v>3120</v>
      </c>
      <c r="I116" s="416">
        <f>(E116/100)*H116</f>
        <v>0</v>
      </c>
      <c r="J116" s="416"/>
      <c r="K116" s="496">
        <f>H116-I116</f>
        <v>3120</v>
      </c>
      <c r="L116" s="480"/>
    </row>
    <row r="117" spans="2:20" ht="16" thickBot="1">
      <c r="B117" s="414"/>
      <c r="C117" s="439"/>
      <c r="D117" s="510"/>
      <c r="E117" s="440"/>
      <c r="F117" s="441"/>
      <c r="G117" s="416"/>
      <c r="H117" s="511"/>
      <c r="I117" s="416"/>
      <c r="J117" s="416"/>
      <c r="K117" s="496"/>
      <c r="L117" s="480"/>
    </row>
    <row r="118" spans="2:20" ht="27" thickBot="1">
      <c r="B118" s="427"/>
      <c r="C118" s="428"/>
      <c r="D118" s="429"/>
      <c r="E118" s="430"/>
      <c r="F118" s="429"/>
      <c r="G118" s="431"/>
      <c r="H118" s="432">
        <f>SUM(H108:H117)</f>
        <v>9274.5</v>
      </c>
      <c r="I118" s="433">
        <f>SUM(I108:I117)</f>
        <v>499.5</v>
      </c>
      <c r="J118" s="434"/>
      <c r="K118" s="435">
        <f>SUM(K108:K117)</f>
        <v>8775</v>
      </c>
      <c r="L118" s="480"/>
    </row>
    <row r="119" spans="2:20" ht="17" thickTop="1" thickBot="1">
      <c r="B119" s="401"/>
      <c r="C119" s="436"/>
      <c r="D119" s="497"/>
      <c r="E119" s="498"/>
      <c r="F119" s="497"/>
      <c r="G119" s="499"/>
      <c r="H119" s="508"/>
      <c r="I119" s="508"/>
      <c r="J119" s="497"/>
      <c r="K119" s="509"/>
      <c r="L119" s="480"/>
    </row>
    <row r="120" spans="2:20">
      <c r="B120" s="449" t="s">
        <v>240</v>
      </c>
      <c r="C120" s="450"/>
      <c r="D120" s="451" t="s">
        <v>294</v>
      </c>
      <c r="E120" s="452" t="s">
        <v>242</v>
      </c>
      <c r="F120" s="452" t="s">
        <v>243</v>
      </c>
      <c r="G120" s="452" t="s">
        <v>244</v>
      </c>
      <c r="H120" s="452" t="s">
        <v>245</v>
      </c>
      <c r="I120" s="450"/>
      <c r="J120" s="450"/>
      <c r="K120" s="452" t="s">
        <v>246</v>
      </c>
      <c r="L120" s="450"/>
      <c r="M120" s="452" t="s">
        <v>247</v>
      </c>
      <c r="N120" s="452" t="s">
        <v>248</v>
      </c>
      <c r="O120" s="452" t="s">
        <v>249</v>
      </c>
      <c r="P120" s="453" t="s">
        <v>246</v>
      </c>
    </row>
    <row r="121" spans="2:20">
      <c r="B121" s="454"/>
      <c r="C121" s="455" t="s">
        <v>250</v>
      </c>
      <c r="D121" s="456"/>
      <c r="E121" s="457" t="s">
        <v>251</v>
      </c>
      <c r="F121" s="457" t="s">
        <v>252</v>
      </c>
      <c r="G121" s="456"/>
      <c r="H121" s="456"/>
      <c r="I121" s="457" t="s">
        <v>253</v>
      </c>
      <c r="J121" s="457" t="s">
        <v>254</v>
      </c>
      <c r="K121" s="457" t="s">
        <v>255</v>
      </c>
      <c r="L121" s="457" t="s">
        <v>256</v>
      </c>
      <c r="M121" s="456"/>
      <c r="N121" s="456"/>
      <c r="O121" s="457" t="s">
        <v>251</v>
      </c>
      <c r="P121" s="458" t="s">
        <v>257</v>
      </c>
    </row>
    <row r="122" spans="2:20">
      <c r="B122" s="454"/>
      <c r="C122" s="456"/>
      <c r="D122" s="456"/>
      <c r="E122" s="456"/>
      <c r="F122" s="456"/>
      <c r="G122" s="456"/>
      <c r="H122" s="456"/>
      <c r="I122" s="456"/>
      <c r="J122" s="456"/>
      <c r="K122" s="456"/>
      <c r="L122" s="456"/>
      <c r="M122" s="456"/>
      <c r="N122" s="456"/>
      <c r="O122" s="456"/>
      <c r="P122" s="459"/>
      <c r="T122" s="37"/>
    </row>
    <row r="123" spans="2:20">
      <c r="B123" s="460">
        <v>45260</v>
      </c>
      <c r="C123" s="461" t="s">
        <v>258</v>
      </c>
      <c r="D123" s="456"/>
      <c r="E123" s="462">
        <v>819</v>
      </c>
      <c r="F123" s="462">
        <v>0</v>
      </c>
      <c r="G123" s="462">
        <v>0</v>
      </c>
      <c r="H123" s="462">
        <v>19.100000000000001</v>
      </c>
      <c r="I123" s="462">
        <v>73.349999999999994</v>
      </c>
      <c r="J123" s="462">
        <v>22.38</v>
      </c>
      <c r="K123" s="462">
        <v>32.76</v>
      </c>
      <c r="L123" s="462">
        <v>0</v>
      </c>
      <c r="M123" s="462">
        <v>105</v>
      </c>
      <c r="N123" s="462">
        <v>7.2</v>
      </c>
      <c r="O123" s="463">
        <v>769.21</v>
      </c>
      <c r="P123" s="464">
        <v>90.5</v>
      </c>
    </row>
    <row r="124" spans="2:20">
      <c r="B124" s="460">
        <v>45260</v>
      </c>
      <c r="C124" s="461" t="s">
        <v>259</v>
      </c>
      <c r="D124" s="456"/>
      <c r="E124" s="462">
        <v>819</v>
      </c>
      <c r="F124" s="462">
        <v>0</v>
      </c>
      <c r="G124" s="462">
        <v>0</v>
      </c>
      <c r="H124" s="462">
        <v>19.100000000000001</v>
      </c>
      <c r="I124" s="462">
        <v>82.77</v>
      </c>
      <c r="J124" s="462">
        <v>22.38</v>
      </c>
      <c r="K124" s="462">
        <v>32.76</v>
      </c>
      <c r="L124" s="462">
        <v>0</v>
      </c>
      <c r="M124" s="462">
        <v>105</v>
      </c>
      <c r="N124" s="462">
        <v>7.2</v>
      </c>
      <c r="O124" s="463">
        <v>759.79</v>
      </c>
      <c r="P124" s="464">
        <v>90.5</v>
      </c>
      <c r="T124" s="471" t="s">
        <v>0</v>
      </c>
    </row>
    <row r="125" spans="2:20">
      <c r="B125" s="460">
        <v>45260</v>
      </c>
      <c r="C125" s="461" t="s">
        <v>260</v>
      </c>
      <c r="D125" s="456"/>
      <c r="E125" s="462">
        <v>819</v>
      </c>
      <c r="F125" s="462">
        <v>0</v>
      </c>
      <c r="G125" s="462">
        <v>0</v>
      </c>
      <c r="H125" s="462">
        <v>19.100000000000001</v>
      </c>
      <c r="I125" s="462">
        <v>94.68</v>
      </c>
      <c r="J125" s="462">
        <v>22.38</v>
      </c>
      <c r="K125" s="462">
        <v>32.76</v>
      </c>
      <c r="L125" s="462">
        <v>0</v>
      </c>
      <c r="M125" s="462">
        <v>105</v>
      </c>
      <c r="N125" s="462">
        <v>7.2</v>
      </c>
      <c r="O125" s="463">
        <v>747.88</v>
      </c>
      <c r="P125" s="464">
        <v>90.5</v>
      </c>
    </row>
    <row r="126" spans="2:20">
      <c r="B126" s="460">
        <v>45260</v>
      </c>
      <c r="C126" s="461" t="s">
        <v>261</v>
      </c>
      <c r="D126" s="456"/>
      <c r="E126" s="462">
        <v>819</v>
      </c>
      <c r="F126" s="462">
        <v>0</v>
      </c>
      <c r="G126" s="462">
        <v>0</v>
      </c>
      <c r="H126" s="462">
        <v>19.100000000000001</v>
      </c>
      <c r="I126" s="462">
        <v>74.88</v>
      </c>
      <c r="J126" s="462">
        <v>22.38</v>
      </c>
      <c r="K126" s="462">
        <v>32.76</v>
      </c>
      <c r="L126" s="462">
        <v>0</v>
      </c>
      <c r="M126" s="462">
        <v>105</v>
      </c>
      <c r="N126" s="462">
        <v>7.2</v>
      </c>
      <c r="O126" s="463">
        <v>767.68</v>
      </c>
      <c r="P126" s="464">
        <v>90.5</v>
      </c>
    </row>
    <row r="127" spans="2:20">
      <c r="B127" s="460">
        <v>45260</v>
      </c>
      <c r="C127" s="461" t="s">
        <v>262</v>
      </c>
      <c r="D127" s="456"/>
      <c r="E127" s="462">
        <v>819</v>
      </c>
      <c r="F127" s="462">
        <v>0</v>
      </c>
      <c r="G127" s="462">
        <v>0</v>
      </c>
      <c r="H127" s="462">
        <v>19.100000000000001</v>
      </c>
      <c r="I127" s="462">
        <v>96.4</v>
      </c>
      <c r="J127" s="462">
        <v>22.38</v>
      </c>
      <c r="K127" s="462">
        <v>32.76</v>
      </c>
      <c r="L127" s="462">
        <v>0</v>
      </c>
      <c r="M127" s="462">
        <v>105</v>
      </c>
      <c r="N127" s="462">
        <v>7.2</v>
      </c>
      <c r="O127" s="463">
        <v>746.16</v>
      </c>
      <c r="P127" s="464">
        <v>90.5</v>
      </c>
    </row>
    <row r="128" spans="2:20">
      <c r="B128" s="460">
        <v>45260</v>
      </c>
      <c r="C128" s="461" t="s">
        <v>263</v>
      </c>
      <c r="D128" s="456"/>
      <c r="E128" s="462">
        <v>819</v>
      </c>
      <c r="F128" s="462">
        <v>0</v>
      </c>
      <c r="G128" s="462">
        <v>0</v>
      </c>
      <c r="H128" s="462">
        <v>19.100000000000001</v>
      </c>
      <c r="I128" s="462">
        <v>98.55</v>
      </c>
      <c r="J128" s="462">
        <v>22.38</v>
      </c>
      <c r="K128" s="462">
        <v>32.76</v>
      </c>
      <c r="L128" s="462">
        <v>0</v>
      </c>
      <c r="M128" s="462">
        <v>105</v>
      </c>
      <c r="N128" s="462">
        <v>7.2</v>
      </c>
      <c r="O128" s="463">
        <v>744.01</v>
      </c>
      <c r="P128" s="464">
        <v>90.5</v>
      </c>
    </row>
    <row r="129" spans="2:16">
      <c r="B129" s="460">
        <v>45260</v>
      </c>
      <c r="C129" s="461" t="s">
        <v>264</v>
      </c>
      <c r="D129" s="456"/>
      <c r="E129" s="462">
        <v>819</v>
      </c>
      <c r="F129" s="462">
        <v>0</v>
      </c>
      <c r="G129" s="462">
        <v>0</v>
      </c>
      <c r="H129" s="462">
        <v>19.100000000000001</v>
      </c>
      <c r="I129" s="462">
        <v>97.85</v>
      </c>
      <c r="J129" s="462">
        <v>22.38</v>
      </c>
      <c r="K129" s="462">
        <v>32.76</v>
      </c>
      <c r="L129" s="462">
        <v>0</v>
      </c>
      <c r="M129" s="462">
        <v>105</v>
      </c>
      <c r="N129" s="462">
        <v>7.2</v>
      </c>
      <c r="O129" s="463">
        <v>744.71</v>
      </c>
      <c r="P129" s="464">
        <v>90.5</v>
      </c>
    </row>
    <row r="130" spans="2:16">
      <c r="B130" s="460">
        <v>45260</v>
      </c>
      <c r="C130" s="461" t="s">
        <v>265</v>
      </c>
      <c r="D130" s="456"/>
      <c r="E130" s="462">
        <v>780</v>
      </c>
      <c r="F130" s="462">
        <v>0</v>
      </c>
      <c r="G130" s="462">
        <v>0</v>
      </c>
      <c r="H130" s="462">
        <v>0</v>
      </c>
      <c r="I130" s="462">
        <v>55.04</v>
      </c>
      <c r="J130" s="462">
        <v>20.63</v>
      </c>
      <c r="K130" s="462">
        <v>31.2</v>
      </c>
      <c r="L130" s="462">
        <v>0</v>
      </c>
      <c r="M130" s="462">
        <v>100</v>
      </c>
      <c r="N130" s="462">
        <v>0</v>
      </c>
      <c r="O130" s="463">
        <v>773.13</v>
      </c>
      <c r="P130" s="464">
        <v>86.19</v>
      </c>
    </row>
    <row r="131" spans="2:16">
      <c r="B131" s="460">
        <v>45260</v>
      </c>
      <c r="C131" s="461" t="s">
        <v>266</v>
      </c>
      <c r="D131" s="456"/>
      <c r="E131" s="462">
        <v>819</v>
      </c>
      <c r="F131" s="462">
        <v>0</v>
      </c>
      <c r="G131" s="462">
        <v>0</v>
      </c>
      <c r="H131" s="462">
        <v>19.100000000000001</v>
      </c>
      <c r="I131" s="462">
        <v>59.02</v>
      </c>
      <c r="J131" s="462">
        <v>22.38</v>
      </c>
      <c r="K131" s="462">
        <v>32.76</v>
      </c>
      <c r="L131" s="462">
        <v>0</v>
      </c>
      <c r="M131" s="462">
        <v>105</v>
      </c>
      <c r="N131" s="462">
        <v>7.2</v>
      </c>
      <c r="O131" s="463">
        <v>783.54</v>
      </c>
      <c r="P131" s="464">
        <v>90.5</v>
      </c>
    </row>
    <row r="132" spans="2:16">
      <c r="B132" s="460">
        <v>45260</v>
      </c>
      <c r="C132" s="461" t="s">
        <v>267</v>
      </c>
      <c r="D132" s="456"/>
      <c r="E132" s="462">
        <v>819</v>
      </c>
      <c r="F132" s="462">
        <v>0</v>
      </c>
      <c r="G132" s="462">
        <v>0</v>
      </c>
      <c r="H132" s="462">
        <v>19.100000000000001</v>
      </c>
      <c r="I132" s="462">
        <v>24.88</v>
      </c>
      <c r="J132" s="462">
        <v>22.38</v>
      </c>
      <c r="K132" s="462">
        <v>32.76</v>
      </c>
      <c r="L132" s="462">
        <v>0</v>
      </c>
      <c r="M132" s="462">
        <v>105</v>
      </c>
      <c r="N132" s="462">
        <v>7.2</v>
      </c>
      <c r="O132" s="463">
        <v>817.68</v>
      </c>
      <c r="P132" s="464">
        <v>90.5</v>
      </c>
    </row>
    <row r="133" spans="2:16">
      <c r="B133" s="460">
        <v>45260</v>
      </c>
      <c r="C133" s="461" t="s">
        <v>268</v>
      </c>
      <c r="D133" s="456"/>
      <c r="E133" s="462">
        <v>1153.8499999999999</v>
      </c>
      <c r="F133" s="462">
        <v>0</v>
      </c>
      <c r="G133" s="462">
        <v>0</v>
      </c>
      <c r="H133" s="462">
        <v>0</v>
      </c>
      <c r="I133" s="462">
        <v>239.43</v>
      </c>
      <c r="J133" s="462">
        <v>37.450000000000003</v>
      </c>
      <c r="K133" s="462">
        <v>46.15</v>
      </c>
      <c r="L133" s="462">
        <v>0</v>
      </c>
      <c r="M133" s="462">
        <v>75</v>
      </c>
      <c r="N133" s="462">
        <v>0</v>
      </c>
      <c r="O133" s="463">
        <v>905.82</v>
      </c>
      <c r="P133" s="464">
        <v>127.5</v>
      </c>
    </row>
    <row r="134" spans="2:16">
      <c r="B134" s="460">
        <v>45260</v>
      </c>
      <c r="C134" s="461" t="s">
        <v>269</v>
      </c>
      <c r="D134" s="456"/>
      <c r="E134" s="462">
        <v>897</v>
      </c>
      <c r="F134" s="462">
        <v>0</v>
      </c>
      <c r="G134" s="462">
        <v>0</v>
      </c>
      <c r="H134" s="462">
        <v>19.100000000000001</v>
      </c>
      <c r="I134" s="462">
        <v>93.79</v>
      </c>
      <c r="J134" s="462">
        <v>25.89</v>
      </c>
      <c r="K134" s="462">
        <v>35.880000000000003</v>
      </c>
      <c r="L134" s="462">
        <v>0</v>
      </c>
      <c r="M134" s="462">
        <v>180</v>
      </c>
      <c r="N134" s="462">
        <v>7.2</v>
      </c>
      <c r="O134" s="463">
        <v>895.14</v>
      </c>
      <c r="P134" s="464">
        <v>99.12</v>
      </c>
    </row>
    <row r="135" spans="2:16">
      <c r="B135" s="454"/>
      <c r="C135" s="456"/>
      <c r="D135" s="456"/>
      <c r="E135" s="456"/>
      <c r="F135" s="456"/>
      <c r="G135" s="456"/>
      <c r="H135" s="456"/>
      <c r="I135" s="456"/>
      <c r="J135" s="456"/>
      <c r="K135" s="456"/>
      <c r="L135" s="456"/>
      <c r="M135" s="456"/>
      <c r="N135" s="456"/>
      <c r="O135" s="456"/>
      <c r="P135" s="459"/>
    </row>
    <row r="136" spans="2:16" ht="16" thickBot="1">
      <c r="B136" s="465" t="s">
        <v>270</v>
      </c>
      <c r="C136" s="466"/>
      <c r="D136" s="466"/>
      <c r="E136" s="467">
        <v>10201.85</v>
      </c>
      <c r="F136" s="467">
        <v>0</v>
      </c>
      <c r="G136" s="467">
        <v>0</v>
      </c>
      <c r="H136" s="467">
        <v>191.00000000000003</v>
      </c>
      <c r="I136" s="467">
        <v>1090.6400000000001</v>
      </c>
      <c r="J136" s="467">
        <v>285.39</v>
      </c>
      <c r="K136" s="467">
        <v>408.07</v>
      </c>
      <c r="L136" s="467">
        <v>0</v>
      </c>
      <c r="M136" s="467">
        <v>1300</v>
      </c>
      <c r="N136" s="467">
        <v>72</v>
      </c>
      <c r="O136" s="467">
        <v>9454.75</v>
      </c>
      <c r="P136" s="468">
        <v>1127.31</v>
      </c>
    </row>
    <row r="139" spans="2:16" ht="48" thickBot="1">
      <c r="B139" s="472"/>
      <c r="C139" s="473" t="s">
        <v>287</v>
      </c>
      <c r="D139" s="474" t="s">
        <v>288</v>
      </c>
      <c r="E139" s="475">
        <v>48</v>
      </c>
      <c r="F139" s="476" t="s">
        <v>289</v>
      </c>
      <c r="G139" s="477">
        <f>E139+1</f>
        <v>49</v>
      </c>
      <c r="H139" s="478"/>
      <c r="I139" s="478"/>
      <c r="J139" s="478"/>
      <c r="K139" s="478"/>
      <c r="L139" s="479"/>
      <c r="M139" s="479"/>
      <c r="N139" s="479"/>
      <c r="O139" s="479"/>
      <c r="P139" s="478"/>
    </row>
    <row r="140" spans="2:16">
      <c r="B140" s="392"/>
      <c r="C140" s="393"/>
      <c r="D140" s="394"/>
      <c r="E140" s="395" t="s">
        <v>272</v>
      </c>
      <c r="F140" s="396" t="s">
        <v>273</v>
      </c>
      <c r="G140" s="397" t="s">
        <v>274</v>
      </c>
      <c r="H140" s="398" t="s">
        <v>275</v>
      </c>
      <c r="I140" s="399" t="s">
        <v>276</v>
      </c>
      <c r="J140" s="399"/>
      <c r="K140" s="400" t="s">
        <v>277</v>
      </c>
      <c r="L140" s="480"/>
    </row>
    <row r="141" spans="2:16">
      <c r="B141" s="481"/>
      <c r="C141" s="482" t="s">
        <v>290</v>
      </c>
      <c r="D141" s="402">
        <v>47</v>
      </c>
      <c r="E141" s="437">
        <v>20</v>
      </c>
      <c r="F141" s="438">
        <v>299</v>
      </c>
      <c r="G141" s="483">
        <v>23.5</v>
      </c>
      <c r="H141" s="404">
        <f>G141*F141</f>
        <v>7026.5</v>
      </c>
      <c r="I141" s="483">
        <f>(E141/100)*H141</f>
        <v>1405.3000000000002</v>
      </c>
      <c r="J141" s="483"/>
      <c r="K141" s="405">
        <f>H141-I141</f>
        <v>5621.2</v>
      </c>
      <c r="L141" s="480"/>
    </row>
    <row r="142" spans="2:16">
      <c r="B142" s="481"/>
      <c r="C142" s="482" t="s">
        <v>290</v>
      </c>
      <c r="D142" s="402">
        <v>48</v>
      </c>
      <c r="E142" s="437">
        <v>20</v>
      </c>
      <c r="F142" s="438">
        <v>283</v>
      </c>
      <c r="G142" s="483">
        <v>23.5</v>
      </c>
      <c r="H142" s="404">
        <f>G142*F142</f>
        <v>6650.5</v>
      </c>
      <c r="I142" s="483">
        <f>(E142/100)*H142</f>
        <v>1330.1000000000001</v>
      </c>
      <c r="J142" s="483"/>
      <c r="K142" s="405">
        <f>H142-I142</f>
        <v>5320.4</v>
      </c>
      <c r="L142" s="480"/>
    </row>
    <row r="143" spans="2:16" ht="16" thickBot="1">
      <c r="B143" s="484"/>
      <c r="C143" s="485"/>
      <c r="D143" s="486"/>
      <c r="E143" s="487"/>
      <c r="F143" s="488"/>
      <c r="G143" s="489"/>
      <c r="H143" s="490"/>
      <c r="I143" s="491"/>
      <c r="J143" s="492"/>
      <c r="K143" s="493"/>
      <c r="L143" s="480"/>
    </row>
    <row r="144" spans="2:16">
      <c r="B144" s="406"/>
      <c r="C144" s="407"/>
      <c r="D144" s="408"/>
      <c r="E144" s="409"/>
      <c r="F144" s="410"/>
      <c r="G144" s="411"/>
      <c r="H144" s="412"/>
      <c r="I144" s="494"/>
      <c r="J144" s="411"/>
      <c r="K144" s="413"/>
      <c r="L144" s="480"/>
    </row>
    <row r="145" spans="2:16">
      <c r="B145" s="414"/>
      <c r="C145" s="439" t="s">
        <v>291</v>
      </c>
      <c r="D145" s="402">
        <v>47</v>
      </c>
      <c r="E145" s="440">
        <v>20</v>
      </c>
      <c r="F145" s="441">
        <v>1025.5</v>
      </c>
      <c r="G145" s="495">
        <v>25</v>
      </c>
      <c r="H145" s="417">
        <f>G145*F145</f>
        <v>25637.5</v>
      </c>
      <c r="I145" s="418">
        <f>(E145/100)*H145</f>
        <v>5127.5</v>
      </c>
      <c r="J145" s="495"/>
      <c r="K145" s="496">
        <f>H145-I145</f>
        <v>20510</v>
      </c>
      <c r="L145" s="480"/>
    </row>
    <row r="146" spans="2:16">
      <c r="B146" s="414"/>
      <c r="C146" s="439" t="s">
        <v>291</v>
      </c>
      <c r="D146" s="402">
        <v>48</v>
      </c>
      <c r="E146" s="440">
        <v>20</v>
      </c>
      <c r="F146" s="441">
        <v>1171</v>
      </c>
      <c r="G146" s="416">
        <v>25</v>
      </c>
      <c r="H146" s="417">
        <f>G146*F146</f>
        <v>29275</v>
      </c>
      <c r="I146" s="418">
        <f>(E146/100)*H146</f>
        <v>5855</v>
      </c>
      <c r="J146" s="416"/>
      <c r="K146" s="496">
        <f>H146-I146</f>
        <v>23420</v>
      </c>
      <c r="L146" s="480"/>
    </row>
    <row r="147" spans="2:16" ht="16" thickBot="1">
      <c r="B147" s="419"/>
      <c r="C147" s="420"/>
      <c r="D147" s="421"/>
      <c r="E147" s="422"/>
      <c r="F147" s="423"/>
      <c r="G147" s="424"/>
      <c r="H147" s="425"/>
      <c r="I147" s="424"/>
      <c r="J147" s="424"/>
      <c r="K147" s="426"/>
      <c r="L147" s="480"/>
    </row>
    <row r="148" spans="2:16">
      <c r="B148" s="414"/>
      <c r="C148" s="439"/>
      <c r="D148" s="415"/>
      <c r="E148" s="440"/>
      <c r="F148" s="441"/>
      <c r="G148" s="416"/>
      <c r="H148" s="417"/>
      <c r="I148" s="416"/>
      <c r="J148" s="416"/>
      <c r="K148" s="496"/>
      <c r="L148" s="480"/>
    </row>
    <row r="149" spans="2:16">
      <c r="B149" s="401"/>
      <c r="C149" s="436" t="s">
        <v>278</v>
      </c>
      <c r="D149" s="402">
        <v>48</v>
      </c>
      <c r="E149" s="437">
        <v>20</v>
      </c>
      <c r="F149" s="438">
        <v>50.5</v>
      </c>
      <c r="G149" s="403">
        <v>25</v>
      </c>
      <c r="H149" s="404">
        <f>G149*F149</f>
        <v>1262.5</v>
      </c>
      <c r="I149" s="403">
        <f>(E149/100)*H149</f>
        <v>252.5</v>
      </c>
      <c r="J149" s="403"/>
      <c r="K149" s="405">
        <f>H149-I149</f>
        <v>1010</v>
      </c>
      <c r="L149" s="480"/>
    </row>
    <row r="150" spans="2:16">
      <c r="B150" s="401"/>
      <c r="C150" s="436" t="s">
        <v>279</v>
      </c>
      <c r="D150" s="402">
        <v>48</v>
      </c>
      <c r="E150" s="437">
        <v>0</v>
      </c>
      <c r="F150" s="438">
        <v>42.5</v>
      </c>
      <c r="G150" s="483">
        <v>25</v>
      </c>
      <c r="H150" s="404">
        <f>G150*F150</f>
        <v>1062.5</v>
      </c>
      <c r="I150" s="483">
        <f>(E150/100)*H150</f>
        <v>0</v>
      </c>
      <c r="J150" s="483"/>
      <c r="K150" s="405">
        <f>H150-I150</f>
        <v>1062.5</v>
      </c>
      <c r="L150" s="480"/>
    </row>
    <row r="151" spans="2:16">
      <c r="B151" s="401"/>
      <c r="C151" s="436" t="s">
        <v>280</v>
      </c>
      <c r="D151" s="402">
        <v>48</v>
      </c>
      <c r="E151" s="437">
        <v>0</v>
      </c>
      <c r="F151" s="438">
        <v>42.5</v>
      </c>
      <c r="G151" s="403">
        <v>25</v>
      </c>
      <c r="H151" s="404">
        <f>G151*F151</f>
        <v>1062.5</v>
      </c>
      <c r="I151" s="403">
        <f>(E151/100)*H151</f>
        <v>0</v>
      </c>
      <c r="J151" s="403"/>
      <c r="K151" s="405">
        <f>H151-I151</f>
        <v>1062.5</v>
      </c>
      <c r="L151" s="480"/>
    </row>
    <row r="152" spans="2:16">
      <c r="B152" s="401"/>
      <c r="C152" s="436" t="s">
        <v>281</v>
      </c>
      <c r="D152" s="402">
        <v>48</v>
      </c>
      <c r="E152" s="437">
        <v>0</v>
      </c>
      <c r="F152" s="438">
        <v>48</v>
      </c>
      <c r="G152" s="483">
        <v>24</v>
      </c>
      <c r="H152" s="404">
        <f>G152*F152</f>
        <v>1152</v>
      </c>
      <c r="I152" s="483">
        <f>(E152/100)*H152</f>
        <v>0</v>
      </c>
      <c r="J152" s="483"/>
      <c r="K152" s="405">
        <f>H152-I152</f>
        <v>1152</v>
      </c>
      <c r="L152" s="480"/>
    </row>
    <row r="153" spans="2:16">
      <c r="B153" s="401"/>
      <c r="C153" s="436" t="s">
        <v>282</v>
      </c>
      <c r="D153" s="402">
        <v>48</v>
      </c>
      <c r="E153" s="437">
        <v>20</v>
      </c>
      <c r="F153" s="438">
        <v>48</v>
      </c>
      <c r="G153" s="403">
        <v>20</v>
      </c>
      <c r="H153" s="404">
        <f>G153*F153</f>
        <v>960</v>
      </c>
      <c r="I153" s="403">
        <f>(E153/100)*H153</f>
        <v>192</v>
      </c>
      <c r="J153" s="403"/>
      <c r="K153" s="405">
        <f>H153-I153</f>
        <v>768</v>
      </c>
      <c r="L153" s="480"/>
    </row>
    <row r="154" spans="2:16" ht="16" thickBot="1">
      <c r="B154" s="419"/>
      <c r="C154" s="420"/>
      <c r="D154" s="421"/>
      <c r="E154" s="422"/>
      <c r="F154" s="423"/>
      <c r="G154" s="424"/>
      <c r="H154" s="425"/>
      <c r="I154" s="424"/>
      <c r="J154" s="424"/>
      <c r="K154" s="426"/>
      <c r="L154" s="480"/>
    </row>
    <row r="155" spans="2:16" ht="27" thickBot="1">
      <c r="B155" s="401"/>
      <c r="C155" s="436"/>
      <c r="D155" s="497"/>
      <c r="E155" s="498"/>
      <c r="F155" s="497"/>
      <c r="G155" s="499"/>
      <c r="H155" s="500">
        <f>SUM(H140:H154)</f>
        <v>74089</v>
      </c>
      <c r="I155" s="501">
        <f>SUM(I140:I154)</f>
        <v>14162.400000000001</v>
      </c>
      <c r="J155" s="502"/>
      <c r="K155" s="503">
        <f>SUM(K140:K154)</f>
        <v>59926.6</v>
      </c>
      <c r="L155" s="480"/>
    </row>
    <row r="156" spans="2:16" ht="17" thickTop="1" thickBot="1">
      <c r="B156" s="401"/>
      <c r="C156" s="436"/>
      <c r="D156" s="497"/>
      <c r="E156" s="498"/>
      <c r="F156" s="497"/>
      <c r="G156" s="499"/>
      <c r="H156" s="504"/>
      <c r="I156" s="505"/>
      <c r="J156" s="505"/>
      <c r="K156" s="506"/>
      <c r="L156" s="480"/>
    </row>
    <row r="157" spans="2:16">
      <c r="B157" s="449" t="s">
        <v>240</v>
      </c>
      <c r="C157" s="513"/>
      <c r="D157" s="451" t="s">
        <v>295</v>
      </c>
      <c r="E157" s="452" t="s">
        <v>242</v>
      </c>
      <c r="F157" s="452" t="s">
        <v>243</v>
      </c>
      <c r="G157" s="452" t="s">
        <v>244</v>
      </c>
      <c r="H157" s="452" t="s">
        <v>245</v>
      </c>
      <c r="I157" s="513"/>
      <c r="J157" s="513"/>
      <c r="K157" s="452" t="s">
        <v>246</v>
      </c>
      <c r="L157" s="513"/>
      <c r="M157" s="452" t="s">
        <v>247</v>
      </c>
      <c r="N157" s="452" t="s">
        <v>248</v>
      </c>
      <c r="O157" s="452" t="s">
        <v>249</v>
      </c>
      <c r="P157" s="453" t="s">
        <v>246</v>
      </c>
    </row>
    <row r="158" spans="2:16">
      <c r="B158" s="514"/>
      <c r="C158" s="455" t="s">
        <v>250</v>
      </c>
      <c r="D158" s="515"/>
      <c r="E158" s="457" t="s">
        <v>251</v>
      </c>
      <c r="F158" s="457" t="s">
        <v>252</v>
      </c>
      <c r="G158" s="515"/>
      <c r="H158" s="515"/>
      <c r="I158" s="457" t="s">
        <v>253</v>
      </c>
      <c r="J158" s="457" t="s">
        <v>254</v>
      </c>
      <c r="K158" s="457" t="s">
        <v>255</v>
      </c>
      <c r="L158" s="457" t="s">
        <v>256</v>
      </c>
      <c r="M158" s="515"/>
      <c r="N158" s="515"/>
      <c r="O158" s="457" t="s">
        <v>251</v>
      </c>
      <c r="P158" s="458" t="s">
        <v>257</v>
      </c>
    </row>
    <row r="159" spans="2:16">
      <c r="B159" s="514"/>
      <c r="C159" s="515"/>
      <c r="D159" s="515"/>
      <c r="E159" s="515"/>
      <c r="F159" s="515"/>
      <c r="G159" s="515"/>
      <c r="H159" s="515"/>
      <c r="I159" s="515"/>
      <c r="J159" s="515"/>
      <c r="K159" s="515"/>
      <c r="L159" s="515"/>
      <c r="M159" s="515"/>
      <c r="N159" s="515"/>
      <c r="O159" s="515"/>
      <c r="P159" s="516"/>
    </row>
    <row r="160" spans="2:16">
      <c r="B160" s="460">
        <v>45267</v>
      </c>
      <c r="C160" s="461" t="s">
        <v>258</v>
      </c>
      <c r="D160" s="515"/>
      <c r="E160" s="462">
        <v>504</v>
      </c>
      <c r="F160" s="462">
        <v>0</v>
      </c>
      <c r="G160" s="462">
        <v>0</v>
      </c>
      <c r="H160" s="462">
        <v>19.100000000000001</v>
      </c>
      <c r="I160" s="462">
        <v>10.34</v>
      </c>
      <c r="J160" s="462">
        <v>8.19</v>
      </c>
      <c r="K160" s="462">
        <v>20.16</v>
      </c>
      <c r="L160" s="462">
        <v>0</v>
      </c>
      <c r="M160" s="462">
        <v>63</v>
      </c>
      <c r="N160" s="462">
        <v>7.2</v>
      </c>
      <c r="O160" s="463">
        <v>502.01</v>
      </c>
      <c r="P160" s="464">
        <v>55.69</v>
      </c>
    </row>
    <row r="161" spans="2:20">
      <c r="B161" s="460">
        <v>45267</v>
      </c>
      <c r="C161" s="461" t="s">
        <v>259</v>
      </c>
      <c r="D161" s="515"/>
      <c r="E161" s="462">
        <v>819</v>
      </c>
      <c r="F161" s="462">
        <v>0</v>
      </c>
      <c r="G161" s="462">
        <v>0</v>
      </c>
      <c r="H161" s="462">
        <v>19.100000000000001</v>
      </c>
      <c r="I161" s="462">
        <v>82.76</v>
      </c>
      <c r="J161" s="462">
        <v>22.37</v>
      </c>
      <c r="K161" s="462">
        <v>32.76</v>
      </c>
      <c r="L161" s="462">
        <v>0</v>
      </c>
      <c r="M161" s="462">
        <v>105</v>
      </c>
      <c r="N161" s="462">
        <v>7.2</v>
      </c>
      <c r="O161" s="463">
        <v>759.81</v>
      </c>
      <c r="P161" s="464">
        <v>90.5</v>
      </c>
    </row>
    <row r="162" spans="2:20">
      <c r="B162" s="460">
        <v>45267</v>
      </c>
      <c r="C162" s="461" t="s">
        <v>260</v>
      </c>
      <c r="D162" s="515"/>
      <c r="E162" s="462">
        <v>1008</v>
      </c>
      <c r="F162" s="462">
        <v>0</v>
      </c>
      <c r="G162" s="462">
        <v>0</v>
      </c>
      <c r="H162" s="462">
        <v>19.100000000000001</v>
      </c>
      <c r="I162" s="462">
        <v>170.27</v>
      </c>
      <c r="J162" s="462">
        <v>30.88</v>
      </c>
      <c r="K162" s="462">
        <v>40.32</v>
      </c>
      <c r="L162" s="462">
        <v>0</v>
      </c>
      <c r="M162" s="462">
        <v>105</v>
      </c>
      <c r="N162" s="462">
        <v>7.2</v>
      </c>
      <c r="O162" s="463">
        <v>845.23</v>
      </c>
      <c r="P162" s="464">
        <v>111.38</v>
      </c>
    </row>
    <row r="163" spans="2:20">
      <c r="B163" s="460">
        <v>45267</v>
      </c>
      <c r="C163" s="461" t="s">
        <v>261</v>
      </c>
      <c r="D163" s="515"/>
      <c r="E163" s="462">
        <v>1008</v>
      </c>
      <c r="F163" s="462">
        <v>0</v>
      </c>
      <c r="G163" s="462">
        <v>0</v>
      </c>
      <c r="H163" s="462">
        <v>19.100000000000001</v>
      </c>
      <c r="I163" s="462">
        <v>112.69</v>
      </c>
      <c r="J163" s="462">
        <v>30.88</v>
      </c>
      <c r="K163" s="462">
        <v>40.32</v>
      </c>
      <c r="L163" s="462">
        <v>0</v>
      </c>
      <c r="M163" s="462">
        <v>105</v>
      </c>
      <c r="N163" s="462">
        <v>7.2</v>
      </c>
      <c r="O163" s="463">
        <v>902.81</v>
      </c>
      <c r="P163" s="464">
        <v>111.38</v>
      </c>
    </row>
    <row r="164" spans="2:20">
      <c r="B164" s="460">
        <v>45267</v>
      </c>
      <c r="C164" s="461" t="s">
        <v>262</v>
      </c>
      <c r="D164" s="515"/>
      <c r="E164" s="462">
        <v>1055.25</v>
      </c>
      <c r="F164" s="462">
        <v>0</v>
      </c>
      <c r="G164" s="462">
        <v>0</v>
      </c>
      <c r="H164" s="462">
        <v>19.100000000000001</v>
      </c>
      <c r="I164" s="462">
        <v>190.9</v>
      </c>
      <c r="J164" s="462">
        <v>33</v>
      </c>
      <c r="K164" s="462">
        <v>42.21</v>
      </c>
      <c r="L164" s="462">
        <v>0</v>
      </c>
      <c r="M164" s="462">
        <v>105</v>
      </c>
      <c r="N164" s="462">
        <v>7.2</v>
      </c>
      <c r="O164" s="463">
        <v>867.84</v>
      </c>
      <c r="P164" s="464">
        <v>116.61</v>
      </c>
    </row>
    <row r="165" spans="2:20">
      <c r="B165" s="460">
        <v>45267</v>
      </c>
      <c r="C165" s="461" t="s">
        <v>263</v>
      </c>
      <c r="D165" s="515"/>
      <c r="E165" s="462">
        <v>819</v>
      </c>
      <c r="F165" s="462">
        <v>0</v>
      </c>
      <c r="G165" s="462">
        <v>0</v>
      </c>
      <c r="H165" s="462">
        <v>19.100000000000001</v>
      </c>
      <c r="I165" s="462">
        <v>98.54</v>
      </c>
      <c r="J165" s="462">
        <v>22.37</v>
      </c>
      <c r="K165" s="462">
        <v>32.76</v>
      </c>
      <c r="L165" s="462">
        <v>0</v>
      </c>
      <c r="M165" s="462">
        <v>105</v>
      </c>
      <c r="N165" s="462">
        <v>7.2</v>
      </c>
      <c r="O165" s="463">
        <v>744.03</v>
      </c>
      <c r="P165" s="464">
        <v>90.5</v>
      </c>
    </row>
    <row r="166" spans="2:20">
      <c r="B166" s="460">
        <v>45267</v>
      </c>
      <c r="C166" s="461" t="s">
        <v>264</v>
      </c>
      <c r="D166" s="515"/>
      <c r="E166" s="462">
        <v>819</v>
      </c>
      <c r="F166" s="462">
        <v>0</v>
      </c>
      <c r="G166" s="462">
        <v>0</v>
      </c>
      <c r="H166" s="462">
        <v>19.100000000000001</v>
      </c>
      <c r="I166" s="462">
        <v>97.84</v>
      </c>
      <c r="J166" s="462">
        <v>22.37</v>
      </c>
      <c r="K166" s="462">
        <v>32.76</v>
      </c>
      <c r="L166" s="462">
        <v>0</v>
      </c>
      <c r="M166" s="462">
        <v>105</v>
      </c>
      <c r="N166" s="462">
        <v>7.2</v>
      </c>
      <c r="O166" s="463">
        <v>744.73</v>
      </c>
      <c r="P166" s="464">
        <v>90.5</v>
      </c>
    </row>
    <row r="167" spans="2:20">
      <c r="B167" s="460">
        <v>45267</v>
      </c>
      <c r="C167" s="461" t="s">
        <v>265</v>
      </c>
      <c r="D167" s="515"/>
      <c r="E167" s="462">
        <v>780</v>
      </c>
      <c r="F167" s="462">
        <v>0</v>
      </c>
      <c r="G167" s="462">
        <v>0</v>
      </c>
      <c r="H167" s="462">
        <v>0</v>
      </c>
      <c r="I167" s="462">
        <v>55.03</v>
      </c>
      <c r="J167" s="462">
        <v>20.61</v>
      </c>
      <c r="K167" s="462">
        <v>31.2</v>
      </c>
      <c r="L167" s="462">
        <v>0</v>
      </c>
      <c r="M167" s="462">
        <v>100</v>
      </c>
      <c r="N167" s="462">
        <v>0</v>
      </c>
      <c r="O167" s="463">
        <v>773.16</v>
      </c>
      <c r="P167" s="464">
        <v>86.19</v>
      </c>
    </row>
    <row r="168" spans="2:20">
      <c r="B168" s="460">
        <v>45267</v>
      </c>
      <c r="C168" s="461" t="s">
        <v>266</v>
      </c>
      <c r="D168" s="515"/>
      <c r="E168" s="462">
        <v>1008</v>
      </c>
      <c r="F168" s="462">
        <v>0</v>
      </c>
      <c r="G168" s="462">
        <v>0</v>
      </c>
      <c r="H168" s="462">
        <v>19.100000000000001</v>
      </c>
      <c r="I168" s="462">
        <v>96.81</v>
      </c>
      <c r="J168" s="462">
        <v>30.88</v>
      </c>
      <c r="K168" s="462">
        <v>40.32</v>
      </c>
      <c r="L168" s="462">
        <v>0</v>
      </c>
      <c r="M168" s="462">
        <v>105</v>
      </c>
      <c r="N168" s="462">
        <v>7.2</v>
      </c>
      <c r="O168" s="463">
        <v>918.69</v>
      </c>
      <c r="P168" s="464">
        <v>111.38</v>
      </c>
    </row>
    <row r="169" spans="2:20">
      <c r="B169" s="460">
        <v>45267</v>
      </c>
      <c r="C169" s="461" t="s">
        <v>267</v>
      </c>
      <c r="D169" s="515"/>
      <c r="E169" s="462">
        <v>1008</v>
      </c>
      <c r="F169" s="462">
        <v>0</v>
      </c>
      <c r="G169" s="462">
        <v>0</v>
      </c>
      <c r="H169" s="462">
        <v>19.100000000000001</v>
      </c>
      <c r="I169" s="462">
        <v>62.69</v>
      </c>
      <c r="J169" s="462">
        <v>30.87</v>
      </c>
      <c r="K169" s="462">
        <v>40.32</v>
      </c>
      <c r="L169" s="462">
        <v>0</v>
      </c>
      <c r="M169" s="462">
        <v>105</v>
      </c>
      <c r="N169" s="462">
        <v>7.2</v>
      </c>
      <c r="O169" s="463">
        <v>952.82</v>
      </c>
      <c r="P169" s="464">
        <v>111.38</v>
      </c>
    </row>
    <row r="170" spans="2:20">
      <c r="B170" s="460">
        <v>45267</v>
      </c>
      <c r="C170" s="461" t="s">
        <v>268</v>
      </c>
      <c r="D170" s="515"/>
      <c r="E170" s="462">
        <v>1153.8499999999999</v>
      </c>
      <c r="F170" s="462">
        <v>0</v>
      </c>
      <c r="G170" s="462">
        <v>0</v>
      </c>
      <c r="H170" s="462">
        <v>0</v>
      </c>
      <c r="I170" s="462">
        <v>239.42</v>
      </c>
      <c r="J170" s="462">
        <v>37.44</v>
      </c>
      <c r="K170" s="462">
        <v>46.15</v>
      </c>
      <c r="L170" s="462">
        <v>0</v>
      </c>
      <c r="M170" s="462">
        <v>75</v>
      </c>
      <c r="N170" s="462">
        <v>0</v>
      </c>
      <c r="O170" s="463">
        <v>905.84</v>
      </c>
      <c r="P170" s="464">
        <v>127.5</v>
      </c>
    </row>
    <row r="171" spans="2:20">
      <c r="B171" s="460">
        <v>45267</v>
      </c>
      <c r="C171" s="461" t="s">
        <v>269</v>
      </c>
      <c r="D171" s="515"/>
      <c r="E171" s="462">
        <v>897</v>
      </c>
      <c r="F171" s="462">
        <v>0</v>
      </c>
      <c r="G171" s="462">
        <v>0</v>
      </c>
      <c r="H171" s="462">
        <v>19.100000000000001</v>
      </c>
      <c r="I171" s="462">
        <v>93.8</v>
      </c>
      <c r="J171" s="462">
        <v>25.88</v>
      </c>
      <c r="K171" s="462">
        <v>35.880000000000003</v>
      </c>
      <c r="L171" s="462">
        <v>0</v>
      </c>
      <c r="M171" s="462">
        <v>180</v>
      </c>
      <c r="N171" s="462">
        <v>7.2</v>
      </c>
      <c r="O171" s="463">
        <v>895.14</v>
      </c>
      <c r="P171" s="464">
        <v>99.12</v>
      </c>
      <c r="T171" t="s">
        <v>0</v>
      </c>
    </row>
    <row r="172" spans="2:20">
      <c r="B172" s="514"/>
      <c r="C172" s="515"/>
      <c r="D172" s="515"/>
      <c r="E172" s="515"/>
      <c r="F172" s="515"/>
      <c r="G172" s="515"/>
      <c r="H172" s="515"/>
      <c r="I172" s="515"/>
      <c r="J172" s="515"/>
      <c r="K172" s="515"/>
      <c r="L172" s="515"/>
      <c r="M172" s="515"/>
      <c r="N172" s="515"/>
      <c r="O172" s="515"/>
      <c r="P172" s="516"/>
    </row>
    <row r="173" spans="2:20" ht="16" thickBot="1">
      <c r="B173" s="465" t="s">
        <v>270</v>
      </c>
      <c r="C173" s="517"/>
      <c r="D173" s="517"/>
      <c r="E173" s="467">
        <v>10879.1</v>
      </c>
      <c r="F173" s="467">
        <v>0</v>
      </c>
      <c r="G173" s="467">
        <v>0</v>
      </c>
      <c r="H173" s="467">
        <v>191.00000000000003</v>
      </c>
      <c r="I173" s="467">
        <v>1311.09</v>
      </c>
      <c r="J173" s="467">
        <v>315.74</v>
      </c>
      <c r="K173" s="467">
        <v>435.16</v>
      </c>
      <c r="L173" s="467">
        <v>0</v>
      </c>
      <c r="M173" s="467">
        <v>1258</v>
      </c>
      <c r="N173" s="467">
        <v>72</v>
      </c>
      <c r="O173" s="467">
        <v>9812.11</v>
      </c>
      <c r="P173" s="468">
        <v>1202.1300000000001</v>
      </c>
    </row>
    <row r="176" spans="2:20" ht="48" thickBot="1">
      <c r="B176" s="534"/>
      <c r="C176" s="473" t="s">
        <v>287</v>
      </c>
      <c r="D176" s="474" t="s">
        <v>288</v>
      </c>
      <c r="E176" s="475">
        <v>49</v>
      </c>
      <c r="F176" s="476" t="s">
        <v>289</v>
      </c>
      <c r="G176" s="477">
        <f>E176+1</f>
        <v>50</v>
      </c>
      <c r="H176" s="478"/>
      <c r="I176" s="478"/>
      <c r="J176" s="478"/>
      <c r="K176" s="478"/>
      <c r="L176" s="479"/>
      <c r="M176" s="479"/>
      <c r="N176" s="479"/>
      <c r="O176" s="479"/>
      <c r="P176" s="478"/>
    </row>
    <row r="177" spans="2:16">
      <c r="B177" s="392"/>
      <c r="C177" s="393"/>
      <c r="D177" s="394"/>
      <c r="E177" s="395" t="s">
        <v>272</v>
      </c>
      <c r="F177" s="396" t="s">
        <v>273</v>
      </c>
      <c r="G177" s="397" t="s">
        <v>274</v>
      </c>
      <c r="H177" s="398" t="s">
        <v>275</v>
      </c>
      <c r="I177" s="399" t="s">
        <v>276</v>
      </c>
      <c r="J177" s="399"/>
      <c r="K177" s="400" t="s">
        <v>277</v>
      </c>
      <c r="L177" s="480"/>
    </row>
    <row r="178" spans="2:16">
      <c r="B178" s="401"/>
      <c r="C178" s="436" t="s">
        <v>278</v>
      </c>
      <c r="D178" s="402">
        <v>49</v>
      </c>
      <c r="E178" s="437">
        <v>20</v>
      </c>
      <c r="F178" s="438">
        <v>50.5</v>
      </c>
      <c r="G178" s="403">
        <v>25</v>
      </c>
      <c r="H178" s="404">
        <f>G178*F178</f>
        <v>1262.5</v>
      </c>
      <c r="I178" s="403">
        <f>(E178/100)*H178</f>
        <v>252.5</v>
      </c>
      <c r="J178" s="403"/>
      <c r="K178" s="405">
        <f>H178-I178</f>
        <v>1010</v>
      </c>
      <c r="L178" s="480"/>
    </row>
    <row r="179" spans="2:16">
      <c r="B179" s="401"/>
      <c r="C179" s="436" t="s">
        <v>279</v>
      </c>
      <c r="D179" s="402">
        <v>49</v>
      </c>
      <c r="E179" s="437">
        <v>0</v>
      </c>
      <c r="F179" s="438">
        <v>42.5</v>
      </c>
      <c r="G179" s="403">
        <v>25</v>
      </c>
      <c r="H179" s="404">
        <f>G179*F179</f>
        <v>1062.5</v>
      </c>
      <c r="I179" s="403">
        <f>(E179/100)*H179</f>
        <v>0</v>
      </c>
      <c r="J179" s="403"/>
      <c r="K179" s="405">
        <f>H179-I179</f>
        <v>1062.5</v>
      </c>
      <c r="L179" s="480"/>
      <c r="M179" s="480"/>
      <c r="N179" s="480"/>
      <c r="O179" s="480"/>
      <c r="P179" s="480"/>
    </row>
    <row r="180" spans="2:16">
      <c r="B180" s="401"/>
      <c r="C180" s="436" t="s">
        <v>280</v>
      </c>
      <c r="D180" s="402">
        <v>49</v>
      </c>
      <c r="E180" s="437">
        <v>0</v>
      </c>
      <c r="F180" s="438">
        <v>42.5</v>
      </c>
      <c r="G180" s="403">
        <v>25</v>
      </c>
      <c r="H180" s="404">
        <f>G180*F180</f>
        <v>1062.5</v>
      </c>
      <c r="I180" s="403">
        <f>(E180/100)*H180</f>
        <v>0</v>
      </c>
      <c r="J180" s="403"/>
      <c r="K180" s="405">
        <f>H180-I180</f>
        <v>1062.5</v>
      </c>
      <c r="L180" s="480"/>
      <c r="M180" s="480"/>
      <c r="N180" s="480"/>
      <c r="O180" s="480"/>
      <c r="P180" s="480"/>
    </row>
    <row r="181" spans="2:16">
      <c r="B181" s="401"/>
      <c r="C181" s="436" t="s">
        <v>281</v>
      </c>
      <c r="D181" s="402">
        <v>49</v>
      </c>
      <c r="E181" s="437">
        <v>0</v>
      </c>
      <c r="F181" s="438">
        <v>40</v>
      </c>
      <c r="G181" s="483">
        <v>24</v>
      </c>
      <c r="H181" s="404">
        <f>G181*F181</f>
        <v>960</v>
      </c>
      <c r="I181" s="483">
        <f>(E181/100)*H181</f>
        <v>0</v>
      </c>
      <c r="J181" s="483"/>
      <c r="K181" s="405">
        <f>H181-I181</f>
        <v>960</v>
      </c>
      <c r="L181" s="480"/>
      <c r="M181" s="480"/>
      <c r="N181" s="480"/>
      <c r="O181" s="480"/>
      <c r="P181" s="480"/>
    </row>
    <row r="182" spans="2:16">
      <c r="B182" s="401"/>
      <c r="C182" s="436" t="s">
        <v>282</v>
      </c>
      <c r="D182" s="402">
        <v>49</v>
      </c>
      <c r="E182" s="437">
        <v>20</v>
      </c>
      <c r="F182" s="438">
        <v>40</v>
      </c>
      <c r="G182" s="403">
        <v>20</v>
      </c>
      <c r="H182" s="404">
        <f>G182*F182</f>
        <v>800</v>
      </c>
      <c r="I182" s="403">
        <f>(E182/100)*H182</f>
        <v>160</v>
      </c>
      <c r="J182" s="403"/>
      <c r="K182" s="405">
        <f>H182-I182</f>
        <v>640</v>
      </c>
      <c r="L182" s="480"/>
      <c r="M182" s="480"/>
      <c r="N182" s="480"/>
      <c r="O182" s="480"/>
      <c r="P182" s="480"/>
    </row>
    <row r="183" spans="2:16" ht="16" thickBot="1">
      <c r="B183" s="419"/>
      <c r="C183" s="420"/>
      <c r="D183" s="421"/>
      <c r="E183" s="422"/>
      <c r="F183" s="423"/>
      <c r="G183" s="424"/>
      <c r="H183" s="425"/>
      <c r="I183" s="424"/>
      <c r="J183" s="424"/>
      <c r="K183" s="426"/>
      <c r="L183" s="480"/>
      <c r="M183" s="480"/>
      <c r="N183" s="480"/>
      <c r="O183" s="480"/>
      <c r="P183" s="480"/>
    </row>
    <row r="184" spans="2:16">
      <c r="B184" s="414"/>
      <c r="C184" s="439"/>
      <c r="D184" s="510"/>
      <c r="E184" s="440"/>
      <c r="F184" s="441"/>
      <c r="G184" s="416"/>
      <c r="H184" s="511"/>
      <c r="I184" s="416"/>
      <c r="J184" s="416"/>
      <c r="K184" s="496"/>
      <c r="L184" s="480"/>
      <c r="M184" s="480"/>
      <c r="N184" s="480"/>
      <c r="O184" s="480"/>
      <c r="P184" s="480"/>
    </row>
    <row r="185" spans="2:16">
      <c r="B185" s="414"/>
      <c r="C185" s="439" t="s">
        <v>293</v>
      </c>
      <c r="D185" s="510"/>
      <c r="E185" s="440">
        <v>0</v>
      </c>
      <c r="F185" s="441"/>
      <c r="G185" s="416"/>
      <c r="H185" s="511">
        <v>4500</v>
      </c>
      <c r="I185" s="416">
        <f>(E185/100)*H185</f>
        <v>0</v>
      </c>
      <c r="J185" s="416"/>
      <c r="K185" s="496">
        <f>H185-I185</f>
        <v>4500</v>
      </c>
      <c r="L185" s="480"/>
      <c r="M185" s="480"/>
      <c r="N185" s="480"/>
      <c r="O185" s="480"/>
      <c r="P185" s="480"/>
    </row>
    <row r="186" spans="2:16">
      <c r="B186" s="414"/>
      <c r="C186" s="439" t="s">
        <v>296</v>
      </c>
      <c r="D186" s="415"/>
      <c r="E186" s="440">
        <v>20</v>
      </c>
      <c r="F186" s="441"/>
      <c r="G186" s="416"/>
      <c r="H186" s="511">
        <v>4236</v>
      </c>
      <c r="I186" s="416">
        <f>(E186/100)*H186</f>
        <v>847.2</v>
      </c>
      <c r="J186" s="416"/>
      <c r="K186" s="496">
        <f>H186-I186</f>
        <v>3388.8</v>
      </c>
      <c r="L186" s="480"/>
      <c r="M186" s="480"/>
      <c r="N186" s="480"/>
      <c r="O186" s="480"/>
      <c r="P186" s="480"/>
    </row>
    <row r="187" spans="2:16" ht="16" thickBot="1">
      <c r="B187" s="414"/>
      <c r="C187" s="439"/>
      <c r="D187" s="510"/>
      <c r="E187" s="440"/>
      <c r="F187" s="441"/>
      <c r="G187" s="416"/>
      <c r="H187" s="511"/>
      <c r="I187" s="416"/>
      <c r="J187" s="416"/>
      <c r="K187" s="496"/>
      <c r="L187" s="480"/>
      <c r="M187" s="480"/>
      <c r="N187" s="480"/>
      <c r="O187" s="480"/>
      <c r="P187" s="480"/>
    </row>
    <row r="188" spans="2:16" ht="27" thickBot="1">
      <c r="B188" s="427"/>
      <c r="C188" s="428"/>
      <c r="D188" s="429"/>
      <c r="E188" s="430"/>
      <c r="F188" s="429"/>
      <c r="G188" s="431"/>
      <c r="H188" s="432">
        <f>SUM(H177:H187)</f>
        <v>13883.5</v>
      </c>
      <c r="I188" s="433">
        <f>SUM(I177:I187)</f>
        <v>1259.7</v>
      </c>
      <c r="J188" s="434"/>
      <c r="K188" s="435">
        <f>SUM(K177:K187)</f>
        <v>12623.8</v>
      </c>
      <c r="L188" s="480"/>
      <c r="M188" s="480"/>
      <c r="N188" s="480"/>
      <c r="O188" s="480"/>
      <c r="P188" s="480"/>
    </row>
    <row r="189" spans="2:16" ht="17" thickTop="1" thickBot="1">
      <c r="B189" s="401"/>
      <c r="C189" s="436"/>
      <c r="D189" s="497"/>
      <c r="E189" s="498"/>
      <c r="F189" s="497"/>
      <c r="G189" s="499"/>
      <c r="H189" s="508"/>
      <c r="I189" s="508"/>
      <c r="J189" s="497"/>
      <c r="K189" s="509"/>
      <c r="L189" s="480"/>
      <c r="M189" s="480"/>
      <c r="N189" s="480"/>
      <c r="O189" s="480"/>
      <c r="P189" s="480"/>
    </row>
    <row r="190" spans="2:16">
      <c r="B190" s="449" t="s">
        <v>240</v>
      </c>
      <c r="C190" s="450"/>
      <c r="D190" s="451" t="s">
        <v>297</v>
      </c>
      <c r="E190" s="452" t="s">
        <v>242</v>
      </c>
      <c r="F190" s="452" t="s">
        <v>243</v>
      </c>
      <c r="G190" s="452" t="s">
        <v>244</v>
      </c>
      <c r="H190" s="452" t="s">
        <v>245</v>
      </c>
      <c r="I190" s="450"/>
      <c r="J190" s="450"/>
      <c r="K190" s="452" t="s">
        <v>246</v>
      </c>
      <c r="L190" s="450"/>
      <c r="M190" s="452" t="s">
        <v>247</v>
      </c>
      <c r="N190" s="452" t="s">
        <v>248</v>
      </c>
      <c r="O190" s="452" t="s">
        <v>249</v>
      </c>
      <c r="P190" s="453" t="s">
        <v>246</v>
      </c>
    </row>
    <row r="191" spans="2:16">
      <c r="B191" s="454"/>
      <c r="C191" s="455" t="s">
        <v>250</v>
      </c>
      <c r="D191" s="456"/>
      <c r="E191" s="457" t="s">
        <v>251</v>
      </c>
      <c r="F191" s="457" t="s">
        <v>252</v>
      </c>
      <c r="G191" s="456"/>
      <c r="H191" s="456"/>
      <c r="I191" s="457" t="s">
        <v>253</v>
      </c>
      <c r="J191" s="457" t="s">
        <v>254</v>
      </c>
      <c r="K191" s="457" t="s">
        <v>255</v>
      </c>
      <c r="L191" s="457" t="s">
        <v>256</v>
      </c>
      <c r="M191" s="456"/>
      <c r="N191" s="456"/>
      <c r="O191" s="457" t="s">
        <v>251</v>
      </c>
      <c r="P191" s="458" t="s">
        <v>257</v>
      </c>
    </row>
    <row r="192" spans="2:16">
      <c r="B192" s="454"/>
      <c r="C192" s="456"/>
      <c r="D192" s="456"/>
      <c r="E192" s="456"/>
      <c r="F192" s="456"/>
      <c r="G192" s="456"/>
      <c r="H192" s="456"/>
      <c r="I192" s="456"/>
      <c r="J192" s="456"/>
      <c r="K192" s="456"/>
      <c r="L192" s="456"/>
      <c r="M192" s="456"/>
      <c r="N192" s="456"/>
      <c r="O192" s="456"/>
      <c r="P192" s="459"/>
    </row>
    <row r="193" spans="2:16">
      <c r="B193" s="460">
        <v>45274</v>
      </c>
      <c r="C193" s="461" t="s">
        <v>258</v>
      </c>
      <c r="D193" s="456"/>
      <c r="E193" s="462">
        <v>819</v>
      </c>
      <c r="F193" s="462">
        <v>0</v>
      </c>
      <c r="G193" s="462">
        <v>0</v>
      </c>
      <c r="H193" s="462">
        <v>19.100000000000001</v>
      </c>
      <c r="I193" s="462">
        <v>73.349999999999994</v>
      </c>
      <c r="J193" s="462">
        <v>22.37</v>
      </c>
      <c r="K193" s="462">
        <v>32.76</v>
      </c>
      <c r="L193" s="462">
        <v>0</v>
      </c>
      <c r="M193" s="462">
        <v>105</v>
      </c>
      <c r="N193" s="462">
        <v>7.2</v>
      </c>
      <c r="O193" s="463">
        <v>769.22</v>
      </c>
      <c r="P193" s="464">
        <v>90.5</v>
      </c>
    </row>
    <row r="194" spans="2:16">
      <c r="B194" s="460">
        <v>45274</v>
      </c>
      <c r="C194" s="461" t="s">
        <v>259</v>
      </c>
      <c r="D194" s="456"/>
      <c r="E194" s="462">
        <v>819</v>
      </c>
      <c r="F194" s="462">
        <v>0</v>
      </c>
      <c r="G194" s="462">
        <v>0</v>
      </c>
      <c r="H194" s="462">
        <v>19.100000000000001</v>
      </c>
      <c r="I194" s="462">
        <v>82.77</v>
      </c>
      <c r="J194" s="462">
        <v>22.37</v>
      </c>
      <c r="K194" s="462">
        <v>32.76</v>
      </c>
      <c r="L194" s="462">
        <v>0</v>
      </c>
      <c r="M194" s="462">
        <v>105</v>
      </c>
      <c r="N194" s="462">
        <v>7.2</v>
      </c>
      <c r="O194" s="463">
        <v>759.8</v>
      </c>
      <c r="P194" s="464">
        <v>90.5</v>
      </c>
    </row>
    <row r="195" spans="2:16">
      <c r="B195" s="460">
        <v>45274</v>
      </c>
      <c r="C195" s="461" t="s">
        <v>260</v>
      </c>
      <c r="D195" s="456"/>
      <c r="E195" s="462">
        <v>1008</v>
      </c>
      <c r="F195" s="462">
        <v>0</v>
      </c>
      <c r="G195" s="462">
        <v>0</v>
      </c>
      <c r="H195" s="462">
        <v>19.100000000000001</v>
      </c>
      <c r="I195" s="462">
        <v>170.27</v>
      </c>
      <c r="J195" s="462">
        <v>30.87</v>
      </c>
      <c r="K195" s="462">
        <v>40.32</v>
      </c>
      <c r="L195" s="462">
        <v>0</v>
      </c>
      <c r="M195" s="462">
        <v>105</v>
      </c>
      <c r="N195" s="462">
        <v>7.2</v>
      </c>
      <c r="O195" s="463">
        <v>845.24</v>
      </c>
      <c r="P195" s="464">
        <v>111.38</v>
      </c>
    </row>
    <row r="196" spans="2:16">
      <c r="B196" s="460">
        <v>45274</v>
      </c>
      <c r="C196" s="461" t="s">
        <v>285</v>
      </c>
      <c r="D196" s="456"/>
      <c r="E196" s="462">
        <v>6153.85</v>
      </c>
      <c r="F196" s="462">
        <v>0</v>
      </c>
      <c r="G196" s="462">
        <v>0</v>
      </c>
      <c r="H196" s="462">
        <v>0</v>
      </c>
      <c r="I196" s="462">
        <v>1828.84</v>
      </c>
      <c r="J196" s="462">
        <v>245.78</v>
      </c>
      <c r="K196" s="462">
        <v>246.15</v>
      </c>
      <c r="L196" s="462">
        <v>0</v>
      </c>
      <c r="M196" s="462">
        <v>320</v>
      </c>
      <c r="N196" s="462">
        <v>0</v>
      </c>
      <c r="O196" s="463">
        <v>4153.08</v>
      </c>
      <c r="P196" s="464">
        <v>0</v>
      </c>
    </row>
    <row r="197" spans="2:16">
      <c r="B197" s="460">
        <v>45274</v>
      </c>
      <c r="C197" s="461" t="s">
        <v>286</v>
      </c>
      <c r="D197" s="456"/>
      <c r="E197" s="462">
        <v>6153.85</v>
      </c>
      <c r="F197" s="462">
        <v>0</v>
      </c>
      <c r="G197" s="462">
        <v>0</v>
      </c>
      <c r="H197" s="462">
        <v>0</v>
      </c>
      <c r="I197" s="462">
        <v>1725.62</v>
      </c>
      <c r="J197" s="462">
        <v>245.78</v>
      </c>
      <c r="K197" s="462">
        <v>246.15</v>
      </c>
      <c r="L197" s="462">
        <v>0</v>
      </c>
      <c r="M197" s="462">
        <v>320</v>
      </c>
      <c r="N197" s="462">
        <v>0</v>
      </c>
      <c r="O197" s="463">
        <v>4256.3</v>
      </c>
      <c r="P197" s="464">
        <v>0</v>
      </c>
    </row>
    <row r="198" spans="2:16">
      <c r="B198" s="460">
        <v>45274</v>
      </c>
      <c r="C198" s="461" t="s">
        <v>261</v>
      </c>
      <c r="D198" s="456"/>
      <c r="E198" s="462">
        <v>840</v>
      </c>
      <c r="F198" s="462">
        <v>0</v>
      </c>
      <c r="G198" s="462">
        <v>0</v>
      </c>
      <c r="H198" s="462">
        <v>19.100000000000001</v>
      </c>
      <c r="I198" s="462">
        <v>79.08</v>
      </c>
      <c r="J198" s="462">
        <v>23.31</v>
      </c>
      <c r="K198" s="462">
        <v>33.6</v>
      </c>
      <c r="L198" s="462">
        <v>0</v>
      </c>
      <c r="M198" s="462">
        <v>84</v>
      </c>
      <c r="N198" s="462">
        <v>7.2</v>
      </c>
      <c r="O198" s="463">
        <v>761.71</v>
      </c>
      <c r="P198" s="464">
        <v>92.82</v>
      </c>
    </row>
    <row r="199" spans="2:16">
      <c r="B199" s="460">
        <v>45274</v>
      </c>
      <c r="C199" s="461" t="s">
        <v>262</v>
      </c>
      <c r="D199" s="456"/>
      <c r="E199" s="462">
        <v>1008</v>
      </c>
      <c r="F199" s="462">
        <v>0</v>
      </c>
      <c r="G199" s="462">
        <v>0</v>
      </c>
      <c r="H199" s="462">
        <v>19.100000000000001</v>
      </c>
      <c r="I199" s="462">
        <v>172</v>
      </c>
      <c r="J199" s="462">
        <v>30.88</v>
      </c>
      <c r="K199" s="462">
        <v>40.32</v>
      </c>
      <c r="L199" s="462">
        <v>0</v>
      </c>
      <c r="M199" s="462">
        <v>105</v>
      </c>
      <c r="N199" s="462">
        <v>7.2</v>
      </c>
      <c r="O199" s="463">
        <v>843.5</v>
      </c>
      <c r="P199" s="464">
        <v>111.38</v>
      </c>
    </row>
    <row r="200" spans="2:16">
      <c r="B200" s="460">
        <v>45274</v>
      </c>
      <c r="C200" s="461" t="s">
        <v>263</v>
      </c>
      <c r="D200" s="456"/>
      <c r="E200" s="462">
        <v>819</v>
      </c>
      <c r="F200" s="462">
        <v>0</v>
      </c>
      <c r="G200" s="462">
        <v>0</v>
      </c>
      <c r="H200" s="462">
        <v>19.100000000000001</v>
      </c>
      <c r="I200" s="462">
        <v>98.54</v>
      </c>
      <c r="J200" s="462">
        <v>22.37</v>
      </c>
      <c r="K200" s="462">
        <v>32.76</v>
      </c>
      <c r="L200" s="462">
        <v>0</v>
      </c>
      <c r="M200" s="462">
        <v>105</v>
      </c>
      <c r="N200" s="462">
        <v>7.2</v>
      </c>
      <c r="O200" s="463">
        <v>744.03</v>
      </c>
      <c r="P200" s="464">
        <v>90.5</v>
      </c>
    </row>
    <row r="201" spans="2:16">
      <c r="B201" s="460">
        <v>45274</v>
      </c>
      <c r="C201" s="461" t="s">
        <v>264</v>
      </c>
      <c r="D201" s="456"/>
      <c r="E201" s="462">
        <v>819</v>
      </c>
      <c r="F201" s="462">
        <v>0</v>
      </c>
      <c r="G201" s="462">
        <v>0</v>
      </c>
      <c r="H201" s="462">
        <v>19.100000000000001</v>
      </c>
      <c r="I201" s="462">
        <v>97.84</v>
      </c>
      <c r="J201" s="462">
        <v>22.37</v>
      </c>
      <c r="K201" s="462">
        <v>32.76</v>
      </c>
      <c r="L201" s="462">
        <v>0</v>
      </c>
      <c r="M201" s="462">
        <v>105</v>
      </c>
      <c r="N201" s="462">
        <v>7.2</v>
      </c>
      <c r="O201" s="463">
        <v>744.73</v>
      </c>
      <c r="P201" s="464">
        <v>90.5</v>
      </c>
    </row>
    <row r="202" spans="2:16">
      <c r="B202" s="460">
        <v>45274</v>
      </c>
      <c r="C202" s="461" t="s">
        <v>265</v>
      </c>
      <c r="D202" s="456"/>
      <c r="E202" s="462">
        <v>780</v>
      </c>
      <c r="F202" s="462">
        <v>0</v>
      </c>
      <c r="G202" s="462">
        <v>0</v>
      </c>
      <c r="H202" s="462">
        <v>0</v>
      </c>
      <c r="I202" s="462">
        <v>55.04</v>
      </c>
      <c r="J202" s="462">
        <v>20.62</v>
      </c>
      <c r="K202" s="462">
        <v>31.2</v>
      </c>
      <c r="L202" s="462">
        <v>0</v>
      </c>
      <c r="M202" s="462">
        <v>100</v>
      </c>
      <c r="N202" s="462">
        <v>0</v>
      </c>
      <c r="O202" s="463">
        <v>773.14</v>
      </c>
      <c r="P202" s="464">
        <v>86.19</v>
      </c>
    </row>
    <row r="203" spans="2:16">
      <c r="B203" s="460">
        <v>45274</v>
      </c>
      <c r="C203" s="461" t="s">
        <v>266</v>
      </c>
      <c r="D203" s="456"/>
      <c r="E203" s="462">
        <v>819</v>
      </c>
      <c r="F203" s="462">
        <v>0</v>
      </c>
      <c r="G203" s="462">
        <v>0</v>
      </c>
      <c r="H203" s="462">
        <v>19.100000000000001</v>
      </c>
      <c r="I203" s="462">
        <v>59.02</v>
      </c>
      <c r="J203" s="462">
        <v>22.37</v>
      </c>
      <c r="K203" s="462">
        <v>32.76</v>
      </c>
      <c r="L203" s="462">
        <v>0</v>
      </c>
      <c r="M203" s="462">
        <v>105</v>
      </c>
      <c r="N203" s="462">
        <v>7.2</v>
      </c>
      <c r="O203" s="463">
        <v>783.55</v>
      </c>
      <c r="P203" s="464">
        <v>90.5</v>
      </c>
    </row>
    <row r="204" spans="2:16">
      <c r="B204" s="460">
        <v>45274</v>
      </c>
      <c r="C204" s="461" t="s">
        <v>267</v>
      </c>
      <c r="D204" s="456"/>
      <c r="E204" s="462">
        <v>1008</v>
      </c>
      <c r="F204" s="462">
        <v>0</v>
      </c>
      <c r="G204" s="462">
        <v>0</v>
      </c>
      <c r="H204" s="462">
        <v>19.100000000000001</v>
      </c>
      <c r="I204" s="462">
        <v>62.68</v>
      </c>
      <c r="J204" s="462">
        <v>30.88</v>
      </c>
      <c r="K204" s="462">
        <v>40.32</v>
      </c>
      <c r="L204" s="462">
        <v>0</v>
      </c>
      <c r="M204" s="462">
        <v>105</v>
      </c>
      <c r="N204" s="462">
        <v>7.2</v>
      </c>
      <c r="O204" s="463">
        <v>952.82</v>
      </c>
      <c r="P204" s="464">
        <v>111.38</v>
      </c>
    </row>
    <row r="205" spans="2:16">
      <c r="B205" s="460">
        <v>45274</v>
      </c>
      <c r="C205" s="461" t="s">
        <v>268</v>
      </c>
      <c r="D205" s="456"/>
      <c r="E205" s="462">
        <v>1153.8499999999999</v>
      </c>
      <c r="F205" s="462">
        <v>0</v>
      </c>
      <c r="G205" s="462">
        <v>0</v>
      </c>
      <c r="H205" s="462">
        <v>0</v>
      </c>
      <c r="I205" s="462">
        <v>239.42</v>
      </c>
      <c r="J205" s="462">
        <v>37.44</v>
      </c>
      <c r="K205" s="462">
        <v>46.15</v>
      </c>
      <c r="L205" s="462">
        <v>0</v>
      </c>
      <c r="M205" s="462">
        <v>75</v>
      </c>
      <c r="N205" s="462">
        <v>0</v>
      </c>
      <c r="O205" s="463">
        <v>905.84</v>
      </c>
      <c r="P205" s="464">
        <v>127.5</v>
      </c>
    </row>
    <row r="206" spans="2:16">
      <c r="B206" s="460">
        <v>45274</v>
      </c>
      <c r="C206" s="461" t="s">
        <v>269</v>
      </c>
      <c r="D206" s="456"/>
      <c r="E206" s="462">
        <v>897</v>
      </c>
      <c r="F206" s="462">
        <v>0</v>
      </c>
      <c r="G206" s="462">
        <v>0</v>
      </c>
      <c r="H206" s="462">
        <v>19.100000000000001</v>
      </c>
      <c r="I206" s="462">
        <v>93.8</v>
      </c>
      <c r="J206" s="462">
        <v>25.88</v>
      </c>
      <c r="K206" s="462">
        <v>35.880000000000003</v>
      </c>
      <c r="L206" s="462">
        <v>0</v>
      </c>
      <c r="M206" s="462">
        <v>180</v>
      </c>
      <c r="N206" s="462">
        <v>7.2</v>
      </c>
      <c r="O206" s="463">
        <v>895.14</v>
      </c>
      <c r="P206" s="464">
        <v>99.12</v>
      </c>
    </row>
    <row r="207" spans="2:16">
      <c r="B207" s="454"/>
      <c r="C207" s="456"/>
      <c r="D207" s="456"/>
      <c r="E207" s="456"/>
      <c r="F207" s="456"/>
      <c r="G207" s="456"/>
      <c r="H207" s="456"/>
      <c r="I207" s="456"/>
      <c r="J207" s="456"/>
      <c r="K207" s="456"/>
      <c r="L207" s="456"/>
      <c r="M207" s="456"/>
      <c r="N207" s="456"/>
      <c r="O207" s="456"/>
      <c r="P207" s="459"/>
    </row>
    <row r="208" spans="2:16" ht="16" thickBot="1">
      <c r="B208" s="465" t="s">
        <v>270</v>
      </c>
      <c r="C208" s="466"/>
      <c r="D208" s="466"/>
      <c r="E208" s="467">
        <v>23097.55</v>
      </c>
      <c r="F208" s="467">
        <v>0</v>
      </c>
      <c r="G208" s="467">
        <v>0</v>
      </c>
      <c r="H208" s="467">
        <v>191.00000000000003</v>
      </c>
      <c r="I208" s="467">
        <v>4838.2700000000004</v>
      </c>
      <c r="J208" s="467">
        <v>803.29</v>
      </c>
      <c r="K208" s="467">
        <v>923.89</v>
      </c>
      <c r="L208" s="467">
        <v>0</v>
      </c>
      <c r="M208" s="467">
        <v>1919</v>
      </c>
      <c r="N208" s="467">
        <v>72</v>
      </c>
      <c r="O208" s="467">
        <v>18188.099999999999</v>
      </c>
      <c r="P208" s="468">
        <v>1192.27</v>
      </c>
    </row>
    <row r="210" spans="2:16">
      <c r="O210" s="471" t="s">
        <v>0</v>
      </c>
    </row>
    <row r="211" spans="2:16" ht="48" thickBot="1">
      <c r="B211" s="534">
        <v>2024</v>
      </c>
      <c r="C211" s="473" t="s">
        <v>287</v>
      </c>
      <c r="D211" s="474" t="s">
        <v>288</v>
      </c>
      <c r="E211" s="475"/>
      <c r="F211" s="476" t="s">
        <v>289</v>
      </c>
      <c r="G211" s="477">
        <v>1</v>
      </c>
      <c r="H211" s="478"/>
      <c r="I211" s="478"/>
      <c r="J211" s="478"/>
      <c r="K211" s="478"/>
      <c r="L211" s="479"/>
      <c r="M211" s="479"/>
      <c r="N211" s="479"/>
      <c r="O211" s="479"/>
      <c r="P211" s="478"/>
    </row>
    <row r="212" spans="2:16">
      <c r="B212" s="392"/>
      <c r="C212" s="393"/>
      <c r="D212" s="394"/>
      <c r="E212" s="395" t="s">
        <v>272</v>
      </c>
      <c r="F212" s="396" t="s">
        <v>273</v>
      </c>
      <c r="G212" s="397" t="s">
        <v>274</v>
      </c>
      <c r="H212" s="398" t="s">
        <v>275</v>
      </c>
      <c r="I212" s="399" t="s">
        <v>276</v>
      </c>
      <c r="J212" s="399"/>
      <c r="K212" s="400" t="s">
        <v>277</v>
      </c>
      <c r="L212" s="480"/>
      <c r="M212" s="480"/>
      <c r="N212" s="480"/>
    </row>
    <row r="213" spans="2:16">
      <c r="B213" s="401"/>
      <c r="C213" s="436" t="s">
        <v>278</v>
      </c>
      <c r="D213" s="402"/>
      <c r="E213" s="437">
        <v>20</v>
      </c>
      <c r="F213" s="438">
        <v>0</v>
      </c>
      <c r="G213" s="403">
        <v>25</v>
      </c>
      <c r="H213" s="404">
        <f>G213*F213</f>
        <v>0</v>
      </c>
      <c r="I213" s="403">
        <f>(E213/100)*H213</f>
        <v>0</v>
      </c>
      <c r="J213" s="403"/>
      <c r="K213" s="405">
        <f>H213-I213</f>
        <v>0</v>
      </c>
      <c r="L213" s="480"/>
      <c r="M213" s="480"/>
      <c r="N213" s="480"/>
      <c r="O213" s="480"/>
      <c r="P213" s="480"/>
    </row>
    <row r="214" spans="2:16">
      <c r="B214" s="401"/>
      <c r="C214" s="436" t="s">
        <v>279</v>
      </c>
      <c r="D214" s="402"/>
      <c r="E214" s="437">
        <v>0</v>
      </c>
      <c r="F214" s="438">
        <v>0</v>
      </c>
      <c r="G214" s="403">
        <v>25</v>
      </c>
      <c r="H214" s="404">
        <f>G214*F214</f>
        <v>0</v>
      </c>
      <c r="I214" s="403">
        <f>(E214/100)*H214</f>
        <v>0</v>
      </c>
      <c r="J214" s="403"/>
      <c r="K214" s="405">
        <f>H214-I214</f>
        <v>0</v>
      </c>
      <c r="L214" s="480"/>
      <c r="M214" s="480"/>
      <c r="N214" s="480"/>
      <c r="O214" s="480"/>
      <c r="P214" s="480"/>
    </row>
    <row r="215" spans="2:16">
      <c r="B215" s="401"/>
      <c r="C215" s="436" t="s">
        <v>280</v>
      </c>
      <c r="D215" s="402"/>
      <c r="E215" s="437">
        <v>0</v>
      </c>
      <c r="F215" s="438">
        <v>0</v>
      </c>
      <c r="G215" s="403">
        <v>25</v>
      </c>
      <c r="H215" s="404">
        <f>G215*F215</f>
        <v>0</v>
      </c>
      <c r="I215" s="403">
        <f>(E215/100)*H215</f>
        <v>0</v>
      </c>
      <c r="J215" s="403"/>
      <c r="K215" s="405">
        <f>H215-I215</f>
        <v>0</v>
      </c>
      <c r="L215" s="480"/>
      <c r="M215" s="480"/>
      <c r="N215" s="480"/>
      <c r="O215" s="480"/>
      <c r="P215" s="480"/>
    </row>
    <row r="216" spans="2:16">
      <c r="B216" s="401"/>
      <c r="C216" s="436" t="s">
        <v>281</v>
      </c>
      <c r="D216" s="402"/>
      <c r="E216" s="437">
        <v>0</v>
      </c>
      <c r="F216" s="438">
        <v>0</v>
      </c>
      <c r="G216" s="483">
        <v>24</v>
      </c>
      <c r="H216" s="404">
        <f>G216*F216</f>
        <v>0</v>
      </c>
      <c r="I216" s="483">
        <f>(E216/100)*H216</f>
        <v>0</v>
      </c>
      <c r="J216" s="483"/>
      <c r="K216" s="405">
        <f>H216-I216</f>
        <v>0</v>
      </c>
      <c r="L216" s="480"/>
      <c r="M216" s="480"/>
      <c r="N216" s="480"/>
      <c r="O216" s="480"/>
      <c r="P216" s="480"/>
    </row>
    <row r="217" spans="2:16">
      <c r="B217" s="401"/>
      <c r="C217" s="436" t="s">
        <v>282</v>
      </c>
      <c r="D217" s="402"/>
      <c r="E217" s="437">
        <v>20</v>
      </c>
      <c r="F217" s="438">
        <v>0</v>
      </c>
      <c r="G217" s="403">
        <v>20</v>
      </c>
      <c r="H217" s="404">
        <f>G217*F217</f>
        <v>0</v>
      </c>
      <c r="I217" s="403">
        <f>(E217/100)*H217</f>
        <v>0</v>
      </c>
      <c r="J217" s="403"/>
      <c r="K217" s="405">
        <f>H217-I217</f>
        <v>0</v>
      </c>
      <c r="L217" s="480"/>
      <c r="M217" s="480"/>
      <c r="N217" s="480"/>
      <c r="O217" s="480"/>
      <c r="P217" s="480"/>
    </row>
    <row r="218" spans="2:16" ht="16" thickBot="1">
      <c r="B218" s="414"/>
      <c r="C218" s="439"/>
      <c r="D218" s="421"/>
      <c r="E218" s="440"/>
      <c r="F218" s="441"/>
      <c r="G218" s="416"/>
      <c r="H218" s="425"/>
      <c r="I218" s="416"/>
      <c r="J218" s="416"/>
      <c r="K218" s="496"/>
      <c r="L218" s="480"/>
      <c r="M218" s="480"/>
      <c r="N218" s="480"/>
      <c r="O218" s="480"/>
      <c r="P218" s="480"/>
    </row>
    <row r="219" spans="2:16" ht="27" thickBot="1">
      <c r="B219" s="427"/>
      <c r="C219" s="428"/>
      <c r="D219" s="429"/>
      <c r="E219" s="430"/>
      <c r="F219" s="429"/>
      <c r="G219" s="431"/>
      <c r="H219" s="432">
        <f>SUM(H212:H218)</f>
        <v>0</v>
      </c>
      <c r="I219" s="433">
        <f>SUM(I212:I218)</f>
        <v>0</v>
      </c>
      <c r="J219" s="434"/>
      <c r="K219" s="435">
        <f>SUM(K212:K218)</f>
        <v>0</v>
      </c>
      <c r="L219" s="480"/>
      <c r="M219" s="480"/>
      <c r="N219" s="480"/>
      <c r="O219" s="480"/>
      <c r="P219" s="480"/>
    </row>
    <row r="220" spans="2:16" ht="17" thickTop="1" thickBot="1">
      <c r="B220" s="401"/>
      <c r="C220" s="436"/>
      <c r="D220" s="497"/>
      <c r="E220" s="498"/>
      <c r="F220" s="497"/>
      <c r="G220" s="499"/>
      <c r="H220" s="508"/>
      <c r="I220" s="508"/>
      <c r="J220" s="497"/>
      <c r="K220" s="509"/>
      <c r="L220" s="480"/>
      <c r="M220" s="480"/>
      <c r="N220" s="480"/>
      <c r="O220" s="480"/>
      <c r="P220" s="480"/>
    </row>
    <row r="221" spans="2:16">
      <c r="B221" s="449" t="s">
        <v>240</v>
      </c>
      <c r="C221" s="450"/>
      <c r="D221" s="451" t="s">
        <v>298</v>
      </c>
      <c r="E221" s="452" t="s">
        <v>242</v>
      </c>
      <c r="F221" s="452" t="s">
        <v>243</v>
      </c>
      <c r="G221" s="452" t="s">
        <v>244</v>
      </c>
      <c r="H221" s="452" t="s">
        <v>245</v>
      </c>
      <c r="I221" s="450"/>
      <c r="J221" s="450"/>
      <c r="K221" s="452" t="s">
        <v>246</v>
      </c>
      <c r="L221" s="450"/>
      <c r="M221" s="452" t="s">
        <v>247</v>
      </c>
      <c r="N221" s="452" t="s">
        <v>248</v>
      </c>
      <c r="O221" s="452" t="s">
        <v>249</v>
      </c>
      <c r="P221" s="453" t="s">
        <v>246</v>
      </c>
    </row>
    <row r="222" spans="2:16">
      <c r="B222" s="454"/>
      <c r="C222" s="455" t="s">
        <v>250</v>
      </c>
      <c r="D222" s="456"/>
      <c r="E222" s="457" t="s">
        <v>251</v>
      </c>
      <c r="F222" s="457" t="s">
        <v>252</v>
      </c>
      <c r="G222" s="456"/>
      <c r="H222" s="456"/>
      <c r="I222" s="457" t="s">
        <v>253</v>
      </c>
      <c r="J222" s="457" t="s">
        <v>254</v>
      </c>
      <c r="K222" s="457" t="s">
        <v>255</v>
      </c>
      <c r="L222" s="457" t="s">
        <v>256</v>
      </c>
      <c r="M222" s="456"/>
      <c r="N222" s="456"/>
      <c r="O222" s="457" t="s">
        <v>251</v>
      </c>
      <c r="P222" s="458" t="s">
        <v>257</v>
      </c>
    </row>
    <row r="223" spans="2:16">
      <c r="B223" s="454"/>
      <c r="C223" s="456"/>
      <c r="D223" s="456"/>
      <c r="E223" s="456"/>
      <c r="F223" s="456"/>
      <c r="G223" s="456"/>
      <c r="H223" s="456"/>
      <c r="I223" s="456"/>
      <c r="J223" s="456"/>
      <c r="K223" s="456"/>
      <c r="L223" s="456"/>
      <c r="M223" s="456"/>
      <c r="N223" s="456"/>
      <c r="O223" s="456"/>
      <c r="P223" s="459"/>
    </row>
    <row r="224" spans="2:16">
      <c r="B224" s="460">
        <v>45295</v>
      </c>
      <c r="C224" s="461" t="s">
        <v>258</v>
      </c>
      <c r="D224" s="456"/>
      <c r="E224" s="462">
        <v>819</v>
      </c>
      <c r="F224" s="462">
        <v>0</v>
      </c>
      <c r="G224" s="462">
        <v>0</v>
      </c>
      <c r="H224" s="462">
        <v>19.100000000000001</v>
      </c>
      <c r="I224" s="462">
        <v>67.58</v>
      </c>
      <c r="J224" s="462">
        <v>19.39</v>
      </c>
      <c r="K224" s="462">
        <v>32.76</v>
      </c>
      <c r="L224" s="462">
        <v>0</v>
      </c>
      <c r="M224" s="462">
        <v>0</v>
      </c>
      <c r="N224" s="462">
        <v>7.2</v>
      </c>
      <c r="O224" s="463">
        <v>672.97</v>
      </c>
      <c r="P224" s="464">
        <v>90.5</v>
      </c>
    </row>
    <row r="225" spans="2:16">
      <c r="B225" s="460">
        <v>45295</v>
      </c>
      <c r="C225" s="461" t="s">
        <v>259</v>
      </c>
      <c r="D225" s="456"/>
      <c r="E225" s="462">
        <v>336</v>
      </c>
      <c r="F225" s="462">
        <v>0</v>
      </c>
      <c r="G225" s="462">
        <v>0</v>
      </c>
      <c r="H225" s="462">
        <v>19.100000000000001</v>
      </c>
      <c r="I225" s="462">
        <v>0</v>
      </c>
      <c r="J225" s="462">
        <v>3.26</v>
      </c>
      <c r="K225" s="462">
        <v>0</v>
      </c>
      <c r="L225" s="462">
        <v>0</v>
      </c>
      <c r="M225" s="462">
        <v>0</v>
      </c>
      <c r="N225" s="462">
        <v>7.2</v>
      </c>
      <c r="O225" s="463">
        <v>306.44</v>
      </c>
      <c r="P225" s="464">
        <v>29.57</v>
      </c>
    </row>
    <row r="226" spans="2:16">
      <c r="B226" s="460">
        <v>45295</v>
      </c>
      <c r="C226" s="461" t="s">
        <v>260</v>
      </c>
      <c r="D226" s="456"/>
      <c r="E226" s="462">
        <v>819</v>
      </c>
      <c r="F226" s="462">
        <v>0</v>
      </c>
      <c r="G226" s="462">
        <v>0</v>
      </c>
      <c r="H226" s="462">
        <v>19.100000000000001</v>
      </c>
      <c r="I226" s="462">
        <v>83.16</v>
      </c>
      <c r="J226" s="462">
        <v>19.39</v>
      </c>
      <c r="K226" s="462">
        <v>32.76</v>
      </c>
      <c r="L226" s="462">
        <v>0</v>
      </c>
      <c r="M226" s="462">
        <v>0</v>
      </c>
      <c r="N226" s="462">
        <v>7.2</v>
      </c>
      <c r="O226" s="463">
        <v>657.39</v>
      </c>
      <c r="P226" s="464">
        <v>90.5</v>
      </c>
    </row>
    <row r="227" spans="2:16">
      <c r="B227" s="460">
        <v>45295</v>
      </c>
      <c r="C227" s="461" t="s">
        <v>262</v>
      </c>
      <c r="D227" s="456"/>
      <c r="E227" s="462">
        <v>819</v>
      </c>
      <c r="F227" s="462">
        <v>0</v>
      </c>
      <c r="G227" s="462">
        <v>0</v>
      </c>
      <c r="H227" s="462">
        <v>19.100000000000001</v>
      </c>
      <c r="I227" s="462">
        <v>84.5</v>
      </c>
      <c r="J227" s="462">
        <v>19.39</v>
      </c>
      <c r="K227" s="462">
        <v>32.76</v>
      </c>
      <c r="L227" s="462">
        <v>0</v>
      </c>
      <c r="M227" s="462">
        <v>0</v>
      </c>
      <c r="N227" s="462">
        <v>7.2</v>
      </c>
      <c r="O227" s="463">
        <v>656.05</v>
      </c>
      <c r="P227" s="464">
        <v>90.5</v>
      </c>
    </row>
    <row r="228" spans="2:16">
      <c r="B228" s="460">
        <v>45295</v>
      </c>
      <c r="C228" s="461" t="s">
        <v>263</v>
      </c>
      <c r="D228" s="456"/>
      <c r="E228" s="462">
        <v>336</v>
      </c>
      <c r="F228" s="462">
        <v>0</v>
      </c>
      <c r="G228" s="462">
        <v>0</v>
      </c>
      <c r="H228" s="462">
        <v>19.100000000000001</v>
      </c>
      <c r="I228" s="462">
        <v>0</v>
      </c>
      <c r="J228" s="462">
        <v>3.26</v>
      </c>
      <c r="K228" s="462">
        <v>0</v>
      </c>
      <c r="L228" s="462">
        <v>0</v>
      </c>
      <c r="M228" s="462">
        <v>0</v>
      </c>
      <c r="N228" s="462">
        <v>7.2</v>
      </c>
      <c r="O228" s="463">
        <v>306.44</v>
      </c>
      <c r="P228" s="464">
        <v>29.57</v>
      </c>
    </row>
    <row r="229" spans="2:16">
      <c r="B229" s="460">
        <v>45295</v>
      </c>
      <c r="C229" s="461" t="s">
        <v>264</v>
      </c>
      <c r="D229" s="456"/>
      <c r="E229" s="462">
        <v>819</v>
      </c>
      <c r="F229" s="462">
        <v>0</v>
      </c>
      <c r="G229" s="462">
        <v>0</v>
      </c>
      <c r="H229" s="462">
        <v>19.100000000000001</v>
      </c>
      <c r="I229" s="462">
        <v>87.86</v>
      </c>
      <c r="J229" s="462">
        <v>19.39</v>
      </c>
      <c r="K229" s="462">
        <v>32.76</v>
      </c>
      <c r="L229" s="462">
        <v>0</v>
      </c>
      <c r="M229" s="462">
        <v>0</v>
      </c>
      <c r="N229" s="462">
        <v>7.2</v>
      </c>
      <c r="O229" s="463">
        <v>652.69000000000005</v>
      </c>
      <c r="P229" s="464">
        <v>90.5</v>
      </c>
    </row>
    <row r="230" spans="2:16">
      <c r="B230" s="460">
        <v>45295</v>
      </c>
      <c r="C230" s="461" t="s">
        <v>265</v>
      </c>
      <c r="D230" s="456"/>
      <c r="E230" s="462">
        <v>320</v>
      </c>
      <c r="F230" s="462">
        <v>0</v>
      </c>
      <c r="G230" s="462">
        <v>0</v>
      </c>
      <c r="H230" s="462">
        <v>0</v>
      </c>
      <c r="I230" s="462">
        <v>0</v>
      </c>
      <c r="J230" s="462">
        <v>2.94</v>
      </c>
      <c r="K230" s="462">
        <v>0</v>
      </c>
      <c r="L230" s="462">
        <v>0</v>
      </c>
      <c r="M230" s="462">
        <v>0</v>
      </c>
      <c r="N230" s="462">
        <v>0</v>
      </c>
      <c r="O230" s="463">
        <v>317.06</v>
      </c>
      <c r="P230" s="464">
        <v>28.16</v>
      </c>
    </row>
    <row r="231" spans="2:16">
      <c r="B231" s="460">
        <v>45295</v>
      </c>
      <c r="C231" s="461" t="s">
        <v>266</v>
      </c>
      <c r="D231" s="456"/>
      <c r="E231" s="462">
        <v>819</v>
      </c>
      <c r="F231" s="462">
        <v>0</v>
      </c>
      <c r="G231" s="462">
        <v>0</v>
      </c>
      <c r="H231" s="462">
        <v>19.100000000000001</v>
      </c>
      <c r="I231" s="462">
        <v>53.73</v>
      </c>
      <c r="J231" s="462">
        <v>19.39</v>
      </c>
      <c r="K231" s="462">
        <v>32.76</v>
      </c>
      <c r="L231" s="462">
        <v>0</v>
      </c>
      <c r="M231" s="462">
        <v>0</v>
      </c>
      <c r="N231" s="462">
        <v>7.2</v>
      </c>
      <c r="O231" s="463">
        <v>686.82</v>
      </c>
      <c r="P231" s="464">
        <v>90.5</v>
      </c>
    </row>
    <row r="232" spans="2:16">
      <c r="B232" s="460">
        <v>45295</v>
      </c>
      <c r="C232" s="461" t="s">
        <v>267</v>
      </c>
      <c r="D232" s="456"/>
      <c r="E232" s="462">
        <v>819</v>
      </c>
      <c r="F232" s="462">
        <v>0</v>
      </c>
      <c r="G232" s="462">
        <v>0</v>
      </c>
      <c r="H232" s="462">
        <v>19.100000000000001</v>
      </c>
      <c r="I232" s="462">
        <v>17.190000000000001</v>
      </c>
      <c r="J232" s="462">
        <v>19.39</v>
      </c>
      <c r="K232" s="462">
        <v>32.76</v>
      </c>
      <c r="L232" s="462">
        <v>0</v>
      </c>
      <c r="M232" s="462">
        <v>0</v>
      </c>
      <c r="N232" s="462">
        <v>7.2</v>
      </c>
      <c r="O232" s="463">
        <v>723.36</v>
      </c>
      <c r="P232" s="464">
        <v>90.5</v>
      </c>
    </row>
    <row r="233" spans="2:16">
      <c r="B233" s="460">
        <v>45295</v>
      </c>
      <c r="C233" s="461" t="s">
        <v>268</v>
      </c>
      <c r="D233" s="456"/>
      <c r="E233" s="462">
        <v>1153.8499999999999</v>
      </c>
      <c r="F233" s="462">
        <v>0</v>
      </c>
      <c r="G233" s="462">
        <v>0</v>
      </c>
      <c r="H233" s="462">
        <v>0</v>
      </c>
      <c r="I233" s="462">
        <v>227.88</v>
      </c>
      <c r="J233" s="462">
        <v>32.79</v>
      </c>
      <c r="K233" s="462">
        <v>46.15</v>
      </c>
      <c r="L233" s="462">
        <v>0</v>
      </c>
      <c r="M233" s="462">
        <v>75</v>
      </c>
      <c r="N233" s="462">
        <v>0</v>
      </c>
      <c r="O233" s="463">
        <v>922.03</v>
      </c>
      <c r="P233" s="464">
        <v>127.5</v>
      </c>
    </row>
    <row r="234" spans="2:16">
      <c r="B234" s="460">
        <v>45295</v>
      </c>
      <c r="C234" s="461" t="s">
        <v>269</v>
      </c>
      <c r="D234" s="456"/>
      <c r="E234" s="462">
        <v>897</v>
      </c>
      <c r="F234" s="462">
        <v>0</v>
      </c>
      <c r="G234" s="462">
        <v>0</v>
      </c>
      <c r="H234" s="462">
        <v>19.100000000000001</v>
      </c>
      <c r="I234" s="462">
        <v>105.45</v>
      </c>
      <c r="J234" s="462">
        <v>22.51</v>
      </c>
      <c r="K234" s="462">
        <v>35.880000000000003</v>
      </c>
      <c r="L234" s="462">
        <v>0</v>
      </c>
      <c r="M234" s="462">
        <v>0</v>
      </c>
      <c r="N234" s="462">
        <v>7.2</v>
      </c>
      <c r="O234" s="463">
        <v>706.86</v>
      </c>
      <c r="P234" s="464">
        <v>99.12</v>
      </c>
    </row>
    <row r="235" spans="2:16">
      <c r="B235" s="454"/>
      <c r="C235" s="456"/>
      <c r="D235" s="456"/>
      <c r="E235" s="456"/>
      <c r="F235" s="456"/>
      <c r="G235" s="456"/>
      <c r="H235" s="456"/>
      <c r="I235" s="456"/>
      <c r="J235" s="456"/>
      <c r="K235" s="456"/>
      <c r="L235" s="456"/>
      <c r="M235" s="456"/>
      <c r="N235" s="456"/>
      <c r="O235" s="456"/>
      <c r="P235" s="459"/>
    </row>
    <row r="236" spans="2:16" ht="16" thickBot="1">
      <c r="B236" s="465" t="s">
        <v>270</v>
      </c>
      <c r="C236" s="466"/>
      <c r="D236" s="466"/>
      <c r="E236" s="467">
        <v>7956.85</v>
      </c>
      <c r="F236" s="467">
        <v>0</v>
      </c>
      <c r="G236" s="467">
        <v>0</v>
      </c>
      <c r="H236" s="467">
        <v>171.90000000000003</v>
      </c>
      <c r="I236" s="467">
        <v>727.35</v>
      </c>
      <c r="J236" s="467">
        <v>181.1</v>
      </c>
      <c r="K236" s="467">
        <v>278.58999999999997</v>
      </c>
      <c r="L236" s="467">
        <v>0</v>
      </c>
      <c r="M236" s="467">
        <v>75</v>
      </c>
      <c r="N236" s="467">
        <v>64.8</v>
      </c>
      <c r="O236" s="467">
        <v>6608.11</v>
      </c>
      <c r="P236" s="468">
        <v>856.92</v>
      </c>
    </row>
    <row r="237" spans="2:16">
      <c r="B237" s="472"/>
      <c r="C237" s="521"/>
      <c r="D237" s="522"/>
      <c r="E237" s="523"/>
      <c r="F237" s="524"/>
      <c r="G237" s="525"/>
      <c r="H237" s="525"/>
      <c r="I237" s="525"/>
      <c r="J237" s="525"/>
      <c r="K237" s="525"/>
      <c r="L237" s="526"/>
      <c r="M237" s="526"/>
      <c r="N237" s="526"/>
      <c r="O237" s="526"/>
      <c r="P237" s="525"/>
    </row>
    <row r="238" spans="2:16">
      <c r="D238" s="480"/>
      <c r="E238" s="527"/>
      <c r="G238" s="480"/>
      <c r="I238" s="480"/>
      <c r="J238" s="480"/>
      <c r="K238" s="480"/>
      <c r="L238" s="528"/>
      <c r="M238" s="528"/>
      <c r="N238" s="528"/>
      <c r="O238" s="528"/>
      <c r="P238" s="528"/>
    </row>
    <row r="239" spans="2:16" ht="48" thickBot="1">
      <c r="B239" s="472"/>
      <c r="C239" s="473" t="s">
        <v>287</v>
      </c>
      <c r="D239" s="474" t="s">
        <v>288</v>
      </c>
      <c r="E239" s="475">
        <v>1</v>
      </c>
      <c r="F239" s="476" t="s">
        <v>289</v>
      </c>
      <c r="G239" s="477">
        <f>E239+1</f>
        <v>2</v>
      </c>
      <c r="H239" s="478"/>
      <c r="I239" s="478"/>
      <c r="J239" s="478"/>
      <c r="K239" s="478"/>
      <c r="L239" s="479"/>
      <c r="M239" s="479"/>
      <c r="N239" s="479"/>
      <c r="O239" s="479"/>
      <c r="P239" s="478"/>
    </row>
    <row r="240" spans="2:16">
      <c r="B240" s="392"/>
      <c r="C240" s="393"/>
      <c r="D240" s="394"/>
      <c r="E240" s="395" t="s">
        <v>272</v>
      </c>
      <c r="F240" s="396" t="s">
        <v>273</v>
      </c>
      <c r="G240" s="397" t="s">
        <v>274</v>
      </c>
      <c r="H240" s="398" t="s">
        <v>275</v>
      </c>
      <c r="I240" s="399" t="s">
        <v>276</v>
      </c>
      <c r="J240" s="399"/>
      <c r="K240" s="400" t="s">
        <v>277</v>
      </c>
      <c r="L240" s="480"/>
    </row>
    <row r="241" spans="2:12">
      <c r="B241" s="481"/>
      <c r="C241" s="482" t="s">
        <v>290</v>
      </c>
      <c r="D241" s="402">
        <v>1</v>
      </c>
      <c r="E241" s="437">
        <v>20</v>
      </c>
      <c r="F241" s="438">
        <v>127.5</v>
      </c>
      <c r="G241" s="483">
        <v>23.5</v>
      </c>
      <c r="H241" s="404">
        <f>G241*F241</f>
        <v>2996.25</v>
      </c>
      <c r="I241" s="483">
        <f>(E241/100)*H241</f>
        <v>599.25</v>
      </c>
      <c r="J241" s="483"/>
      <c r="K241" s="405">
        <f>H241-I241</f>
        <v>2397</v>
      </c>
      <c r="L241" s="480"/>
    </row>
    <row r="242" spans="2:12">
      <c r="B242" s="481"/>
      <c r="C242" s="482" t="s">
        <v>290</v>
      </c>
      <c r="D242" s="402" t="s">
        <v>299</v>
      </c>
      <c r="E242" s="437">
        <v>20</v>
      </c>
      <c r="F242" s="438">
        <v>62</v>
      </c>
      <c r="G242" s="483">
        <v>23.5</v>
      </c>
      <c r="H242" s="404">
        <f>G242*F242</f>
        <v>1457</v>
      </c>
      <c r="I242" s="483">
        <f>(E242/100)*H242</f>
        <v>291.40000000000003</v>
      </c>
      <c r="J242" s="483"/>
      <c r="K242" s="405">
        <f>H242-I242</f>
        <v>1165.5999999999999</v>
      </c>
      <c r="L242" s="480"/>
    </row>
    <row r="243" spans="2:12" ht="16" thickBot="1">
      <c r="B243" s="484"/>
      <c r="C243" s="485"/>
      <c r="D243" s="486"/>
      <c r="E243" s="487"/>
      <c r="F243" s="488"/>
      <c r="G243" s="489"/>
      <c r="H243" s="490"/>
      <c r="I243" s="491"/>
      <c r="J243" s="492"/>
      <c r="K243" s="493"/>
      <c r="L243" s="480"/>
    </row>
    <row r="244" spans="2:12">
      <c r="B244" s="406"/>
      <c r="C244" s="407"/>
      <c r="D244" s="408"/>
      <c r="E244" s="409"/>
      <c r="F244" s="410"/>
      <c r="G244" s="411"/>
      <c r="H244" s="412"/>
      <c r="I244" s="494"/>
      <c r="J244" s="411"/>
      <c r="K244" s="413"/>
      <c r="L244" s="480"/>
    </row>
    <row r="245" spans="2:12">
      <c r="B245" s="414"/>
      <c r="C245" s="439" t="s">
        <v>291</v>
      </c>
      <c r="D245" s="402">
        <v>1</v>
      </c>
      <c r="E245" s="440">
        <v>20</v>
      </c>
      <c r="F245" s="441">
        <v>330</v>
      </c>
      <c r="G245" s="495">
        <v>25</v>
      </c>
      <c r="H245" s="417">
        <f>G245*F245</f>
        <v>8250</v>
      </c>
      <c r="I245" s="418">
        <f>(E245/100)*H245</f>
        <v>1650</v>
      </c>
      <c r="J245" s="495"/>
      <c r="K245" s="496">
        <f>H245-I245</f>
        <v>6600</v>
      </c>
      <c r="L245" s="480"/>
    </row>
    <row r="246" spans="2:12">
      <c r="B246" s="414"/>
      <c r="C246" s="439" t="s">
        <v>291</v>
      </c>
      <c r="D246" s="402" t="s">
        <v>299</v>
      </c>
      <c r="E246" s="440">
        <v>20</v>
      </c>
      <c r="F246" s="441">
        <v>96</v>
      </c>
      <c r="G246" s="416">
        <v>25</v>
      </c>
      <c r="H246" s="417">
        <f>G246*F246</f>
        <v>2400</v>
      </c>
      <c r="I246" s="418">
        <f>(E246/100)*H246</f>
        <v>480</v>
      </c>
      <c r="J246" s="416"/>
      <c r="K246" s="496">
        <f>H246-I246</f>
        <v>1920</v>
      </c>
      <c r="L246" s="480"/>
    </row>
    <row r="247" spans="2:12" ht="16" thickBot="1">
      <c r="B247" s="419"/>
      <c r="C247" s="420"/>
      <c r="D247" s="421"/>
      <c r="E247" s="422"/>
      <c r="F247" s="423"/>
      <c r="G247" s="424"/>
      <c r="H247" s="425"/>
      <c r="I247" s="424"/>
      <c r="J247" s="424"/>
      <c r="K247" s="426"/>
      <c r="L247" s="480"/>
    </row>
    <row r="248" spans="2:12">
      <c r="B248" s="414"/>
      <c r="C248" s="439"/>
      <c r="D248" s="415"/>
      <c r="E248" s="440"/>
      <c r="F248" s="441"/>
      <c r="G248" s="416"/>
      <c r="H248" s="417"/>
      <c r="I248" s="416"/>
      <c r="J248" s="416"/>
      <c r="K248" s="496"/>
      <c r="L248" s="480"/>
    </row>
    <row r="249" spans="2:12">
      <c r="B249" s="401"/>
      <c r="C249" s="436" t="s">
        <v>278</v>
      </c>
      <c r="D249" s="402">
        <v>1</v>
      </c>
      <c r="E249" s="437">
        <v>20</v>
      </c>
      <c r="F249" s="438">
        <v>60</v>
      </c>
      <c r="G249" s="403">
        <v>25</v>
      </c>
      <c r="H249" s="404">
        <f>G249*F249</f>
        <v>1500</v>
      </c>
      <c r="I249" s="403">
        <f>(E249/100)*H249</f>
        <v>300</v>
      </c>
      <c r="J249" s="403"/>
      <c r="K249" s="405">
        <f>H249-I249</f>
        <v>1200</v>
      </c>
      <c r="L249" s="480"/>
    </row>
    <row r="250" spans="2:12">
      <c r="B250" s="401"/>
      <c r="C250" s="436" t="s">
        <v>279</v>
      </c>
      <c r="D250" s="402">
        <v>1</v>
      </c>
      <c r="E250" s="437">
        <v>0</v>
      </c>
      <c r="F250" s="438">
        <v>25.5</v>
      </c>
      <c r="G250" s="483">
        <v>25</v>
      </c>
      <c r="H250" s="404">
        <f>G250*F250</f>
        <v>637.5</v>
      </c>
      <c r="I250" s="483">
        <f>(E250/100)*H250</f>
        <v>0</v>
      </c>
      <c r="J250" s="483"/>
      <c r="K250" s="405">
        <f>H250-I250</f>
        <v>637.5</v>
      </c>
      <c r="L250" s="480"/>
    </row>
    <row r="251" spans="2:12">
      <c r="B251" s="401"/>
      <c r="C251" s="436" t="s">
        <v>280</v>
      </c>
      <c r="D251" s="402">
        <v>1</v>
      </c>
      <c r="E251" s="437">
        <v>0</v>
      </c>
      <c r="F251" s="438">
        <v>25.5</v>
      </c>
      <c r="G251" s="403">
        <v>25</v>
      </c>
      <c r="H251" s="404">
        <f>G251*F251</f>
        <v>637.5</v>
      </c>
      <c r="I251" s="403">
        <f>(E251/100)*H251</f>
        <v>0</v>
      </c>
      <c r="J251" s="403"/>
      <c r="K251" s="405">
        <f>H251-I251</f>
        <v>637.5</v>
      </c>
      <c r="L251" s="480"/>
    </row>
    <row r="252" spans="2:12">
      <c r="B252" s="401"/>
      <c r="C252" s="436" t="s">
        <v>281</v>
      </c>
      <c r="D252" s="402">
        <v>1</v>
      </c>
      <c r="E252" s="437">
        <v>0</v>
      </c>
      <c r="F252" s="438">
        <v>25.5</v>
      </c>
      <c r="G252" s="483">
        <v>24</v>
      </c>
      <c r="H252" s="404">
        <f>G252*F252</f>
        <v>612</v>
      </c>
      <c r="I252" s="483">
        <f>(E252/100)*H252</f>
        <v>0</v>
      </c>
      <c r="J252" s="483"/>
      <c r="K252" s="405">
        <f>H252-I252</f>
        <v>612</v>
      </c>
      <c r="L252" s="480"/>
    </row>
    <row r="253" spans="2:12">
      <c r="B253" s="401"/>
      <c r="C253" s="436" t="s">
        <v>282</v>
      </c>
      <c r="D253" s="402">
        <v>1</v>
      </c>
      <c r="E253" s="437">
        <v>20</v>
      </c>
      <c r="F253" s="438">
        <v>25.5</v>
      </c>
      <c r="G253" s="403">
        <v>20</v>
      </c>
      <c r="H253" s="404">
        <f>G253*F253</f>
        <v>510</v>
      </c>
      <c r="I253" s="403">
        <f>(E253/100)*H253</f>
        <v>102</v>
      </c>
      <c r="J253" s="403"/>
      <c r="K253" s="405">
        <f>H253-I253</f>
        <v>408</v>
      </c>
      <c r="L253" s="480"/>
    </row>
    <row r="254" spans="2:12" ht="16" thickBot="1">
      <c r="B254" s="419"/>
      <c r="C254" s="420"/>
      <c r="D254" s="421"/>
      <c r="E254" s="422"/>
      <c r="F254" s="423"/>
      <c r="G254" s="424"/>
      <c r="H254" s="425"/>
      <c r="I254" s="424"/>
      <c r="J254" s="424"/>
      <c r="K254" s="426"/>
      <c r="L254" s="480"/>
    </row>
    <row r="255" spans="2:12">
      <c r="B255" s="406"/>
      <c r="C255" s="407"/>
      <c r="D255" s="529"/>
      <c r="E255" s="409"/>
      <c r="F255" s="410"/>
      <c r="G255" s="411"/>
      <c r="H255" s="530"/>
      <c r="I255" s="411"/>
      <c r="J255" s="411"/>
      <c r="K255" s="413"/>
      <c r="L255" s="480"/>
    </row>
    <row r="256" spans="2:12">
      <c r="B256" s="414"/>
      <c r="C256" s="439" t="s">
        <v>293</v>
      </c>
      <c r="D256" s="510"/>
      <c r="E256" s="440">
        <v>0</v>
      </c>
      <c r="F256" s="441"/>
      <c r="G256" s="416"/>
      <c r="H256" s="511"/>
      <c r="I256" s="416">
        <f>(E256/100)*H256</f>
        <v>0</v>
      </c>
      <c r="J256" s="416"/>
      <c r="K256" s="496">
        <f>H256-I256</f>
        <v>0</v>
      </c>
      <c r="L256" s="480"/>
    </row>
    <row r="257" spans="2:16">
      <c r="B257" s="414"/>
      <c r="C257" s="439" t="s">
        <v>296</v>
      </c>
      <c r="D257" s="510"/>
      <c r="E257" s="440">
        <v>20</v>
      </c>
      <c r="F257" s="441"/>
      <c r="G257" s="416"/>
      <c r="H257" s="511"/>
      <c r="I257" s="416">
        <f>(E257/100)*H257</f>
        <v>0</v>
      </c>
      <c r="J257" s="416"/>
      <c r="K257" s="496">
        <f>H257-I257</f>
        <v>0</v>
      </c>
      <c r="L257" s="480"/>
    </row>
    <row r="258" spans="2:16" ht="16" thickBot="1">
      <c r="B258" s="419"/>
      <c r="C258" s="420"/>
      <c r="D258" s="531"/>
      <c r="E258" s="422"/>
      <c r="F258" s="423"/>
      <c r="G258" s="424"/>
      <c r="H258" s="532"/>
      <c r="I258" s="424"/>
      <c r="J258" s="424"/>
      <c r="K258" s="426"/>
      <c r="L258" s="480"/>
    </row>
    <row r="259" spans="2:16" ht="27" thickBot="1">
      <c r="B259" s="401"/>
      <c r="C259" s="436"/>
      <c r="D259" s="497"/>
      <c r="E259" s="498"/>
      <c r="F259" s="497"/>
      <c r="G259" s="499"/>
      <c r="H259" s="500">
        <f>SUM(H240:H257)</f>
        <v>19000.25</v>
      </c>
      <c r="I259" s="501">
        <f>SUM(I240:I257)</f>
        <v>3422.65</v>
      </c>
      <c r="J259" s="502"/>
      <c r="K259" s="503">
        <f>SUM(K240:K257)</f>
        <v>15577.6</v>
      </c>
      <c r="L259" s="480"/>
    </row>
    <row r="260" spans="2:16" ht="17" thickTop="1" thickBot="1">
      <c r="B260" s="401"/>
      <c r="C260" s="436"/>
      <c r="D260" s="497"/>
      <c r="E260" s="498"/>
      <c r="F260" s="497"/>
      <c r="G260" s="499"/>
      <c r="H260" s="504"/>
      <c r="I260" s="505"/>
      <c r="J260" s="505"/>
      <c r="K260" s="506"/>
      <c r="L260" s="480"/>
    </row>
    <row r="261" spans="2:16">
      <c r="B261" s="449" t="s">
        <v>240</v>
      </c>
      <c r="C261" s="450"/>
      <c r="D261" s="451" t="s">
        <v>300</v>
      </c>
      <c r="E261" s="452" t="s">
        <v>242</v>
      </c>
      <c r="F261" s="452" t="s">
        <v>243</v>
      </c>
      <c r="G261" s="452" t="s">
        <v>244</v>
      </c>
      <c r="H261" s="452" t="s">
        <v>245</v>
      </c>
      <c r="I261" s="450"/>
      <c r="J261" s="450"/>
      <c r="K261" s="452" t="s">
        <v>246</v>
      </c>
      <c r="L261" s="450"/>
      <c r="M261" s="452" t="s">
        <v>247</v>
      </c>
      <c r="N261" s="452" t="s">
        <v>248</v>
      </c>
      <c r="O261" s="452" t="s">
        <v>249</v>
      </c>
      <c r="P261" s="453" t="s">
        <v>246</v>
      </c>
    </row>
    <row r="262" spans="2:16">
      <c r="B262" s="454"/>
      <c r="C262" s="455" t="s">
        <v>250</v>
      </c>
      <c r="D262" s="456"/>
      <c r="E262" s="457" t="s">
        <v>251</v>
      </c>
      <c r="F262" s="457" t="s">
        <v>252</v>
      </c>
      <c r="G262" s="456"/>
      <c r="H262" s="456"/>
      <c r="I262" s="457" t="s">
        <v>253</v>
      </c>
      <c r="J262" s="457" t="s">
        <v>254</v>
      </c>
      <c r="K262" s="457" t="s">
        <v>255</v>
      </c>
      <c r="L262" s="457" t="s">
        <v>256</v>
      </c>
      <c r="M262" s="456"/>
      <c r="N262" s="456"/>
      <c r="O262" s="457" t="s">
        <v>251</v>
      </c>
      <c r="P262" s="458" t="s">
        <v>257</v>
      </c>
    </row>
    <row r="263" spans="2:16">
      <c r="B263" s="454"/>
      <c r="C263" s="456"/>
      <c r="D263" s="456"/>
      <c r="E263" s="456"/>
      <c r="F263" s="456"/>
      <c r="G263" s="456"/>
      <c r="H263" s="456"/>
      <c r="I263" s="456"/>
      <c r="J263" s="456"/>
      <c r="K263" s="456"/>
      <c r="L263" s="456"/>
      <c r="M263" s="456"/>
      <c r="N263" s="456"/>
      <c r="O263" s="456"/>
      <c r="P263" s="459"/>
    </row>
    <row r="264" spans="2:16">
      <c r="B264" s="460">
        <v>45302</v>
      </c>
      <c r="C264" s="461" t="s">
        <v>258</v>
      </c>
      <c r="D264" s="456"/>
      <c r="E264" s="462">
        <v>819</v>
      </c>
      <c r="F264" s="462">
        <v>0</v>
      </c>
      <c r="G264" s="462">
        <v>0</v>
      </c>
      <c r="H264" s="462">
        <v>19.100000000000001</v>
      </c>
      <c r="I264" s="462">
        <v>67.569999999999993</v>
      </c>
      <c r="J264" s="462">
        <v>19.39</v>
      </c>
      <c r="K264" s="462">
        <v>32.76</v>
      </c>
      <c r="L264" s="462">
        <v>0</v>
      </c>
      <c r="M264" s="462">
        <v>0</v>
      </c>
      <c r="N264" s="462">
        <v>7.2</v>
      </c>
      <c r="O264" s="463">
        <v>672.98</v>
      </c>
      <c r="P264" s="464">
        <v>90.5</v>
      </c>
    </row>
    <row r="265" spans="2:16">
      <c r="B265" s="460">
        <v>45302</v>
      </c>
      <c r="C265" s="461" t="s">
        <v>259</v>
      </c>
      <c r="D265" s="456"/>
      <c r="E265" s="462">
        <v>819</v>
      </c>
      <c r="F265" s="462">
        <v>0</v>
      </c>
      <c r="G265" s="462">
        <v>0</v>
      </c>
      <c r="H265" s="462">
        <v>19.100000000000001</v>
      </c>
      <c r="I265" s="462">
        <v>57.4</v>
      </c>
      <c r="J265" s="462">
        <v>16.2</v>
      </c>
      <c r="K265" s="462">
        <v>32.76</v>
      </c>
      <c r="L265" s="462">
        <v>0</v>
      </c>
      <c r="M265" s="462">
        <v>84</v>
      </c>
      <c r="N265" s="462">
        <v>7.2</v>
      </c>
      <c r="O265" s="463">
        <v>770.34</v>
      </c>
      <c r="P265" s="464">
        <v>90.5</v>
      </c>
    </row>
    <row r="266" spans="2:16">
      <c r="B266" s="460">
        <v>45302</v>
      </c>
      <c r="C266" s="461" t="s">
        <v>260</v>
      </c>
      <c r="D266" s="456"/>
      <c r="E266" s="462">
        <v>168</v>
      </c>
      <c r="F266" s="462">
        <v>0</v>
      </c>
      <c r="G266" s="462">
        <v>0</v>
      </c>
      <c r="H266" s="462">
        <v>19.100000000000001</v>
      </c>
      <c r="I266" s="462">
        <v>-47.03</v>
      </c>
      <c r="J266" s="462">
        <v>-6.58</v>
      </c>
      <c r="K266" s="462">
        <v>0</v>
      </c>
      <c r="L266" s="462">
        <v>0</v>
      </c>
      <c r="M266" s="462">
        <v>0</v>
      </c>
      <c r="N266" s="462">
        <v>7.2</v>
      </c>
      <c r="O266" s="463">
        <v>195.31</v>
      </c>
      <c r="P266" s="464">
        <v>14.78</v>
      </c>
    </row>
    <row r="267" spans="2:16">
      <c r="B267" s="460">
        <v>45302</v>
      </c>
      <c r="C267" s="461" t="s">
        <v>285</v>
      </c>
      <c r="D267" s="456"/>
      <c r="E267" s="462">
        <v>6153.85</v>
      </c>
      <c r="F267" s="462">
        <v>0</v>
      </c>
      <c r="G267" s="462">
        <v>0</v>
      </c>
      <c r="H267" s="462">
        <v>0</v>
      </c>
      <c r="I267" s="462">
        <v>2118.2800000000002</v>
      </c>
      <c r="J267" s="462">
        <v>357.81</v>
      </c>
      <c r="K267" s="462">
        <v>246.15</v>
      </c>
      <c r="L267" s="462">
        <v>0</v>
      </c>
      <c r="M267" s="462">
        <v>320</v>
      </c>
      <c r="N267" s="462">
        <v>0</v>
      </c>
      <c r="O267" s="463">
        <v>3751.61</v>
      </c>
      <c r="P267" s="464">
        <v>0</v>
      </c>
    </row>
    <row r="268" spans="2:16">
      <c r="B268" s="460">
        <v>45302</v>
      </c>
      <c r="C268" s="461" t="s">
        <v>286</v>
      </c>
      <c r="D268" s="456"/>
      <c r="E268" s="462">
        <v>6153.85</v>
      </c>
      <c r="F268" s="462">
        <v>0</v>
      </c>
      <c r="G268" s="462">
        <v>0</v>
      </c>
      <c r="H268" s="462">
        <v>0</v>
      </c>
      <c r="I268" s="462">
        <v>2070.7199999999998</v>
      </c>
      <c r="J268" s="462">
        <v>357.81</v>
      </c>
      <c r="K268" s="462">
        <v>246.15</v>
      </c>
      <c r="L268" s="462">
        <v>0</v>
      </c>
      <c r="M268" s="462">
        <v>320</v>
      </c>
      <c r="N268" s="462">
        <v>0</v>
      </c>
      <c r="O268" s="463">
        <v>3799.17</v>
      </c>
      <c r="P268" s="464">
        <v>0</v>
      </c>
    </row>
    <row r="269" spans="2:16">
      <c r="B269" s="460">
        <v>45302</v>
      </c>
      <c r="C269" s="461" t="s">
        <v>262</v>
      </c>
      <c r="D269" s="456"/>
      <c r="E269" s="462">
        <v>651</v>
      </c>
      <c r="F269" s="462">
        <v>0</v>
      </c>
      <c r="G269" s="462">
        <v>0</v>
      </c>
      <c r="H269" s="462">
        <v>19.100000000000001</v>
      </c>
      <c r="I269" s="462">
        <v>50.9</v>
      </c>
      <c r="J269" s="462">
        <v>12.67</v>
      </c>
      <c r="K269" s="462">
        <v>26.04</v>
      </c>
      <c r="L269" s="462">
        <v>0</v>
      </c>
      <c r="M269" s="462">
        <v>42</v>
      </c>
      <c r="N269" s="462">
        <v>7.2</v>
      </c>
      <c r="O269" s="463">
        <v>577.09</v>
      </c>
      <c r="P269" s="464">
        <v>71.94</v>
      </c>
    </row>
    <row r="270" spans="2:16">
      <c r="B270" s="460">
        <v>45302</v>
      </c>
      <c r="C270" s="461" t="s">
        <v>263</v>
      </c>
      <c r="D270" s="456"/>
      <c r="E270" s="462">
        <v>651</v>
      </c>
      <c r="F270" s="462">
        <v>0</v>
      </c>
      <c r="G270" s="462">
        <v>0</v>
      </c>
      <c r="H270" s="462">
        <v>19.100000000000001</v>
      </c>
      <c r="I270" s="462">
        <v>54.74</v>
      </c>
      <c r="J270" s="462">
        <v>9.5500000000000007</v>
      </c>
      <c r="K270" s="462">
        <v>26.04</v>
      </c>
      <c r="L270" s="462">
        <v>0</v>
      </c>
      <c r="M270" s="462">
        <v>63</v>
      </c>
      <c r="N270" s="462">
        <v>7.2</v>
      </c>
      <c r="O270" s="463">
        <v>597.37</v>
      </c>
      <c r="P270" s="464">
        <v>71.94</v>
      </c>
    </row>
    <row r="271" spans="2:16">
      <c r="B271" s="460">
        <v>45302</v>
      </c>
      <c r="C271" s="461" t="s">
        <v>264</v>
      </c>
      <c r="D271" s="456"/>
      <c r="E271" s="462">
        <v>336</v>
      </c>
      <c r="F271" s="462">
        <v>0</v>
      </c>
      <c r="G271" s="462">
        <v>0</v>
      </c>
      <c r="H271" s="462">
        <v>19.100000000000001</v>
      </c>
      <c r="I271" s="462">
        <v>-8.73</v>
      </c>
      <c r="J271" s="462">
        <v>7.0000000000000007E-2</v>
      </c>
      <c r="K271" s="462">
        <v>0</v>
      </c>
      <c r="L271" s="462">
        <v>0</v>
      </c>
      <c r="M271" s="462">
        <v>0</v>
      </c>
      <c r="N271" s="462">
        <v>7.2</v>
      </c>
      <c r="O271" s="463">
        <v>318.36</v>
      </c>
      <c r="P271" s="464">
        <v>29.57</v>
      </c>
    </row>
    <row r="272" spans="2:16">
      <c r="B272" s="460">
        <v>45302</v>
      </c>
      <c r="C272" s="461" t="s">
        <v>265</v>
      </c>
      <c r="D272" s="456"/>
      <c r="E272" s="462">
        <v>460</v>
      </c>
      <c r="F272" s="462">
        <v>0</v>
      </c>
      <c r="G272" s="462">
        <v>0</v>
      </c>
      <c r="H272" s="462">
        <v>0</v>
      </c>
      <c r="I272" s="462">
        <v>0</v>
      </c>
      <c r="J272" s="462">
        <v>5.73</v>
      </c>
      <c r="K272" s="462">
        <v>18.399999999999999</v>
      </c>
      <c r="L272" s="462">
        <v>0</v>
      </c>
      <c r="M272" s="462">
        <v>40</v>
      </c>
      <c r="N272" s="462">
        <v>0</v>
      </c>
      <c r="O272" s="463">
        <v>475.87</v>
      </c>
      <c r="P272" s="464">
        <v>50.83</v>
      </c>
    </row>
    <row r="273" spans="2:16">
      <c r="B273" s="460">
        <v>45302</v>
      </c>
      <c r="C273" s="461" t="s">
        <v>266</v>
      </c>
      <c r="D273" s="456"/>
      <c r="E273" s="462">
        <v>1155</v>
      </c>
      <c r="F273" s="462">
        <v>0</v>
      </c>
      <c r="G273" s="462">
        <v>0</v>
      </c>
      <c r="H273" s="462">
        <v>19.100000000000001</v>
      </c>
      <c r="I273" s="462">
        <v>120.93</v>
      </c>
      <c r="J273" s="462">
        <v>32.83</v>
      </c>
      <c r="K273" s="462">
        <v>46.2</v>
      </c>
      <c r="L273" s="462">
        <v>0</v>
      </c>
      <c r="M273" s="462">
        <v>63</v>
      </c>
      <c r="N273" s="462">
        <v>7.2</v>
      </c>
      <c r="O273" s="463">
        <v>991.74</v>
      </c>
      <c r="P273" s="464">
        <v>127.63</v>
      </c>
    </row>
    <row r="274" spans="2:16">
      <c r="B274" s="460">
        <v>45302</v>
      </c>
      <c r="C274" s="461" t="s">
        <v>267</v>
      </c>
      <c r="D274" s="456"/>
      <c r="E274" s="462">
        <v>336</v>
      </c>
      <c r="F274" s="462">
        <v>0</v>
      </c>
      <c r="G274" s="462">
        <v>0</v>
      </c>
      <c r="H274" s="462">
        <v>19.100000000000001</v>
      </c>
      <c r="I274" s="462">
        <v>-17.190000000000001</v>
      </c>
      <c r="J274" s="462">
        <v>7.0000000000000007E-2</v>
      </c>
      <c r="K274" s="462">
        <v>0</v>
      </c>
      <c r="L274" s="462">
        <v>0</v>
      </c>
      <c r="M274" s="462">
        <v>0</v>
      </c>
      <c r="N274" s="462">
        <v>7.2</v>
      </c>
      <c r="O274" s="463">
        <v>326.82</v>
      </c>
      <c r="P274" s="464">
        <v>29.57</v>
      </c>
    </row>
    <row r="275" spans="2:16">
      <c r="B275" s="460">
        <v>45302</v>
      </c>
      <c r="C275" s="461" t="s">
        <v>268</v>
      </c>
      <c r="D275" s="456"/>
      <c r="E275" s="462">
        <v>1153.8499999999999</v>
      </c>
      <c r="F275" s="462">
        <v>0</v>
      </c>
      <c r="G275" s="462">
        <v>0</v>
      </c>
      <c r="H275" s="462">
        <v>0</v>
      </c>
      <c r="I275" s="462">
        <v>227.9</v>
      </c>
      <c r="J275" s="462">
        <v>32.78</v>
      </c>
      <c r="K275" s="462">
        <v>46.15</v>
      </c>
      <c r="L275" s="462">
        <v>0</v>
      </c>
      <c r="M275" s="462">
        <v>75</v>
      </c>
      <c r="N275" s="462">
        <v>0</v>
      </c>
      <c r="O275" s="463">
        <v>922.02</v>
      </c>
      <c r="P275" s="464">
        <v>127.5</v>
      </c>
    </row>
    <row r="276" spans="2:16">
      <c r="B276" s="460">
        <v>45302</v>
      </c>
      <c r="C276" s="461" t="s">
        <v>269</v>
      </c>
      <c r="D276" s="456"/>
      <c r="E276" s="462">
        <v>897</v>
      </c>
      <c r="F276" s="462">
        <v>0</v>
      </c>
      <c r="G276" s="462">
        <v>0</v>
      </c>
      <c r="H276" s="462">
        <v>19.100000000000001</v>
      </c>
      <c r="I276" s="462">
        <v>105.46</v>
      </c>
      <c r="J276" s="462">
        <v>22.51</v>
      </c>
      <c r="K276" s="462">
        <v>35.880000000000003</v>
      </c>
      <c r="L276" s="462">
        <v>0</v>
      </c>
      <c r="M276" s="462">
        <v>180</v>
      </c>
      <c r="N276" s="462">
        <v>7.2</v>
      </c>
      <c r="O276" s="463">
        <v>886.85</v>
      </c>
      <c r="P276" s="464">
        <v>99.12</v>
      </c>
    </row>
    <row r="277" spans="2:16">
      <c r="B277" s="454"/>
      <c r="C277" s="456"/>
      <c r="D277" s="456"/>
      <c r="E277" s="456"/>
      <c r="F277" s="456"/>
      <c r="G277" s="456"/>
      <c r="H277" s="456"/>
      <c r="I277" s="456"/>
      <c r="J277" s="456"/>
      <c r="K277" s="456"/>
      <c r="L277" s="456"/>
      <c r="M277" s="456"/>
      <c r="N277" s="456"/>
      <c r="O277" s="456"/>
      <c r="P277" s="459"/>
    </row>
    <row r="278" spans="2:16" ht="16" thickBot="1">
      <c r="B278" s="465" t="s">
        <v>270</v>
      </c>
      <c r="C278" s="466"/>
      <c r="D278" s="466"/>
      <c r="E278" s="467">
        <v>19753.55</v>
      </c>
      <c r="F278" s="467">
        <v>0</v>
      </c>
      <c r="G278" s="467">
        <v>0</v>
      </c>
      <c r="H278" s="467">
        <v>171.90000000000003</v>
      </c>
      <c r="I278" s="467">
        <v>4800.95</v>
      </c>
      <c r="J278" s="467">
        <v>860.84</v>
      </c>
      <c r="K278" s="467">
        <v>756.53</v>
      </c>
      <c r="L278" s="467">
        <v>0</v>
      </c>
      <c r="M278" s="467">
        <v>1187</v>
      </c>
      <c r="N278" s="467">
        <v>64.8</v>
      </c>
      <c r="O278" s="467">
        <v>14285.53</v>
      </c>
      <c r="P278" s="468">
        <v>803.88</v>
      </c>
    </row>
    <row r="279" spans="2:16">
      <c r="B279" s="472"/>
      <c r="C279" s="521"/>
      <c r="D279" s="522"/>
      <c r="E279" s="523"/>
      <c r="F279" s="524"/>
      <c r="G279" s="525"/>
      <c r="H279" s="525"/>
      <c r="I279" s="525"/>
      <c r="J279" s="525"/>
      <c r="K279" s="525"/>
      <c r="L279" s="526"/>
      <c r="M279" s="526"/>
      <c r="N279" s="526"/>
      <c r="O279" s="526"/>
      <c r="P279" s="525"/>
    </row>
    <row r="280" spans="2:16">
      <c r="D280" s="480"/>
      <c r="E280" s="527"/>
      <c r="G280" s="480"/>
      <c r="I280" s="480"/>
      <c r="J280" s="480"/>
      <c r="K280" s="480"/>
      <c r="L280" s="528"/>
      <c r="M280" s="528"/>
      <c r="N280" s="528"/>
      <c r="O280" s="528"/>
      <c r="P280" s="528"/>
    </row>
    <row r="281" spans="2:16" ht="48" thickBot="1">
      <c r="B281" s="472"/>
      <c r="C281" s="473" t="s">
        <v>287</v>
      </c>
      <c r="D281" s="474" t="s">
        <v>288</v>
      </c>
      <c r="E281" s="475">
        <v>2</v>
      </c>
      <c r="F281" s="476" t="s">
        <v>289</v>
      </c>
      <c r="G281" s="477">
        <f>E281+1</f>
        <v>3</v>
      </c>
      <c r="H281" s="478"/>
      <c r="I281" s="478"/>
      <c r="J281" s="478"/>
      <c r="K281" s="478"/>
      <c r="L281" s="479"/>
      <c r="M281" s="479"/>
      <c r="N281" s="479"/>
      <c r="O281" s="479"/>
      <c r="P281" s="478"/>
    </row>
    <row r="282" spans="2:16">
      <c r="B282" s="392"/>
      <c r="C282" s="393"/>
      <c r="D282" s="394"/>
      <c r="E282" s="395" t="s">
        <v>272</v>
      </c>
      <c r="F282" s="396" t="s">
        <v>273</v>
      </c>
      <c r="G282" s="397" t="s">
        <v>274</v>
      </c>
      <c r="H282" s="398" t="s">
        <v>275</v>
      </c>
      <c r="I282" s="399" t="s">
        <v>276</v>
      </c>
      <c r="J282" s="399"/>
      <c r="K282" s="400" t="s">
        <v>277</v>
      </c>
      <c r="L282" s="480"/>
    </row>
    <row r="283" spans="2:16">
      <c r="B283" s="481"/>
      <c r="C283" s="482" t="s">
        <v>290</v>
      </c>
      <c r="D283" s="402"/>
      <c r="E283" s="437">
        <v>20</v>
      </c>
      <c r="F283" s="438"/>
      <c r="G283" s="483">
        <v>23.5</v>
      </c>
      <c r="H283" s="404">
        <f>G283*F283</f>
        <v>0</v>
      </c>
      <c r="I283" s="483">
        <f>(E283/100)*H283</f>
        <v>0</v>
      </c>
      <c r="J283" s="483"/>
      <c r="K283" s="405">
        <f>H283-I283</f>
        <v>0</v>
      </c>
      <c r="L283" s="480"/>
    </row>
    <row r="284" spans="2:16">
      <c r="B284" s="481"/>
      <c r="C284" s="482" t="s">
        <v>290</v>
      </c>
      <c r="D284" s="402">
        <v>2</v>
      </c>
      <c r="E284" s="437">
        <v>20</v>
      </c>
      <c r="F284" s="438">
        <v>282</v>
      </c>
      <c r="G284" s="483">
        <v>23.5</v>
      </c>
      <c r="H284" s="404">
        <f>G284*F284</f>
        <v>6627</v>
      </c>
      <c r="I284" s="483">
        <f>(E284/100)*H284</f>
        <v>1325.4</v>
      </c>
      <c r="J284" s="483"/>
      <c r="K284" s="405">
        <f>H284-I284</f>
        <v>5301.6</v>
      </c>
      <c r="L284" s="480"/>
    </row>
    <row r="285" spans="2:16" ht="16" thickBot="1">
      <c r="B285" s="484"/>
      <c r="C285" s="485"/>
      <c r="D285" s="486"/>
      <c r="E285" s="487"/>
      <c r="F285" s="488"/>
      <c r="G285" s="489"/>
      <c r="H285" s="490"/>
      <c r="I285" s="491"/>
      <c r="J285" s="492"/>
      <c r="K285" s="493"/>
      <c r="L285" s="480"/>
    </row>
    <row r="286" spans="2:16">
      <c r="B286" s="406"/>
      <c r="C286" s="407"/>
      <c r="D286" s="408"/>
      <c r="E286" s="409"/>
      <c r="F286" s="410"/>
      <c r="G286" s="411"/>
      <c r="H286" s="412"/>
      <c r="I286" s="494"/>
      <c r="J286" s="411"/>
      <c r="K286" s="413"/>
      <c r="L286" s="480"/>
    </row>
    <row r="287" spans="2:16">
      <c r="B287" s="414"/>
      <c r="C287" s="439" t="s">
        <v>291</v>
      </c>
      <c r="D287" s="402"/>
      <c r="E287" s="440">
        <v>20</v>
      </c>
      <c r="F287" s="441"/>
      <c r="G287" s="495">
        <v>25</v>
      </c>
      <c r="H287" s="417">
        <f>G287*F287</f>
        <v>0</v>
      </c>
      <c r="I287" s="418">
        <f>(E287/100)*H287</f>
        <v>0</v>
      </c>
      <c r="J287" s="495"/>
      <c r="K287" s="496">
        <f>H287-I287</f>
        <v>0</v>
      </c>
      <c r="L287" s="480"/>
    </row>
    <row r="288" spans="2:16">
      <c r="B288" s="414"/>
      <c r="C288" s="439" t="s">
        <v>291</v>
      </c>
      <c r="D288" s="402">
        <v>2</v>
      </c>
      <c r="E288" s="440">
        <v>20</v>
      </c>
      <c r="F288" s="441">
        <v>779</v>
      </c>
      <c r="G288" s="416">
        <v>25</v>
      </c>
      <c r="H288" s="417">
        <f>G288*F288</f>
        <v>19475</v>
      </c>
      <c r="I288" s="418">
        <f>(E288/100)*H288</f>
        <v>3895</v>
      </c>
      <c r="J288" s="416"/>
      <c r="K288" s="496">
        <f>H288-I288</f>
        <v>15580</v>
      </c>
      <c r="L288" s="480"/>
    </row>
    <row r="289" spans="2:16" ht="16" thickBot="1">
      <c r="B289" s="419"/>
      <c r="C289" s="420"/>
      <c r="D289" s="421"/>
      <c r="E289" s="422"/>
      <c r="F289" s="423"/>
      <c r="G289" s="424"/>
      <c r="H289" s="425"/>
      <c r="I289" s="424"/>
      <c r="J289" s="424"/>
      <c r="K289" s="426"/>
      <c r="L289" s="480"/>
    </row>
    <row r="290" spans="2:16">
      <c r="B290" s="392"/>
      <c r="C290" s="393"/>
      <c r="D290" s="394"/>
      <c r="E290" s="395" t="s">
        <v>272</v>
      </c>
      <c r="F290" s="396" t="s">
        <v>273</v>
      </c>
      <c r="G290" s="397" t="s">
        <v>274</v>
      </c>
      <c r="H290" s="398" t="s">
        <v>275</v>
      </c>
      <c r="I290" s="399" t="s">
        <v>276</v>
      </c>
      <c r="J290" s="399"/>
      <c r="K290" s="400" t="s">
        <v>277</v>
      </c>
      <c r="L290" s="480"/>
    </row>
    <row r="291" spans="2:16">
      <c r="B291" s="401"/>
      <c r="C291" s="436" t="s">
        <v>278</v>
      </c>
      <c r="D291" s="402">
        <v>2</v>
      </c>
      <c r="E291" s="437">
        <v>20</v>
      </c>
      <c r="F291" s="438">
        <v>42.5</v>
      </c>
      <c r="G291" s="403">
        <v>25</v>
      </c>
      <c r="H291" s="404">
        <f>G291*F291</f>
        <v>1062.5</v>
      </c>
      <c r="I291" s="403">
        <f>(E291/100)*H291</f>
        <v>212.5</v>
      </c>
      <c r="J291" s="403"/>
      <c r="K291" s="405">
        <f>H291-I291</f>
        <v>850</v>
      </c>
      <c r="L291" s="480"/>
    </row>
    <row r="292" spans="2:16">
      <c r="B292" s="401"/>
      <c r="C292" s="436" t="s">
        <v>279</v>
      </c>
      <c r="D292" s="402">
        <v>2</v>
      </c>
      <c r="E292" s="437">
        <v>0</v>
      </c>
      <c r="F292" s="438">
        <v>50.5</v>
      </c>
      <c r="G292" s="403">
        <v>25</v>
      </c>
      <c r="H292" s="404">
        <f>G292*F292</f>
        <v>1262.5</v>
      </c>
      <c r="I292" s="403">
        <f>(E292/100)*H292</f>
        <v>0</v>
      </c>
      <c r="J292" s="403"/>
      <c r="K292" s="405">
        <f>H292-I292</f>
        <v>1262.5</v>
      </c>
      <c r="L292" s="480"/>
    </row>
    <row r="293" spans="2:16">
      <c r="B293" s="401"/>
      <c r="C293" s="436" t="s">
        <v>280</v>
      </c>
      <c r="D293" s="402">
        <v>2</v>
      </c>
      <c r="E293" s="437">
        <v>0</v>
      </c>
      <c r="F293" s="438">
        <v>50.5</v>
      </c>
      <c r="G293" s="403">
        <v>25</v>
      </c>
      <c r="H293" s="404">
        <f>G293*F293</f>
        <v>1262.5</v>
      </c>
      <c r="I293" s="403">
        <f>(E293/100)*H293</f>
        <v>0</v>
      </c>
      <c r="J293" s="403"/>
      <c r="K293" s="405">
        <f>H293-I293</f>
        <v>1262.5</v>
      </c>
      <c r="L293" s="480"/>
      <c r="N293" s="480"/>
    </row>
    <row r="294" spans="2:16">
      <c r="B294" s="401"/>
      <c r="C294" s="436" t="s">
        <v>281</v>
      </c>
      <c r="D294" s="402">
        <v>2</v>
      </c>
      <c r="E294" s="437">
        <v>0</v>
      </c>
      <c r="F294" s="438">
        <v>50.5</v>
      </c>
      <c r="G294" s="483">
        <v>24</v>
      </c>
      <c r="H294" s="404">
        <f>G294*F294</f>
        <v>1212</v>
      </c>
      <c r="I294" s="483">
        <f>(E294/100)*H294</f>
        <v>0</v>
      </c>
      <c r="J294" s="483"/>
      <c r="K294" s="405">
        <f>H294-I294</f>
        <v>1212</v>
      </c>
      <c r="L294" s="480"/>
      <c r="N294" s="480"/>
    </row>
    <row r="295" spans="2:16">
      <c r="B295" s="401"/>
      <c r="C295" s="436" t="s">
        <v>282</v>
      </c>
      <c r="D295" s="402">
        <v>2</v>
      </c>
      <c r="E295" s="437">
        <v>20</v>
      </c>
      <c r="F295" s="438">
        <v>50.5</v>
      </c>
      <c r="G295" s="403">
        <v>20</v>
      </c>
      <c r="H295" s="404">
        <f>G295*F295</f>
        <v>1010</v>
      </c>
      <c r="I295" s="403">
        <f>(E295/100)*H295</f>
        <v>202</v>
      </c>
      <c r="J295" s="403"/>
      <c r="K295" s="405">
        <f>H295-I295</f>
        <v>808</v>
      </c>
      <c r="L295" s="480"/>
      <c r="N295" s="480"/>
      <c r="O295" s="480"/>
      <c r="P295" s="480"/>
    </row>
    <row r="296" spans="2:16" ht="16" thickBot="1">
      <c r="B296" s="414"/>
      <c r="C296" s="439"/>
      <c r="D296" s="421"/>
      <c r="E296" s="440"/>
      <c r="F296" s="441"/>
      <c r="G296" s="416"/>
      <c r="H296" s="425"/>
      <c r="I296" s="416"/>
      <c r="J296" s="416"/>
      <c r="K296" s="496"/>
      <c r="L296" s="480"/>
      <c r="N296" s="480"/>
      <c r="O296" s="480"/>
      <c r="P296" s="480"/>
    </row>
    <row r="297" spans="2:16" ht="27" thickBot="1">
      <c r="B297" s="427"/>
      <c r="C297" s="428"/>
      <c r="D297" s="429"/>
      <c r="E297" s="430"/>
      <c r="F297" s="429"/>
      <c r="G297" s="431"/>
      <c r="H297" s="432">
        <f>SUM(H290:H296)</f>
        <v>5809.5</v>
      </c>
      <c r="I297" s="433">
        <f>SUM(I290:I296)</f>
        <v>414.5</v>
      </c>
      <c r="J297" s="434"/>
      <c r="K297" s="435">
        <f>SUM(K290:K296)</f>
        <v>5395</v>
      </c>
      <c r="L297" s="480"/>
      <c r="M297" s="533"/>
      <c r="N297" s="480"/>
      <c r="O297" s="480"/>
      <c r="P297" s="480"/>
    </row>
    <row r="298" spans="2:16" ht="17" thickTop="1" thickBot="1">
      <c r="B298" s="401"/>
      <c r="C298" s="436"/>
      <c r="D298" s="497"/>
      <c r="E298" s="498"/>
      <c r="F298" s="497"/>
      <c r="G298" s="499"/>
      <c r="H298" s="508"/>
      <c r="I298" s="508"/>
      <c r="J298" s="497"/>
      <c r="K298" s="509"/>
      <c r="L298" s="480"/>
      <c r="M298" s="480"/>
      <c r="N298" s="480"/>
      <c r="O298" s="480"/>
      <c r="P298" s="480"/>
    </row>
    <row r="299" spans="2:16">
      <c r="B299" s="449" t="s">
        <v>240</v>
      </c>
      <c r="C299" s="513"/>
      <c r="D299" s="451" t="s">
        <v>301</v>
      </c>
      <c r="E299" s="452" t="s">
        <v>242</v>
      </c>
      <c r="F299" s="452" t="s">
        <v>243</v>
      </c>
      <c r="G299" s="452" t="s">
        <v>244</v>
      </c>
      <c r="H299" s="452" t="s">
        <v>245</v>
      </c>
      <c r="I299" s="513"/>
      <c r="J299" s="513"/>
      <c r="K299" s="452" t="s">
        <v>246</v>
      </c>
      <c r="L299" s="513"/>
      <c r="M299" s="452" t="s">
        <v>247</v>
      </c>
      <c r="N299" s="452" t="s">
        <v>248</v>
      </c>
      <c r="O299" s="452" t="s">
        <v>249</v>
      </c>
      <c r="P299" s="453" t="s">
        <v>246</v>
      </c>
    </row>
    <row r="300" spans="2:16">
      <c r="B300" s="514"/>
      <c r="C300" s="455" t="s">
        <v>250</v>
      </c>
      <c r="D300" s="515"/>
      <c r="E300" s="457" t="s">
        <v>251</v>
      </c>
      <c r="F300" s="457" t="s">
        <v>252</v>
      </c>
      <c r="G300" s="515"/>
      <c r="H300" s="515"/>
      <c r="I300" s="457" t="s">
        <v>253</v>
      </c>
      <c r="J300" s="457" t="s">
        <v>254</v>
      </c>
      <c r="K300" s="457" t="s">
        <v>255</v>
      </c>
      <c r="L300" s="457" t="s">
        <v>256</v>
      </c>
      <c r="M300" s="515"/>
      <c r="N300" s="515"/>
      <c r="O300" s="457" t="s">
        <v>251</v>
      </c>
      <c r="P300" s="458" t="s">
        <v>257</v>
      </c>
    </row>
    <row r="301" spans="2:16">
      <c r="B301" s="514"/>
      <c r="C301" s="515"/>
      <c r="D301" s="515"/>
      <c r="E301" s="515"/>
      <c r="F301" s="515"/>
      <c r="G301" s="515"/>
      <c r="H301" s="515"/>
      <c r="I301" s="515"/>
      <c r="J301" s="515"/>
      <c r="K301" s="515"/>
      <c r="L301" s="515"/>
      <c r="M301" s="515"/>
      <c r="N301" s="515"/>
      <c r="O301" s="515"/>
      <c r="P301" s="516"/>
    </row>
    <row r="302" spans="2:16">
      <c r="B302" s="460">
        <v>45309</v>
      </c>
      <c r="C302" s="461" t="s">
        <v>259</v>
      </c>
      <c r="D302" s="515"/>
      <c r="E302" s="462">
        <v>945</v>
      </c>
      <c r="F302" s="462">
        <v>0</v>
      </c>
      <c r="G302" s="462">
        <v>0</v>
      </c>
      <c r="H302" s="462">
        <v>19.100000000000001</v>
      </c>
      <c r="I302" s="462">
        <v>102.2</v>
      </c>
      <c r="J302" s="462">
        <v>24.41</v>
      </c>
      <c r="K302" s="462">
        <v>37.799999999999997</v>
      </c>
      <c r="L302" s="462">
        <v>0</v>
      </c>
      <c r="M302" s="462">
        <v>105</v>
      </c>
      <c r="N302" s="462">
        <v>7.2</v>
      </c>
      <c r="O302" s="463">
        <v>859.29</v>
      </c>
      <c r="P302" s="464">
        <v>104.42</v>
      </c>
    </row>
    <row r="303" spans="2:16">
      <c r="B303" s="460">
        <v>45309</v>
      </c>
      <c r="C303" s="461" t="s">
        <v>260</v>
      </c>
      <c r="D303" s="515"/>
      <c r="E303" s="462">
        <v>840</v>
      </c>
      <c r="F303" s="462">
        <v>0</v>
      </c>
      <c r="G303" s="462">
        <v>0</v>
      </c>
      <c r="H303" s="462">
        <v>19.100000000000001</v>
      </c>
      <c r="I303" s="462">
        <v>87.36</v>
      </c>
      <c r="J303" s="462">
        <v>20.14</v>
      </c>
      <c r="K303" s="462">
        <v>33.6</v>
      </c>
      <c r="L303" s="462">
        <v>0</v>
      </c>
      <c r="M303" s="462">
        <v>105</v>
      </c>
      <c r="N303" s="462">
        <v>7.2</v>
      </c>
      <c r="O303" s="463">
        <v>777.6</v>
      </c>
      <c r="P303" s="464">
        <v>92.82</v>
      </c>
    </row>
    <row r="304" spans="2:16">
      <c r="B304" s="460">
        <v>45309</v>
      </c>
      <c r="C304" s="461" t="s">
        <v>262</v>
      </c>
      <c r="D304" s="515"/>
      <c r="E304" s="462">
        <v>1197</v>
      </c>
      <c r="F304" s="462">
        <v>0</v>
      </c>
      <c r="G304" s="462">
        <v>0</v>
      </c>
      <c r="H304" s="462">
        <v>19.100000000000001</v>
      </c>
      <c r="I304" s="462">
        <v>197.43</v>
      </c>
      <c r="J304" s="462">
        <v>34.49</v>
      </c>
      <c r="K304" s="462">
        <v>47.88</v>
      </c>
      <c r="L304" s="462">
        <v>0</v>
      </c>
      <c r="M304" s="462">
        <v>105</v>
      </c>
      <c r="N304" s="462">
        <v>7.2</v>
      </c>
      <c r="O304" s="463">
        <v>995.9</v>
      </c>
      <c r="P304" s="464">
        <v>132.27000000000001</v>
      </c>
    </row>
    <row r="305" spans="2:16">
      <c r="B305" s="460">
        <v>45309</v>
      </c>
      <c r="C305" s="461" t="s">
        <v>263</v>
      </c>
      <c r="D305" s="515"/>
      <c r="E305" s="462">
        <v>1008</v>
      </c>
      <c r="F305" s="462">
        <v>0</v>
      </c>
      <c r="G305" s="462">
        <v>0</v>
      </c>
      <c r="H305" s="462">
        <v>19.100000000000001</v>
      </c>
      <c r="I305" s="462">
        <v>130.28</v>
      </c>
      <c r="J305" s="462">
        <v>26.86</v>
      </c>
      <c r="K305" s="462">
        <v>40.32</v>
      </c>
      <c r="L305" s="462">
        <v>0</v>
      </c>
      <c r="M305" s="462">
        <v>105</v>
      </c>
      <c r="N305" s="462">
        <v>7.2</v>
      </c>
      <c r="O305" s="463">
        <v>889.24</v>
      </c>
      <c r="P305" s="464">
        <v>111.38</v>
      </c>
    </row>
    <row r="306" spans="2:16">
      <c r="B306" s="460">
        <v>45309</v>
      </c>
      <c r="C306" s="461" t="s">
        <v>265</v>
      </c>
      <c r="D306" s="515"/>
      <c r="E306" s="462">
        <v>780</v>
      </c>
      <c r="F306" s="462">
        <v>0</v>
      </c>
      <c r="G306" s="462">
        <v>0</v>
      </c>
      <c r="H306" s="462">
        <v>0</v>
      </c>
      <c r="I306" s="462">
        <v>0</v>
      </c>
      <c r="J306" s="462">
        <v>13.6</v>
      </c>
      <c r="K306" s="462">
        <v>31.2</v>
      </c>
      <c r="L306" s="462">
        <v>0</v>
      </c>
      <c r="M306" s="462">
        <v>100</v>
      </c>
      <c r="N306" s="462">
        <v>0</v>
      </c>
      <c r="O306" s="463">
        <v>835.2</v>
      </c>
      <c r="P306" s="464">
        <v>86.19</v>
      </c>
    </row>
    <row r="307" spans="2:16">
      <c r="B307" s="460">
        <v>45309</v>
      </c>
      <c r="C307" s="461" t="s">
        <v>266</v>
      </c>
      <c r="D307" s="515"/>
      <c r="E307" s="462">
        <v>819</v>
      </c>
      <c r="F307" s="462">
        <v>0</v>
      </c>
      <c r="G307" s="462">
        <v>0</v>
      </c>
      <c r="H307" s="462">
        <v>19.100000000000001</v>
      </c>
      <c r="I307" s="462">
        <v>53.73</v>
      </c>
      <c r="J307" s="462">
        <v>19.37</v>
      </c>
      <c r="K307" s="462">
        <v>32.76</v>
      </c>
      <c r="L307" s="462">
        <v>0</v>
      </c>
      <c r="M307" s="462">
        <v>105</v>
      </c>
      <c r="N307" s="462">
        <v>7.2</v>
      </c>
      <c r="O307" s="463">
        <v>791.84</v>
      </c>
      <c r="P307" s="464">
        <v>90.5</v>
      </c>
    </row>
    <row r="308" spans="2:16">
      <c r="B308" s="460">
        <v>45309</v>
      </c>
      <c r="C308" s="461" t="s">
        <v>267</v>
      </c>
      <c r="D308" s="515"/>
      <c r="E308" s="462">
        <v>840</v>
      </c>
      <c r="F308" s="462">
        <v>0</v>
      </c>
      <c r="G308" s="462">
        <v>0</v>
      </c>
      <c r="H308" s="462">
        <v>19.100000000000001</v>
      </c>
      <c r="I308" s="462">
        <v>0</v>
      </c>
      <c r="J308" s="462">
        <v>20.21</v>
      </c>
      <c r="K308" s="462">
        <v>33.6</v>
      </c>
      <c r="L308" s="462">
        <v>0</v>
      </c>
      <c r="M308" s="462">
        <v>105</v>
      </c>
      <c r="N308" s="462">
        <v>7.2</v>
      </c>
      <c r="O308" s="463">
        <v>864.89</v>
      </c>
      <c r="P308" s="464">
        <v>92.82</v>
      </c>
    </row>
    <row r="309" spans="2:16">
      <c r="B309" s="460">
        <v>45309</v>
      </c>
      <c r="C309" s="461" t="s">
        <v>268</v>
      </c>
      <c r="D309" s="515"/>
      <c r="E309" s="462">
        <v>1153.8499999999999</v>
      </c>
      <c r="F309" s="462">
        <v>0</v>
      </c>
      <c r="G309" s="462">
        <v>0</v>
      </c>
      <c r="H309" s="462">
        <v>0</v>
      </c>
      <c r="I309" s="462">
        <v>227.88</v>
      </c>
      <c r="J309" s="462">
        <v>32.770000000000003</v>
      </c>
      <c r="K309" s="462">
        <v>46.15</v>
      </c>
      <c r="L309" s="462">
        <v>0</v>
      </c>
      <c r="M309" s="462">
        <v>75</v>
      </c>
      <c r="N309" s="462">
        <v>0</v>
      </c>
      <c r="O309" s="463">
        <v>922.05</v>
      </c>
      <c r="P309" s="464">
        <v>127.5</v>
      </c>
    </row>
    <row r="310" spans="2:16">
      <c r="B310" s="460">
        <v>45309</v>
      </c>
      <c r="C310" s="461" t="s">
        <v>269</v>
      </c>
      <c r="D310" s="515"/>
      <c r="E310" s="462">
        <v>1035</v>
      </c>
      <c r="F310" s="462">
        <v>0</v>
      </c>
      <c r="G310" s="462">
        <v>0</v>
      </c>
      <c r="H310" s="462">
        <v>19.100000000000001</v>
      </c>
      <c r="I310" s="462">
        <v>133.05000000000001</v>
      </c>
      <c r="J310" s="462">
        <v>28.01</v>
      </c>
      <c r="K310" s="462">
        <v>41.4</v>
      </c>
      <c r="L310" s="462">
        <v>0</v>
      </c>
      <c r="M310" s="462">
        <v>180</v>
      </c>
      <c r="N310" s="462">
        <v>7.2</v>
      </c>
      <c r="O310" s="463">
        <v>986.24</v>
      </c>
      <c r="P310" s="464">
        <v>114.37</v>
      </c>
    </row>
    <row r="311" spans="2:16">
      <c r="B311" s="514"/>
      <c r="C311" s="515"/>
      <c r="D311" s="515"/>
      <c r="E311" s="515"/>
      <c r="F311" s="515"/>
      <c r="G311" s="515"/>
      <c r="H311" s="515"/>
      <c r="I311" s="515"/>
      <c r="J311" s="515"/>
      <c r="K311" s="515"/>
      <c r="L311" s="515"/>
      <c r="M311" s="515"/>
      <c r="N311" s="515"/>
      <c r="O311" s="515"/>
      <c r="P311" s="516"/>
    </row>
    <row r="312" spans="2:16" ht="16" thickBot="1">
      <c r="B312" s="465" t="s">
        <v>270</v>
      </c>
      <c r="C312" s="517"/>
      <c r="D312" s="517"/>
      <c r="E312" s="467">
        <v>8617.85</v>
      </c>
      <c r="F312" s="467">
        <v>0</v>
      </c>
      <c r="G312" s="467">
        <v>0</v>
      </c>
      <c r="H312" s="467">
        <v>133.70000000000002</v>
      </c>
      <c r="I312" s="467">
        <v>931.93</v>
      </c>
      <c r="J312" s="467">
        <v>219.86</v>
      </c>
      <c r="K312" s="467">
        <v>344.71</v>
      </c>
      <c r="L312" s="467">
        <v>0</v>
      </c>
      <c r="M312" s="467">
        <v>985</v>
      </c>
      <c r="N312" s="467">
        <v>50.4</v>
      </c>
      <c r="O312" s="467">
        <v>7922.25</v>
      </c>
      <c r="P312" s="468">
        <v>952.27</v>
      </c>
    </row>
    <row r="313" spans="2:16">
      <c r="B313" s="472"/>
      <c r="C313" s="521"/>
      <c r="D313" s="522"/>
      <c r="E313" s="523"/>
      <c r="F313" s="524"/>
      <c r="G313" s="525"/>
      <c r="H313" s="525"/>
      <c r="I313" s="525"/>
      <c r="J313" s="525"/>
      <c r="K313" s="525"/>
      <c r="L313" s="526"/>
      <c r="M313" s="526"/>
      <c r="N313" s="526"/>
      <c r="O313" s="526"/>
      <c r="P313" s="525"/>
    </row>
    <row r="315" spans="2:16" ht="48" thickBot="1">
      <c r="B315" s="472"/>
      <c r="C315" s="473" t="s">
        <v>287</v>
      </c>
      <c r="D315" s="474" t="s">
        <v>288</v>
      </c>
      <c r="E315" s="475">
        <v>3</v>
      </c>
      <c r="F315" s="476" t="s">
        <v>289</v>
      </c>
      <c r="G315" s="477">
        <f>E315+1</f>
        <v>4</v>
      </c>
      <c r="H315" s="478"/>
      <c r="I315" s="478"/>
      <c r="J315" s="478"/>
      <c r="K315" s="478"/>
      <c r="L315" s="479"/>
      <c r="M315" s="479"/>
      <c r="N315" s="479"/>
      <c r="O315" s="479"/>
      <c r="P315" s="478"/>
    </row>
    <row r="316" spans="2:16">
      <c r="B316" s="392"/>
      <c r="C316" s="393"/>
      <c r="D316" s="394"/>
      <c r="E316" s="395" t="s">
        <v>272</v>
      </c>
      <c r="F316" s="396" t="s">
        <v>273</v>
      </c>
      <c r="G316" s="397" t="s">
        <v>274</v>
      </c>
      <c r="H316" s="398" t="s">
        <v>275</v>
      </c>
      <c r="I316" s="399" t="s">
        <v>276</v>
      </c>
      <c r="J316" s="399"/>
      <c r="K316" s="400" t="s">
        <v>277</v>
      </c>
      <c r="L316" s="480"/>
    </row>
    <row r="317" spans="2:16">
      <c r="B317" s="401"/>
      <c r="C317" s="436" t="s">
        <v>278</v>
      </c>
      <c r="D317" s="402"/>
      <c r="E317" s="437">
        <v>20</v>
      </c>
      <c r="F317" s="438">
        <v>50.5</v>
      </c>
      <c r="G317" s="403">
        <v>25</v>
      </c>
      <c r="H317" s="404">
        <f>G317*F317</f>
        <v>1262.5</v>
      </c>
      <c r="I317" s="403">
        <f>(E317/100)*H317</f>
        <v>252.5</v>
      </c>
      <c r="J317" s="403"/>
      <c r="K317" s="405">
        <f>H317-I317</f>
        <v>1010</v>
      </c>
      <c r="L317" s="480"/>
    </row>
    <row r="318" spans="2:16">
      <c r="B318" s="401"/>
      <c r="C318" s="436" t="s">
        <v>279</v>
      </c>
      <c r="D318" s="402"/>
      <c r="E318" s="437">
        <v>0</v>
      </c>
      <c r="F318" s="438">
        <v>42.5</v>
      </c>
      <c r="G318" s="403">
        <v>25</v>
      </c>
      <c r="H318" s="404">
        <f>G318*F318</f>
        <v>1062.5</v>
      </c>
      <c r="I318" s="403">
        <f>(E318/100)*H318</f>
        <v>0</v>
      </c>
      <c r="J318" s="403"/>
      <c r="K318" s="405">
        <f>H318-I318</f>
        <v>1062.5</v>
      </c>
      <c r="L318" s="480"/>
    </row>
    <row r="319" spans="2:16">
      <c r="B319" s="401"/>
      <c r="C319" s="436" t="s">
        <v>280</v>
      </c>
      <c r="D319" s="402"/>
      <c r="E319" s="437">
        <v>0</v>
      </c>
      <c r="F319" s="438">
        <v>50.5</v>
      </c>
      <c r="G319" s="403">
        <v>25</v>
      </c>
      <c r="H319" s="404">
        <f>G319*F319</f>
        <v>1262.5</v>
      </c>
      <c r="I319" s="403">
        <f>(E319/100)*H319</f>
        <v>0</v>
      </c>
      <c r="J319" s="403"/>
      <c r="K319" s="405">
        <f>H319-I319</f>
        <v>1262.5</v>
      </c>
      <c r="L319" s="480"/>
    </row>
    <row r="320" spans="2:16">
      <c r="B320" s="401"/>
      <c r="C320" s="436" t="s">
        <v>281</v>
      </c>
      <c r="D320" s="402"/>
      <c r="E320" s="437">
        <v>0</v>
      </c>
      <c r="F320" s="438">
        <v>50.5</v>
      </c>
      <c r="G320" s="483">
        <v>24</v>
      </c>
      <c r="H320" s="404">
        <f>G320*F320</f>
        <v>1212</v>
      </c>
      <c r="I320" s="483">
        <f>(E320/100)*H320</f>
        <v>0</v>
      </c>
      <c r="J320" s="483"/>
      <c r="K320" s="405">
        <f>H320-I320</f>
        <v>1212</v>
      </c>
      <c r="L320" s="480"/>
    </row>
    <row r="321" spans="2:20" ht="16" thickBot="1">
      <c r="B321" s="401"/>
      <c r="C321" s="436" t="s">
        <v>282</v>
      </c>
      <c r="D321" s="402"/>
      <c r="E321" s="437">
        <v>20</v>
      </c>
      <c r="F321" s="438">
        <v>50.5</v>
      </c>
      <c r="G321" s="403">
        <v>20</v>
      </c>
      <c r="H321" s="404">
        <f>G321*F321</f>
        <v>1010</v>
      </c>
      <c r="I321" s="403">
        <f>(E321/100)*H321</f>
        <v>202</v>
      </c>
      <c r="J321" s="403"/>
      <c r="K321" s="405">
        <f>H321-I321</f>
        <v>808</v>
      </c>
      <c r="L321" s="480"/>
    </row>
    <row r="322" spans="2:20">
      <c r="B322" s="406"/>
      <c r="C322" s="407"/>
      <c r="D322" s="408"/>
      <c r="E322" s="409"/>
      <c r="F322" s="410"/>
      <c r="G322" s="411"/>
      <c r="H322" s="412"/>
      <c r="I322" s="411"/>
      <c r="J322" s="411"/>
      <c r="K322" s="413"/>
      <c r="L322" s="480"/>
    </row>
    <row r="323" spans="2:20">
      <c r="B323" s="414"/>
      <c r="C323" s="439" t="s">
        <v>293</v>
      </c>
      <c r="D323" s="415"/>
      <c r="E323" s="440">
        <v>0</v>
      </c>
      <c r="F323" s="441"/>
      <c r="G323" s="416"/>
      <c r="H323" s="417">
        <v>2500</v>
      </c>
      <c r="I323" s="416">
        <f>(E323/100)*H323</f>
        <v>0</v>
      </c>
      <c r="J323" s="416"/>
      <c r="K323" s="496">
        <f>H323-I323</f>
        <v>2500</v>
      </c>
      <c r="L323" s="480"/>
    </row>
    <row r="324" spans="2:20">
      <c r="B324" s="414"/>
      <c r="C324" s="439" t="s">
        <v>296</v>
      </c>
      <c r="D324" s="415"/>
      <c r="E324" s="440">
        <v>20</v>
      </c>
      <c r="F324" s="441"/>
      <c r="G324" s="416"/>
      <c r="H324" s="417">
        <v>1530</v>
      </c>
      <c r="I324" s="416">
        <f>(E324/100)*H324</f>
        <v>306</v>
      </c>
      <c r="J324" s="416"/>
      <c r="K324" s="496">
        <f>H324-I324</f>
        <v>1224</v>
      </c>
      <c r="L324" s="480"/>
    </row>
    <row r="325" spans="2:20" ht="16" thickBot="1">
      <c r="B325" s="414"/>
      <c r="C325" s="439"/>
      <c r="D325" s="421"/>
      <c r="E325" s="440"/>
      <c r="F325" s="441"/>
      <c r="G325" s="416"/>
      <c r="H325" s="425"/>
      <c r="I325" s="416"/>
      <c r="J325" s="416"/>
      <c r="K325" s="496"/>
      <c r="L325" s="480"/>
    </row>
    <row r="326" spans="2:20" ht="27" thickBot="1">
      <c r="B326" s="427"/>
      <c r="C326" s="428"/>
      <c r="D326" s="429"/>
      <c r="E326" s="430"/>
      <c r="F326" s="429"/>
      <c r="G326" s="431"/>
      <c r="H326" s="432">
        <f>SUM(H316:H325)</f>
        <v>9839.5</v>
      </c>
      <c r="I326" s="433">
        <f>SUM(I316:I325)</f>
        <v>760.5</v>
      </c>
      <c r="J326" s="434"/>
      <c r="K326" s="435">
        <f>SUM(K316:K325)</f>
        <v>9079</v>
      </c>
      <c r="L326" s="480"/>
      <c r="S326" s="535">
        <v>1130</v>
      </c>
    </row>
    <row r="327" spans="2:20" ht="17" thickTop="1" thickBot="1">
      <c r="B327" s="401"/>
      <c r="C327" s="436"/>
      <c r="D327" s="497"/>
      <c r="E327" s="498"/>
      <c r="F327" s="497"/>
      <c r="G327" s="499"/>
      <c r="H327" s="508"/>
      <c r="I327" s="508"/>
      <c r="J327" s="497"/>
      <c r="K327" s="509"/>
      <c r="L327" s="480"/>
      <c r="R327" s="536" t="s">
        <v>258</v>
      </c>
      <c r="S327" s="537">
        <v>811.22</v>
      </c>
    </row>
    <row r="328" spans="2:20" ht="16" thickBot="1">
      <c r="B328" s="449" t="s">
        <v>240</v>
      </c>
      <c r="C328" s="513"/>
      <c r="D328" s="451" t="s">
        <v>302</v>
      </c>
      <c r="E328" s="452" t="s">
        <v>242</v>
      </c>
      <c r="F328" s="452" t="s">
        <v>243</v>
      </c>
      <c r="G328" s="452" t="s">
        <v>244</v>
      </c>
      <c r="H328" s="452" t="s">
        <v>245</v>
      </c>
      <c r="I328" s="513"/>
      <c r="J328" s="513"/>
      <c r="K328" s="452" t="s">
        <v>246</v>
      </c>
      <c r="L328" s="513"/>
      <c r="M328" s="452" t="s">
        <v>247</v>
      </c>
      <c r="N328" s="452" t="s">
        <v>248</v>
      </c>
      <c r="O328" s="452" t="s">
        <v>249</v>
      </c>
      <c r="P328" s="453" t="s">
        <v>246</v>
      </c>
      <c r="R328" s="538" t="s">
        <v>303</v>
      </c>
      <c r="S328" s="535">
        <f>S326-S327</f>
        <v>318.77999999999997</v>
      </c>
      <c r="T328" s="539">
        <f>S328/4</f>
        <v>79.694999999999993</v>
      </c>
    </row>
    <row r="329" spans="2:20" ht="16" thickBot="1">
      <c r="B329" s="514"/>
      <c r="C329" s="455" t="s">
        <v>250</v>
      </c>
      <c r="D329" s="515"/>
      <c r="E329" s="457" t="s">
        <v>251</v>
      </c>
      <c r="F329" s="457" t="s">
        <v>252</v>
      </c>
      <c r="G329" s="515"/>
      <c r="H329" s="515"/>
      <c r="I329" s="457" t="s">
        <v>253</v>
      </c>
      <c r="J329" s="457" t="s">
        <v>254</v>
      </c>
      <c r="K329" s="457" t="s">
        <v>255</v>
      </c>
      <c r="L329" s="457" t="s">
        <v>256</v>
      </c>
      <c r="M329" s="515"/>
      <c r="N329" s="515"/>
      <c r="O329" s="457" t="s">
        <v>251</v>
      </c>
      <c r="P329" s="458" t="s">
        <v>257</v>
      </c>
    </row>
    <row r="330" spans="2:20" ht="16" thickBot="1">
      <c r="B330" s="514"/>
      <c r="C330" s="515"/>
      <c r="D330" s="515"/>
      <c r="E330" s="515"/>
      <c r="F330" s="515"/>
      <c r="G330" s="515"/>
      <c r="H330" s="515"/>
      <c r="I330" s="515"/>
      <c r="J330" s="515"/>
      <c r="K330" s="515"/>
      <c r="L330" s="515"/>
      <c r="M330" s="515"/>
      <c r="N330" s="515"/>
      <c r="O330" s="515"/>
      <c r="P330" s="516"/>
      <c r="R330" s="543" t="s">
        <v>304</v>
      </c>
      <c r="S330" s="544" t="s">
        <v>305</v>
      </c>
      <c r="T330" s="545"/>
    </row>
    <row r="331" spans="2:20" ht="16" thickBot="1">
      <c r="B331" s="460">
        <v>45316</v>
      </c>
      <c r="C331" s="461" t="s">
        <v>258</v>
      </c>
      <c r="D331" s="515"/>
      <c r="E331" s="462">
        <v>1008</v>
      </c>
      <c r="F331" s="462">
        <v>0</v>
      </c>
      <c r="G331" s="462">
        <v>0</v>
      </c>
      <c r="H331" s="462">
        <v>19.100000000000001</v>
      </c>
      <c r="I331" s="462">
        <v>12.97</v>
      </c>
      <c r="J331" s="462">
        <v>13.57</v>
      </c>
      <c r="K331" s="462">
        <v>40.32</v>
      </c>
      <c r="L331" s="462">
        <v>0</v>
      </c>
      <c r="M331" s="462">
        <v>105</v>
      </c>
      <c r="N331" s="462">
        <v>7.2</v>
      </c>
      <c r="O331" s="463">
        <v>1019.84</v>
      </c>
      <c r="P331" s="464">
        <v>111.38</v>
      </c>
      <c r="R331" s="540">
        <v>-940.14</v>
      </c>
      <c r="S331" s="541">
        <v>-79.7</v>
      </c>
      <c r="T331" s="542">
        <f>R331+S331</f>
        <v>-1019.84</v>
      </c>
    </row>
    <row r="332" spans="2:20">
      <c r="B332" s="460">
        <v>45316</v>
      </c>
      <c r="C332" s="461" t="s">
        <v>259</v>
      </c>
      <c r="D332" s="515"/>
      <c r="E332" s="462">
        <v>1008</v>
      </c>
      <c r="F332" s="462">
        <v>0</v>
      </c>
      <c r="G332" s="462">
        <v>0</v>
      </c>
      <c r="H332" s="462">
        <v>19.100000000000001</v>
      </c>
      <c r="I332" s="462">
        <v>114.8</v>
      </c>
      <c r="J332" s="462">
        <v>26.96</v>
      </c>
      <c r="K332" s="462">
        <v>40.32</v>
      </c>
      <c r="L332" s="462">
        <v>0</v>
      </c>
      <c r="M332" s="462">
        <v>105</v>
      </c>
      <c r="N332" s="462">
        <v>7.2</v>
      </c>
      <c r="O332" s="463">
        <v>904.62</v>
      </c>
      <c r="P332" s="464">
        <v>111.38</v>
      </c>
    </row>
    <row r="333" spans="2:20">
      <c r="B333" s="460">
        <v>45316</v>
      </c>
      <c r="C333" s="461" t="s">
        <v>260</v>
      </c>
      <c r="D333" s="515"/>
      <c r="E333" s="462">
        <v>1008</v>
      </c>
      <c r="F333" s="462">
        <v>0</v>
      </c>
      <c r="G333" s="462">
        <v>0</v>
      </c>
      <c r="H333" s="462">
        <v>19.100000000000001</v>
      </c>
      <c r="I333" s="462">
        <v>120.97</v>
      </c>
      <c r="J333" s="462">
        <v>26.96</v>
      </c>
      <c r="K333" s="462">
        <v>40.32</v>
      </c>
      <c r="L333" s="462">
        <v>0</v>
      </c>
      <c r="M333" s="462">
        <v>105</v>
      </c>
      <c r="N333" s="462">
        <v>7.2</v>
      </c>
      <c r="O333" s="463">
        <v>898.45</v>
      </c>
      <c r="P333" s="464">
        <v>111.38</v>
      </c>
    </row>
    <row r="334" spans="2:20">
      <c r="B334" s="460">
        <v>45316</v>
      </c>
      <c r="C334" s="461" t="s">
        <v>262</v>
      </c>
      <c r="D334" s="515"/>
      <c r="E334" s="462">
        <v>719.25</v>
      </c>
      <c r="F334" s="462">
        <v>0</v>
      </c>
      <c r="G334" s="462">
        <v>0</v>
      </c>
      <c r="H334" s="462">
        <v>19.100000000000001</v>
      </c>
      <c r="I334" s="462">
        <v>43.04</v>
      </c>
      <c r="J334" s="462">
        <v>15.41</v>
      </c>
      <c r="K334" s="462">
        <v>28.77</v>
      </c>
      <c r="L334" s="462">
        <v>0</v>
      </c>
      <c r="M334" s="462">
        <v>84</v>
      </c>
      <c r="N334" s="462">
        <v>7.2</v>
      </c>
      <c r="O334" s="463">
        <v>689.73</v>
      </c>
      <c r="P334" s="464">
        <v>79.48</v>
      </c>
    </row>
    <row r="335" spans="2:20">
      <c r="B335" s="460">
        <v>45316</v>
      </c>
      <c r="C335" s="461" t="s">
        <v>263</v>
      </c>
      <c r="D335" s="515"/>
      <c r="E335" s="462">
        <v>1039.5</v>
      </c>
      <c r="F335" s="462">
        <v>0</v>
      </c>
      <c r="G335" s="462">
        <v>0</v>
      </c>
      <c r="H335" s="462">
        <v>19.100000000000001</v>
      </c>
      <c r="I335" s="462">
        <v>136.57</v>
      </c>
      <c r="J335" s="462">
        <v>28.22</v>
      </c>
      <c r="K335" s="462">
        <v>41.58</v>
      </c>
      <c r="L335" s="462">
        <v>0</v>
      </c>
      <c r="M335" s="462">
        <v>105</v>
      </c>
      <c r="N335" s="462">
        <v>7.2</v>
      </c>
      <c r="O335" s="463">
        <v>911.83</v>
      </c>
      <c r="P335" s="464">
        <v>114.86</v>
      </c>
    </row>
    <row r="336" spans="2:20">
      <c r="B336" s="460">
        <v>45316</v>
      </c>
      <c r="C336" s="461" t="s">
        <v>264</v>
      </c>
      <c r="D336" s="515"/>
      <c r="E336" s="462">
        <v>1008</v>
      </c>
      <c r="F336" s="462">
        <v>0</v>
      </c>
      <c r="G336" s="462">
        <v>0</v>
      </c>
      <c r="H336" s="462">
        <v>19.100000000000001</v>
      </c>
      <c r="I336" s="462">
        <v>53.55</v>
      </c>
      <c r="J336" s="462">
        <v>13.57</v>
      </c>
      <c r="K336" s="462">
        <v>40.32</v>
      </c>
      <c r="L336" s="462">
        <v>0</v>
      </c>
      <c r="M336" s="462">
        <v>105</v>
      </c>
      <c r="N336" s="462">
        <v>7.2</v>
      </c>
      <c r="O336" s="463">
        <v>979.26</v>
      </c>
      <c r="P336" s="464">
        <v>111.38</v>
      </c>
    </row>
    <row r="337" spans="1:17">
      <c r="B337" s="460">
        <v>45316</v>
      </c>
      <c r="C337" s="461" t="s">
        <v>265</v>
      </c>
      <c r="D337" s="515"/>
      <c r="E337" s="462">
        <v>640</v>
      </c>
      <c r="F337" s="462">
        <v>0</v>
      </c>
      <c r="G337" s="462">
        <v>0</v>
      </c>
      <c r="H337" s="462">
        <v>0</v>
      </c>
      <c r="I337" s="462">
        <v>15</v>
      </c>
      <c r="J337" s="462">
        <v>12.24</v>
      </c>
      <c r="K337" s="462">
        <v>25.6</v>
      </c>
      <c r="L337" s="462">
        <v>0</v>
      </c>
      <c r="M337" s="462">
        <v>80</v>
      </c>
      <c r="N337" s="462">
        <v>0</v>
      </c>
      <c r="O337" s="463">
        <v>667.16</v>
      </c>
      <c r="P337" s="464">
        <v>70.72</v>
      </c>
    </row>
    <row r="338" spans="1:17">
      <c r="B338" s="460">
        <v>45316</v>
      </c>
      <c r="C338" s="461" t="s">
        <v>266</v>
      </c>
      <c r="D338" s="515"/>
      <c r="E338" s="462">
        <v>819</v>
      </c>
      <c r="F338" s="462">
        <v>0</v>
      </c>
      <c r="G338" s="462">
        <v>0</v>
      </c>
      <c r="H338" s="462">
        <v>19.100000000000001</v>
      </c>
      <c r="I338" s="462">
        <v>53.73</v>
      </c>
      <c r="J338" s="462">
        <v>19.399999999999999</v>
      </c>
      <c r="K338" s="462">
        <v>32.76</v>
      </c>
      <c r="L338" s="462">
        <v>0</v>
      </c>
      <c r="M338" s="462">
        <v>105</v>
      </c>
      <c r="N338" s="462">
        <v>7.2</v>
      </c>
      <c r="O338" s="463">
        <v>791.81</v>
      </c>
      <c r="P338" s="464">
        <v>90.5</v>
      </c>
    </row>
    <row r="339" spans="1:17">
      <c r="B339" s="460">
        <v>45316</v>
      </c>
      <c r="C339" s="461" t="s">
        <v>267</v>
      </c>
      <c r="D339" s="515"/>
      <c r="E339" s="462">
        <v>1008</v>
      </c>
      <c r="F339" s="462">
        <v>0</v>
      </c>
      <c r="G339" s="462">
        <v>0</v>
      </c>
      <c r="H339" s="462">
        <v>19.100000000000001</v>
      </c>
      <c r="I339" s="462">
        <v>14.17</v>
      </c>
      <c r="J339" s="462">
        <v>26.96</v>
      </c>
      <c r="K339" s="462">
        <v>40.32</v>
      </c>
      <c r="L339" s="462">
        <v>0</v>
      </c>
      <c r="M339" s="462">
        <v>105</v>
      </c>
      <c r="N339" s="462">
        <v>7.2</v>
      </c>
      <c r="O339" s="463">
        <v>1005.25</v>
      </c>
      <c r="P339" s="464">
        <v>111.38</v>
      </c>
    </row>
    <row r="340" spans="1:17">
      <c r="B340" s="460">
        <v>45316</v>
      </c>
      <c r="C340" s="461" t="s">
        <v>268</v>
      </c>
      <c r="D340" s="515"/>
      <c r="E340" s="462">
        <v>1153.8499999999999</v>
      </c>
      <c r="F340" s="462">
        <v>0</v>
      </c>
      <c r="G340" s="462">
        <v>0</v>
      </c>
      <c r="H340" s="462">
        <v>0</v>
      </c>
      <c r="I340" s="462">
        <v>227.88</v>
      </c>
      <c r="J340" s="462">
        <v>32.78</v>
      </c>
      <c r="K340" s="462">
        <v>46.15</v>
      </c>
      <c r="L340" s="462">
        <v>0</v>
      </c>
      <c r="M340" s="462">
        <v>75</v>
      </c>
      <c r="N340" s="462">
        <v>0</v>
      </c>
      <c r="O340" s="463">
        <v>922.04</v>
      </c>
      <c r="P340" s="464">
        <v>127.5</v>
      </c>
    </row>
    <row r="341" spans="1:17">
      <c r="B341" s="460">
        <v>45316</v>
      </c>
      <c r="C341" s="461" t="s">
        <v>269</v>
      </c>
      <c r="D341" s="515"/>
      <c r="E341" s="462">
        <v>1104</v>
      </c>
      <c r="F341" s="462">
        <v>0</v>
      </c>
      <c r="G341" s="462">
        <v>0</v>
      </c>
      <c r="H341" s="462">
        <v>19.100000000000001</v>
      </c>
      <c r="I341" s="462">
        <v>146.86000000000001</v>
      </c>
      <c r="J341" s="462">
        <v>30.8</v>
      </c>
      <c r="K341" s="462">
        <v>44.16</v>
      </c>
      <c r="L341" s="462">
        <v>0</v>
      </c>
      <c r="M341" s="462">
        <v>180</v>
      </c>
      <c r="N341" s="462">
        <v>7.2</v>
      </c>
      <c r="O341" s="463">
        <v>1035.8800000000001</v>
      </c>
      <c r="P341" s="464">
        <v>121.99</v>
      </c>
    </row>
    <row r="342" spans="1:17">
      <c r="B342" s="514"/>
      <c r="C342" s="515"/>
      <c r="D342" s="515"/>
      <c r="E342" s="515"/>
      <c r="F342" s="515"/>
      <c r="G342" s="515"/>
      <c r="H342" s="515"/>
      <c r="I342" s="515"/>
      <c r="J342" s="515"/>
      <c r="K342" s="515"/>
      <c r="L342" s="515"/>
      <c r="M342" s="515"/>
      <c r="N342" s="515"/>
      <c r="O342" s="515"/>
      <c r="P342" s="516"/>
    </row>
    <row r="343" spans="1:17" ht="16" thickBot="1">
      <c r="B343" s="465" t="s">
        <v>270</v>
      </c>
      <c r="C343" s="517"/>
      <c r="D343" s="517"/>
      <c r="E343" s="467">
        <v>10515.6</v>
      </c>
      <c r="F343" s="467">
        <v>0</v>
      </c>
      <c r="G343" s="467">
        <v>0</v>
      </c>
      <c r="H343" s="467">
        <v>171.90000000000003</v>
      </c>
      <c r="I343" s="467">
        <v>939.54</v>
      </c>
      <c r="J343" s="467">
        <v>246.87</v>
      </c>
      <c r="K343" s="467">
        <v>420.62</v>
      </c>
      <c r="L343" s="467">
        <v>0</v>
      </c>
      <c r="M343" s="467">
        <v>1154</v>
      </c>
      <c r="N343" s="467">
        <v>64.8</v>
      </c>
      <c r="O343" s="467">
        <v>9825.8700000000008</v>
      </c>
      <c r="P343" s="468">
        <v>1161.95</v>
      </c>
    </row>
    <row r="344" spans="1:17">
      <c r="B344" s="472"/>
      <c r="C344" s="521"/>
      <c r="D344" s="522"/>
      <c r="E344" s="523"/>
      <c r="F344" s="524"/>
      <c r="G344" s="525"/>
      <c r="H344" s="525"/>
      <c r="I344" s="525"/>
      <c r="J344" s="525"/>
      <c r="K344" s="525"/>
      <c r="L344" s="526"/>
      <c r="M344" s="526"/>
      <c r="N344" s="526"/>
      <c r="O344" s="526"/>
      <c r="P344" s="525"/>
    </row>
    <row r="346" spans="1:17" ht="47">
      <c r="A346" s="472"/>
      <c r="B346" s="473" t="s">
        <v>287</v>
      </c>
      <c r="C346" s="474" t="s">
        <v>288</v>
      </c>
      <c r="D346" s="475">
        <v>4</v>
      </c>
      <c r="E346" s="476" t="s">
        <v>289</v>
      </c>
      <c r="F346" s="477">
        <f>D346+1</f>
        <v>5</v>
      </c>
      <c r="G346" s="478"/>
      <c r="H346" s="478"/>
      <c r="I346" s="478"/>
      <c r="J346" s="478"/>
      <c r="K346" s="479"/>
      <c r="L346" s="479"/>
      <c r="M346" s="479"/>
      <c r="N346" s="479"/>
      <c r="O346" s="478"/>
      <c r="P346" s="478"/>
    </row>
    <row r="347" spans="1:17" ht="16" thickBot="1">
      <c r="C347" s="480"/>
      <c r="D347" s="527"/>
      <c r="F347" s="480"/>
      <c r="H347" s="480"/>
      <c r="I347" s="480"/>
      <c r="J347" s="480"/>
      <c r="K347" s="480"/>
      <c r="L347" s="480"/>
      <c r="M347" s="480"/>
      <c r="N347" s="480"/>
    </row>
    <row r="348" spans="1:17" ht="35" thickBot="1">
      <c r="C348" s="548"/>
      <c r="D348" s="549" t="s">
        <v>306</v>
      </c>
      <c r="F348" s="480"/>
      <c r="H348" s="480"/>
      <c r="I348" s="480"/>
      <c r="J348" s="480"/>
      <c r="K348" s="480"/>
      <c r="L348" s="480"/>
      <c r="M348" s="480"/>
      <c r="N348" s="480"/>
      <c r="O348" s="480"/>
      <c r="Q348" s="480"/>
    </row>
    <row r="349" spans="1:17">
      <c r="C349" s="480"/>
      <c r="D349" s="527"/>
      <c r="F349" s="480"/>
      <c r="H349" s="480"/>
      <c r="I349" s="480"/>
      <c r="J349" s="480"/>
      <c r="K349" s="480"/>
      <c r="L349" s="480"/>
      <c r="M349" s="480"/>
      <c r="N349" s="480"/>
      <c r="O349" s="480"/>
      <c r="Q349" s="480"/>
    </row>
    <row r="350" spans="1:17">
      <c r="P350" s="480"/>
      <c r="Q350" s="480"/>
    </row>
    <row r="351" spans="1:17">
      <c r="P351" s="480"/>
      <c r="Q351" s="480"/>
    </row>
    <row r="352" spans="1:17">
      <c r="P352" s="480"/>
      <c r="Q352" s="480"/>
    </row>
    <row r="353" spans="2:16" ht="48" thickBot="1">
      <c r="B353" s="472"/>
      <c r="C353" s="473" t="s">
        <v>287</v>
      </c>
      <c r="D353" s="474" t="s">
        <v>288</v>
      </c>
      <c r="E353" s="475">
        <v>5</v>
      </c>
      <c r="F353" s="476" t="s">
        <v>289</v>
      </c>
      <c r="G353" s="477">
        <f>E353+1</f>
        <v>6</v>
      </c>
      <c r="H353" s="478"/>
      <c r="I353" s="478"/>
      <c r="J353" s="478"/>
      <c r="K353" s="478"/>
      <c r="L353" s="479"/>
      <c r="M353" s="479"/>
      <c r="N353" s="479"/>
      <c r="O353" s="479"/>
      <c r="P353" s="478"/>
    </row>
    <row r="354" spans="2:16">
      <c r="B354" s="392"/>
      <c r="C354" s="393"/>
      <c r="D354" s="394"/>
      <c r="E354" s="395" t="s">
        <v>272</v>
      </c>
      <c r="F354" s="396" t="s">
        <v>273</v>
      </c>
      <c r="G354" s="397" t="s">
        <v>274</v>
      </c>
      <c r="H354" s="398" t="s">
        <v>275</v>
      </c>
      <c r="I354" s="399" t="s">
        <v>276</v>
      </c>
      <c r="J354" s="399"/>
      <c r="K354" s="400" t="s">
        <v>277</v>
      </c>
      <c r="L354" s="480"/>
      <c r="M354" s="480"/>
      <c r="N354" s="480"/>
      <c r="O354" s="480"/>
      <c r="P354" s="480"/>
    </row>
    <row r="355" spans="2:16">
      <c r="B355" s="401"/>
      <c r="C355" s="436" t="s">
        <v>278</v>
      </c>
      <c r="D355" s="402"/>
      <c r="E355" s="437">
        <v>20</v>
      </c>
      <c r="F355" s="438">
        <v>42.5</v>
      </c>
      <c r="G355" s="403">
        <v>25</v>
      </c>
      <c r="H355" s="404">
        <f>G355*F355</f>
        <v>1062.5</v>
      </c>
      <c r="I355" s="403">
        <f>(E355/100)*H355</f>
        <v>212.5</v>
      </c>
      <c r="J355" s="403"/>
      <c r="K355" s="405">
        <f>H355-I355</f>
        <v>850</v>
      </c>
      <c r="L355" s="480"/>
      <c r="M355" s="480"/>
      <c r="N355" s="480"/>
      <c r="O355" s="480"/>
      <c r="P355" s="480"/>
    </row>
    <row r="356" spans="2:16">
      <c r="B356" s="401"/>
      <c r="C356" s="436" t="s">
        <v>279</v>
      </c>
      <c r="D356" s="402"/>
      <c r="E356" s="437">
        <v>0</v>
      </c>
      <c r="F356" s="438">
        <v>58.5</v>
      </c>
      <c r="G356" s="403">
        <v>25</v>
      </c>
      <c r="H356" s="404">
        <f>G356*F356</f>
        <v>1462.5</v>
      </c>
      <c r="I356" s="403">
        <f>(E356/100)*H356</f>
        <v>0</v>
      </c>
      <c r="J356" s="403"/>
      <c r="K356" s="405">
        <f>H356-I356</f>
        <v>1462.5</v>
      </c>
      <c r="L356" s="480"/>
      <c r="M356" s="480"/>
      <c r="N356" s="480"/>
      <c r="O356" s="480"/>
      <c r="P356" s="480"/>
    </row>
    <row r="357" spans="2:16">
      <c r="B357" s="401"/>
      <c r="C357" s="436" t="s">
        <v>280</v>
      </c>
      <c r="D357" s="402"/>
      <c r="E357" s="437">
        <v>0</v>
      </c>
      <c r="F357" s="438">
        <v>42.5</v>
      </c>
      <c r="G357" s="403">
        <v>25</v>
      </c>
      <c r="H357" s="404">
        <f>G357*F357</f>
        <v>1062.5</v>
      </c>
      <c r="I357" s="403">
        <f>(E357/100)*H357</f>
        <v>0</v>
      </c>
      <c r="J357" s="403"/>
      <c r="K357" s="405">
        <f>H357-I357</f>
        <v>1062.5</v>
      </c>
      <c r="L357" s="480"/>
      <c r="M357" s="480"/>
      <c r="N357" s="480"/>
      <c r="O357" s="480"/>
      <c r="P357" s="480"/>
    </row>
    <row r="358" spans="2:16">
      <c r="B358" s="401"/>
      <c r="C358" s="436" t="s">
        <v>281</v>
      </c>
      <c r="D358" s="402"/>
      <c r="E358" s="437">
        <v>0</v>
      </c>
      <c r="F358" s="438">
        <v>50.5</v>
      </c>
      <c r="G358" s="483">
        <v>24</v>
      </c>
      <c r="H358" s="404">
        <f>G358*F358</f>
        <v>1212</v>
      </c>
      <c r="I358" s="483">
        <f>(E358/100)*H358</f>
        <v>0</v>
      </c>
      <c r="J358" s="483"/>
      <c r="K358" s="405">
        <f>H358-I358</f>
        <v>1212</v>
      </c>
      <c r="L358" s="480"/>
      <c r="M358" s="480"/>
      <c r="N358" s="480"/>
      <c r="O358" s="480"/>
      <c r="P358" s="480"/>
    </row>
    <row r="359" spans="2:16" ht="16" thickBot="1">
      <c r="B359" s="401"/>
      <c r="C359" s="436" t="s">
        <v>282</v>
      </c>
      <c r="D359" s="402"/>
      <c r="E359" s="437">
        <v>20</v>
      </c>
      <c r="F359" s="438">
        <v>50.5</v>
      </c>
      <c r="G359" s="403">
        <v>20</v>
      </c>
      <c r="H359" s="404">
        <f>G359*F359</f>
        <v>1010</v>
      </c>
      <c r="I359" s="403">
        <f>(E359/100)*H359</f>
        <v>202</v>
      </c>
      <c r="J359" s="403"/>
      <c r="K359" s="405">
        <f>H359-I359</f>
        <v>808</v>
      </c>
      <c r="L359" s="480"/>
      <c r="M359" s="480"/>
      <c r="N359" s="480"/>
      <c r="O359" s="480"/>
      <c r="P359" s="480"/>
    </row>
    <row r="360" spans="2:16">
      <c r="B360" s="406"/>
      <c r="C360" s="407"/>
      <c r="D360" s="408"/>
      <c r="E360" s="409"/>
      <c r="F360" s="410"/>
      <c r="G360" s="411"/>
      <c r="H360" s="412"/>
      <c r="I360" s="411"/>
      <c r="J360" s="411"/>
      <c r="K360" s="413"/>
      <c r="L360" s="480"/>
      <c r="M360" s="480"/>
      <c r="N360" s="480"/>
      <c r="O360" s="480"/>
      <c r="P360" s="480"/>
    </row>
    <row r="361" spans="2:16">
      <c r="B361" s="414"/>
      <c r="C361" s="439" t="s">
        <v>293</v>
      </c>
      <c r="D361" s="415"/>
      <c r="E361" s="440">
        <v>0</v>
      </c>
      <c r="F361" s="441"/>
      <c r="G361" s="416"/>
      <c r="H361" s="417"/>
      <c r="I361" s="416">
        <f>(E361/100)*H361</f>
        <v>0</v>
      </c>
      <c r="J361" s="416"/>
      <c r="K361" s="496">
        <f>H361-I361</f>
        <v>0</v>
      </c>
      <c r="L361" s="480"/>
      <c r="M361" s="480"/>
      <c r="N361" s="480"/>
      <c r="O361" s="480"/>
      <c r="P361" s="480"/>
    </row>
    <row r="362" spans="2:16">
      <c r="B362" s="414"/>
      <c r="C362" s="439" t="s">
        <v>296</v>
      </c>
      <c r="D362" s="415"/>
      <c r="E362" s="440">
        <v>20</v>
      </c>
      <c r="F362" s="441"/>
      <c r="G362" s="416"/>
      <c r="H362" s="417"/>
      <c r="I362" s="416">
        <f>(E362/100)*H362</f>
        <v>0</v>
      </c>
      <c r="J362" s="416"/>
      <c r="K362" s="496">
        <f>H362-I362</f>
        <v>0</v>
      </c>
      <c r="L362" s="480"/>
      <c r="M362" s="480"/>
      <c r="N362" s="480"/>
      <c r="O362" s="480"/>
      <c r="P362" s="480"/>
    </row>
    <row r="363" spans="2:16" ht="16" thickBot="1">
      <c r="B363" s="414"/>
      <c r="C363" s="439"/>
      <c r="D363" s="421"/>
      <c r="E363" s="440"/>
      <c r="F363" s="441"/>
      <c r="G363" s="416"/>
      <c r="H363" s="425"/>
      <c r="I363" s="416"/>
      <c r="J363" s="416"/>
      <c r="K363" s="496"/>
      <c r="L363" s="480"/>
      <c r="M363" s="480"/>
      <c r="N363" s="480"/>
      <c r="O363" s="480"/>
      <c r="P363" s="480"/>
    </row>
    <row r="364" spans="2:16" ht="27" thickBot="1">
      <c r="B364" s="427"/>
      <c r="C364" s="428"/>
      <c r="D364" s="429"/>
      <c r="E364" s="430"/>
      <c r="F364" s="429"/>
      <c r="G364" s="431"/>
      <c r="H364" s="432">
        <f>SUM(H354:H363)</f>
        <v>5809.5</v>
      </c>
      <c r="I364" s="433">
        <f>SUM(I354:I363)</f>
        <v>414.5</v>
      </c>
      <c r="J364" s="434"/>
      <c r="K364" s="435">
        <f>SUM(K354:K363)</f>
        <v>5395</v>
      </c>
      <c r="L364" s="480"/>
      <c r="M364" s="480"/>
      <c r="N364" s="480"/>
      <c r="O364" s="480"/>
      <c r="P364" s="480"/>
    </row>
    <row r="365" spans="2:16" ht="17" thickTop="1" thickBot="1">
      <c r="B365" s="401"/>
      <c r="C365" s="436"/>
      <c r="D365" s="497"/>
      <c r="E365" s="498"/>
      <c r="F365" s="497"/>
      <c r="G365" s="499"/>
      <c r="H365" s="508"/>
      <c r="I365" s="508"/>
      <c r="J365" s="497"/>
      <c r="K365" s="509"/>
      <c r="L365" s="480"/>
      <c r="M365" s="480"/>
      <c r="N365" s="480"/>
      <c r="O365" s="480"/>
      <c r="P365" s="480"/>
    </row>
    <row r="366" spans="2:16">
      <c r="B366" s="449" t="s">
        <v>240</v>
      </c>
      <c r="C366" s="450"/>
      <c r="D366" s="451" t="s">
        <v>307</v>
      </c>
      <c r="E366" s="452" t="s">
        <v>242</v>
      </c>
      <c r="F366" s="452" t="s">
        <v>243</v>
      </c>
      <c r="G366" s="452" t="s">
        <v>244</v>
      </c>
      <c r="H366" s="452" t="s">
        <v>245</v>
      </c>
      <c r="I366" s="450"/>
      <c r="J366" s="450"/>
      <c r="K366" s="452" t="s">
        <v>246</v>
      </c>
      <c r="L366" s="450"/>
      <c r="M366" s="452" t="s">
        <v>247</v>
      </c>
      <c r="N366" s="452" t="s">
        <v>248</v>
      </c>
      <c r="O366" s="452" t="s">
        <v>249</v>
      </c>
      <c r="P366" s="453" t="s">
        <v>246</v>
      </c>
    </row>
    <row r="367" spans="2:16">
      <c r="B367" s="454"/>
      <c r="C367" s="455" t="s">
        <v>250</v>
      </c>
      <c r="D367" s="456"/>
      <c r="E367" s="457" t="s">
        <v>251</v>
      </c>
      <c r="F367" s="457" t="s">
        <v>252</v>
      </c>
      <c r="G367" s="456"/>
      <c r="H367" s="456"/>
      <c r="I367" s="457" t="s">
        <v>253</v>
      </c>
      <c r="J367" s="457" t="s">
        <v>254</v>
      </c>
      <c r="K367" s="457" t="s">
        <v>255</v>
      </c>
      <c r="L367" s="457" t="s">
        <v>256</v>
      </c>
      <c r="M367" s="456"/>
      <c r="N367" s="456"/>
      <c r="O367" s="457" t="s">
        <v>251</v>
      </c>
      <c r="P367" s="458" t="s">
        <v>257</v>
      </c>
    </row>
    <row r="368" spans="2:16">
      <c r="B368" s="454"/>
      <c r="C368" s="456"/>
      <c r="D368" s="456"/>
      <c r="E368" s="456"/>
      <c r="F368" s="456"/>
      <c r="G368" s="456"/>
      <c r="H368" s="456"/>
      <c r="I368" s="456"/>
      <c r="J368" s="456"/>
      <c r="K368" s="456"/>
      <c r="L368" s="456"/>
      <c r="M368" s="456"/>
      <c r="N368" s="456"/>
      <c r="O368" s="456"/>
      <c r="P368" s="459"/>
    </row>
    <row r="369" spans="2:18">
      <c r="B369" s="460">
        <v>45330</v>
      </c>
      <c r="C369" s="461" t="s">
        <v>258</v>
      </c>
      <c r="D369" s="456"/>
      <c r="E369" s="462">
        <v>1055.25</v>
      </c>
      <c r="F369" s="462">
        <v>0</v>
      </c>
      <c r="G369" s="462">
        <v>0</v>
      </c>
      <c r="H369" s="462">
        <v>19.100000000000001</v>
      </c>
      <c r="I369" s="462">
        <v>114.83</v>
      </c>
      <c r="J369" s="462">
        <v>28.84</v>
      </c>
      <c r="K369" s="462">
        <v>42.21</v>
      </c>
      <c r="L369" s="462">
        <v>0</v>
      </c>
      <c r="M369" s="462">
        <v>105</v>
      </c>
      <c r="N369" s="462">
        <v>7.2</v>
      </c>
      <c r="O369" s="470">
        <v>948.07</v>
      </c>
      <c r="P369" s="464">
        <v>116.61</v>
      </c>
      <c r="R369" s="462">
        <v>868.37</v>
      </c>
    </row>
    <row r="370" spans="2:18">
      <c r="B370" s="460">
        <v>45330</v>
      </c>
      <c r="C370" s="461" t="s">
        <v>259</v>
      </c>
      <c r="D370" s="456"/>
      <c r="E370" s="462">
        <v>929.25</v>
      </c>
      <c r="F370" s="462">
        <v>0</v>
      </c>
      <c r="G370" s="462">
        <v>0</v>
      </c>
      <c r="H370" s="462">
        <v>19.100000000000001</v>
      </c>
      <c r="I370" s="462">
        <v>99.05</v>
      </c>
      <c r="J370" s="462">
        <v>23.8</v>
      </c>
      <c r="K370" s="462">
        <v>37.17</v>
      </c>
      <c r="L370" s="462">
        <v>0</v>
      </c>
      <c r="M370" s="462">
        <v>105</v>
      </c>
      <c r="N370" s="462">
        <v>7.2</v>
      </c>
      <c r="O370" s="470">
        <v>847.93</v>
      </c>
      <c r="P370" s="464">
        <v>102.68</v>
      </c>
    </row>
    <row r="371" spans="2:18">
      <c r="B371" s="460">
        <v>45330</v>
      </c>
      <c r="C371" s="461" t="s">
        <v>260</v>
      </c>
      <c r="D371" s="456"/>
      <c r="E371" s="462">
        <v>819</v>
      </c>
      <c r="F371" s="462">
        <v>0</v>
      </c>
      <c r="G371" s="462">
        <v>0</v>
      </c>
      <c r="H371" s="462">
        <v>19.100000000000001</v>
      </c>
      <c r="I371" s="462">
        <v>83.17</v>
      </c>
      <c r="J371" s="462">
        <v>19.39</v>
      </c>
      <c r="K371" s="462">
        <v>32.76</v>
      </c>
      <c r="L371" s="462">
        <v>0</v>
      </c>
      <c r="M371" s="462">
        <v>105</v>
      </c>
      <c r="N371" s="462">
        <v>7.2</v>
      </c>
      <c r="O371" s="470">
        <v>762.38</v>
      </c>
      <c r="P371" s="464">
        <v>90.5</v>
      </c>
    </row>
    <row r="372" spans="2:18">
      <c r="B372" s="460">
        <v>45330</v>
      </c>
      <c r="C372" s="461" t="s">
        <v>285</v>
      </c>
      <c r="D372" s="456"/>
      <c r="E372" s="462">
        <v>9090.91</v>
      </c>
      <c r="F372" s="462">
        <v>0</v>
      </c>
      <c r="G372" s="462">
        <v>0</v>
      </c>
      <c r="H372" s="462">
        <v>0</v>
      </c>
      <c r="I372" s="462">
        <v>2949.82</v>
      </c>
      <c r="J372" s="462">
        <v>458.26</v>
      </c>
      <c r="K372" s="462">
        <v>363.64</v>
      </c>
      <c r="L372" s="462">
        <v>0</v>
      </c>
      <c r="M372" s="462">
        <v>0</v>
      </c>
      <c r="N372" s="462">
        <v>0</v>
      </c>
      <c r="O372" s="470">
        <v>5319.19</v>
      </c>
      <c r="P372" s="464">
        <v>0</v>
      </c>
    </row>
    <row r="373" spans="2:18">
      <c r="B373" s="460">
        <v>45330</v>
      </c>
      <c r="C373" s="461" t="s">
        <v>286</v>
      </c>
      <c r="D373" s="456"/>
      <c r="E373" s="462">
        <v>9090.91</v>
      </c>
      <c r="F373" s="462">
        <v>0</v>
      </c>
      <c r="G373" s="462">
        <v>0</v>
      </c>
      <c r="H373" s="462">
        <v>0</v>
      </c>
      <c r="I373" s="462">
        <v>2854.69</v>
      </c>
      <c r="J373" s="462">
        <v>458.26</v>
      </c>
      <c r="K373" s="462">
        <v>363.64</v>
      </c>
      <c r="L373" s="462">
        <v>0</v>
      </c>
      <c r="M373" s="462">
        <v>0</v>
      </c>
      <c r="N373" s="462">
        <v>0</v>
      </c>
      <c r="O373" s="470">
        <v>5414.32</v>
      </c>
      <c r="P373" s="464">
        <v>0</v>
      </c>
    </row>
    <row r="374" spans="2:18">
      <c r="B374" s="460">
        <v>45330</v>
      </c>
      <c r="C374" s="461" t="s">
        <v>262</v>
      </c>
      <c r="D374" s="456"/>
      <c r="E374" s="462">
        <v>819</v>
      </c>
      <c r="F374" s="462">
        <v>0</v>
      </c>
      <c r="G374" s="462">
        <v>0</v>
      </c>
      <c r="H374" s="462">
        <v>19.100000000000001</v>
      </c>
      <c r="I374" s="462">
        <v>84.5</v>
      </c>
      <c r="J374" s="462">
        <v>19.39</v>
      </c>
      <c r="K374" s="462">
        <v>32.76</v>
      </c>
      <c r="L374" s="462">
        <v>0</v>
      </c>
      <c r="M374" s="462">
        <v>105</v>
      </c>
      <c r="N374" s="462">
        <v>7.2</v>
      </c>
      <c r="O374" s="470">
        <v>761.05</v>
      </c>
      <c r="P374" s="464">
        <v>90.5</v>
      </c>
    </row>
    <row r="375" spans="2:18">
      <c r="B375" s="460">
        <v>45330</v>
      </c>
      <c r="C375" s="461" t="s">
        <v>263</v>
      </c>
      <c r="D375" s="456"/>
      <c r="E375" s="462">
        <v>1323</v>
      </c>
      <c r="F375" s="462">
        <v>0</v>
      </c>
      <c r="G375" s="462">
        <v>0</v>
      </c>
      <c r="H375" s="462">
        <v>19.100000000000001</v>
      </c>
      <c r="I375" s="462">
        <v>236.42</v>
      </c>
      <c r="J375" s="462">
        <v>39.549999999999997</v>
      </c>
      <c r="K375" s="462">
        <v>52.92</v>
      </c>
      <c r="L375" s="462">
        <v>0</v>
      </c>
      <c r="M375" s="462">
        <v>105</v>
      </c>
      <c r="N375" s="462">
        <v>7.2</v>
      </c>
      <c r="O375" s="470">
        <v>1072.81</v>
      </c>
      <c r="P375" s="464">
        <v>146.19</v>
      </c>
    </row>
    <row r="376" spans="2:18">
      <c r="B376" s="460">
        <v>45330</v>
      </c>
      <c r="C376" s="461" t="s">
        <v>264</v>
      </c>
      <c r="D376" s="456"/>
      <c r="E376" s="462">
        <v>1055.25</v>
      </c>
      <c r="F376" s="462">
        <v>0</v>
      </c>
      <c r="G376" s="462">
        <v>0</v>
      </c>
      <c r="H376" s="462">
        <v>19.100000000000001</v>
      </c>
      <c r="I376" s="462">
        <v>135.12</v>
      </c>
      <c r="J376" s="462">
        <v>28.84</v>
      </c>
      <c r="K376" s="462">
        <v>42.21</v>
      </c>
      <c r="L376" s="462">
        <v>0</v>
      </c>
      <c r="M376" s="462">
        <v>105</v>
      </c>
      <c r="N376" s="462">
        <v>7.2</v>
      </c>
      <c r="O376" s="470">
        <v>927.78</v>
      </c>
      <c r="P376" s="464">
        <v>116.61</v>
      </c>
    </row>
    <row r="377" spans="2:18">
      <c r="B377" s="460">
        <v>45330</v>
      </c>
      <c r="C377" s="461" t="s">
        <v>266</v>
      </c>
      <c r="D377" s="456"/>
      <c r="E377" s="462">
        <v>1008</v>
      </c>
      <c r="F377" s="462">
        <v>0</v>
      </c>
      <c r="G377" s="462">
        <v>0</v>
      </c>
      <c r="H377" s="462">
        <v>19.100000000000001</v>
      </c>
      <c r="I377" s="462">
        <v>91.53</v>
      </c>
      <c r="J377" s="462">
        <v>26.95</v>
      </c>
      <c r="K377" s="462">
        <v>40.32</v>
      </c>
      <c r="L377" s="462">
        <v>0</v>
      </c>
      <c r="M377" s="462">
        <v>105</v>
      </c>
      <c r="N377" s="462">
        <v>7.2</v>
      </c>
      <c r="O377" s="470">
        <v>927.9</v>
      </c>
      <c r="P377" s="464">
        <v>111.38</v>
      </c>
    </row>
    <row r="378" spans="2:18">
      <c r="B378" s="460">
        <v>45330</v>
      </c>
      <c r="C378" s="461" t="s">
        <v>267</v>
      </c>
      <c r="D378" s="456"/>
      <c r="E378" s="462">
        <v>819</v>
      </c>
      <c r="F378" s="462">
        <v>0</v>
      </c>
      <c r="G378" s="462">
        <v>0</v>
      </c>
      <c r="H378" s="462">
        <v>19.100000000000001</v>
      </c>
      <c r="I378" s="462">
        <v>17.190000000000001</v>
      </c>
      <c r="J378" s="462">
        <v>19.39</v>
      </c>
      <c r="K378" s="462">
        <v>32.76</v>
      </c>
      <c r="L378" s="462">
        <v>0</v>
      </c>
      <c r="M378" s="462">
        <v>105</v>
      </c>
      <c r="N378" s="462">
        <v>7.2</v>
      </c>
      <c r="O378" s="470">
        <v>828.36</v>
      </c>
      <c r="P378" s="464">
        <v>90.5</v>
      </c>
    </row>
    <row r="379" spans="2:18">
      <c r="B379" s="460">
        <v>45330</v>
      </c>
      <c r="C379" s="461" t="s">
        <v>268</v>
      </c>
      <c r="D379" s="456"/>
      <c r="E379" s="462">
        <v>1153.8499999999999</v>
      </c>
      <c r="F379" s="462">
        <v>0</v>
      </c>
      <c r="G379" s="462">
        <v>0</v>
      </c>
      <c r="H379" s="462">
        <v>0</v>
      </c>
      <c r="I379" s="462">
        <v>227.89</v>
      </c>
      <c r="J379" s="462">
        <v>32.78</v>
      </c>
      <c r="K379" s="462">
        <v>46.15</v>
      </c>
      <c r="L379" s="462">
        <v>0</v>
      </c>
      <c r="M379" s="462">
        <v>75</v>
      </c>
      <c r="N379" s="462">
        <v>0</v>
      </c>
      <c r="O379" s="470">
        <v>922.03</v>
      </c>
      <c r="P379" s="464">
        <v>127.5</v>
      </c>
    </row>
    <row r="380" spans="2:18">
      <c r="B380" s="460">
        <v>45330</v>
      </c>
      <c r="C380" s="461" t="s">
        <v>269</v>
      </c>
      <c r="D380" s="456"/>
      <c r="E380" s="462">
        <v>1242</v>
      </c>
      <c r="F380" s="462">
        <v>0</v>
      </c>
      <c r="G380" s="462">
        <v>0</v>
      </c>
      <c r="H380" s="462">
        <v>19.100000000000001</v>
      </c>
      <c r="I380" s="462">
        <v>222.88</v>
      </c>
      <c r="J380" s="462">
        <v>36.31</v>
      </c>
      <c r="K380" s="462">
        <v>49.68</v>
      </c>
      <c r="L380" s="462">
        <v>0</v>
      </c>
      <c r="M380" s="462">
        <v>180</v>
      </c>
      <c r="N380" s="462">
        <v>7.2</v>
      </c>
      <c r="O380" s="470">
        <v>1086.83</v>
      </c>
      <c r="P380" s="464">
        <v>137.24</v>
      </c>
    </row>
    <row r="381" spans="2:18">
      <c r="B381" s="454"/>
      <c r="C381" s="456"/>
      <c r="D381" s="456"/>
      <c r="E381" s="456"/>
      <c r="F381" s="456"/>
      <c r="G381" s="456"/>
      <c r="H381" s="456"/>
      <c r="I381" s="456"/>
      <c r="J381" s="456"/>
      <c r="K381" s="456"/>
      <c r="L381" s="456"/>
      <c r="M381" s="456"/>
      <c r="N381" s="456"/>
      <c r="O381" s="456"/>
      <c r="P381" s="459"/>
    </row>
    <row r="382" spans="2:18" ht="16" thickBot="1">
      <c r="B382" s="465" t="s">
        <v>270</v>
      </c>
      <c r="C382" s="466"/>
      <c r="D382" s="466"/>
      <c r="E382" s="467">
        <v>28405.42</v>
      </c>
      <c r="F382" s="467">
        <v>0</v>
      </c>
      <c r="G382" s="467">
        <v>0</v>
      </c>
      <c r="H382" s="467">
        <v>171.90000000000003</v>
      </c>
      <c r="I382" s="467">
        <v>7117.09</v>
      </c>
      <c r="J382" s="467">
        <v>1191.76</v>
      </c>
      <c r="K382" s="467">
        <v>1136.22</v>
      </c>
      <c r="L382" s="467">
        <v>0</v>
      </c>
      <c r="M382" s="467">
        <v>1095</v>
      </c>
      <c r="N382" s="467">
        <v>64.8</v>
      </c>
      <c r="O382" s="467">
        <v>19818.650000000001</v>
      </c>
      <c r="P382" s="468">
        <v>1129.71</v>
      </c>
    </row>
    <row r="383" spans="2:18">
      <c r="B383" s="472"/>
      <c r="C383" s="521"/>
      <c r="D383" s="522"/>
      <c r="E383" s="523"/>
      <c r="F383" s="524"/>
      <c r="G383" s="525"/>
      <c r="H383" s="525"/>
      <c r="I383" s="525"/>
      <c r="J383" s="525"/>
      <c r="K383" s="525"/>
      <c r="L383" s="526"/>
      <c r="M383" s="526"/>
      <c r="N383" s="526"/>
      <c r="O383" s="526"/>
      <c r="P383" s="525"/>
    </row>
    <row r="385" spans="1:16">
      <c r="O385" s="471">
        <f>O382-O372-O373-O379</f>
        <v>8163.1100000000033</v>
      </c>
    </row>
    <row r="389" spans="1:16" ht="48" thickBot="1">
      <c r="A389" s="472"/>
      <c r="B389" s="472"/>
      <c r="C389" s="473" t="s">
        <v>287</v>
      </c>
      <c r="D389" s="474" t="s">
        <v>288</v>
      </c>
      <c r="E389" s="475">
        <v>14</v>
      </c>
      <c r="F389" s="476" t="s">
        <v>289</v>
      </c>
      <c r="G389" s="477">
        <f>E389+1</f>
        <v>15</v>
      </c>
      <c r="H389" s="478"/>
      <c r="I389" s="478"/>
      <c r="J389" s="478"/>
      <c r="K389" s="478"/>
      <c r="L389" s="479"/>
      <c r="M389" s="479"/>
      <c r="N389" s="479"/>
      <c r="O389" s="479"/>
      <c r="P389" s="478"/>
    </row>
    <row r="390" spans="1:16">
      <c r="A390" s="472"/>
      <c r="B390" s="392"/>
      <c r="C390" s="393"/>
      <c r="D390" s="394"/>
      <c r="E390" s="395" t="s">
        <v>272</v>
      </c>
      <c r="F390" s="396" t="s">
        <v>273</v>
      </c>
      <c r="G390" s="397" t="s">
        <v>274</v>
      </c>
      <c r="H390" s="398" t="s">
        <v>275</v>
      </c>
      <c r="I390" s="399" t="s">
        <v>276</v>
      </c>
      <c r="J390" s="399"/>
      <c r="K390" s="400" t="s">
        <v>277</v>
      </c>
    </row>
    <row r="391" spans="1:16">
      <c r="A391" s="472"/>
      <c r="B391" s="481"/>
      <c r="C391" s="482" t="s">
        <v>290</v>
      </c>
      <c r="D391" s="402">
        <v>13</v>
      </c>
      <c r="E391" s="437">
        <v>20</v>
      </c>
      <c r="F391" s="438">
        <v>255</v>
      </c>
      <c r="G391" s="483">
        <v>24.5</v>
      </c>
      <c r="H391" s="404">
        <f>G391*F391</f>
        <v>6247.5</v>
      </c>
      <c r="I391" s="483">
        <f>(E391/100)*H391</f>
        <v>1249.5</v>
      </c>
      <c r="J391" s="483"/>
      <c r="K391" s="405">
        <f>H391-I391</f>
        <v>4998</v>
      </c>
    </row>
    <row r="392" spans="1:16">
      <c r="A392" s="472"/>
      <c r="B392" s="481"/>
      <c r="C392" s="482" t="s">
        <v>290</v>
      </c>
      <c r="D392" s="402">
        <v>14</v>
      </c>
      <c r="E392" s="437">
        <v>20</v>
      </c>
      <c r="F392" s="438">
        <v>228</v>
      </c>
      <c r="G392" s="483">
        <v>24.5</v>
      </c>
      <c r="H392" s="404">
        <f>G392*F392</f>
        <v>5586</v>
      </c>
      <c r="I392" s="483">
        <f>(E392/100)*H392</f>
        <v>1117.2</v>
      </c>
      <c r="J392" s="483"/>
      <c r="K392" s="405">
        <f>H392-I392</f>
        <v>4468.8</v>
      </c>
    </row>
    <row r="393" spans="1:16" ht="16" thickBot="1">
      <c r="A393" s="472"/>
      <c r="B393" s="484"/>
      <c r="C393" s="485"/>
      <c r="D393" s="486"/>
      <c r="E393" s="487"/>
      <c r="F393" s="488"/>
      <c r="G393" s="489"/>
      <c r="H393" s="490"/>
      <c r="I393" s="491"/>
      <c r="J393" s="492"/>
      <c r="K393" s="493"/>
    </row>
    <row r="394" spans="1:16">
      <c r="A394" s="472"/>
      <c r="B394" s="406"/>
      <c r="C394" s="407"/>
      <c r="D394" s="408"/>
      <c r="E394" s="409"/>
      <c r="F394" s="410"/>
      <c r="G394" s="411"/>
      <c r="H394" s="412"/>
      <c r="I394" s="494"/>
      <c r="J394" s="411"/>
      <c r="K394" s="413"/>
    </row>
    <row r="395" spans="1:16">
      <c r="A395" s="472"/>
      <c r="B395" s="414"/>
      <c r="C395" s="439" t="s">
        <v>291</v>
      </c>
      <c r="D395" s="402">
        <v>13</v>
      </c>
      <c r="E395" s="440">
        <v>20</v>
      </c>
      <c r="F395" s="441">
        <v>978</v>
      </c>
      <c r="G395" s="495">
        <v>25</v>
      </c>
      <c r="H395" s="417">
        <f>G395*F395</f>
        <v>24450</v>
      </c>
      <c r="I395" s="418">
        <f>(E395/100)*H395</f>
        <v>4890</v>
      </c>
      <c r="J395" s="495"/>
      <c r="K395" s="496">
        <f>H395-I395</f>
        <v>19560</v>
      </c>
    </row>
    <row r="396" spans="1:16">
      <c r="A396" s="472"/>
      <c r="B396" s="414"/>
      <c r="C396" s="439" t="s">
        <v>291</v>
      </c>
      <c r="D396" s="402">
        <v>14</v>
      </c>
      <c r="E396" s="440">
        <v>20</v>
      </c>
      <c r="F396" s="441">
        <v>780</v>
      </c>
      <c r="G396" s="416">
        <v>25</v>
      </c>
      <c r="H396" s="417">
        <f>G396*F396</f>
        <v>19500</v>
      </c>
      <c r="I396" s="418">
        <f>(E396/100)*H396</f>
        <v>3900</v>
      </c>
      <c r="J396" s="416"/>
      <c r="K396" s="496">
        <f>H396-I396</f>
        <v>15600</v>
      </c>
      <c r="L396" s="480"/>
      <c r="M396" s="480"/>
      <c r="N396" s="480"/>
      <c r="O396" s="480"/>
      <c r="P396" s="480"/>
    </row>
    <row r="397" spans="1:16" ht="16" thickBot="1">
      <c r="A397" s="472"/>
      <c r="B397" s="419"/>
      <c r="C397" s="420"/>
      <c r="D397" s="421"/>
      <c r="E397" s="422"/>
      <c r="F397" s="423"/>
      <c r="G397" s="424"/>
      <c r="H397" s="425"/>
      <c r="I397" s="424"/>
      <c r="J397" s="424"/>
      <c r="K397" s="426"/>
      <c r="L397" s="480"/>
      <c r="M397" s="480"/>
      <c r="N397" s="480"/>
    </row>
    <row r="398" spans="1:16">
      <c r="A398" s="472"/>
      <c r="B398" s="414"/>
      <c r="C398" s="439"/>
      <c r="D398" s="415"/>
      <c r="E398" s="440"/>
      <c r="F398" s="441"/>
      <c r="G398" s="416"/>
      <c r="H398" s="417"/>
      <c r="I398" s="416"/>
      <c r="J398" s="416"/>
      <c r="K398" s="496"/>
      <c r="L398" s="480"/>
      <c r="M398" s="480"/>
      <c r="N398" s="480"/>
    </row>
    <row r="399" spans="1:16">
      <c r="A399" s="472"/>
      <c r="B399" s="401"/>
      <c r="C399" s="436" t="s">
        <v>278</v>
      </c>
      <c r="D399" s="402">
        <v>14</v>
      </c>
      <c r="E399" s="437">
        <v>20</v>
      </c>
      <c r="F399" s="438">
        <v>34</v>
      </c>
      <c r="G399" s="403">
        <v>25</v>
      </c>
      <c r="H399" s="404">
        <f>G399*F399</f>
        <v>850</v>
      </c>
      <c r="I399" s="403">
        <f>(E399/100)*H399</f>
        <v>170</v>
      </c>
      <c r="J399" s="403"/>
      <c r="K399" s="405">
        <f>H399-I399</f>
        <v>680</v>
      </c>
      <c r="L399" s="480"/>
      <c r="M399" s="480"/>
      <c r="N399" s="480"/>
    </row>
    <row r="400" spans="1:16">
      <c r="A400" s="472"/>
      <c r="B400" s="401"/>
      <c r="C400" s="436" t="s">
        <v>279</v>
      </c>
      <c r="D400" s="402">
        <v>14</v>
      </c>
      <c r="E400" s="437">
        <v>0</v>
      </c>
      <c r="F400" s="438">
        <v>34</v>
      </c>
      <c r="G400" s="483">
        <v>25</v>
      </c>
      <c r="H400" s="404">
        <f>G400*F400</f>
        <v>850</v>
      </c>
      <c r="I400" s="483">
        <f>(E400/100)*H400</f>
        <v>0</v>
      </c>
      <c r="J400" s="483"/>
      <c r="K400" s="405">
        <f>H400-I400</f>
        <v>850</v>
      </c>
      <c r="L400" s="480"/>
      <c r="M400" s="480"/>
      <c r="N400" s="480"/>
    </row>
    <row r="401" spans="1:16">
      <c r="A401" s="472"/>
      <c r="B401" s="401"/>
      <c r="C401" s="436" t="s">
        <v>280</v>
      </c>
      <c r="D401" s="402">
        <v>14</v>
      </c>
      <c r="E401" s="437">
        <v>0</v>
      </c>
      <c r="F401" s="438">
        <v>34</v>
      </c>
      <c r="G401" s="403">
        <v>25</v>
      </c>
      <c r="H401" s="404">
        <f>G401*F401</f>
        <v>850</v>
      </c>
      <c r="I401" s="403">
        <f>(E401/100)*H401</f>
        <v>0</v>
      </c>
      <c r="J401" s="403"/>
      <c r="K401" s="405">
        <f>H401-I401</f>
        <v>850</v>
      </c>
      <c r="L401" s="480"/>
      <c r="M401" s="480"/>
      <c r="N401" s="480"/>
    </row>
    <row r="402" spans="1:16" ht="16" thickBot="1">
      <c r="A402" s="472"/>
      <c r="B402" s="419"/>
      <c r="C402" s="420"/>
      <c r="D402" s="421"/>
      <c r="E402" s="422"/>
      <c r="F402" s="423"/>
      <c r="G402" s="424"/>
      <c r="H402" s="425"/>
      <c r="I402" s="424"/>
      <c r="J402" s="424"/>
      <c r="K402" s="426"/>
      <c r="L402" s="480"/>
      <c r="M402" s="480"/>
      <c r="N402" s="480"/>
    </row>
    <row r="403" spans="1:16">
      <c r="A403" s="472"/>
      <c r="B403" s="406"/>
      <c r="C403" s="407"/>
      <c r="D403" s="408"/>
      <c r="E403" s="409"/>
      <c r="F403" s="410"/>
      <c r="G403" s="411"/>
      <c r="H403" s="412"/>
      <c r="I403" s="411"/>
      <c r="J403" s="411"/>
      <c r="K403" s="413"/>
      <c r="L403" s="480"/>
      <c r="M403" s="480"/>
      <c r="N403" s="480"/>
    </row>
    <row r="404" spans="1:16">
      <c r="A404" s="472"/>
      <c r="B404" s="414"/>
      <c r="C404" s="439" t="s">
        <v>293</v>
      </c>
      <c r="D404" s="415"/>
      <c r="E404" s="440">
        <v>20</v>
      </c>
      <c r="F404" s="441"/>
      <c r="G404" s="416"/>
      <c r="H404" s="417">
        <v>0</v>
      </c>
      <c r="I404" s="416">
        <f>(E404/100)*H404</f>
        <v>0</v>
      </c>
      <c r="J404" s="416"/>
      <c r="K404" s="496">
        <f>H404-I404</f>
        <v>0</v>
      </c>
      <c r="L404" s="480"/>
      <c r="M404" s="480"/>
      <c r="N404" s="480"/>
    </row>
    <row r="405" spans="1:16">
      <c r="A405" s="472"/>
      <c r="B405" s="414"/>
      <c r="C405" s="439" t="s">
        <v>296</v>
      </c>
      <c r="D405" s="415"/>
      <c r="E405" s="440">
        <v>20</v>
      </c>
      <c r="F405" s="441"/>
      <c r="G405" s="416"/>
      <c r="H405" s="417">
        <v>0</v>
      </c>
      <c r="I405" s="416">
        <f>(E405/100)*H405</f>
        <v>0</v>
      </c>
      <c r="J405" s="416"/>
      <c r="K405" s="496">
        <f>H405-I405</f>
        <v>0</v>
      </c>
      <c r="L405" s="480"/>
      <c r="M405" s="480"/>
      <c r="N405" s="480"/>
    </row>
    <row r="406" spans="1:16" ht="16" thickBot="1">
      <c r="A406" s="472"/>
      <c r="B406" s="414"/>
      <c r="C406" s="439"/>
      <c r="D406" s="415"/>
      <c r="E406" s="440"/>
      <c r="F406" s="441"/>
      <c r="G406" s="416"/>
      <c r="H406" s="417"/>
      <c r="I406" s="416"/>
      <c r="J406" s="416"/>
      <c r="K406" s="496"/>
      <c r="L406" s="480"/>
      <c r="M406" s="480"/>
      <c r="N406" s="480"/>
    </row>
    <row r="407" spans="1:16">
      <c r="A407" s="472"/>
      <c r="B407" s="406"/>
      <c r="C407" s="407"/>
      <c r="D407" s="408"/>
      <c r="E407" s="409"/>
      <c r="F407" s="410"/>
      <c r="G407" s="411"/>
      <c r="H407" s="412"/>
      <c r="I407" s="411"/>
      <c r="J407" s="411"/>
      <c r="K407" s="413"/>
      <c r="L407" s="480"/>
      <c r="M407" s="480"/>
      <c r="N407" s="480"/>
    </row>
    <row r="408" spans="1:16">
      <c r="A408" s="472"/>
      <c r="B408" s="414"/>
      <c r="C408" s="439" t="s">
        <v>308</v>
      </c>
      <c r="D408" s="415"/>
      <c r="E408" s="440">
        <v>20</v>
      </c>
      <c r="F408" s="441"/>
      <c r="G408" s="416"/>
      <c r="H408" s="417">
        <v>0</v>
      </c>
      <c r="I408" s="416">
        <f>(E408/100)*H408</f>
        <v>0</v>
      </c>
      <c r="J408" s="416"/>
      <c r="K408" s="496">
        <f>H408-I408</f>
        <v>0</v>
      </c>
      <c r="L408" s="480"/>
      <c r="M408" s="480"/>
      <c r="N408" s="480"/>
    </row>
    <row r="409" spans="1:16" ht="16" thickBot="1">
      <c r="A409" s="472"/>
      <c r="B409" s="419"/>
      <c r="C409" s="420"/>
      <c r="D409" s="421"/>
      <c r="E409" s="422"/>
      <c r="F409" s="423"/>
      <c r="G409" s="424"/>
      <c r="H409" s="425"/>
      <c r="I409" s="424"/>
      <c r="J409" s="424"/>
      <c r="K409" s="426"/>
      <c r="L409" s="480"/>
      <c r="M409" s="480"/>
      <c r="N409" s="480"/>
    </row>
    <row r="410" spans="1:16" ht="27" thickBot="1">
      <c r="A410" s="472"/>
      <c r="B410" s="401"/>
      <c r="C410" s="436"/>
      <c r="D410" s="497"/>
      <c r="E410" s="498"/>
      <c r="F410" s="497"/>
      <c r="G410" s="499"/>
      <c r="H410" s="500">
        <f>SUM(H390:H409)</f>
        <v>58333.5</v>
      </c>
      <c r="I410" s="501">
        <f>SUM(I390:I409)</f>
        <v>11326.7</v>
      </c>
      <c r="J410" s="502"/>
      <c r="K410" s="503">
        <f>SUM(K390:K409)</f>
        <v>47006.8</v>
      </c>
      <c r="L410" s="480"/>
      <c r="M410" s="480"/>
      <c r="N410" s="480"/>
    </row>
    <row r="411" spans="1:16" ht="17" thickTop="1" thickBot="1">
      <c r="A411" s="472"/>
      <c r="B411" s="401"/>
      <c r="C411" s="436"/>
      <c r="D411" s="497"/>
      <c r="E411" s="498"/>
      <c r="F411" s="497"/>
      <c r="G411" s="499"/>
      <c r="H411" s="504"/>
      <c r="I411" s="505"/>
      <c r="J411" s="505"/>
      <c r="K411" s="506"/>
      <c r="L411" s="480"/>
      <c r="M411" s="480"/>
      <c r="N411" s="480"/>
    </row>
    <row r="412" spans="1:16">
      <c r="A412" s="472"/>
      <c r="B412" s="449" t="s">
        <v>240</v>
      </c>
      <c r="C412" s="450"/>
      <c r="D412" s="451" t="s">
        <v>309</v>
      </c>
      <c r="E412" s="452" t="s">
        <v>242</v>
      </c>
      <c r="F412" s="452" t="s">
        <v>243</v>
      </c>
      <c r="G412" s="452" t="s">
        <v>244</v>
      </c>
      <c r="H412" s="452" t="s">
        <v>245</v>
      </c>
      <c r="I412" s="450"/>
      <c r="J412" s="450"/>
      <c r="K412" s="452" t="s">
        <v>246</v>
      </c>
      <c r="L412" s="450"/>
      <c r="M412" s="452" t="s">
        <v>247</v>
      </c>
      <c r="N412" s="452" t="s">
        <v>248</v>
      </c>
      <c r="O412" s="452" t="s">
        <v>249</v>
      </c>
      <c r="P412" s="453" t="s">
        <v>246</v>
      </c>
    </row>
    <row r="413" spans="1:16">
      <c r="A413" s="472"/>
      <c r="B413" s="454"/>
      <c r="C413" s="455" t="s">
        <v>250</v>
      </c>
      <c r="D413" s="456"/>
      <c r="E413" s="457" t="s">
        <v>251</v>
      </c>
      <c r="F413" s="457" t="s">
        <v>252</v>
      </c>
      <c r="G413" s="456"/>
      <c r="H413" s="456"/>
      <c r="I413" s="457" t="s">
        <v>253</v>
      </c>
      <c r="J413" s="457" t="s">
        <v>254</v>
      </c>
      <c r="K413" s="457" t="s">
        <v>255</v>
      </c>
      <c r="L413" s="457" t="s">
        <v>256</v>
      </c>
      <c r="M413" s="456"/>
      <c r="N413" s="456"/>
      <c r="O413" s="457" t="s">
        <v>251</v>
      </c>
      <c r="P413" s="458" t="s">
        <v>257</v>
      </c>
    </row>
    <row r="414" spans="1:16">
      <c r="A414" s="472"/>
      <c r="B414" s="454"/>
      <c r="C414" s="456"/>
      <c r="D414" s="456"/>
      <c r="E414" s="456"/>
      <c r="F414" s="456"/>
      <c r="G414" s="456"/>
      <c r="H414" s="456"/>
      <c r="I414" s="456"/>
      <c r="J414" s="456"/>
      <c r="K414" s="456"/>
      <c r="L414" s="456"/>
      <c r="M414" s="456"/>
      <c r="N414" s="456"/>
      <c r="O414" s="456"/>
      <c r="P414" s="459"/>
    </row>
    <row r="415" spans="1:16">
      <c r="A415" s="472"/>
      <c r="B415" s="460">
        <v>45393</v>
      </c>
      <c r="C415" s="461" t="s">
        <v>258</v>
      </c>
      <c r="D415" s="456"/>
      <c r="E415" s="462">
        <v>819</v>
      </c>
      <c r="F415" s="462">
        <v>0</v>
      </c>
      <c r="G415" s="462">
        <v>0</v>
      </c>
      <c r="H415" s="462">
        <v>21.04</v>
      </c>
      <c r="I415" s="462">
        <v>67.180000000000007</v>
      </c>
      <c r="J415" s="462">
        <v>19.39</v>
      </c>
      <c r="K415" s="462">
        <v>32.76</v>
      </c>
      <c r="L415" s="462">
        <v>0</v>
      </c>
      <c r="M415" s="462">
        <v>105</v>
      </c>
      <c r="N415" s="462">
        <v>6.03</v>
      </c>
      <c r="O415" s="463">
        <v>777.6</v>
      </c>
      <c r="P415" s="464">
        <v>90.5</v>
      </c>
    </row>
    <row r="416" spans="1:16">
      <c r="A416" s="472"/>
      <c r="B416" s="460">
        <v>45393</v>
      </c>
      <c r="C416" s="461" t="s">
        <v>259</v>
      </c>
      <c r="D416" s="456"/>
      <c r="E416" s="462">
        <v>819</v>
      </c>
      <c r="F416" s="462">
        <v>0</v>
      </c>
      <c r="G416" s="462">
        <v>0</v>
      </c>
      <c r="H416" s="462">
        <v>21.04</v>
      </c>
      <c r="I416" s="462">
        <v>76.61</v>
      </c>
      <c r="J416" s="462">
        <v>19.39</v>
      </c>
      <c r="K416" s="462">
        <v>32.76</v>
      </c>
      <c r="L416" s="462">
        <v>0</v>
      </c>
      <c r="M416" s="462">
        <v>105</v>
      </c>
      <c r="N416" s="462">
        <v>6.03</v>
      </c>
      <c r="O416" s="463">
        <v>768.17</v>
      </c>
      <c r="P416" s="464">
        <v>90.5</v>
      </c>
    </row>
    <row r="417" spans="1:16">
      <c r="A417" s="472"/>
      <c r="B417" s="460">
        <v>45393</v>
      </c>
      <c r="C417" s="461" t="s">
        <v>310</v>
      </c>
      <c r="D417" s="456"/>
      <c r="E417" s="462">
        <v>1008</v>
      </c>
      <c r="F417" s="462">
        <v>0</v>
      </c>
      <c r="G417" s="462">
        <v>0</v>
      </c>
      <c r="H417" s="462">
        <v>21.04</v>
      </c>
      <c r="I417" s="462">
        <v>-319.95999999999998</v>
      </c>
      <c r="J417" s="462">
        <v>-56.38</v>
      </c>
      <c r="K417" s="462">
        <v>40.32</v>
      </c>
      <c r="L417" s="462">
        <v>0</v>
      </c>
      <c r="M417" s="462">
        <v>105</v>
      </c>
      <c r="N417" s="462">
        <v>6.03</v>
      </c>
      <c r="O417" s="463">
        <v>1421.95</v>
      </c>
      <c r="P417" s="464">
        <v>111.38</v>
      </c>
    </row>
    <row r="418" spans="1:16">
      <c r="A418" s="472"/>
      <c r="B418" s="460">
        <v>45393</v>
      </c>
      <c r="C418" s="461" t="s">
        <v>260</v>
      </c>
      <c r="D418" s="456"/>
      <c r="E418" s="462">
        <v>819</v>
      </c>
      <c r="F418" s="462">
        <v>0</v>
      </c>
      <c r="G418" s="462">
        <v>0</v>
      </c>
      <c r="H418" s="462">
        <v>21.04</v>
      </c>
      <c r="I418" s="462">
        <v>82.78</v>
      </c>
      <c r="J418" s="462">
        <v>19.39</v>
      </c>
      <c r="K418" s="462">
        <v>32.76</v>
      </c>
      <c r="L418" s="462">
        <v>0</v>
      </c>
      <c r="M418" s="462">
        <v>105</v>
      </c>
      <c r="N418" s="462">
        <v>6.03</v>
      </c>
      <c r="O418" s="463">
        <v>762</v>
      </c>
      <c r="P418" s="464">
        <v>90.5</v>
      </c>
    </row>
    <row r="419" spans="1:16">
      <c r="A419" s="472"/>
      <c r="B419" s="460">
        <v>45393</v>
      </c>
      <c r="C419" s="461" t="s">
        <v>311</v>
      </c>
      <c r="D419" s="456"/>
      <c r="E419" s="462">
        <v>1008</v>
      </c>
      <c r="F419" s="462">
        <v>0</v>
      </c>
      <c r="G419" s="462">
        <v>0</v>
      </c>
      <c r="H419" s="462">
        <v>21.04</v>
      </c>
      <c r="I419" s="462">
        <v>0</v>
      </c>
      <c r="J419" s="462">
        <v>5.04</v>
      </c>
      <c r="K419" s="462">
        <v>40.32</v>
      </c>
      <c r="L419" s="462">
        <v>0</v>
      </c>
      <c r="M419" s="462">
        <v>105</v>
      </c>
      <c r="N419" s="462">
        <v>6.03</v>
      </c>
      <c r="O419" s="463">
        <v>1040.57</v>
      </c>
      <c r="P419" s="464">
        <v>111.38</v>
      </c>
    </row>
    <row r="420" spans="1:16">
      <c r="A420" s="472"/>
      <c r="B420" s="460">
        <v>45393</v>
      </c>
      <c r="C420" s="461" t="s">
        <v>262</v>
      </c>
      <c r="D420" s="456"/>
      <c r="E420" s="462">
        <v>1008</v>
      </c>
      <c r="F420" s="462">
        <v>0</v>
      </c>
      <c r="G420" s="462">
        <v>0</v>
      </c>
      <c r="H420" s="462">
        <v>21.04</v>
      </c>
      <c r="I420" s="462">
        <v>157.77000000000001</v>
      </c>
      <c r="J420" s="462">
        <v>26.95</v>
      </c>
      <c r="K420" s="462">
        <v>40.32</v>
      </c>
      <c r="L420" s="462">
        <v>0</v>
      </c>
      <c r="M420" s="462">
        <v>105</v>
      </c>
      <c r="N420" s="462">
        <v>6.03</v>
      </c>
      <c r="O420" s="463">
        <v>860.89</v>
      </c>
      <c r="P420" s="464">
        <v>111.38</v>
      </c>
    </row>
    <row r="421" spans="1:16">
      <c r="A421" s="472"/>
      <c r="B421" s="460">
        <v>45393</v>
      </c>
      <c r="C421" s="461" t="s">
        <v>263</v>
      </c>
      <c r="D421" s="456"/>
      <c r="E421" s="462">
        <v>819</v>
      </c>
      <c r="F421" s="462">
        <v>0</v>
      </c>
      <c r="G421" s="462">
        <v>0</v>
      </c>
      <c r="H421" s="462">
        <v>21.04</v>
      </c>
      <c r="I421" s="462">
        <v>90.14</v>
      </c>
      <c r="J421" s="462">
        <v>19.39</v>
      </c>
      <c r="K421" s="462">
        <v>32.76</v>
      </c>
      <c r="L421" s="462">
        <v>0</v>
      </c>
      <c r="M421" s="462">
        <v>105</v>
      </c>
      <c r="N421" s="462">
        <v>6.03</v>
      </c>
      <c r="O421" s="463">
        <v>754.64</v>
      </c>
      <c r="P421" s="464">
        <v>90.5</v>
      </c>
    </row>
    <row r="422" spans="1:16">
      <c r="A422" s="472"/>
      <c r="B422" s="460">
        <v>45393</v>
      </c>
      <c r="C422" s="461" t="s">
        <v>264</v>
      </c>
      <c r="D422" s="456"/>
      <c r="E422" s="462">
        <v>819</v>
      </c>
      <c r="F422" s="462">
        <v>0</v>
      </c>
      <c r="G422" s="462">
        <v>0</v>
      </c>
      <c r="H422" s="462">
        <v>21.04</v>
      </c>
      <c r="I422" s="462">
        <v>85.54</v>
      </c>
      <c r="J422" s="462">
        <v>19.39</v>
      </c>
      <c r="K422" s="462">
        <v>32.76</v>
      </c>
      <c r="L422" s="462">
        <v>0</v>
      </c>
      <c r="M422" s="462">
        <v>105</v>
      </c>
      <c r="N422" s="462">
        <v>6.03</v>
      </c>
      <c r="O422" s="463">
        <v>759.24</v>
      </c>
      <c r="P422" s="464">
        <v>90.5</v>
      </c>
    </row>
    <row r="423" spans="1:16">
      <c r="A423" s="472"/>
      <c r="B423" s="460">
        <v>45393</v>
      </c>
      <c r="C423" s="461" t="s">
        <v>265</v>
      </c>
      <c r="D423" s="456"/>
      <c r="E423" s="462">
        <v>780</v>
      </c>
      <c r="F423" s="462">
        <v>0</v>
      </c>
      <c r="G423" s="462">
        <v>0</v>
      </c>
      <c r="H423" s="462">
        <v>0</v>
      </c>
      <c r="I423" s="462">
        <v>47.83</v>
      </c>
      <c r="J423" s="462">
        <v>17.829999999999998</v>
      </c>
      <c r="K423" s="462">
        <v>31.2</v>
      </c>
      <c r="L423" s="462">
        <v>0</v>
      </c>
      <c r="M423" s="462">
        <v>100</v>
      </c>
      <c r="N423" s="462">
        <v>0</v>
      </c>
      <c r="O423" s="463">
        <v>783.14</v>
      </c>
      <c r="P423" s="464">
        <v>86.19</v>
      </c>
    </row>
    <row r="424" spans="1:16">
      <c r="A424" s="472"/>
      <c r="B424" s="460">
        <v>45393</v>
      </c>
      <c r="C424" s="461" t="s">
        <v>266</v>
      </c>
      <c r="D424" s="456"/>
      <c r="E424" s="462">
        <v>819</v>
      </c>
      <c r="F424" s="462">
        <v>0</v>
      </c>
      <c r="G424" s="462">
        <v>0</v>
      </c>
      <c r="H424" s="462">
        <v>21.04</v>
      </c>
      <c r="I424" s="462">
        <v>53.34</v>
      </c>
      <c r="J424" s="462">
        <v>19.39</v>
      </c>
      <c r="K424" s="462">
        <v>32.76</v>
      </c>
      <c r="L424" s="462">
        <v>0</v>
      </c>
      <c r="M424" s="462">
        <v>105</v>
      </c>
      <c r="N424" s="462">
        <v>6.03</v>
      </c>
      <c r="O424" s="463">
        <v>791.44</v>
      </c>
      <c r="P424" s="464">
        <v>90.5</v>
      </c>
    </row>
    <row r="425" spans="1:16">
      <c r="A425" s="472"/>
      <c r="B425" s="460">
        <v>45393</v>
      </c>
      <c r="C425" s="461" t="s">
        <v>267</v>
      </c>
      <c r="D425" s="456"/>
      <c r="E425" s="462">
        <v>976.5</v>
      </c>
      <c r="F425" s="462">
        <v>0</v>
      </c>
      <c r="G425" s="462">
        <v>0</v>
      </c>
      <c r="H425" s="462">
        <v>21.04</v>
      </c>
      <c r="I425" s="462">
        <v>48.3</v>
      </c>
      <c r="J425" s="462">
        <v>25.69</v>
      </c>
      <c r="K425" s="462">
        <v>39.06</v>
      </c>
      <c r="L425" s="462">
        <v>0</v>
      </c>
      <c r="M425" s="462">
        <v>105</v>
      </c>
      <c r="N425" s="462">
        <v>6.03</v>
      </c>
      <c r="O425" s="463">
        <v>941.38</v>
      </c>
      <c r="P425" s="464">
        <v>107.9</v>
      </c>
    </row>
    <row r="426" spans="1:16">
      <c r="A426" s="472"/>
      <c r="B426" s="460">
        <v>45393</v>
      </c>
      <c r="C426" s="461" t="s">
        <v>268</v>
      </c>
      <c r="D426" s="456"/>
      <c r="E426" s="462">
        <v>1153.8499999999999</v>
      </c>
      <c r="F426" s="462">
        <v>0</v>
      </c>
      <c r="G426" s="462">
        <v>0</v>
      </c>
      <c r="H426" s="462">
        <v>0</v>
      </c>
      <c r="I426" s="462">
        <v>227.9</v>
      </c>
      <c r="J426" s="462">
        <v>32.78</v>
      </c>
      <c r="K426" s="462">
        <v>46.15</v>
      </c>
      <c r="L426" s="462">
        <v>0</v>
      </c>
      <c r="M426" s="462">
        <v>75</v>
      </c>
      <c r="N426" s="462">
        <v>0</v>
      </c>
      <c r="O426" s="463">
        <v>922.02</v>
      </c>
      <c r="P426" s="464">
        <v>127.5</v>
      </c>
    </row>
    <row r="427" spans="1:16">
      <c r="A427" s="472"/>
      <c r="B427" s="460">
        <v>45393</v>
      </c>
      <c r="C427" s="461" t="s">
        <v>269</v>
      </c>
      <c r="D427" s="456"/>
      <c r="E427" s="462">
        <v>897</v>
      </c>
      <c r="F427" s="462">
        <v>0</v>
      </c>
      <c r="G427" s="462">
        <v>0</v>
      </c>
      <c r="H427" s="462">
        <v>21.04</v>
      </c>
      <c r="I427" s="462">
        <v>84.12</v>
      </c>
      <c r="J427" s="462">
        <v>22.51</v>
      </c>
      <c r="K427" s="462">
        <v>35.880000000000003</v>
      </c>
      <c r="L427" s="462">
        <v>0</v>
      </c>
      <c r="M427" s="462">
        <v>180</v>
      </c>
      <c r="N427" s="462">
        <v>6.03</v>
      </c>
      <c r="O427" s="463">
        <v>907.42</v>
      </c>
      <c r="P427" s="464">
        <v>99.12</v>
      </c>
    </row>
    <row r="428" spans="1:16">
      <c r="A428" s="472"/>
      <c r="B428" s="454"/>
      <c r="C428" s="456"/>
      <c r="D428" s="456"/>
      <c r="E428" s="456"/>
      <c r="F428" s="456"/>
      <c r="G428" s="456"/>
      <c r="H428" s="456"/>
      <c r="I428" s="456"/>
      <c r="J428" s="456"/>
      <c r="K428" s="456"/>
      <c r="L428" s="456"/>
      <c r="M428" s="456"/>
      <c r="N428" s="456"/>
      <c r="O428" s="456"/>
      <c r="P428" s="459"/>
    </row>
    <row r="429" spans="1:16" ht="16" thickBot="1">
      <c r="A429" s="472"/>
      <c r="B429" s="465" t="s">
        <v>270</v>
      </c>
      <c r="C429" s="466"/>
      <c r="D429" s="466"/>
      <c r="E429" s="467">
        <v>11745.35</v>
      </c>
      <c r="F429" s="467">
        <v>0</v>
      </c>
      <c r="G429" s="467">
        <v>0</v>
      </c>
      <c r="H429" s="467">
        <v>231.44</v>
      </c>
      <c r="I429" s="467">
        <v>701.55</v>
      </c>
      <c r="J429" s="467">
        <v>190.76</v>
      </c>
      <c r="K429" s="467">
        <v>469.81</v>
      </c>
      <c r="L429" s="467">
        <v>0</v>
      </c>
      <c r="M429" s="467">
        <v>1405</v>
      </c>
      <c r="N429" s="467">
        <v>66.33</v>
      </c>
      <c r="O429" s="467">
        <v>11490.46</v>
      </c>
      <c r="P429" s="468">
        <v>1297.8499999999999</v>
      </c>
    </row>
    <row r="430" spans="1:16">
      <c r="A430" s="472"/>
      <c r="B430" s="472"/>
      <c r="C430" s="521"/>
      <c r="D430" s="522"/>
      <c r="E430" s="523"/>
      <c r="F430" s="524"/>
      <c r="G430" s="525"/>
      <c r="H430" s="525"/>
      <c r="I430" s="525"/>
      <c r="J430" s="525"/>
      <c r="K430" s="525"/>
      <c r="L430" s="526"/>
      <c r="M430" s="526"/>
      <c r="N430" s="526"/>
      <c r="O430" s="526"/>
      <c r="P430" s="525"/>
    </row>
    <row r="433" spans="1:16" ht="48" thickBot="1">
      <c r="A433" s="472"/>
      <c r="B433" s="472"/>
      <c r="C433" s="473" t="s">
        <v>287</v>
      </c>
      <c r="D433" s="474" t="s">
        <v>288</v>
      </c>
      <c r="E433" s="475">
        <v>15</v>
      </c>
      <c r="F433" s="476" t="s">
        <v>289</v>
      </c>
      <c r="G433" s="477">
        <f>E433+1</f>
        <v>16</v>
      </c>
      <c r="H433" s="478"/>
      <c r="I433" s="478"/>
      <c r="J433" s="478"/>
      <c r="K433" s="478"/>
      <c r="L433" s="479"/>
      <c r="M433" s="479"/>
      <c r="N433" s="479"/>
      <c r="O433" s="479"/>
      <c r="P433" s="478"/>
    </row>
    <row r="434" spans="1:16">
      <c r="A434" s="472"/>
      <c r="B434" s="392"/>
      <c r="C434" s="393"/>
      <c r="D434" s="394"/>
      <c r="E434" s="395" t="s">
        <v>272</v>
      </c>
      <c r="F434" s="396" t="s">
        <v>273</v>
      </c>
      <c r="G434" s="397" t="s">
        <v>274</v>
      </c>
      <c r="H434" s="398" t="s">
        <v>275</v>
      </c>
      <c r="I434" s="399" t="s">
        <v>276</v>
      </c>
      <c r="J434" s="399"/>
      <c r="K434" s="400" t="s">
        <v>277</v>
      </c>
      <c r="L434" s="480"/>
    </row>
    <row r="435" spans="1:16">
      <c r="A435" s="472"/>
      <c r="B435" s="401"/>
      <c r="C435" s="436" t="s">
        <v>278</v>
      </c>
      <c r="D435" s="402">
        <v>15</v>
      </c>
      <c r="E435" s="437">
        <v>20</v>
      </c>
      <c r="F435" s="438">
        <v>42.5</v>
      </c>
      <c r="G435" s="403">
        <v>25</v>
      </c>
      <c r="H435" s="404">
        <f>G435*F435</f>
        <v>1062.5</v>
      </c>
      <c r="I435" s="403">
        <f>(E435/100)*H435</f>
        <v>212.5</v>
      </c>
      <c r="J435" s="403"/>
      <c r="K435" s="405">
        <f>H435-I435</f>
        <v>850</v>
      </c>
      <c r="L435" s="480"/>
    </row>
    <row r="436" spans="1:16">
      <c r="A436" s="472"/>
      <c r="B436" s="401"/>
      <c r="C436" s="436" t="s">
        <v>279</v>
      </c>
      <c r="D436" s="402">
        <v>15</v>
      </c>
      <c r="E436" s="437">
        <v>0</v>
      </c>
      <c r="F436" s="438">
        <v>42.5</v>
      </c>
      <c r="G436" s="403">
        <v>25</v>
      </c>
      <c r="H436" s="404">
        <f>G436*F436</f>
        <v>1062.5</v>
      </c>
      <c r="I436" s="403">
        <f>(E436/100)*H436</f>
        <v>0</v>
      </c>
      <c r="J436" s="403"/>
      <c r="K436" s="405">
        <f>H436-I436</f>
        <v>1062.5</v>
      </c>
      <c r="L436" s="480"/>
      <c r="M436" s="550"/>
      <c r="N436" s="551"/>
    </row>
    <row r="437" spans="1:16">
      <c r="A437" s="472"/>
      <c r="B437" s="401"/>
      <c r="C437" s="436" t="s">
        <v>280</v>
      </c>
      <c r="D437" s="402">
        <v>15</v>
      </c>
      <c r="E437" s="437">
        <v>0</v>
      </c>
      <c r="F437" s="438">
        <v>0</v>
      </c>
      <c r="G437" s="403">
        <v>25</v>
      </c>
      <c r="H437" s="404">
        <f>G437*F437</f>
        <v>0</v>
      </c>
      <c r="I437" s="403">
        <f>(E437/100)*H437</f>
        <v>0</v>
      </c>
      <c r="J437" s="403"/>
      <c r="K437" s="405">
        <f>H437-I437</f>
        <v>0</v>
      </c>
      <c r="L437" s="480"/>
      <c r="M437" s="552"/>
      <c r="N437" s="553"/>
    </row>
    <row r="438" spans="1:16" ht="16" thickBot="1">
      <c r="A438" s="472"/>
      <c r="B438" s="401"/>
      <c r="C438" s="436"/>
      <c r="D438" s="402"/>
      <c r="E438" s="437"/>
      <c r="F438" s="438"/>
      <c r="G438" s="403"/>
      <c r="H438" s="404"/>
      <c r="I438" s="403"/>
      <c r="J438" s="403"/>
      <c r="K438" s="405"/>
      <c r="L438" s="480"/>
    </row>
    <row r="439" spans="1:16" ht="27" thickBot="1">
      <c r="A439" s="472"/>
      <c r="B439" s="427"/>
      <c r="C439" s="428"/>
      <c r="D439" s="429"/>
      <c r="E439" s="430"/>
      <c r="F439" s="429"/>
      <c r="G439" s="431"/>
      <c r="H439" s="432">
        <f>SUM(H434:H438)</f>
        <v>2125</v>
      </c>
      <c r="I439" s="433">
        <f>SUM(I434:I438)</f>
        <v>212.5</v>
      </c>
      <c r="J439" s="434"/>
      <c r="K439" s="435">
        <f>SUM(K434:K438)</f>
        <v>1912.5</v>
      </c>
      <c r="L439" s="480"/>
    </row>
    <row r="440" spans="1:16" ht="17" thickTop="1" thickBot="1">
      <c r="A440" s="472"/>
      <c r="B440" s="401"/>
      <c r="C440" s="436"/>
      <c r="D440" s="497"/>
      <c r="E440" s="498"/>
      <c r="F440" s="497"/>
      <c r="G440" s="499"/>
      <c r="H440" s="508"/>
      <c r="I440" s="508"/>
      <c r="J440" s="497"/>
      <c r="K440" s="509"/>
      <c r="L440" s="480"/>
    </row>
    <row r="441" spans="1:16">
      <c r="A441" s="472"/>
      <c r="B441" s="449" t="s">
        <v>240</v>
      </c>
      <c r="C441" s="450"/>
      <c r="D441" s="451" t="s">
        <v>312</v>
      </c>
      <c r="E441" s="452" t="s">
        <v>242</v>
      </c>
      <c r="F441" s="452" t="s">
        <v>243</v>
      </c>
      <c r="G441" s="452" t="s">
        <v>244</v>
      </c>
      <c r="H441" s="452" t="s">
        <v>245</v>
      </c>
      <c r="I441" s="450"/>
      <c r="J441" s="450"/>
      <c r="K441" s="452" t="s">
        <v>246</v>
      </c>
      <c r="L441" s="450"/>
      <c r="M441" s="452" t="s">
        <v>247</v>
      </c>
      <c r="N441" s="452" t="s">
        <v>248</v>
      </c>
      <c r="O441" s="452" t="s">
        <v>249</v>
      </c>
      <c r="P441" s="453" t="s">
        <v>246</v>
      </c>
    </row>
    <row r="442" spans="1:16">
      <c r="A442" s="472"/>
      <c r="B442" s="454"/>
      <c r="C442" s="455" t="s">
        <v>250</v>
      </c>
      <c r="D442" s="456"/>
      <c r="E442" s="457" t="s">
        <v>251</v>
      </c>
      <c r="F442" s="457" t="s">
        <v>252</v>
      </c>
      <c r="G442" s="456"/>
      <c r="H442" s="456"/>
      <c r="I442" s="457" t="s">
        <v>253</v>
      </c>
      <c r="J442" s="457" t="s">
        <v>254</v>
      </c>
      <c r="K442" s="457" t="s">
        <v>255</v>
      </c>
      <c r="L442" s="457" t="s">
        <v>256</v>
      </c>
      <c r="M442" s="456"/>
      <c r="N442" s="456"/>
      <c r="O442" s="457" t="s">
        <v>251</v>
      </c>
      <c r="P442" s="458" t="s">
        <v>257</v>
      </c>
    </row>
    <row r="443" spans="1:16">
      <c r="A443" s="472"/>
      <c r="B443" s="454"/>
      <c r="C443" s="456"/>
      <c r="D443" s="456"/>
      <c r="E443" s="456"/>
      <c r="F443" s="456"/>
      <c r="G443" s="456"/>
      <c r="H443" s="456"/>
      <c r="I443" s="456"/>
      <c r="J443" s="456"/>
      <c r="K443" s="456"/>
      <c r="L443" s="456"/>
      <c r="M443" s="456"/>
      <c r="N443" s="456"/>
      <c r="O443" s="456"/>
      <c r="P443" s="459"/>
    </row>
    <row r="444" spans="1:16">
      <c r="A444" s="472"/>
      <c r="B444" s="460">
        <v>45400</v>
      </c>
      <c r="C444" s="461" t="s">
        <v>258</v>
      </c>
      <c r="D444" s="456"/>
      <c r="E444" s="462">
        <v>819</v>
      </c>
      <c r="F444" s="462">
        <v>0</v>
      </c>
      <c r="G444" s="462">
        <v>0</v>
      </c>
      <c r="H444" s="462">
        <v>21.04</v>
      </c>
      <c r="I444" s="462">
        <v>67.19</v>
      </c>
      <c r="J444" s="462">
        <v>19.38</v>
      </c>
      <c r="K444" s="462">
        <v>32.76</v>
      </c>
      <c r="L444" s="462">
        <v>0</v>
      </c>
      <c r="M444" s="462">
        <v>105</v>
      </c>
      <c r="N444" s="462">
        <v>6.03</v>
      </c>
      <c r="O444" s="463">
        <v>777.6</v>
      </c>
      <c r="P444" s="464">
        <v>90.5</v>
      </c>
    </row>
    <row r="445" spans="1:16">
      <c r="A445" s="472"/>
      <c r="B445" s="460">
        <v>45400</v>
      </c>
      <c r="C445" s="461" t="s">
        <v>259</v>
      </c>
      <c r="D445" s="456"/>
      <c r="E445" s="462">
        <v>819</v>
      </c>
      <c r="F445" s="462">
        <v>0</v>
      </c>
      <c r="G445" s="462">
        <v>0</v>
      </c>
      <c r="H445" s="462">
        <v>21.04</v>
      </c>
      <c r="I445" s="462">
        <v>76.61</v>
      </c>
      <c r="J445" s="462">
        <v>19.38</v>
      </c>
      <c r="K445" s="462">
        <v>32.76</v>
      </c>
      <c r="L445" s="462">
        <v>0</v>
      </c>
      <c r="M445" s="462">
        <v>105</v>
      </c>
      <c r="N445" s="462">
        <v>6.03</v>
      </c>
      <c r="O445" s="463">
        <v>768.18</v>
      </c>
      <c r="P445" s="464">
        <v>90.5</v>
      </c>
    </row>
    <row r="446" spans="1:16">
      <c r="A446" s="472"/>
      <c r="B446" s="460">
        <v>45400</v>
      </c>
      <c r="C446" s="461" t="s">
        <v>310</v>
      </c>
      <c r="D446" s="456"/>
      <c r="E446" s="462">
        <v>819</v>
      </c>
      <c r="F446" s="462">
        <v>0</v>
      </c>
      <c r="G446" s="462">
        <v>0</v>
      </c>
      <c r="H446" s="462">
        <v>21.04</v>
      </c>
      <c r="I446" s="462">
        <v>0</v>
      </c>
      <c r="J446" s="462">
        <v>4.09</v>
      </c>
      <c r="K446" s="462">
        <v>32.76</v>
      </c>
      <c r="L446" s="462">
        <v>0</v>
      </c>
      <c r="M446" s="462">
        <v>105</v>
      </c>
      <c r="N446" s="462">
        <v>6.03</v>
      </c>
      <c r="O446" s="463">
        <v>860.08</v>
      </c>
      <c r="P446" s="464">
        <v>90.5</v>
      </c>
    </row>
    <row r="447" spans="1:16">
      <c r="A447" s="472"/>
      <c r="B447" s="460">
        <v>45400</v>
      </c>
      <c r="C447" s="461" t="s">
        <v>260</v>
      </c>
      <c r="D447" s="456"/>
      <c r="E447" s="462">
        <v>819</v>
      </c>
      <c r="F447" s="462">
        <v>0</v>
      </c>
      <c r="G447" s="462">
        <v>0</v>
      </c>
      <c r="H447" s="462">
        <v>21.04</v>
      </c>
      <c r="I447" s="462">
        <v>82.77</v>
      </c>
      <c r="J447" s="462">
        <v>19.38</v>
      </c>
      <c r="K447" s="462">
        <v>32.76</v>
      </c>
      <c r="L447" s="462">
        <v>0</v>
      </c>
      <c r="M447" s="462">
        <v>105</v>
      </c>
      <c r="N447" s="462">
        <v>6.03</v>
      </c>
      <c r="O447" s="463">
        <v>762.02</v>
      </c>
      <c r="P447" s="464">
        <v>90.5</v>
      </c>
    </row>
    <row r="448" spans="1:16">
      <c r="A448" s="472"/>
      <c r="B448" s="460">
        <v>45400</v>
      </c>
      <c r="C448" s="461" t="s">
        <v>311</v>
      </c>
      <c r="D448" s="456"/>
      <c r="E448" s="462">
        <v>819</v>
      </c>
      <c r="F448" s="462">
        <v>0</v>
      </c>
      <c r="G448" s="462">
        <v>0</v>
      </c>
      <c r="H448" s="462">
        <v>21.04</v>
      </c>
      <c r="I448" s="462">
        <v>0</v>
      </c>
      <c r="J448" s="462">
        <v>4.09</v>
      </c>
      <c r="K448" s="462">
        <v>32.76</v>
      </c>
      <c r="L448" s="462">
        <v>0</v>
      </c>
      <c r="M448" s="462">
        <v>105</v>
      </c>
      <c r="N448" s="462">
        <v>6.03</v>
      </c>
      <c r="O448" s="463">
        <v>860.08</v>
      </c>
      <c r="P448" s="464">
        <v>90.5</v>
      </c>
    </row>
    <row r="449" spans="1:16">
      <c r="A449" s="472"/>
      <c r="B449" s="460">
        <v>45400</v>
      </c>
      <c r="C449" s="461" t="s">
        <v>262</v>
      </c>
      <c r="D449" s="456"/>
      <c r="E449" s="462">
        <v>1008</v>
      </c>
      <c r="F449" s="462">
        <v>0</v>
      </c>
      <c r="G449" s="462">
        <v>0</v>
      </c>
      <c r="H449" s="462">
        <v>21.04</v>
      </c>
      <c r="I449" s="462">
        <v>157.77000000000001</v>
      </c>
      <c r="J449" s="462">
        <v>26.94</v>
      </c>
      <c r="K449" s="462">
        <v>40.32</v>
      </c>
      <c r="L449" s="462">
        <v>0</v>
      </c>
      <c r="M449" s="462">
        <v>105</v>
      </c>
      <c r="N449" s="462">
        <v>6.03</v>
      </c>
      <c r="O449" s="463">
        <v>860.9</v>
      </c>
      <c r="P449" s="464">
        <v>111.38</v>
      </c>
    </row>
    <row r="450" spans="1:16">
      <c r="A450" s="472"/>
      <c r="B450" s="460">
        <v>45400</v>
      </c>
      <c r="C450" s="461" t="s">
        <v>263</v>
      </c>
      <c r="D450" s="456"/>
      <c r="E450" s="462">
        <v>819</v>
      </c>
      <c r="F450" s="462">
        <v>0</v>
      </c>
      <c r="G450" s="462">
        <v>0</v>
      </c>
      <c r="H450" s="462">
        <v>21.04</v>
      </c>
      <c r="I450" s="462">
        <v>90.15</v>
      </c>
      <c r="J450" s="462">
        <v>19.38</v>
      </c>
      <c r="K450" s="462">
        <v>32.76</v>
      </c>
      <c r="L450" s="462">
        <v>0</v>
      </c>
      <c r="M450" s="462">
        <v>105</v>
      </c>
      <c r="N450" s="462">
        <v>6.03</v>
      </c>
      <c r="O450" s="463">
        <v>754.64</v>
      </c>
      <c r="P450" s="464">
        <v>90.5</v>
      </c>
    </row>
    <row r="451" spans="1:16">
      <c r="A451" s="472"/>
      <c r="B451" s="460">
        <v>45400</v>
      </c>
      <c r="C451" s="461" t="s">
        <v>264</v>
      </c>
      <c r="D451" s="456"/>
      <c r="E451" s="462">
        <v>819</v>
      </c>
      <c r="F451" s="462">
        <v>0</v>
      </c>
      <c r="G451" s="462">
        <v>0</v>
      </c>
      <c r="H451" s="462">
        <v>21.04</v>
      </c>
      <c r="I451" s="462">
        <v>85.53</v>
      </c>
      <c r="J451" s="462">
        <v>19.38</v>
      </c>
      <c r="K451" s="462">
        <v>32.76</v>
      </c>
      <c r="L451" s="462">
        <v>0</v>
      </c>
      <c r="M451" s="462">
        <v>105</v>
      </c>
      <c r="N451" s="462">
        <v>6.03</v>
      </c>
      <c r="O451" s="463">
        <v>759.26</v>
      </c>
      <c r="P451" s="464">
        <v>90.5</v>
      </c>
    </row>
    <row r="452" spans="1:16">
      <c r="A452" s="472"/>
      <c r="B452" s="460">
        <v>45400</v>
      </c>
      <c r="C452" s="461" t="s">
        <v>265</v>
      </c>
      <c r="D452" s="456"/>
      <c r="E452" s="462">
        <v>780</v>
      </c>
      <c r="F452" s="462">
        <v>0</v>
      </c>
      <c r="G452" s="462">
        <v>0</v>
      </c>
      <c r="H452" s="462">
        <v>0</v>
      </c>
      <c r="I452" s="462">
        <v>47.83</v>
      </c>
      <c r="J452" s="462">
        <v>17.829999999999998</v>
      </c>
      <c r="K452" s="462">
        <v>31.2</v>
      </c>
      <c r="L452" s="462">
        <v>0</v>
      </c>
      <c r="M452" s="462">
        <v>0</v>
      </c>
      <c r="N452" s="462">
        <v>0</v>
      </c>
      <c r="O452" s="463">
        <v>683.14</v>
      </c>
      <c r="P452" s="464">
        <v>86.19</v>
      </c>
    </row>
    <row r="453" spans="1:16">
      <c r="A453" s="472"/>
      <c r="B453" s="460">
        <v>45400</v>
      </c>
      <c r="C453" s="461" t="s">
        <v>266</v>
      </c>
      <c r="D453" s="456"/>
      <c r="E453" s="462">
        <v>1638</v>
      </c>
      <c r="F453" s="462">
        <v>0</v>
      </c>
      <c r="G453" s="462">
        <v>0</v>
      </c>
      <c r="H453" s="462">
        <v>21.04</v>
      </c>
      <c r="I453" s="462">
        <v>217.14</v>
      </c>
      <c r="J453" s="462">
        <v>52.14</v>
      </c>
      <c r="K453" s="462">
        <v>65.52</v>
      </c>
      <c r="L453" s="462">
        <v>0</v>
      </c>
      <c r="M453" s="462">
        <v>105</v>
      </c>
      <c r="N453" s="462">
        <v>6.03</v>
      </c>
      <c r="O453" s="463">
        <v>1381.13</v>
      </c>
      <c r="P453" s="464">
        <v>181</v>
      </c>
    </row>
    <row r="454" spans="1:16">
      <c r="A454" s="472"/>
      <c r="B454" s="460">
        <v>45400</v>
      </c>
      <c r="C454" s="461" t="s">
        <v>267</v>
      </c>
      <c r="D454" s="456"/>
      <c r="E454" s="462">
        <v>945</v>
      </c>
      <c r="F454" s="462">
        <v>0</v>
      </c>
      <c r="G454" s="462">
        <v>0</v>
      </c>
      <c r="H454" s="462">
        <v>21.04</v>
      </c>
      <c r="I454" s="462">
        <v>42</v>
      </c>
      <c r="J454" s="462">
        <v>24.42</v>
      </c>
      <c r="K454" s="462">
        <v>37.799999999999997</v>
      </c>
      <c r="L454" s="462">
        <v>0</v>
      </c>
      <c r="M454" s="462">
        <v>105</v>
      </c>
      <c r="N454" s="462">
        <v>6.03</v>
      </c>
      <c r="O454" s="463">
        <v>918.71</v>
      </c>
      <c r="P454" s="464">
        <v>104.42</v>
      </c>
    </row>
    <row r="455" spans="1:16">
      <c r="A455" s="472"/>
      <c r="B455" s="460">
        <v>45400</v>
      </c>
      <c r="C455" s="461" t="s">
        <v>268</v>
      </c>
      <c r="D455" s="456"/>
      <c r="E455" s="462">
        <v>1153.8499999999999</v>
      </c>
      <c r="F455" s="462">
        <v>0</v>
      </c>
      <c r="G455" s="462">
        <v>0</v>
      </c>
      <c r="H455" s="462">
        <v>0</v>
      </c>
      <c r="I455" s="462">
        <v>227.88</v>
      </c>
      <c r="J455" s="462">
        <v>32.770000000000003</v>
      </c>
      <c r="K455" s="462">
        <v>46.15</v>
      </c>
      <c r="L455" s="462">
        <v>0</v>
      </c>
      <c r="M455" s="462">
        <v>75</v>
      </c>
      <c r="N455" s="462">
        <v>0</v>
      </c>
      <c r="O455" s="463">
        <v>922.05</v>
      </c>
      <c r="P455" s="464">
        <v>127.5</v>
      </c>
    </row>
    <row r="456" spans="1:16">
      <c r="A456" s="472"/>
      <c r="B456" s="460">
        <v>45400</v>
      </c>
      <c r="C456" s="461" t="s">
        <v>269</v>
      </c>
      <c r="D456" s="456"/>
      <c r="E456" s="462">
        <v>897</v>
      </c>
      <c r="F456" s="462">
        <v>0</v>
      </c>
      <c r="G456" s="462">
        <v>0</v>
      </c>
      <c r="H456" s="462">
        <v>21.04</v>
      </c>
      <c r="I456" s="462">
        <v>84.09</v>
      </c>
      <c r="J456" s="462">
        <v>22.5</v>
      </c>
      <c r="K456" s="462">
        <v>35.880000000000003</v>
      </c>
      <c r="L456" s="462">
        <v>0</v>
      </c>
      <c r="M456" s="462">
        <v>180</v>
      </c>
      <c r="N456" s="462">
        <v>6.03</v>
      </c>
      <c r="O456" s="463">
        <v>907.46</v>
      </c>
      <c r="P456" s="464">
        <v>99.12</v>
      </c>
    </row>
    <row r="457" spans="1:16">
      <c r="A457" s="472"/>
      <c r="B457" s="454"/>
      <c r="C457" s="456"/>
      <c r="D457" s="456"/>
      <c r="E457" s="456"/>
      <c r="F457" s="456"/>
      <c r="G457" s="456"/>
      <c r="H457" s="456"/>
      <c r="I457" s="456"/>
      <c r="J457" s="456"/>
      <c r="K457" s="456"/>
      <c r="L457" s="456"/>
      <c r="M457" s="456"/>
      <c r="N457" s="456"/>
      <c r="O457" s="456"/>
      <c r="P457" s="459"/>
    </row>
    <row r="458" spans="1:16" ht="16" thickBot="1">
      <c r="A458" s="472"/>
      <c r="B458" s="465" t="s">
        <v>270</v>
      </c>
      <c r="C458" s="466"/>
      <c r="D458" s="466"/>
      <c r="E458" s="467">
        <v>12154.85</v>
      </c>
      <c r="F458" s="467">
        <v>0</v>
      </c>
      <c r="G458" s="467">
        <v>0</v>
      </c>
      <c r="H458" s="467">
        <v>231.44</v>
      </c>
      <c r="I458" s="467">
        <v>1178.96</v>
      </c>
      <c r="J458" s="467">
        <v>281.68</v>
      </c>
      <c r="K458" s="467">
        <v>486.19</v>
      </c>
      <c r="L458" s="467">
        <v>0</v>
      </c>
      <c r="M458" s="467">
        <v>1305</v>
      </c>
      <c r="N458" s="467">
        <v>66.33</v>
      </c>
      <c r="O458" s="467">
        <v>11215.25</v>
      </c>
      <c r="P458" s="468">
        <v>1343.11</v>
      </c>
    </row>
    <row r="459" spans="1:16">
      <c r="A459" s="472"/>
      <c r="B459" s="472"/>
      <c r="C459" s="521"/>
      <c r="D459" s="522"/>
      <c r="E459" s="523"/>
      <c r="F459" s="524"/>
      <c r="G459" s="525"/>
      <c r="H459" s="525"/>
      <c r="I459" s="525"/>
      <c r="J459" s="525"/>
      <c r="K459" s="525"/>
      <c r="L459" s="526"/>
      <c r="M459" s="526"/>
      <c r="N459" s="526"/>
      <c r="O459" s="526"/>
      <c r="P459" s="525"/>
    </row>
  </sheetData>
  <pageMargins left="0.70866141732283472" right="0.70866141732283472" top="0.74803149606299213" bottom="0.74803149606299213" header="0.31496062992125984" footer="0.31496062992125984"/>
  <pageSetup paperSize="9" scale="48" orientation="landscape"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C010-63E3-4D94-A10E-7826694E5179}">
  <dimension ref="A1:AE14"/>
  <sheetViews>
    <sheetView workbookViewId="0">
      <selection activeCell="B20" sqref="B20"/>
    </sheetView>
  </sheetViews>
  <sheetFormatPr baseColWidth="10" defaultColWidth="8.83203125" defaultRowHeight="15" outlineLevelCol="1"/>
  <cols>
    <col min="2" max="2" width="33.1640625" customWidth="1"/>
    <col min="3" max="4" width="17.5" customWidth="1"/>
    <col min="5" max="12" width="14.5" hidden="1" customWidth="1" outlineLevel="1"/>
    <col min="13" max="13" width="24.5" customWidth="1" collapsed="1"/>
    <col min="14" max="15" width="24.5" customWidth="1"/>
    <col min="16" max="22" width="14.5" customWidth="1"/>
  </cols>
  <sheetData>
    <row r="1" spans="1:31" s="3" customFormat="1" thickBot="1">
      <c r="A1" s="3" t="s">
        <v>0</v>
      </c>
      <c r="B1" s="285"/>
      <c r="C1" s="205"/>
      <c r="D1" s="206"/>
      <c r="E1" s="208">
        <v>45170</v>
      </c>
      <c r="F1" s="209">
        <v>45170</v>
      </c>
      <c r="G1" s="209">
        <v>45170</v>
      </c>
      <c r="H1" s="209">
        <v>45170</v>
      </c>
      <c r="I1" s="209">
        <v>45200</v>
      </c>
      <c r="J1" s="271">
        <v>45200</v>
      </c>
      <c r="K1" s="302">
        <v>45200</v>
      </c>
      <c r="L1" s="317">
        <v>45200</v>
      </c>
      <c r="M1" s="208">
        <v>45200</v>
      </c>
      <c r="N1" s="209">
        <v>45231</v>
      </c>
      <c r="O1" s="209">
        <v>45231</v>
      </c>
      <c r="P1" s="209">
        <v>45231</v>
      </c>
      <c r="Q1" s="209">
        <v>45231</v>
      </c>
      <c r="R1" s="209">
        <v>45261</v>
      </c>
      <c r="S1" s="209">
        <v>45261</v>
      </c>
      <c r="T1" s="209">
        <v>45261</v>
      </c>
      <c r="U1" s="209">
        <v>45261</v>
      </c>
      <c r="V1" s="209">
        <v>45292</v>
      </c>
      <c r="W1" s="209">
        <v>45323</v>
      </c>
      <c r="X1" s="209">
        <v>45352</v>
      </c>
      <c r="Y1" s="209">
        <v>45383</v>
      </c>
      <c r="Z1" s="209">
        <v>45413</v>
      </c>
      <c r="AA1" s="209">
        <v>45444</v>
      </c>
      <c r="AB1" s="209">
        <v>45474</v>
      </c>
      <c r="AC1" s="271">
        <v>45505</v>
      </c>
      <c r="AD1" s="303">
        <v>45536</v>
      </c>
    </row>
    <row r="2" spans="1:31" s="3" customFormat="1" ht="16" thickBot="1">
      <c r="B2" s="287" t="s">
        <v>50</v>
      </c>
      <c r="C2" s="210"/>
      <c r="D2" s="206"/>
      <c r="E2" s="267" t="s">
        <v>3</v>
      </c>
      <c r="F2" s="267" t="s">
        <v>4</v>
      </c>
      <c r="G2" s="267" t="s">
        <v>5</v>
      </c>
      <c r="H2" s="267" t="s">
        <v>6</v>
      </c>
      <c r="I2" s="267" t="s">
        <v>7</v>
      </c>
      <c r="J2" s="267" t="s">
        <v>8</v>
      </c>
      <c r="K2" s="267" t="s">
        <v>9</v>
      </c>
      <c r="L2" s="319" t="s">
        <v>10</v>
      </c>
      <c r="M2" s="267" t="s">
        <v>11</v>
      </c>
      <c r="N2" s="267" t="s">
        <v>12</v>
      </c>
      <c r="O2" s="267" t="s">
        <v>13</v>
      </c>
      <c r="P2" s="267" t="s">
        <v>14</v>
      </c>
      <c r="Q2" s="267" t="s">
        <v>15</v>
      </c>
      <c r="R2" s="267" t="s">
        <v>16</v>
      </c>
      <c r="S2" s="267" t="s">
        <v>17</v>
      </c>
      <c r="T2" s="267" t="s">
        <v>18</v>
      </c>
      <c r="U2" s="267" t="s">
        <v>19</v>
      </c>
      <c r="V2" s="267"/>
      <c r="W2" s="267"/>
      <c r="X2" s="267"/>
      <c r="Y2" s="267"/>
      <c r="Z2" s="267"/>
      <c r="AA2" s="267"/>
      <c r="AB2" s="267"/>
      <c r="AC2" s="267"/>
      <c r="AD2" s="305"/>
    </row>
    <row r="3" spans="1:31" s="211" customFormat="1">
      <c r="B3" s="288" t="s">
        <v>313</v>
      </c>
      <c r="C3" s="212"/>
      <c r="D3" s="213"/>
      <c r="E3" s="268"/>
      <c r="F3" s="268"/>
      <c r="G3" s="268"/>
      <c r="H3" s="268"/>
      <c r="I3" s="268"/>
      <c r="J3" s="268"/>
      <c r="K3" s="268"/>
      <c r="L3" s="268"/>
      <c r="M3" s="321"/>
      <c r="N3" s="322">
        <v>14400</v>
      </c>
      <c r="O3" s="275"/>
      <c r="P3" s="275"/>
      <c r="Q3" s="275"/>
      <c r="R3" s="268"/>
      <c r="S3" s="268"/>
      <c r="T3" s="268"/>
      <c r="U3" s="268"/>
      <c r="V3" s="268"/>
      <c r="W3" s="268"/>
      <c r="X3" s="268"/>
      <c r="Y3" s="268"/>
      <c r="Z3" s="268"/>
      <c r="AA3" s="268"/>
      <c r="AB3" s="268"/>
      <c r="AC3" s="268"/>
      <c r="AD3" s="274"/>
    </row>
    <row r="4" spans="1:31" s="211" customFormat="1">
      <c r="B4" s="288" t="s">
        <v>54</v>
      </c>
      <c r="C4" s="212"/>
      <c r="D4" s="213"/>
      <c r="E4" s="268"/>
      <c r="F4" s="268"/>
      <c r="G4" s="268"/>
      <c r="H4" s="268"/>
      <c r="I4" s="268" t="s">
        <v>0</v>
      </c>
      <c r="J4" s="268"/>
      <c r="K4" s="268"/>
      <c r="L4" s="268"/>
      <c r="M4" s="320">
        <v>4650</v>
      </c>
      <c r="N4" s="274"/>
      <c r="O4" s="268"/>
      <c r="P4" s="268"/>
      <c r="Q4" s="268"/>
      <c r="R4" s="268"/>
      <c r="S4" s="268"/>
      <c r="T4" s="268"/>
      <c r="U4" s="268"/>
      <c r="V4" s="268"/>
      <c r="W4" s="268"/>
      <c r="X4" s="268"/>
      <c r="Y4" s="268"/>
      <c r="Z4" s="268"/>
      <c r="AA4" s="268"/>
      <c r="AB4" s="268"/>
      <c r="AC4" s="268"/>
      <c r="AD4" s="274"/>
    </row>
    <row r="5" spans="1:31" s="211" customFormat="1">
      <c r="B5" s="288" t="s">
        <v>55</v>
      </c>
      <c r="C5" s="212"/>
      <c r="D5" s="213"/>
      <c r="E5" s="268"/>
      <c r="F5" s="268"/>
      <c r="G5" s="268"/>
      <c r="H5" s="268"/>
      <c r="I5" s="268"/>
      <c r="J5" s="268"/>
      <c r="K5" s="268"/>
      <c r="L5" s="268"/>
      <c r="M5" s="323"/>
      <c r="N5" s="274">
        <v>4335.4480000000003</v>
      </c>
      <c r="O5" s="268"/>
      <c r="P5" s="268"/>
      <c r="Q5" s="268"/>
      <c r="R5" s="268"/>
      <c r="S5" s="268"/>
      <c r="T5" s="268"/>
      <c r="U5" s="268"/>
      <c r="V5" s="268"/>
      <c r="W5" s="268"/>
      <c r="X5" s="268"/>
      <c r="Y5" s="268"/>
      <c r="Z5" s="268"/>
      <c r="AA5" s="268"/>
      <c r="AB5" s="268"/>
      <c r="AC5" s="268"/>
      <c r="AD5" s="274"/>
    </row>
    <row r="6" spans="1:31" s="211" customFormat="1" ht="16" thickBot="1">
      <c r="B6" s="288" t="s">
        <v>56</v>
      </c>
      <c r="C6" s="212" t="s">
        <v>0</v>
      </c>
      <c r="D6" s="213"/>
      <c r="E6" s="268"/>
      <c r="F6" s="268"/>
      <c r="G6" s="268"/>
      <c r="H6" s="268"/>
      <c r="I6" s="268"/>
      <c r="J6" s="268"/>
      <c r="K6" s="268"/>
      <c r="L6" s="268"/>
      <c r="M6" s="320">
        <v>3600</v>
      </c>
      <c r="N6" s="274"/>
      <c r="O6" s="268"/>
      <c r="P6" s="268"/>
      <c r="Q6" s="268"/>
      <c r="R6" s="268"/>
      <c r="S6" s="268"/>
      <c r="T6" s="268"/>
      <c r="U6" s="268"/>
      <c r="V6" s="268"/>
      <c r="W6" s="268"/>
      <c r="X6" s="268"/>
      <c r="Y6" s="268"/>
      <c r="Z6" s="268"/>
      <c r="AA6" s="268"/>
      <c r="AB6" s="268"/>
      <c r="AC6" s="268"/>
      <c r="AD6" s="274"/>
    </row>
    <row r="7" spans="1:31" s="211" customFormat="1" ht="16" thickBot="1">
      <c r="B7" s="289" t="s">
        <v>63</v>
      </c>
      <c r="C7" s="212"/>
      <c r="D7" s="213"/>
      <c r="E7" s="268"/>
      <c r="F7" s="268"/>
      <c r="G7" s="268"/>
      <c r="H7" s="268"/>
      <c r="I7" s="268"/>
      <c r="J7" s="268"/>
      <c r="K7" s="268"/>
      <c r="L7" s="268"/>
      <c r="M7" s="320"/>
      <c r="N7" s="274"/>
      <c r="O7" s="268"/>
      <c r="P7" s="268"/>
      <c r="Q7" s="268"/>
      <c r="R7" s="268"/>
      <c r="S7" s="268"/>
      <c r="T7" s="268"/>
      <c r="U7" s="268"/>
      <c r="V7" s="268"/>
      <c r="W7" s="268"/>
      <c r="X7" s="268"/>
      <c r="Y7" s="268"/>
      <c r="Z7" s="268"/>
      <c r="AA7" s="268"/>
      <c r="AB7" s="268"/>
      <c r="AC7" s="268"/>
      <c r="AD7" s="274"/>
    </row>
    <row r="8" spans="1:31" s="3" customFormat="1">
      <c r="A8" s="3" t="s">
        <v>0</v>
      </c>
      <c r="B8" s="290" t="s">
        <v>314</v>
      </c>
      <c r="C8" s="215">
        <v>330000</v>
      </c>
      <c r="D8" s="217">
        <v>200000</v>
      </c>
      <c r="E8" s="268"/>
      <c r="F8" s="268"/>
      <c r="G8" s="268"/>
      <c r="H8" s="268"/>
      <c r="I8" s="269">
        <v>40000</v>
      </c>
      <c r="J8" s="269">
        <v>32000</v>
      </c>
      <c r="L8" s="268" t="s">
        <v>0</v>
      </c>
      <c r="M8" s="320">
        <v>26000</v>
      </c>
      <c r="N8" s="274">
        <v>51000</v>
      </c>
      <c r="O8" s="268" t="s">
        <v>0</v>
      </c>
      <c r="P8" s="268" t="s">
        <v>0</v>
      </c>
      <c r="Q8" s="268" t="s">
        <v>0</v>
      </c>
      <c r="R8" s="268">
        <v>67000</v>
      </c>
      <c r="S8" s="268" t="s">
        <v>0</v>
      </c>
      <c r="T8" s="268" t="s">
        <v>0</v>
      </c>
      <c r="U8" s="268" t="s">
        <v>0</v>
      </c>
      <c r="V8" s="268" t="s">
        <v>0</v>
      </c>
      <c r="W8" s="268"/>
      <c r="X8" s="268"/>
      <c r="Y8" s="268"/>
      <c r="Z8" s="268"/>
      <c r="AA8" s="268"/>
      <c r="AB8" s="268"/>
      <c r="AC8" s="268"/>
      <c r="AD8" s="274"/>
    </row>
    <row r="9" spans="1:31" s="3" customFormat="1" ht="12.75" customHeight="1">
      <c r="B9" s="290" t="s">
        <v>72</v>
      </c>
      <c r="C9" s="215">
        <v>793000</v>
      </c>
      <c r="D9" s="217">
        <v>602680</v>
      </c>
      <c r="E9" s="268"/>
      <c r="F9" s="268"/>
      <c r="G9" s="268"/>
      <c r="H9" s="268"/>
      <c r="I9" s="268"/>
      <c r="J9" s="268"/>
      <c r="K9" s="268"/>
      <c r="L9" s="318">
        <v>13098.417599999999</v>
      </c>
      <c r="M9" s="320">
        <v>22400</v>
      </c>
      <c r="N9" s="274">
        <v>14080</v>
      </c>
      <c r="O9" s="268">
        <v>13920</v>
      </c>
      <c r="P9" s="268">
        <v>29916.930400000001</v>
      </c>
      <c r="Q9" s="268">
        <v>29916.930400000001</v>
      </c>
      <c r="R9" s="268">
        <v>56916.930399999997</v>
      </c>
      <c r="S9" s="268">
        <v>29916.930400000001</v>
      </c>
      <c r="T9" s="268">
        <v>56916.930399999997</v>
      </c>
      <c r="U9" s="268">
        <v>29916.930400000001</v>
      </c>
      <c r="V9" s="268">
        <v>0</v>
      </c>
      <c r="W9" s="268">
        <v>122272</v>
      </c>
      <c r="X9" s="268">
        <v>122272</v>
      </c>
      <c r="Y9" s="268">
        <v>61136</v>
      </c>
      <c r="Z9" s="268" t="s">
        <v>0</v>
      </c>
      <c r="AA9" s="268"/>
      <c r="AB9" s="268"/>
      <c r="AC9" s="268"/>
      <c r="AD9" s="268"/>
      <c r="AE9" s="274"/>
    </row>
    <row r="10" spans="1:31" s="3" customFormat="1">
      <c r="A10" s="3" t="s">
        <v>0</v>
      </c>
      <c r="B10" s="290" t="s">
        <v>315</v>
      </c>
      <c r="C10" s="215">
        <v>100000</v>
      </c>
      <c r="D10" s="213">
        <v>80000</v>
      </c>
      <c r="E10" s="268"/>
      <c r="F10" s="268"/>
      <c r="G10" s="268"/>
      <c r="H10" s="268"/>
      <c r="I10" s="268"/>
      <c r="J10" s="268"/>
      <c r="K10" s="268"/>
      <c r="L10" s="268"/>
      <c r="M10" s="320">
        <v>5336</v>
      </c>
      <c r="N10" s="207"/>
      <c r="O10" s="268"/>
      <c r="P10" s="268"/>
      <c r="Q10" s="268">
        <v>26664</v>
      </c>
      <c r="S10" s="268"/>
      <c r="T10" s="268">
        <v>32000</v>
      </c>
      <c r="U10" s="268"/>
      <c r="V10" s="268">
        <v>16000</v>
      </c>
      <c r="W10" s="268"/>
      <c r="X10" s="268"/>
      <c r="Y10" s="268"/>
      <c r="Z10" s="268"/>
      <c r="AA10" s="268"/>
      <c r="AB10" s="268"/>
      <c r="AC10" s="268"/>
      <c r="AD10" s="274"/>
    </row>
    <row r="11" spans="1:31" s="3" customFormat="1">
      <c r="B11" s="290" t="s">
        <v>133</v>
      </c>
      <c r="C11" s="215">
        <v>10582</v>
      </c>
      <c r="D11" s="213">
        <v>8465.6</v>
      </c>
      <c r="E11" s="268"/>
      <c r="F11" s="268"/>
      <c r="G11" s="268"/>
      <c r="H11" s="268"/>
      <c r="I11" s="268"/>
      <c r="J11" s="268"/>
      <c r="K11" s="268"/>
      <c r="L11" s="268"/>
      <c r="M11" s="320">
        <v>8465.6</v>
      </c>
      <c r="N11" s="274"/>
      <c r="O11" s="268"/>
      <c r="P11" s="268"/>
      <c r="Q11" s="268"/>
      <c r="R11" s="268"/>
      <c r="S11" s="268"/>
      <c r="T11" s="268"/>
      <c r="U11" s="268"/>
      <c r="V11" s="268"/>
      <c r="W11" s="268"/>
      <c r="X11" s="268"/>
      <c r="Y11" s="268"/>
      <c r="Z11" s="268"/>
      <c r="AA11" s="268"/>
      <c r="AB11" s="268"/>
      <c r="AC11" s="268"/>
      <c r="AD11" s="274"/>
    </row>
    <row r="12" spans="1:31" s="3" customFormat="1" ht="30">
      <c r="B12" s="290" t="s">
        <v>80</v>
      </c>
      <c r="C12" s="215">
        <v>22483</v>
      </c>
      <c r="D12" s="213">
        <v>17986.400000000001</v>
      </c>
      <c r="E12" s="268"/>
      <c r="F12" s="268"/>
      <c r="G12" s="268"/>
      <c r="H12" s="268"/>
      <c r="I12" s="268"/>
      <c r="J12" s="268"/>
      <c r="K12" s="268"/>
      <c r="L12" s="268"/>
      <c r="M12" s="320">
        <v>17446.808000000001</v>
      </c>
      <c r="N12" s="274"/>
      <c r="O12" s="268"/>
      <c r="P12" s="268"/>
      <c r="Q12" s="268"/>
      <c r="R12" s="268"/>
      <c r="S12" s="268"/>
      <c r="T12" s="268"/>
      <c r="U12" s="268"/>
      <c r="V12" s="268"/>
      <c r="W12" s="268"/>
      <c r="X12" s="268"/>
      <c r="Y12" s="268"/>
      <c r="Z12" s="268"/>
      <c r="AA12" s="268"/>
      <c r="AB12" s="268"/>
      <c r="AC12" s="268"/>
      <c r="AD12" s="274"/>
    </row>
    <row r="13" spans="1:31" s="3" customFormat="1">
      <c r="B13" s="290" t="s">
        <v>132</v>
      </c>
      <c r="C13" s="215">
        <v>76315</v>
      </c>
      <c r="D13" s="213">
        <v>61052</v>
      </c>
      <c r="E13" s="268">
        <v>0</v>
      </c>
      <c r="F13" s="268"/>
      <c r="G13" s="269">
        <v>26034.400000000001</v>
      </c>
      <c r="H13" s="268"/>
      <c r="I13" s="268"/>
      <c r="K13" s="269">
        <v>20009.600000000002</v>
      </c>
      <c r="L13" s="268"/>
      <c r="M13" s="320">
        <v>15008</v>
      </c>
      <c r="N13" s="274" t="s">
        <v>0</v>
      </c>
      <c r="O13" s="268"/>
      <c r="P13" s="268"/>
      <c r="Q13" s="268"/>
      <c r="R13" s="268"/>
      <c r="S13" s="268"/>
      <c r="T13" s="268"/>
      <c r="U13" s="268"/>
      <c r="V13" s="268"/>
      <c r="W13" s="268"/>
      <c r="X13" s="268"/>
      <c r="Y13" s="268"/>
      <c r="Z13" s="268"/>
      <c r="AA13" s="268"/>
      <c r="AB13" s="268"/>
      <c r="AC13" s="268"/>
      <c r="AD13" s="274"/>
    </row>
    <row r="14" spans="1:31" s="3" customFormat="1" ht="16" thickBot="1">
      <c r="B14" s="290" t="s">
        <v>125</v>
      </c>
      <c r="C14" s="215">
        <v>9400</v>
      </c>
      <c r="D14" s="213">
        <v>6223</v>
      </c>
      <c r="E14" s="268"/>
      <c r="F14" s="268"/>
      <c r="G14" s="268"/>
      <c r="H14" s="268"/>
      <c r="I14" s="268"/>
      <c r="J14" s="268"/>
      <c r="K14" s="268"/>
      <c r="L14" s="268"/>
      <c r="M14" s="324">
        <v>6223</v>
      </c>
      <c r="N14" s="325"/>
      <c r="O14" s="268"/>
      <c r="P14" s="268"/>
      <c r="Q14" s="268"/>
      <c r="R14" s="268"/>
      <c r="S14" s="268"/>
      <c r="T14" s="268"/>
      <c r="U14" s="268"/>
      <c r="V14" s="268"/>
      <c r="W14" s="268"/>
      <c r="X14" s="268"/>
      <c r="Y14" s="268"/>
      <c r="Z14" s="268"/>
      <c r="AA14" s="268"/>
      <c r="AB14" s="268"/>
      <c r="AC14" s="268"/>
      <c r="AD14" s="274"/>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5FCC9-8620-47EA-9040-F219F0F0D0F6}">
  <dimension ref="B4:U31"/>
  <sheetViews>
    <sheetView topLeftCell="A16" workbookViewId="0">
      <selection activeCell="B13" sqref="B13"/>
    </sheetView>
  </sheetViews>
  <sheetFormatPr baseColWidth="10" defaultColWidth="8.83203125" defaultRowHeight="15"/>
  <cols>
    <col min="2" max="2" width="19.5" bestFit="1" customWidth="1"/>
    <col min="3" max="3" width="11.5" bestFit="1" customWidth="1"/>
    <col min="4" max="4" width="12.5" bestFit="1" customWidth="1"/>
    <col min="5" max="6" width="11.5" bestFit="1" customWidth="1"/>
    <col min="7" max="7" width="10.5" bestFit="1" customWidth="1"/>
    <col min="8" max="8" width="11.5" bestFit="1" customWidth="1"/>
    <col min="9" max="9" width="12.5" bestFit="1" customWidth="1"/>
    <col min="12" max="12" width="13.1640625" customWidth="1"/>
    <col min="13" max="19" width="11.83203125" customWidth="1"/>
    <col min="20" max="20" width="14.5" customWidth="1"/>
    <col min="21" max="21" width="11.1640625" customWidth="1"/>
  </cols>
  <sheetData>
    <row r="4" spans="2:21" ht="21">
      <c r="B4" s="16" t="s">
        <v>435</v>
      </c>
      <c r="D4" s="14"/>
      <c r="E4" s="15"/>
      <c r="F4" s="15"/>
      <c r="G4" s="15"/>
      <c r="H4" s="15"/>
      <c r="I4" s="15"/>
      <c r="L4" s="16" t="s">
        <v>435</v>
      </c>
      <c r="N4" s="14"/>
      <c r="O4" s="15"/>
      <c r="P4" s="15"/>
      <c r="Q4" s="15"/>
      <c r="R4" s="15"/>
      <c r="S4" s="15"/>
    </row>
    <row r="5" spans="2:21">
      <c r="D5" s="14"/>
      <c r="E5" s="15"/>
      <c r="F5" s="15"/>
      <c r="G5" s="15"/>
      <c r="H5" s="15"/>
      <c r="I5" s="15"/>
      <c r="N5" s="14"/>
      <c r="O5" s="15"/>
      <c r="P5" s="15"/>
      <c r="Q5" s="15"/>
      <c r="R5" s="15"/>
      <c r="S5" s="15"/>
    </row>
    <row r="6" spans="2:21" ht="16">
      <c r="B6" s="17" t="s">
        <v>436</v>
      </c>
      <c r="C6" s="18">
        <v>44986</v>
      </c>
      <c r="D6" s="18">
        <v>45017</v>
      </c>
      <c r="E6" s="18">
        <v>45047</v>
      </c>
      <c r="F6" s="18">
        <v>45078</v>
      </c>
      <c r="G6" s="18">
        <v>45108</v>
      </c>
      <c r="H6" s="18">
        <v>45139</v>
      </c>
      <c r="I6" s="19" t="s">
        <v>437</v>
      </c>
      <c r="L6" s="17" t="s">
        <v>436</v>
      </c>
      <c r="M6" s="18">
        <v>44986</v>
      </c>
      <c r="N6" s="18">
        <v>45017</v>
      </c>
      <c r="O6" s="18">
        <v>45047</v>
      </c>
      <c r="P6" s="18">
        <v>45078</v>
      </c>
      <c r="Q6" s="18">
        <v>45108</v>
      </c>
      <c r="R6" s="18">
        <v>45139</v>
      </c>
      <c r="S6" s="19" t="s">
        <v>437</v>
      </c>
    </row>
    <row r="7" spans="2:21">
      <c r="B7" s="87" t="s">
        <v>438</v>
      </c>
      <c r="C7" s="23"/>
      <c r="D7" s="23">
        <v>170193.26</v>
      </c>
      <c r="E7" s="23">
        <v>10605.33</v>
      </c>
      <c r="F7" s="23">
        <v>18811.53</v>
      </c>
      <c r="G7" s="24">
        <v>1518.39</v>
      </c>
      <c r="H7" s="24"/>
      <c r="I7" s="25">
        <f t="shared" ref="I7:I15" si="0">SUM(C7:H7)</f>
        <v>201128.51</v>
      </c>
      <c r="L7" s="87" t="s">
        <v>438</v>
      </c>
      <c r="M7" s="23"/>
      <c r="N7" s="23">
        <v>170193.26</v>
      </c>
      <c r="O7" s="23">
        <v>10605.33</v>
      </c>
      <c r="P7" s="23">
        <v>18811.53</v>
      </c>
      <c r="Q7" s="24">
        <v>1518.39</v>
      </c>
      <c r="R7" s="24"/>
      <c r="S7" s="25">
        <f t="shared" ref="S7:S14" si="1">SUM(M7:R7)</f>
        <v>201128.51</v>
      </c>
      <c r="T7" t="s">
        <v>439</v>
      </c>
      <c r="U7" t="s">
        <v>384</v>
      </c>
    </row>
    <row r="8" spans="2:21">
      <c r="B8" s="87" t="s">
        <v>440</v>
      </c>
      <c r="C8" s="23">
        <v>45468.65</v>
      </c>
      <c r="D8" s="23">
        <v>63508.19</v>
      </c>
      <c r="E8" s="23">
        <v>41268.68</v>
      </c>
      <c r="F8" s="24">
        <v>31446</v>
      </c>
      <c r="G8" s="24">
        <v>4267</v>
      </c>
      <c r="H8" s="24"/>
      <c r="I8" s="26">
        <f t="shared" si="0"/>
        <v>185958.52</v>
      </c>
      <c r="L8" s="87" t="s">
        <v>440</v>
      </c>
      <c r="M8" s="23">
        <v>45468.65</v>
      </c>
      <c r="N8" s="23">
        <v>63508.19</v>
      </c>
      <c r="O8" s="23">
        <v>41268.68</v>
      </c>
      <c r="P8" s="24">
        <v>20964.72</v>
      </c>
      <c r="Q8" s="24"/>
      <c r="R8" s="24"/>
      <c r="S8" s="26">
        <f t="shared" si="1"/>
        <v>171210.23999999999</v>
      </c>
      <c r="T8" t="s">
        <v>439</v>
      </c>
      <c r="U8" t="s">
        <v>384</v>
      </c>
    </row>
    <row r="9" spans="2:21">
      <c r="B9" s="87" t="s">
        <v>441</v>
      </c>
      <c r="C9" s="23"/>
      <c r="D9" s="23"/>
      <c r="E9" s="23">
        <v>34700</v>
      </c>
      <c r="F9" s="23"/>
      <c r="G9" s="23"/>
      <c r="H9" s="23"/>
      <c r="I9" s="26">
        <f t="shared" si="0"/>
        <v>34700</v>
      </c>
      <c r="L9" s="87" t="s">
        <v>441</v>
      </c>
      <c r="M9" s="23"/>
      <c r="N9" s="23"/>
      <c r="O9" s="23">
        <v>34700</v>
      </c>
      <c r="P9" s="23"/>
      <c r="Q9" s="23"/>
      <c r="R9" s="23"/>
      <c r="S9" s="26">
        <f t="shared" si="1"/>
        <v>34700</v>
      </c>
    </row>
    <row r="10" spans="2:21">
      <c r="B10" s="87" t="s">
        <v>442</v>
      </c>
      <c r="C10" s="23">
        <v>15800.11</v>
      </c>
      <c r="D10" s="23">
        <v>17654.990000000002</v>
      </c>
      <c r="E10" s="23"/>
      <c r="F10" s="23"/>
      <c r="G10" s="23"/>
      <c r="H10" s="23"/>
      <c r="I10" s="26">
        <f t="shared" si="0"/>
        <v>33455.100000000006</v>
      </c>
      <c r="L10" s="87" t="s">
        <v>442</v>
      </c>
      <c r="M10" s="23">
        <v>15800.11</v>
      </c>
      <c r="N10" s="23">
        <v>17654.990000000002</v>
      </c>
      <c r="O10" s="23"/>
      <c r="P10" s="23"/>
      <c r="Q10" s="23"/>
      <c r="R10" s="23"/>
      <c r="S10" s="26">
        <f t="shared" si="1"/>
        <v>33455.100000000006</v>
      </c>
    </row>
    <row r="11" spans="2:21">
      <c r="B11" s="87" t="s">
        <v>443</v>
      </c>
      <c r="C11" s="23"/>
      <c r="D11" s="23"/>
      <c r="E11" s="23"/>
      <c r="F11" s="23"/>
      <c r="G11" s="23"/>
      <c r="H11" s="23">
        <v>11562.18</v>
      </c>
      <c r="I11" s="27">
        <f t="shared" si="0"/>
        <v>11562.18</v>
      </c>
      <c r="L11" s="87" t="s">
        <v>443</v>
      </c>
      <c r="M11" s="23"/>
      <c r="N11" s="23"/>
      <c r="O11" s="23"/>
      <c r="P11" s="23"/>
      <c r="Q11" s="23"/>
      <c r="R11" s="23">
        <v>11562.18</v>
      </c>
      <c r="S11" s="27">
        <f t="shared" si="1"/>
        <v>11562.18</v>
      </c>
    </row>
    <row r="12" spans="2:21">
      <c r="B12" s="87" t="s">
        <v>444</v>
      </c>
      <c r="C12" s="23"/>
      <c r="D12" s="23"/>
      <c r="E12" s="23"/>
      <c r="F12" s="23"/>
      <c r="G12" s="23">
        <v>1575.48</v>
      </c>
      <c r="H12" s="23">
        <v>12253.18</v>
      </c>
      <c r="I12" s="26">
        <f t="shared" si="0"/>
        <v>13828.66</v>
      </c>
      <c r="L12" s="87" t="s">
        <v>444</v>
      </c>
      <c r="M12" s="23"/>
      <c r="N12" s="23"/>
      <c r="O12" s="23"/>
      <c r="P12" s="23"/>
      <c r="Q12" s="23">
        <v>1575.48</v>
      </c>
      <c r="R12" s="23">
        <v>12253.18</v>
      </c>
      <c r="S12" s="26">
        <f t="shared" si="1"/>
        <v>13828.66</v>
      </c>
    </row>
    <row r="13" spans="2:21">
      <c r="B13" s="87" t="s">
        <v>445</v>
      </c>
      <c r="C13" s="23"/>
      <c r="D13" s="23"/>
      <c r="E13" s="23">
        <v>78000</v>
      </c>
      <c r="F13" s="24"/>
      <c r="G13" s="23"/>
      <c r="H13" s="23"/>
      <c r="I13" s="26">
        <f t="shared" si="0"/>
        <v>78000</v>
      </c>
      <c r="L13" s="87" t="s">
        <v>445</v>
      </c>
      <c r="M13" s="23"/>
      <c r="N13" s="23"/>
      <c r="O13" s="23">
        <v>78000</v>
      </c>
      <c r="P13" s="24"/>
      <c r="Q13" s="23"/>
      <c r="R13" s="23"/>
      <c r="S13" s="26">
        <f t="shared" si="1"/>
        <v>78000</v>
      </c>
      <c r="T13" t="s">
        <v>446</v>
      </c>
    </row>
    <row r="14" spans="2:21">
      <c r="B14" s="87" t="s">
        <v>447</v>
      </c>
      <c r="C14" s="23"/>
      <c r="D14" s="23"/>
      <c r="E14" s="23">
        <v>1275.06</v>
      </c>
      <c r="F14" s="23">
        <v>782.45</v>
      </c>
      <c r="G14" s="23"/>
      <c r="H14" s="23"/>
      <c r="I14" s="26">
        <f t="shared" si="0"/>
        <v>2057.5100000000002</v>
      </c>
      <c r="L14" s="87" t="s">
        <v>447</v>
      </c>
      <c r="M14" s="23"/>
      <c r="N14" s="23"/>
      <c r="O14" s="23">
        <v>1275.06</v>
      </c>
      <c r="P14" s="23">
        <v>782.45</v>
      </c>
      <c r="Q14" s="23"/>
      <c r="R14" s="23"/>
      <c r="S14" s="26">
        <f t="shared" si="1"/>
        <v>2057.5100000000002</v>
      </c>
    </row>
    <row r="15" spans="2:21">
      <c r="B15" s="87" t="s">
        <v>448</v>
      </c>
      <c r="C15" s="23"/>
      <c r="D15" s="23"/>
      <c r="E15" s="23">
        <v>4678</v>
      </c>
      <c r="F15" s="23"/>
      <c r="G15" s="23">
        <v>707</v>
      </c>
      <c r="H15" s="23"/>
      <c r="I15" s="26">
        <f t="shared" si="0"/>
        <v>5385</v>
      </c>
      <c r="L15" s="87"/>
      <c r="M15" s="23"/>
      <c r="N15" s="23"/>
      <c r="O15" s="23"/>
      <c r="P15" s="23"/>
      <c r="Q15" s="23"/>
      <c r="R15" s="23"/>
      <c r="S15" s="26"/>
    </row>
    <row r="16" spans="2:21">
      <c r="B16" s="87"/>
      <c r="C16" s="23"/>
      <c r="D16" s="23"/>
      <c r="E16" s="23"/>
      <c r="F16" s="23"/>
      <c r="G16" s="23"/>
      <c r="H16" s="23"/>
      <c r="I16" s="28">
        <f>SUM(I7:I15)</f>
        <v>566075.48</v>
      </c>
      <c r="L16" s="87"/>
      <c r="M16" s="23"/>
      <c r="N16" s="23"/>
      <c r="O16" s="23"/>
      <c r="P16" s="23"/>
      <c r="Q16" s="23"/>
      <c r="R16" s="23"/>
      <c r="S16" s="28">
        <f>SUM(S7:S15)</f>
        <v>545942.19999999995</v>
      </c>
    </row>
    <row r="17" spans="2:19">
      <c r="B17" s="88"/>
      <c r="C17" s="20"/>
      <c r="D17" s="21"/>
      <c r="E17" s="22"/>
      <c r="F17" s="22"/>
      <c r="G17" s="22"/>
      <c r="H17" s="22"/>
      <c r="I17" s="22"/>
      <c r="L17" s="20"/>
      <c r="M17" s="20"/>
      <c r="N17" s="21"/>
      <c r="O17" s="22"/>
      <c r="P17" s="22"/>
      <c r="Q17" s="22"/>
      <c r="R17" s="22"/>
      <c r="S17" s="22"/>
    </row>
    <row r="18" spans="2:19">
      <c r="B18" s="89"/>
    </row>
    <row r="19" spans="2:19" ht="21">
      <c r="B19" s="90" t="s">
        <v>435</v>
      </c>
      <c r="D19" s="14"/>
      <c r="E19" s="15"/>
      <c r="F19" s="15"/>
      <c r="G19" s="15"/>
      <c r="H19" s="15"/>
      <c r="I19" s="15"/>
    </row>
    <row r="20" spans="2:19">
      <c r="B20" s="89"/>
      <c r="D20" s="14"/>
      <c r="E20" s="15"/>
      <c r="F20" s="15"/>
      <c r="G20" s="15"/>
      <c r="H20" s="15"/>
      <c r="I20" s="15"/>
    </row>
    <row r="21" spans="2:19" ht="16">
      <c r="B21" s="91" t="s">
        <v>436</v>
      </c>
      <c r="C21" s="18">
        <v>44986</v>
      </c>
      <c r="D21" s="18">
        <v>45017</v>
      </c>
      <c r="E21" s="18">
        <v>45047</v>
      </c>
      <c r="F21" s="18">
        <v>45078</v>
      </c>
      <c r="G21" s="18">
        <v>45108</v>
      </c>
      <c r="H21" s="18">
        <v>45139</v>
      </c>
      <c r="I21" s="19" t="s">
        <v>437</v>
      </c>
    </row>
    <row r="22" spans="2:19">
      <c r="B22" s="87" t="s">
        <v>438</v>
      </c>
      <c r="C22" s="23"/>
      <c r="D22" s="23">
        <v>170193.26</v>
      </c>
      <c r="E22" s="23">
        <v>10605.33</v>
      </c>
      <c r="F22" s="23">
        <v>18811.53</v>
      </c>
      <c r="G22" s="24">
        <v>1518.39</v>
      </c>
      <c r="H22" s="24"/>
      <c r="I22" s="25">
        <f t="shared" ref="I22:I28" si="2">SUM(C22:H22)</f>
        <v>201128.51</v>
      </c>
    </row>
    <row r="23" spans="2:19">
      <c r="B23" s="87" t="s">
        <v>440</v>
      </c>
      <c r="C23" s="23">
        <v>45468.65</v>
      </c>
      <c r="D23" s="23">
        <v>63508.19</v>
      </c>
      <c r="E23" s="23">
        <v>41268.68</v>
      </c>
      <c r="F23" s="24">
        <v>20964.72</v>
      </c>
      <c r="G23" s="24"/>
      <c r="H23" s="24"/>
      <c r="I23" s="26">
        <f t="shared" si="2"/>
        <v>171210.23999999999</v>
      </c>
    </row>
    <row r="24" spans="2:19">
      <c r="B24" s="87" t="s">
        <v>441</v>
      </c>
      <c r="C24" s="23"/>
      <c r="D24" s="23"/>
      <c r="E24" s="23">
        <v>34700</v>
      </c>
      <c r="F24" s="23"/>
      <c r="G24" s="23"/>
      <c r="H24" s="23"/>
      <c r="I24" s="26">
        <f t="shared" si="2"/>
        <v>34700</v>
      </c>
    </row>
    <row r="25" spans="2:19">
      <c r="B25" s="87" t="s">
        <v>442</v>
      </c>
      <c r="C25" s="23">
        <v>15800.11</v>
      </c>
      <c r="D25" s="23">
        <v>17654.990000000002</v>
      </c>
      <c r="E25" s="23"/>
      <c r="F25" s="23"/>
      <c r="G25" s="23"/>
      <c r="H25" s="23"/>
      <c r="I25" s="26">
        <f t="shared" si="2"/>
        <v>33455.100000000006</v>
      </c>
    </row>
    <row r="26" spans="2:19">
      <c r="B26" s="87" t="s">
        <v>443</v>
      </c>
      <c r="C26" s="23"/>
      <c r="D26" s="23"/>
      <c r="E26" s="23"/>
      <c r="F26" s="23"/>
      <c r="G26" s="23"/>
      <c r="H26" s="23">
        <v>11562.18</v>
      </c>
      <c r="I26" s="27">
        <f t="shared" si="2"/>
        <v>11562.18</v>
      </c>
      <c r="K26" t="s">
        <v>449</v>
      </c>
    </row>
    <row r="27" spans="2:19">
      <c r="B27" s="87" t="s">
        <v>444</v>
      </c>
      <c r="C27" s="23"/>
      <c r="D27" s="23"/>
      <c r="E27" s="23"/>
      <c r="F27" s="23"/>
      <c r="G27" s="23">
        <v>1575.48</v>
      </c>
      <c r="H27" s="23">
        <v>12253.18</v>
      </c>
      <c r="I27" s="26">
        <f t="shared" si="2"/>
        <v>13828.66</v>
      </c>
    </row>
    <row r="28" spans="2:19">
      <c r="B28" s="87" t="s">
        <v>447</v>
      </c>
      <c r="C28" s="23"/>
      <c r="D28" s="23"/>
      <c r="E28" s="23">
        <v>1275.06</v>
      </c>
      <c r="F28" s="23">
        <v>782.45</v>
      </c>
      <c r="G28" s="23"/>
      <c r="H28" s="23"/>
      <c r="I28" s="26">
        <f t="shared" si="2"/>
        <v>2057.5100000000002</v>
      </c>
    </row>
    <row r="29" spans="2:19">
      <c r="B29" s="87"/>
      <c r="C29" s="23"/>
      <c r="D29" s="23"/>
      <c r="E29" s="23"/>
      <c r="F29" s="23"/>
      <c r="G29" s="23"/>
      <c r="H29" s="23"/>
      <c r="I29" s="26"/>
    </row>
    <row r="30" spans="2:19">
      <c r="B30" s="87"/>
      <c r="C30" s="23"/>
      <c r="D30" s="23"/>
      <c r="E30" s="23"/>
      <c r="F30" s="23"/>
      <c r="G30" s="23"/>
      <c r="H30" s="23"/>
      <c r="I30" s="28">
        <f>SUM(I22:I29)</f>
        <v>467942.19999999995</v>
      </c>
    </row>
    <row r="31" spans="2:19">
      <c r="B31" s="20"/>
      <c r="C31" s="20"/>
      <c r="D31" s="21"/>
      <c r="E31" s="22"/>
      <c r="F31" s="22"/>
      <c r="G31" s="22"/>
      <c r="H31" s="22"/>
      <c r="I31" s="2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743E-D780-459D-BD1D-8DDF7572BE1A}">
  <dimension ref="A3:J29"/>
  <sheetViews>
    <sheetView topLeftCell="A2" workbookViewId="0">
      <selection activeCell="D13" sqref="D13:E13"/>
    </sheetView>
  </sheetViews>
  <sheetFormatPr baseColWidth="10" defaultColWidth="8.83203125" defaultRowHeight="15"/>
  <cols>
    <col min="1" max="1" width="36.83203125" customWidth="1"/>
    <col min="2" max="2" width="2.5" customWidth="1"/>
    <col min="3" max="4" width="10.1640625" bestFit="1" customWidth="1"/>
    <col min="5" max="5" width="11.1640625" customWidth="1"/>
    <col min="6" max="6" width="11.5" customWidth="1"/>
    <col min="7" max="7" width="10.1640625" customWidth="1"/>
    <col min="8" max="8" width="10.83203125" customWidth="1"/>
    <col min="9" max="9" width="11.1640625" bestFit="1" customWidth="1"/>
  </cols>
  <sheetData>
    <row r="3" spans="1:10">
      <c r="A3" t="s">
        <v>513</v>
      </c>
      <c r="C3" t="s">
        <v>318</v>
      </c>
      <c r="D3" t="s">
        <v>319</v>
      </c>
      <c r="E3" t="s">
        <v>321</v>
      </c>
      <c r="F3" t="s">
        <v>322</v>
      </c>
      <c r="G3" t="s">
        <v>514</v>
      </c>
      <c r="H3" t="s">
        <v>412</v>
      </c>
    </row>
    <row r="4" spans="1:10">
      <c r="B4" s="52"/>
      <c r="C4" s="52"/>
      <c r="D4" s="52"/>
      <c r="E4" s="52"/>
      <c r="F4" s="52"/>
      <c r="G4" s="52"/>
      <c r="H4" s="52"/>
      <c r="I4" s="52"/>
      <c r="J4" s="52"/>
    </row>
    <row r="5" spans="1:10">
      <c r="A5" t="s">
        <v>497</v>
      </c>
      <c r="B5" s="52"/>
      <c r="C5" s="52">
        <v>6000</v>
      </c>
      <c r="D5" s="52">
        <v>17000</v>
      </c>
      <c r="E5" s="52"/>
      <c r="F5" s="52"/>
      <c r="G5" s="52"/>
      <c r="H5" s="52"/>
      <c r="I5" s="52"/>
      <c r="J5" s="52"/>
    </row>
    <row r="6" spans="1:10">
      <c r="A6" t="s">
        <v>459</v>
      </c>
      <c r="B6" s="52"/>
      <c r="C6" s="52">
        <v>3000</v>
      </c>
      <c r="D6" s="52">
        <v>3000</v>
      </c>
      <c r="E6" s="52"/>
      <c r="F6" s="52"/>
      <c r="G6" s="52"/>
      <c r="H6" s="52"/>
      <c r="I6" s="52"/>
      <c r="J6" s="52"/>
    </row>
    <row r="7" spans="1:10">
      <c r="A7" t="s">
        <v>515</v>
      </c>
      <c r="B7" s="52"/>
      <c r="C7" s="52">
        <v>4500</v>
      </c>
      <c r="D7" s="52">
        <v>2000</v>
      </c>
      <c r="E7" s="52"/>
      <c r="F7" s="52"/>
      <c r="G7" s="52"/>
      <c r="H7" s="52"/>
      <c r="I7" s="52"/>
      <c r="J7" s="52"/>
    </row>
    <row r="8" spans="1:10">
      <c r="A8" t="s">
        <v>516</v>
      </c>
      <c r="B8" s="52"/>
      <c r="C8" s="52"/>
      <c r="D8" s="52">
        <v>52800</v>
      </c>
      <c r="E8" s="52">
        <v>52800</v>
      </c>
      <c r="F8" s="52">
        <v>52800</v>
      </c>
      <c r="G8" s="52">
        <v>52800</v>
      </c>
      <c r="H8" s="52">
        <v>52800</v>
      </c>
      <c r="I8" s="52"/>
      <c r="J8" s="52"/>
    </row>
    <row r="9" spans="1:10">
      <c r="A9" t="s">
        <v>517</v>
      </c>
      <c r="B9" s="52"/>
      <c r="C9" s="52">
        <f>6*244</f>
        <v>1464</v>
      </c>
      <c r="D9" s="52">
        <f>11*244</f>
        <v>2684</v>
      </c>
      <c r="E9" s="52"/>
      <c r="F9" s="52"/>
      <c r="G9" s="52"/>
      <c r="H9" s="52"/>
      <c r="I9" s="52"/>
      <c r="J9" s="52"/>
    </row>
    <row r="10" spans="1:10">
      <c r="A10" t="s">
        <v>104</v>
      </c>
      <c r="B10" s="52"/>
      <c r="C10" s="52"/>
      <c r="D10" s="52">
        <f>6*484</f>
        <v>2904</v>
      </c>
      <c r="E10" s="52">
        <f>484*11</f>
        <v>5324</v>
      </c>
      <c r="F10" s="52"/>
      <c r="G10" s="52"/>
      <c r="H10" s="52"/>
      <c r="I10" s="52"/>
      <c r="J10" s="52"/>
    </row>
    <row r="11" spans="1:10">
      <c r="A11" t="s">
        <v>518</v>
      </c>
      <c r="B11" s="52"/>
      <c r="C11" s="52"/>
      <c r="D11" s="52"/>
      <c r="E11" s="52">
        <v>30000</v>
      </c>
      <c r="F11" s="52">
        <v>30000</v>
      </c>
      <c r="G11" s="52">
        <v>30000</v>
      </c>
      <c r="H11" s="52">
        <v>30000</v>
      </c>
      <c r="I11" s="52"/>
      <c r="J11" s="52"/>
    </row>
    <row r="12" spans="1:10">
      <c r="B12" s="52"/>
      <c r="C12" s="52"/>
      <c r="D12" s="52"/>
      <c r="E12" s="52"/>
      <c r="F12" s="52"/>
      <c r="G12" s="52"/>
      <c r="H12" s="52"/>
      <c r="I12" s="52"/>
      <c r="J12" s="52"/>
    </row>
    <row r="13" spans="1:10">
      <c r="B13" s="52"/>
      <c r="C13" s="52">
        <f t="shared" ref="C13:H13" si="0">SUM(C4:C12)</f>
        <v>14964</v>
      </c>
      <c r="D13" s="52">
        <f t="shared" si="0"/>
        <v>80388</v>
      </c>
      <c r="E13" s="52">
        <f t="shared" si="0"/>
        <v>88124</v>
      </c>
      <c r="F13" s="52">
        <f t="shared" si="0"/>
        <v>82800</v>
      </c>
      <c r="G13" s="52">
        <f t="shared" si="0"/>
        <v>82800</v>
      </c>
      <c r="H13" s="52">
        <f t="shared" si="0"/>
        <v>82800</v>
      </c>
      <c r="I13" s="52">
        <f>SUM(C13:H13)</f>
        <v>431876</v>
      </c>
      <c r="J13" s="52"/>
    </row>
    <row r="14" spans="1:10">
      <c r="B14" s="52"/>
      <c r="C14" s="52"/>
      <c r="D14" s="52"/>
      <c r="E14" s="52"/>
      <c r="F14" s="52"/>
      <c r="G14" s="52"/>
      <c r="H14" s="52"/>
      <c r="I14" s="52"/>
      <c r="J14" s="52"/>
    </row>
    <row r="15" spans="1:10">
      <c r="B15" s="52"/>
      <c r="C15" s="52"/>
      <c r="D15" s="52"/>
      <c r="E15" s="52"/>
      <c r="F15" s="52"/>
      <c r="G15" s="52"/>
      <c r="H15" s="52"/>
      <c r="I15" s="52"/>
      <c r="J15" s="52"/>
    </row>
    <row r="16" spans="1:10">
      <c r="B16" s="52"/>
      <c r="C16" s="52"/>
      <c r="D16" s="52"/>
      <c r="E16" s="52"/>
      <c r="F16" s="52"/>
      <c r="G16" s="52"/>
      <c r="H16" s="52"/>
      <c r="I16" s="52"/>
      <c r="J16" s="52"/>
    </row>
    <row r="17" spans="2:10">
      <c r="B17" s="52"/>
      <c r="C17" s="52"/>
      <c r="D17" s="52"/>
      <c r="E17" s="52"/>
      <c r="F17" s="52"/>
      <c r="G17" s="52"/>
      <c r="H17" s="52"/>
      <c r="I17" s="52"/>
      <c r="J17" s="52"/>
    </row>
    <row r="18" spans="2:10">
      <c r="B18" s="52"/>
      <c r="C18" s="52"/>
      <c r="D18" s="52"/>
      <c r="E18" s="52"/>
      <c r="F18" s="52"/>
      <c r="G18" s="52"/>
      <c r="H18" s="52"/>
      <c r="I18" s="52"/>
      <c r="J18" s="52"/>
    </row>
    <row r="19" spans="2:10">
      <c r="B19" s="52"/>
      <c r="C19" s="52"/>
      <c r="D19" s="52"/>
      <c r="E19" s="52"/>
      <c r="F19" s="52"/>
      <c r="G19" s="52"/>
      <c r="H19" s="52"/>
      <c r="I19" s="52"/>
      <c r="J19" s="52"/>
    </row>
    <row r="20" spans="2:10">
      <c r="B20" s="52"/>
      <c r="C20" s="52"/>
      <c r="D20" s="52"/>
      <c r="E20" s="52"/>
      <c r="F20" s="52"/>
      <c r="G20" s="52"/>
      <c r="H20" s="52"/>
      <c r="I20" s="52"/>
      <c r="J20" s="52"/>
    </row>
    <row r="21" spans="2:10">
      <c r="B21" s="52"/>
      <c r="C21" s="52"/>
      <c r="D21" s="52"/>
      <c r="E21" s="52"/>
      <c r="F21" s="52"/>
      <c r="G21" s="52"/>
      <c r="H21" s="52"/>
      <c r="I21" s="52"/>
      <c r="J21" s="52"/>
    </row>
    <row r="22" spans="2:10">
      <c r="B22" s="52"/>
      <c r="C22" s="52"/>
      <c r="D22" s="52"/>
      <c r="E22" s="52"/>
      <c r="F22" s="52"/>
      <c r="G22" s="52"/>
      <c r="H22" s="52"/>
      <c r="I22" s="52"/>
      <c r="J22" s="52"/>
    </row>
    <row r="23" spans="2:10">
      <c r="B23" s="52"/>
      <c r="C23" s="52"/>
      <c r="D23" s="52"/>
      <c r="E23" s="52"/>
      <c r="F23" s="52"/>
      <c r="G23" s="52"/>
      <c r="H23" s="52"/>
      <c r="I23" s="52"/>
      <c r="J23" s="52"/>
    </row>
    <row r="24" spans="2:10">
      <c r="B24" s="52"/>
      <c r="C24" s="52"/>
      <c r="D24" s="52"/>
      <c r="E24" s="52"/>
      <c r="F24" s="52"/>
      <c r="G24" s="52"/>
      <c r="H24" s="52"/>
      <c r="I24" s="52"/>
      <c r="J24" s="52"/>
    </row>
    <row r="25" spans="2:10">
      <c r="B25" s="52"/>
      <c r="C25" s="52"/>
      <c r="D25" s="52"/>
      <c r="E25" s="52"/>
      <c r="F25" s="52"/>
      <c r="G25" s="52"/>
      <c r="H25" s="52"/>
      <c r="I25" s="52"/>
      <c r="J25" s="52"/>
    </row>
    <row r="26" spans="2:10">
      <c r="B26" s="52"/>
      <c r="C26" s="52"/>
      <c r="D26" s="52"/>
      <c r="E26" s="52"/>
      <c r="F26" s="52"/>
      <c r="G26" s="52"/>
      <c r="H26" s="52"/>
      <c r="I26" s="52"/>
      <c r="J26" s="52"/>
    </row>
    <row r="27" spans="2:10">
      <c r="B27" s="52"/>
      <c r="C27" s="52"/>
      <c r="D27" s="52"/>
      <c r="E27" s="52"/>
      <c r="F27" s="52"/>
      <c r="G27" s="52"/>
      <c r="H27" s="52"/>
      <c r="I27" s="52"/>
      <c r="J27" s="52"/>
    </row>
    <row r="28" spans="2:10">
      <c r="B28" s="52"/>
      <c r="C28" s="52"/>
      <c r="D28" s="52"/>
      <c r="E28" s="52"/>
      <c r="F28" s="52"/>
      <c r="G28" s="52"/>
      <c r="H28" s="52"/>
      <c r="I28" s="52"/>
      <c r="J28" s="52"/>
    </row>
    <row r="29" spans="2:10">
      <c r="B29" s="52"/>
      <c r="C29" s="52"/>
      <c r="D29" s="52"/>
      <c r="E29" s="52"/>
      <c r="F29" s="52"/>
      <c r="G29" s="52"/>
      <c r="H29" s="52"/>
      <c r="I29" s="52"/>
      <c r="J29" s="5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D7A75-C5C8-3247-B911-D8D3B7CDAFFC}">
  <dimension ref="A3:O29"/>
  <sheetViews>
    <sheetView zoomScaleNormal="100" workbookViewId="0">
      <selection activeCell="B28" sqref="B28"/>
    </sheetView>
  </sheetViews>
  <sheetFormatPr baseColWidth="10" defaultColWidth="8.83203125" defaultRowHeight="15"/>
  <cols>
    <col min="2" max="2" width="31.83203125" customWidth="1"/>
    <col min="3" max="3" width="14.1640625" bestFit="1" customWidth="1"/>
    <col min="4" max="4" width="14.1640625" customWidth="1"/>
    <col min="5" max="6" width="14.5" bestFit="1" customWidth="1"/>
    <col min="7" max="7" width="12.83203125" bestFit="1" customWidth="1"/>
    <col min="8" max="8" width="15" customWidth="1"/>
    <col min="9" max="9" width="15.1640625" bestFit="1" customWidth="1"/>
    <col min="10" max="10" width="11.83203125" bestFit="1" customWidth="1"/>
    <col min="11" max="11" width="15.5" customWidth="1"/>
    <col min="12" max="12" width="12" customWidth="1"/>
    <col min="13" max="13" width="10" customWidth="1"/>
    <col min="14" max="15" width="11.83203125" customWidth="1"/>
    <col min="16" max="16" width="13.83203125" customWidth="1"/>
    <col min="17" max="18" width="10" bestFit="1" customWidth="1"/>
  </cols>
  <sheetData>
    <row r="3" spans="1:15">
      <c r="A3" s="40"/>
      <c r="B3" s="40"/>
      <c r="C3" s="40"/>
      <c r="D3" s="40"/>
      <c r="E3" s="40"/>
      <c r="F3" s="40"/>
      <c r="G3" s="40"/>
      <c r="H3" s="40"/>
      <c r="I3" s="40"/>
      <c r="J3" s="40"/>
      <c r="K3" s="40"/>
      <c r="L3" s="40"/>
      <c r="M3" s="40"/>
      <c r="N3" s="40"/>
      <c r="O3" s="40"/>
    </row>
    <row r="5" spans="1:15">
      <c r="B5" s="41" t="s">
        <v>519</v>
      </c>
    </row>
    <row r="6" spans="1:15" ht="32">
      <c r="B6" s="42" t="s">
        <v>520</v>
      </c>
      <c r="C6" s="43" t="s">
        <v>521</v>
      </c>
      <c r="D6" s="43" t="s">
        <v>522</v>
      </c>
      <c r="E6" s="43" t="s">
        <v>523</v>
      </c>
      <c r="F6" s="43" t="s">
        <v>524</v>
      </c>
      <c r="G6" s="43"/>
    </row>
    <row r="7" spans="1:15">
      <c r="B7" s="41" t="s">
        <v>525</v>
      </c>
      <c r="C7" s="44">
        <v>890000</v>
      </c>
      <c r="D7" s="45">
        <f>C7*0.25</f>
        <v>222500</v>
      </c>
      <c r="E7" s="44">
        <f>(C7-D7)*0.65</f>
        <v>433875</v>
      </c>
      <c r="F7" s="45">
        <f>(C7-D7)*0.35</f>
        <v>233624.99999999997</v>
      </c>
    </row>
    <row r="8" spans="1:15">
      <c r="B8" s="41" t="s">
        <v>314</v>
      </c>
      <c r="C8" s="44">
        <v>290000</v>
      </c>
      <c r="D8" s="45">
        <f>C8*0.25</f>
        <v>72500</v>
      </c>
      <c r="E8" s="44">
        <f>(C8-D8)*0.65</f>
        <v>141375</v>
      </c>
      <c r="F8" s="45">
        <f>(C8-D8)*0.35</f>
        <v>76125</v>
      </c>
    </row>
    <row r="9" spans="1:15">
      <c r="B9" s="41" t="s">
        <v>315</v>
      </c>
      <c r="C9" s="44">
        <v>150000</v>
      </c>
      <c r="D9" s="45">
        <f>C9*0.25</f>
        <v>37500</v>
      </c>
      <c r="E9" s="44">
        <f>(C9-D9)*0.65</f>
        <v>73125</v>
      </c>
      <c r="F9" s="45">
        <f>(C9-D9)*0.35</f>
        <v>39375</v>
      </c>
      <c r="L9" s="46" t="s">
        <v>0</v>
      </c>
    </row>
    <row r="10" spans="1:15">
      <c r="B10" s="41" t="s">
        <v>132</v>
      </c>
      <c r="C10" s="44">
        <v>65000</v>
      </c>
      <c r="D10" s="45">
        <f>C10*0.25</f>
        <v>16250</v>
      </c>
      <c r="E10" s="44">
        <f>(C10-D10)*0.65</f>
        <v>31687.5</v>
      </c>
      <c r="F10" s="45">
        <f>(C10-D10)*0.35</f>
        <v>17062.5</v>
      </c>
      <c r="L10" s="46" t="s">
        <v>0</v>
      </c>
    </row>
    <row r="11" spans="1:15">
      <c r="B11" s="41" t="s">
        <v>367</v>
      </c>
      <c r="C11" s="44">
        <v>26500</v>
      </c>
      <c r="D11" s="45">
        <f>C11*0.25</f>
        <v>6625</v>
      </c>
      <c r="E11" s="44">
        <f>(C11-D11)*0.65</f>
        <v>12918.75</v>
      </c>
      <c r="F11" s="45">
        <f>(C11-D11)*0.35</f>
        <v>6956.25</v>
      </c>
    </row>
    <row r="14" spans="1:15">
      <c r="B14" s="41"/>
      <c r="C14" s="49"/>
      <c r="D14" s="49"/>
      <c r="E14" s="49"/>
      <c r="F14" s="50"/>
      <c r="N14" t="s">
        <v>0</v>
      </c>
    </row>
    <row r="15" spans="1:15">
      <c r="B15" s="41"/>
      <c r="C15" s="51"/>
      <c r="D15" s="51"/>
      <c r="E15" s="51"/>
      <c r="F15" s="47"/>
      <c r="N15" t="s">
        <v>0</v>
      </c>
    </row>
    <row r="16" spans="1:15">
      <c r="B16" s="41"/>
      <c r="C16" s="51"/>
      <c r="D16" s="51"/>
      <c r="E16" s="51"/>
      <c r="F16" s="47"/>
    </row>
    <row r="17" spans="2:11" ht="32">
      <c r="B17" s="42" t="s">
        <v>526</v>
      </c>
      <c r="C17" s="43" t="s">
        <v>521</v>
      </c>
      <c r="D17" s="43" t="s">
        <v>523</v>
      </c>
      <c r="E17" s="43" t="s">
        <v>522</v>
      </c>
      <c r="F17" s="43"/>
    </row>
    <row r="18" spans="2:11">
      <c r="B18" s="41" t="s">
        <v>129</v>
      </c>
      <c r="C18" s="44">
        <v>17500</v>
      </c>
      <c r="D18" s="45">
        <v>10000</v>
      </c>
      <c r="E18" s="44">
        <f t="shared" ref="E18:E23" si="0">C18-D18</f>
        <v>7500</v>
      </c>
      <c r="F18" s="45"/>
    </row>
    <row r="19" spans="2:11">
      <c r="B19" s="41" t="s">
        <v>527</v>
      </c>
      <c r="C19" s="44">
        <v>39500</v>
      </c>
      <c r="D19" s="45">
        <v>24000</v>
      </c>
      <c r="E19" s="44">
        <f t="shared" si="0"/>
        <v>15500</v>
      </c>
      <c r="F19" s="45"/>
    </row>
    <row r="20" spans="2:11">
      <c r="B20" s="41" t="s">
        <v>528</v>
      </c>
      <c r="C20" s="44">
        <v>4250</v>
      </c>
      <c r="D20" s="45">
        <v>2020</v>
      </c>
      <c r="E20" s="44">
        <f t="shared" si="0"/>
        <v>2230</v>
      </c>
      <c r="F20" s="45"/>
    </row>
    <row r="21" spans="2:11">
      <c r="B21" s="41" t="s">
        <v>529</v>
      </c>
      <c r="C21" s="44">
        <v>4250</v>
      </c>
      <c r="D21" s="45">
        <v>2020</v>
      </c>
      <c r="E21" s="44">
        <f t="shared" si="0"/>
        <v>2230</v>
      </c>
      <c r="F21" s="45"/>
    </row>
    <row r="22" spans="2:11">
      <c r="B22" s="41" t="s">
        <v>530</v>
      </c>
      <c r="C22" s="44">
        <v>4250</v>
      </c>
      <c r="D22" s="44">
        <v>2020</v>
      </c>
      <c r="E22" s="44">
        <f t="shared" si="0"/>
        <v>2230</v>
      </c>
      <c r="F22" s="45"/>
    </row>
    <row r="23" spans="2:11">
      <c r="B23" s="41" t="s">
        <v>531</v>
      </c>
      <c r="C23" s="44">
        <v>35000</v>
      </c>
      <c r="D23" s="44">
        <v>20000</v>
      </c>
      <c r="E23" s="44">
        <f t="shared" si="0"/>
        <v>15000</v>
      </c>
    </row>
    <row r="24" spans="2:11">
      <c r="B24" s="41" t="s">
        <v>532</v>
      </c>
      <c r="C24" s="44">
        <v>850000</v>
      </c>
      <c r="D24" s="45">
        <f>C24*0.25</f>
        <v>212500</v>
      </c>
      <c r="E24" s="44">
        <f>(C24-D24)*0.65</f>
        <v>414375</v>
      </c>
      <c r="F24" s="45">
        <f>(C24-D24)*0.35</f>
        <v>223125</v>
      </c>
      <c r="G24" s="47"/>
      <c r="K24" s="48"/>
    </row>
    <row r="25" spans="2:11">
      <c r="B25" s="41" t="s">
        <v>386</v>
      </c>
      <c r="C25" s="44">
        <v>2200000</v>
      </c>
      <c r="D25" s="45">
        <f>C25*0.25</f>
        <v>550000</v>
      </c>
      <c r="E25" s="44">
        <f>(C25-D25)*0.65</f>
        <v>1072500</v>
      </c>
      <c r="F25" s="45">
        <f>(C25-D25)*0.35</f>
        <v>577500</v>
      </c>
    </row>
    <row r="28" spans="2:11">
      <c r="B28">
        <f>75000/2000000</f>
        <v>3.7499999999999999E-2</v>
      </c>
    </row>
    <row r="29" spans="2:11">
      <c r="B29">
        <f>50000*B28</f>
        <v>1875</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11BD9-562B-B24E-9BF5-F4036B546367}">
  <sheetPr>
    <pageSetUpPr fitToPage="1"/>
  </sheetPr>
  <dimension ref="B1:R38"/>
  <sheetViews>
    <sheetView topLeftCell="A4" zoomScale="110" zoomScaleNormal="110" workbookViewId="0">
      <selection activeCell="C39" sqref="C39"/>
    </sheetView>
  </sheetViews>
  <sheetFormatPr baseColWidth="10" defaultColWidth="11.5" defaultRowHeight="15"/>
  <cols>
    <col min="2" max="2" width="25.1640625" customWidth="1"/>
    <col min="3" max="3" width="13.5" customWidth="1"/>
  </cols>
  <sheetData>
    <row r="1" spans="2:18" ht="19">
      <c r="B1" s="31" t="s">
        <v>533</v>
      </c>
    </row>
    <row r="2" spans="2:18">
      <c r="B2" t="s">
        <v>534</v>
      </c>
      <c r="C2" s="32">
        <v>5500000</v>
      </c>
    </row>
    <row r="3" spans="2:18">
      <c r="B3" t="s">
        <v>535</v>
      </c>
      <c r="C3" s="29">
        <v>0.25</v>
      </c>
    </row>
    <row r="4" spans="2:18">
      <c r="B4" t="s">
        <v>536</v>
      </c>
      <c r="C4" s="29">
        <v>0.35</v>
      </c>
    </row>
    <row r="5" spans="2:18">
      <c r="B5" t="s">
        <v>537</v>
      </c>
      <c r="C5" s="29">
        <v>0.65</v>
      </c>
    </row>
    <row r="6" spans="2:18">
      <c r="B6" t="s">
        <v>538</v>
      </c>
      <c r="C6" s="46">
        <f>P26</f>
        <v>519632</v>
      </c>
    </row>
    <row r="7" spans="2:18">
      <c r="B7" t="s">
        <v>539</v>
      </c>
      <c r="C7" s="46">
        <f>C6/12</f>
        <v>43302.666666666664</v>
      </c>
    </row>
    <row r="8" spans="2:18">
      <c r="C8" s="29"/>
    </row>
    <row r="9" spans="2:18">
      <c r="B9" s="20"/>
      <c r="C9" s="33"/>
      <c r="D9" s="34">
        <v>45139</v>
      </c>
      <c r="E9" s="34">
        <v>45170</v>
      </c>
      <c r="F9" s="34">
        <v>45200</v>
      </c>
      <c r="G9" s="34">
        <v>45231</v>
      </c>
      <c r="H9" s="34">
        <v>45261</v>
      </c>
      <c r="I9" s="34">
        <v>45292</v>
      </c>
      <c r="J9" s="34">
        <v>45323</v>
      </c>
      <c r="K9" s="34">
        <v>45352</v>
      </c>
      <c r="L9" s="34">
        <v>45383</v>
      </c>
      <c r="M9" s="34">
        <v>45413</v>
      </c>
      <c r="N9" s="34">
        <v>45444</v>
      </c>
      <c r="O9" s="34">
        <v>45474</v>
      </c>
    </row>
    <row r="10" spans="2:18" ht="16">
      <c r="B10" s="35" t="s">
        <v>540</v>
      </c>
    </row>
    <row r="11" spans="2:18">
      <c r="B11" t="s">
        <v>541</v>
      </c>
      <c r="D11" s="36">
        <v>22000</v>
      </c>
      <c r="E11" s="36">
        <v>22000</v>
      </c>
      <c r="F11" s="36">
        <v>22000</v>
      </c>
      <c r="G11" s="36">
        <v>22000</v>
      </c>
      <c r="H11" s="36">
        <v>22000</v>
      </c>
      <c r="I11" s="36">
        <v>22000</v>
      </c>
      <c r="J11" s="36">
        <v>22000</v>
      </c>
      <c r="K11" s="36">
        <v>22000</v>
      </c>
      <c r="L11" s="36">
        <v>22000</v>
      </c>
      <c r="M11" s="36">
        <v>22000</v>
      </c>
      <c r="N11" s="36">
        <v>22000</v>
      </c>
      <c r="O11" s="36">
        <v>22000</v>
      </c>
      <c r="Q11" t="s">
        <v>542</v>
      </c>
      <c r="R11">
        <f>60/12</f>
        <v>5</v>
      </c>
    </row>
    <row r="12" spans="2:18">
      <c r="B12" t="s">
        <v>543</v>
      </c>
      <c r="D12" s="36">
        <v>1900</v>
      </c>
      <c r="E12" s="36">
        <v>1900</v>
      </c>
      <c r="F12" s="36">
        <v>1900</v>
      </c>
      <c r="G12" s="36">
        <v>1900</v>
      </c>
      <c r="H12" s="36">
        <v>1900</v>
      </c>
      <c r="I12" s="36">
        <v>1900</v>
      </c>
      <c r="J12" s="36">
        <v>1900</v>
      </c>
      <c r="K12" s="36">
        <v>1900</v>
      </c>
      <c r="L12" s="36">
        <v>1900</v>
      </c>
      <c r="M12" s="36">
        <v>1900</v>
      </c>
      <c r="N12" s="36">
        <v>1900</v>
      </c>
      <c r="O12" s="36">
        <v>1900</v>
      </c>
      <c r="Q12" t="s">
        <v>544</v>
      </c>
      <c r="R12" s="37">
        <f>40/12</f>
        <v>3.3333333333333335</v>
      </c>
    </row>
    <row r="13" spans="2:18">
      <c r="B13" t="s">
        <v>545</v>
      </c>
      <c r="D13" s="36">
        <v>1500</v>
      </c>
      <c r="E13" s="36">
        <v>1500</v>
      </c>
      <c r="F13" s="36">
        <v>1500</v>
      </c>
      <c r="G13" s="36">
        <v>1500</v>
      </c>
      <c r="H13" s="36">
        <v>1500</v>
      </c>
      <c r="I13" s="36">
        <v>1500</v>
      </c>
      <c r="J13" s="36">
        <v>1500</v>
      </c>
      <c r="K13" s="36">
        <v>0</v>
      </c>
      <c r="L13" s="36">
        <v>0</v>
      </c>
      <c r="M13" s="36">
        <v>0</v>
      </c>
      <c r="N13" s="36">
        <v>0</v>
      </c>
      <c r="O13" s="36">
        <v>0</v>
      </c>
      <c r="Q13" t="s">
        <v>546</v>
      </c>
      <c r="R13" s="37">
        <f>80/12</f>
        <v>6.666666666666667</v>
      </c>
    </row>
    <row r="14" spans="2:18">
      <c r="B14" t="s">
        <v>547</v>
      </c>
      <c r="D14" s="36">
        <v>1800</v>
      </c>
      <c r="E14" s="36">
        <v>1800</v>
      </c>
      <c r="F14" s="36">
        <v>1800</v>
      </c>
      <c r="G14" s="36">
        <v>1800</v>
      </c>
      <c r="H14" s="36">
        <v>1800</v>
      </c>
      <c r="I14" s="36">
        <v>1800</v>
      </c>
      <c r="J14" s="36">
        <v>1800</v>
      </c>
      <c r="K14" s="36">
        <v>1800</v>
      </c>
      <c r="L14" s="36">
        <v>1800</v>
      </c>
      <c r="M14" s="36">
        <v>1800</v>
      </c>
      <c r="N14" s="36">
        <v>1800</v>
      </c>
      <c r="O14" s="36">
        <v>1800</v>
      </c>
      <c r="Q14" t="s">
        <v>548</v>
      </c>
      <c r="R14" s="37">
        <f>80/12</f>
        <v>6.666666666666667</v>
      </c>
    </row>
    <row r="15" spans="2:18">
      <c r="B15" t="s">
        <v>169</v>
      </c>
      <c r="D15" s="36">
        <v>290</v>
      </c>
      <c r="E15" s="36">
        <v>290</v>
      </c>
      <c r="F15" s="36">
        <v>290</v>
      </c>
      <c r="G15" s="36">
        <v>290</v>
      </c>
      <c r="H15" s="36">
        <v>290</v>
      </c>
      <c r="I15" s="36">
        <v>290</v>
      </c>
      <c r="J15" s="36">
        <v>290</v>
      </c>
      <c r="K15" s="36">
        <v>290</v>
      </c>
      <c r="L15" s="36">
        <v>290</v>
      </c>
      <c r="M15" s="36">
        <v>290</v>
      </c>
      <c r="N15" s="36">
        <v>290</v>
      </c>
      <c r="O15" s="36">
        <v>290</v>
      </c>
      <c r="R15">
        <f>SUM(R11:R14)</f>
        <v>21.666666666666668</v>
      </c>
    </row>
    <row r="16" spans="2:18">
      <c r="B16" t="s">
        <v>170</v>
      </c>
      <c r="D16" s="36">
        <v>500</v>
      </c>
      <c r="E16" s="36">
        <v>500</v>
      </c>
      <c r="F16" s="36">
        <v>500</v>
      </c>
      <c r="G16" s="36">
        <v>500</v>
      </c>
      <c r="H16" s="36">
        <v>500</v>
      </c>
      <c r="I16" s="36">
        <v>500</v>
      </c>
      <c r="J16" s="36">
        <v>500</v>
      </c>
      <c r="K16" s="36">
        <v>500</v>
      </c>
      <c r="L16" s="36">
        <v>500</v>
      </c>
      <c r="M16" s="36">
        <v>500</v>
      </c>
      <c r="N16" s="36">
        <v>500</v>
      </c>
      <c r="O16" s="36">
        <v>500</v>
      </c>
    </row>
    <row r="17" spans="2:18">
      <c r="B17" t="s">
        <v>549</v>
      </c>
      <c r="D17" s="36">
        <v>2500</v>
      </c>
      <c r="E17" s="36">
        <v>2500</v>
      </c>
      <c r="F17" s="36">
        <v>2500</v>
      </c>
      <c r="G17" s="36">
        <v>2500</v>
      </c>
      <c r="H17" s="36">
        <v>2500</v>
      </c>
      <c r="I17" s="36">
        <v>2500</v>
      </c>
      <c r="J17" s="36">
        <v>2500</v>
      </c>
      <c r="K17" s="36">
        <v>2500</v>
      </c>
      <c r="L17" s="36">
        <v>2500</v>
      </c>
      <c r="M17" s="36">
        <v>2500</v>
      </c>
      <c r="N17" s="36">
        <v>2500</v>
      </c>
      <c r="O17" s="36">
        <v>2500</v>
      </c>
    </row>
    <row r="18" spans="2:18">
      <c r="B18" t="s">
        <v>550</v>
      </c>
      <c r="D18" s="36">
        <v>2500</v>
      </c>
      <c r="E18" s="36">
        <v>2500</v>
      </c>
      <c r="F18" s="36">
        <v>2500</v>
      </c>
      <c r="G18" s="36">
        <v>2500</v>
      </c>
      <c r="H18" s="36">
        <v>2500</v>
      </c>
      <c r="I18" s="36">
        <v>2500</v>
      </c>
      <c r="J18" s="36">
        <v>2500</v>
      </c>
      <c r="K18" s="36">
        <v>2500</v>
      </c>
      <c r="L18" s="36">
        <v>2500</v>
      </c>
      <c r="M18" s="36">
        <v>2500</v>
      </c>
      <c r="N18" s="36">
        <v>2500</v>
      </c>
      <c r="O18" s="36">
        <v>2500</v>
      </c>
    </row>
    <row r="19" spans="2:18">
      <c r="B19" t="s">
        <v>551</v>
      </c>
      <c r="C19" t="s">
        <v>552</v>
      </c>
      <c r="D19" s="36">
        <v>1000</v>
      </c>
      <c r="E19" s="36">
        <v>1000</v>
      </c>
      <c r="F19" s="36">
        <v>1000</v>
      </c>
      <c r="G19" s="36">
        <v>1000</v>
      </c>
      <c r="H19" s="36">
        <v>1000</v>
      </c>
      <c r="I19" s="36">
        <v>1000</v>
      </c>
      <c r="J19" s="36">
        <v>1000</v>
      </c>
      <c r="K19" s="36">
        <v>1000</v>
      </c>
      <c r="L19" s="36">
        <v>1000</v>
      </c>
      <c r="M19" s="36">
        <v>1000</v>
      </c>
      <c r="N19" s="36">
        <v>1000</v>
      </c>
      <c r="O19" s="36">
        <v>1000</v>
      </c>
    </row>
    <row r="20" spans="2:18">
      <c r="B20" t="s">
        <v>553</v>
      </c>
      <c r="C20" t="s">
        <v>289</v>
      </c>
      <c r="D20" s="36">
        <v>250</v>
      </c>
      <c r="E20" s="36">
        <v>250</v>
      </c>
      <c r="F20" s="36">
        <v>250</v>
      </c>
      <c r="G20" s="36">
        <v>250</v>
      </c>
      <c r="H20" s="36">
        <v>250</v>
      </c>
      <c r="I20" s="36">
        <v>250</v>
      </c>
      <c r="J20" s="36">
        <v>250</v>
      </c>
      <c r="K20" s="36">
        <v>250</v>
      </c>
      <c r="L20" s="36">
        <v>250</v>
      </c>
      <c r="M20" s="36">
        <v>250</v>
      </c>
      <c r="N20" s="36">
        <v>250</v>
      </c>
      <c r="O20" s="36">
        <v>250</v>
      </c>
    </row>
    <row r="21" spans="2:18" ht="16">
      <c r="B21" s="35" t="s">
        <v>554</v>
      </c>
      <c r="C21" s="37"/>
      <c r="D21" s="36"/>
      <c r="E21" s="36"/>
      <c r="F21" s="36"/>
      <c r="G21" s="36"/>
      <c r="H21" s="36"/>
      <c r="I21" s="36"/>
      <c r="J21" s="36"/>
      <c r="K21" s="36"/>
      <c r="L21" s="36"/>
      <c r="M21" s="36"/>
      <c r="N21" s="36"/>
      <c r="O21" s="36"/>
    </row>
    <row r="22" spans="2:18">
      <c r="B22" t="s">
        <v>49</v>
      </c>
      <c r="C22" s="37"/>
      <c r="D22" s="36">
        <v>1651</v>
      </c>
      <c r="E22" s="36">
        <v>1651</v>
      </c>
      <c r="F22" s="36">
        <v>1651</v>
      </c>
      <c r="G22" s="36">
        <v>1651</v>
      </c>
      <c r="H22" s="36">
        <v>1651</v>
      </c>
      <c r="I22" s="36">
        <v>1651</v>
      </c>
      <c r="J22" s="36">
        <v>1651</v>
      </c>
      <c r="K22" s="36">
        <v>1651</v>
      </c>
      <c r="L22" s="36">
        <v>1651</v>
      </c>
      <c r="M22" s="36">
        <v>1651</v>
      </c>
      <c r="N22" s="36">
        <v>1651</v>
      </c>
      <c r="O22" s="36">
        <v>1651</v>
      </c>
    </row>
    <row r="23" spans="2:18">
      <c r="B23" t="s">
        <v>200</v>
      </c>
      <c r="C23" s="37"/>
      <c r="D23" s="36">
        <v>7004</v>
      </c>
      <c r="E23" s="36">
        <v>7004</v>
      </c>
      <c r="F23" s="36">
        <v>7004</v>
      </c>
      <c r="G23" s="36">
        <v>7004</v>
      </c>
      <c r="H23" s="36">
        <v>7004</v>
      </c>
      <c r="I23" s="36">
        <v>7004</v>
      </c>
      <c r="J23" s="36">
        <v>7004</v>
      </c>
      <c r="K23" s="36">
        <v>7004</v>
      </c>
      <c r="L23" s="36">
        <v>7004</v>
      </c>
      <c r="M23" s="36">
        <v>7004</v>
      </c>
      <c r="N23" s="36">
        <v>0</v>
      </c>
      <c r="O23" s="36">
        <v>0</v>
      </c>
    </row>
    <row r="24" spans="2:18">
      <c r="B24" t="s">
        <v>201</v>
      </c>
      <c r="C24" s="37"/>
      <c r="D24" s="36">
        <v>4400</v>
      </c>
      <c r="E24" s="36">
        <v>4400</v>
      </c>
      <c r="F24" s="36">
        <v>4400</v>
      </c>
      <c r="G24" s="36">
        <v>4400</v>
      </c>
      <c r="H24" s="36">
        <v>4400</v>
      </c>
      <c r="I24" s="36">
        <v>4400</v>
      </c>
      <c r="J24" s="36">
        <v>0</v>
      </c>
      <c r="K24" s="36">
        <v>0</v>
      </c>
      <c r="L24" s="36">
        <v>0</v>
      </c>
      <c r="M24" s="36">
        <v>0</v>
      </c>
      <c r="N24" s="36">
        <v>0</v>
      </c>
      <c r="O24" s="36">
        <v>0</v>
      </c>
    </row>
    <row r="25" spans="2:18">
      <c r="D25" s="38"/>
      <c r="E25" s="38"/>
      <c r="F25" s="38"/>
      <c r="G25" s="38"/>
      <c r="H25" s="38"/>
      <c r="I25" s="38"/>
      <c r="J25" s="38"/>
      <c r="K25" s="38"/>
      <c r="L25" s="38"/>
      <c r="M25" s="38"/>
      <c r="N25" s="38"/>
      <c r="O25" s="38"/>
    </row>
    <row r="26" spans="2:18" ht="16" thickBot="1">
      <c r="D26" s="39">
        <f>SUM(D11:D24)</f>
        <v>47295</v>
      </c>
      <c r="E26" s="39">
        <f t="shared" ref="E26:O26" si="0">SUM(E11:E24)</f>
        <v>47295</v>
      </c>
      <c r="F26" s="39">
        <f t="shared" si="0"/>
        <v>47295</v>
      </c>
      <c r="G26" s="39">
        <f t="shared" si="0"/>
        <v>47295</v>
      </c>
      <c r="H26" s="39">
        <f t="shared" si="0"/>
        <v>47295</v>
      </c>
      <c r="I26" s="39">
        <f t="shared" si="0"/>
        <v>47295</v>
      </c>
      <c r="J26" s="39">
        <f t="shared" si="0"/>
        <v>42895</v>
      </c>
      <c r="K26" s="39">
        <f t="shared" si="0"/>
        <v>41395</v>
      </c>
      <c r="L26" s="39">
        <f t="shared" si="0"/>
        <v>41395</v>
      </c>
      <c r="M26" s="39">
        <f t="shared" si="0"/>
        <v>41395</v>
      </c>
      <c r="N26" s="39">
        <f t="shared" si="0"/>
        <v>34391</v>
      </c>
      <c r="O26" s="39">
        <f t="shared" si="0"/>
        <v>34391</v>
      </c>
      <c r="P26" s="46">
        <f>SUM(D26:O26)</f>
        <v>519632</v>
      </c>
    </row>
    <row r="29" spans="2:18">
      <c r="B29" s="96" t="s">
        <v>541</v>
      </c>
      <c r="D29" s="36">
        <v>22000</v>
      </c>
      <c r="E29" s="36">
        <v>22000</v>
      </c>
      <c r="F29" s="36">
        <v>22000</v>
      </c>
      <c r="G29" s="36">
        <v>22000</v>
      </c>
      <c r="H29" s="36">
        <v>22000</v>
      </c>
      <c r="I29" s="36">
        <v>22000</v>
      </c>
      <c r="J29" s="36">
        <v>22000</v>
      </c>
      <c r="K29" s="36">
        <v>22000</v>
      </c>
      <c r="L29" s="36">
        <v>22000</v>
      </c>
      <c r="M29" s="36">
        <v>22000</v>
      </c>
      <c r="N29" s="36">
        <v>22000</v>
      </c>
      <c r="O29" s="36">
        <v>22000</v>
      </c>
      <c r="Q29" t="s">
        <v>542</v>
      </c>
      <c r="R29">
        <f>60/12</f>
        <v>5</v>
      </c>
    </row>
    <row r="30" spans="2:18">
      <c r="B30" t="s">
        <v>546</v>
      </c>
      <c r="D30" s="95">
        <f>80000/12</f>
        <v>6666.666666666667</v>
      </c>
      <c r="E30" s="95">
        <f t="shared" ref="E30:O31" si="1">80000/12</f>
        <v>6666.666666666667</v>
      </c>
      <c r="F30" s="95">
        <f t="shared" si="1"/>
        <v>6666.666666666667</v>
      </c>
      <c r="G30" s="95">
        <f t="shared" si="1"/>
        <v>6666.666666666667</v>
      </c>
      <c r="H30" s="95">
        <f t="shared" si="1"/>
        <v>6666.666666666667</v>
      </c>
      <c r="I30" s="95">
        <f t="shared" si="1"/>
        <v>6666.666666666667</v>
      </c>
      <c r="J30" s="95">
        <f t="shared" si="1"/>
        <v>6666.666666666667</v>
      </c>
      <c r="K30" s="95">
        <f t="shared" si="1"/>
        <v>6666.666666666667</v>
      </c>
      <c r="L30" s="95">
        <f t="shared" si="1"/>
        <v>6666.666666666667</v>
      </c>
      <c r="M30" s="95">
        <f t="shared" si="1"/>
        <v>6666.666666666667</v>
      </c>
      <c r="N30" s="95">
        <f t="shared" si="1"/>
        <v>6666.666666666667</v>
      </c>
      <c r="O30" s="95">
        <f t="shared" si="1"/>
        <v>6666.666666666667</v>
      </c>
    </row>
    <row r="31" spans="2:18">
      <c r="B31" t="s">
        <v>548</v>
      </c>
      <c r="D31" s="95">
        <f>80000/12</f>
        <v>6666.666666666667</v>
      </c>
      <c r="E31" s="95">
        <f t="shared" si="1"/>
        <v>6666.666666666667</v>
      </c>
      <c r="F31" s="95">
        <f t="shared" si="1"/>
        <v>6666.666666666667</v>
      </c>
      <c r="G31" s="95">
        <f t="shared" si="1"/>
        <v>6666.666666666667</v>
      </c>
      <c r="H31" s="95">
        <f t="shared" si="1"/>
        <v>6666.666666666667</v>
      </c>
      <c r="I31" s="95">
        <f t="shared" si="1"/>
        <v>6666.666666666667</v>
      </c>
      <c r="J31" s="95">
        <f t="shared" si="1"/>
        <v>6666.666666666667</v>
      </c>
      <c r="K31" s="95">
        <f t="shared" si="1"/>
        <v>6666.666666666667</v>
      </c>
      <c r="L31" s="95">
        <f t="shared" si="1"/>
        <v>6666.666666666667</v>
      </c>
      <c r="M31" s="95">
        <f t="shared" si="1"/>
        <v>6666.666666666667</v>
      </c>
      <c r="N31" s="95">
        <f t="shared" si="1"/>
        <v>6666.666666666667</v>
      </c>
      <c r="O31" s="95">
        <f t="shared" si="1"/>
        <v>6666.666666666667</v>
      </c>
    </row>
    <row r="32" spans="2:18">
      <c r="B32" t="s">
        <v>555</v>
      </c>
      <c r="D32">
        <f>60000/12</f>
        <v>5000</v>
      </c>
      <c r="E32">
        <f t="shared" ref="E32:O32" si="2">60000/12</f>
        <v>5000</v>
      </c>
      <c r="F32">
        <f t="shared" si="2"/>
        <v>5000</v>
      </c>
      <c r="G32">
        <f t="shared" si="2"/>
        <v>5000</v>
      </c>
      <c r="H32">
        <f t="shared" si="2"/>
        <v>5000</v>
      </c>
      <c r="I32">
        <f t="shared" si="2"/>
        <v>5000</v>
      </c>
      <c r="J32">
        <f t="shared" si="2"/>
        <v>5000</v>
      </c>
      <c r="K32">
        <f t="shared" si="2"/>
        <v>5000</v>
      </c>
      <c r="L32">
        <f t="shared" si="2"/>
        <v>5000</v>
      </c>
      <c r="M32">
        <f t="shared" si="2"/>
        <v>5000</v>
      </c>
      <c r="N32">
        <f t="shared" si="2"/>
        <v>5000</v>
      </c>
      <c r="O32">
        <f t="shared" si="2"/>
        <v>5000</v>
      </c>
    </row>
    <row r="33" spans="2:15">
      <c r="B33" t="s">
        <v>544</v>
      </c>
      <c r="D33" s="95">
        <f>(850*52)/12</f>
        <v>3683.3333333333335</v>
      </c>
      <c r="E33" s="95">
        <f t="shared" ref="E33:O33" si="3">(850*52)/12</f>
        <v>3683.3333333333335</v>
      </c>
      <c r="F33" s="95">
        <f t="shared" si="3"/>
        <v>3683.3333333333335</v>
      </c>
      <c r="G33" s="95">
        <f t="shared" si="3"/>
        <v>3683.3333333333335</v>
      </c>
      <c r="H33" s="95">
        <f t="shared" si="3"/>
        <v>3683.3333333333335</v>
      </c>
      <c r="I33" s="95">
        <f t="shared" si="3"/>
        <v>3683.3333333333335</v>
      </c>
      <c r="J33" s="95">
        <f t="shared" si="3"/>
        <v>3683.3333333333335</v>
      </c>
      <c r="K33" s="95">
        <f t="shared" si="3"/>
        <v>3683.3333333333335</v>
      </c>
      <c r="L33" s="95">
        <f t="shared" si="3"/>
        <v>3683.3333333333335</v>
      </c>
      <c r="M33" s="95">
        <f t="shared" si="3"/>
        <v>3683.3333333333335</v>
      </c>
      <c r="N33" s="95">
        <f t="shared" si="3"/>
        <v>3683.3333333333335</v>
      </c>
      <c r="O33" s="95">
        <f t="shared" si="3"/>
        <v>3683.3333333333335</v>
      </c>
    </row>
    <row r="34" spans="2:15">
      <c r="D34" s="95">
        <f>SUM(D30:D33)</f>
        <v>22016.666666666668</v>
      </c>
    </row>
    <row r="37" spans="2:15">
      <c r="C37">
        <f>6500*52</f>
        <v>338000</v>
      </c>
    </row>
    <row r="38" spans="2:15">
      <c r="C38">
        <f>C37/12</f>
        <v>28166.666666666668</v>
      </c>
    </row>
  </sheetData>
  <pageMargins left="0.70866141732283472" right="0.70866141732283472" top="0.74803149606299213" bottom="0.74803149606299213" header="0.31496062992125984" footer="0.31496062992125984"/>
  <pageSetup paperSize="9" scale="59" orientation="landscape" horizontalDpi="360" verticalDpi="36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06F0-18C2-4224-B259-183FC36CCF75}">
  <sheetPr>
    <pageSetUpPr fitToPage="1"/>
  </sheetPr>
  <dimension ref="A1:O61"/>
  <sheetViews>
    <sheetView topLeftCell="A19" zoomScale="90" zoomScaleNormal="90" workbookViewId="0">
      <selection activeCell="E29" sqref="E29"/>
    </sheetView>
  </sheetViews>
  <sheetFormatPr baseColWidth="10" defaultColWidth="8.83203125" defaultRowHeight="15"/>
  <cols>
    <col min="1" max="1" width="19.83203125" customWidth="1"/>
    <col min="2" max="2" width="41.5" bestFit="1" customWidth="1"/>
    <col min="3" max="3" width="15" bestFit="1" customWidth="1"/>
    <col min="4" max="4" width="13.5" customWidth="1"/>
    <col min="5" max="5" width="15" bestFit="1" customWidth="1"/>
    <col min="6" max="6" width="13.1640625" customWidth="1"/>
    <col min="7" max="14" width="16.5" customWidth="1"/>
    <col min="15" max="15" width="13" customWidth="1"/>
  </cols>
  <sheetData>
    <row r="1" spans="2:15" ht="16" thickBot="1"/>
    <row r="2" spans="2:15" s="53" customFormat="1" ht="24">
      <c r="B2" s="54" t="s">
        <v>1</v>
      </c>
      <c r="C2" s="69"/>
      <c r="D2" s="55"/>
      <c r="E2" s="55"/>
      <c r="F2" s="55"/>
      <c r="G2" s="55"/>
      <c r="H2" s="55"/>
      <c r="I2" s="55"/>
      <c r="J2" s="55"/>
      <c r="K2" s="55"/>
      <c r="L2" s="55"/>
      <c r="M2" s="55"/>
      <c r="N2" s="55"/>
      <c r="O2" s="56"/>
    </row>
    <row r="3" spans="2:15">
      <c r="B3" s="57" t="s">
        <v>2</v>
      </c>
      <c r="C3" s="70"/>
      <c r="O3" s="58"/>
    </row>
    <row r="4" spans="2:15">
      <c r="B4" s="57"/>
      <c r="C4" s="80" t="s">
        <v>556</v>
      </c>
      <c r="D4" s="84">
        <v>45170</v>
      </c>
      <c r="E4" s="85">
        <v>45200</v>
      </c>
      <c r="F4" s="85">
        <v>45231</v>
      </c>
      <c r="G4" s="85">
        <v>45261</v>
      </c>
      <c r="H4" s="85">
        <v>45292</v>
      </c>
      <c r="I4" s="85">
        <v>45323</v>
      </c>
      <c r="J4" s="85">
        <v>45352</v>
      </c>
      <c r="K4" s="85">
        <v>45383</v>
      </c>
      <c r="L4" s="85">
        <v>45413</v>
      </c>
      <c r="M4" s="85">
        <v>45444</v>
      </c>
      <c r="N4" s="85">
        <v>45474</v>
      </c>
      <c r="O4" s="86">
        <v>45505</v>
      </c>
    </row>
    <row r="5" spans="2:15">
      <c r="B5" s="57"/>
      <c r="C5" s="81"/>
      <c r="D5" s="77"/>
      <c r="E5" s="77"/>
      <c r="F5" s="77"/>
      <c r="G5" s="77"/>
      <c r="H5" s="77"/>
      <c r="I5" s="77"/>
      <c r="J5" s="77"/>
      <c r="K5" s="77"/>
      <c r="L5" s="77"/>
      <c r="M5" s="77"/>
      <c r="N5" s="77"/>
      <c r="O5" s="65"/>
    </row>
    <row r="6" spans="2:15">
      <c r="B6" s="57" t="s">
        <v>370</v>
      </c>
      <c r="C6" s="81"/>
      <c r="D6" s="52">
        <f>Retention!G60</f>
        <v>92230.05</v>
      </c>
      <c r="E6" s="52">
        <f>Retention!H60</f>
        <v>15731.810000000001</v>
      </c>
      <c r="F6" s="52"/>
      <c r="G6" s="52"/>
      <c r="H6" s="52"/>
      <c r="I6" s="52">
        <f>Retention!H56</f>
        <v>3200</v>
      </c>
      <c r="J6" s="52"/>
      <c r="K6" s="52"/>
      <c r="L6" s="52">
        <f>Retention!I56</f>
        <v>42000</v>
      </c>
      <c r="M6" s="52"/>
      <c r="N6" s="52"/>
      <c r="O6" s="66">
        <f>Retention!J56</f>
        <v>11694.62</v>
      </c>
    </row>
    <row r="7" spans="2:15">
      <c r="B7" s="57"/>
      <c r="C7" s="81"/>
      <c r="D7" s="52"/>
      <c r="E7" s="52"/>
      <c r="F7" s="52"/>
      <c r="G7" s="52"/>
      <c r="H7" s="52"/>
      <c r="I7" s="52"/>
      <c r="J7" s="52"/>
      <c r="K7" s="52"/>
      <c r="L7" s="52"/>
      <c r="M7" s="52"/>
      <c r="N7" s="52"/>
      <c r="O7" s="66"/>
    </row>
    <row r="8" spans="2:15">
      <c r="B8" s="57"/>
      <c r="C8" s="81"/>
      <c r="D8" s="52"/>
      <c r="E8" s="52"/>
      <c r="F8" s="52"/>
      <c r="G8" s="52"/>
      <c r="H8" s="52"/>
      <c r="I8" s="52"/>
      <c r="J8" s="52"/>
      <c r="K8" s="52"/>
      <c r="L8" s="52"/>
      <c r="M8" s="52"/>
      <c r="N8" s="52"/>
      <c r="O8" s="66"/>
    </row>
    <row r="9" spans="2:15" ht="16">
      <c r="B9" s="83" t="s">
        <v>557</v>
      </c>
      <c r="C9" s="81"/>
      <c r="D9" s="52"/>
      <c r="E9" s="52"/>
      <c r="F9" s="52"/>
      <c r="G9" s="52"/>
      <c r="H9" s="52"/>
      <c r="I9" s="52"/>
      <c r="J9" s="52"/>
      <c r="K9" s="52"/>
      <c r="L9" s="52"/>
      <c r="M9" s="52"/>
      <c r="N9" s="52"/>
      <c r="O9" s="66"/>
    </row>
    <row r="10" spans="2:15">
      <c r="B10" s="60" t="s">
        <v>558</v>
      </c>
      <c r="C10" s="82">
        <v>58000</v>
      </c>
      <c r="D10" s="52"/>
      <c r="E10" s="52">
        <f>C10*0.33</f>
        <v>19140</v>
      </c>
      <c r="F10" s="52">
        <f>C10*0.33</f>
        <v>19140</v>
      </c>
      <c r="G10" s="52">
        <f>C10*0.34</f>
        <v>19720</v>
      </c>
      <c r="H10" s="52"/>
      <c r="I10" s="52"/>
      <c r="J10" s="52"/>
      <c r="K10" s="52"/>
      <c r="L10" s="52"/>
      <c r="M10" s="52"/>
      <c r="N10" s="52"/>
      <c r="O10" s="66"/>
    </row>
    <row r="11" spans="2:15">
      <c r="B11" s="60" t="s">
        <v>559</v>
      </c>
      <c r="C11" s="82">
        <v>25000</v>
      </c>
      <c r="D11" s="52"/>
      <c r="E11" s="52"/>
      <c r="F11" s="52">
        <v>10000</v>
      </c>
      <c r="G11" s="52">
        <v>10000</v>
      </c>
      <c r="H11" s="52">
        <v>5000</v>
      </c>
      <c r="I11" s="52"/>
      <c r="J11" s="52"/>
      <c r="K11" s="52"/>
      <c r="L11" s="52"/>
      <c r="M11" s="52"/>
      <c r="N11" s="52"/>
      <c r="O11" s="66"/>
    </row>
    <row r="12" spans="2:15">
      <c r="B12" s="60" t="s">
        <v>560</v>
      </c>
      <c r="C12" s="82">
        <v>29000</v>
      </c>
      <c r="D12" s="52"/>
      <c r="E12" s="52">
        <f>C12*0.5</f>
        <v>14500</v>
      </c>
      <c r="F12" s="52">
        <f>C12*0.5</f>
        <v>14500</v>
      </c>
      <c r="G12" s="52"/>
      <c r="H12" s="52"/>
      <c r="I12" s="52"/>
      <c r="J12" s="52"/>
      <c r="K12" s="52"/>
      <c r="L12" s="52"/>
      <c r="M12" s="52"/>
      <c r="N12" s="52"/>
      <c r="O12" s="66"/>
    </row>
    <row r="13" spans="2:15">
      <c r="B13" s="60" t="s">
        <v>561</v>
      </c>
      <c r="C13" s="82">
        <v>16000</v>
      </c>
      <c r="D13" s="52"/>
      <c r="F13" s="52">
        <f>C13</f>
        <v>16000</v>
      </c>
      <c r="G13" s="52"/>
      <c r="H13" s="52"/>
      <c r="I13" s="52"/>
      <c r="J13" s="52"/>
      <c r="K13" s="52"/>
      <c r="L13" s="52"/>
      <c r="M13" s="52"/>
      <c r="N13" s="52"/>
      <c r="O13" s="66"/>
    </row>
    <row r="14" spans="2:15">
      <c r="B14" s="60" t="s">
        <v>562</v>
      </c>
      <c r="C14" s="82">
        <v>54000</v>
      </c>
      <c r="D14" s="52">
        <f>C14*0.5</f>
        <v>27000</v>
      </c>
      <c r="E14" s="52">
        <f>C14*0.5</f>
        <v>27000</v>
      </c>
      <c r="F14" s="52"/>
      <c r="G14" s="52"/>
      <c r="H14" s="52"/>
      <c r="I14" s="52"/>
      <c r="J14" s="52"/>
      <c r="K14" s="52"/>
      <c r="L14" s="52"/>
      <c r="M14" s="52"/>
      <c r="N14" s="52"/>
      <c r="O14" s="66"/>
    </row>
    <row r="15" spans="2:15">
      <c r="B15" s="60" t="s">
        <v>563</v>
      </c>
      <c r="C15" s="82">
        <f>D60</f>
        <v>25000</v>
      </c>
      <c r="D15" s="52">
        <f>C15*0.5</f>
        <v>12500</v>
      </c>
      <c r="E15" s="52">
        <f>C15*0.5</f>
        <v>12500</v>
      </c>
      <c r="F15" s="52"/>
      <c r="G15" s="52"/>
      <c r="H15" s="52"/>
      <c r="I15" s="52"/>
      <c r="J15" s="52"/>
      <c r="K15" s="52"/>
      <c r="L15" s="52"/>
      <c r="M15" s="52"/>
      <c r="N15" s="52"/>
      <c r="O15" s="66"/>
    </row>
    <row r="16" spans="2:15">
      <c r="B16" s="60" t="s">
        <v>564</v>
      </c>
      <c r="C16" s="82">
        <f>D61</f>
        <v>25000</v>
      </c>
      <c r="D16" s="52">
        <f>C16*0.5</f>
        <v>12500</v>
      </c>
      <c r="E16" s="52">
        <f>C16*0.5</f>
        <v>12500</v>
      </c>
      <c r="F16" s="52"/>
      <c r="G16" s="52"/>
      <c r="H16" s="52"/>
      <c r="I16" s="52"/>
      <c r="J16" s="52"/>
      <c r="K16" s="52"/>
      <c r="L16" s="52"/>
      <c r="M16" s="52"/>
      <c r="N16" s="52"/>
      <c r="O16" s="66"/>
    </row>
    <row r="17" spans="2:15">
      <c r="B17" s="60"/>
      <c r="C17" s="82"/>
      <c r="D17" s="52"/>
      <c r="E17" s="52"/>
      <c r="F17" s="52"/>
      <c r="G17" s="52"/>
      <c r="H17" s="52"/>
      <c r="I17" s="52"/>
      <c r="J17" s="52"/>
      <c r="K17" s="52"/>
      <c r="L17" s="52"/>
      <c r="M17" s="52"/>
      <c r="N17" s="52"/>
      <c r="O17" s="66"/>
    </row>
    <row r="18" spans="2:15" ht="16">
      <c r="B18" s="83" t="s">
        <v>565</v>
      </c>
      <c r="C18" s="82"/>
      <c r="D18" s="52"/>
      <c r="E18" s="52"/>
      <c r="F18" s="52"/>
      <c r="G18" s="52"/>
      <c r="H18" s="52"/>
      <c r="I18" s="52"/>
      <c r="J18" s="52"/>
      <c r="K18" s="52"/>
      <c r="L18" s="52"/>
      <c r="M18" s="52"/>
      <c r="N18" s="52"/>
      <c r="O18" s="66"/>
    </row>
    <row r="19" spans="2:15">
      <c r="B19" s="57" t="s">
        <v>566</v>
      </c>
      <c r="C19" s="82">
        <v>15000</v>
      </c>
      <c r="D19" s="52"/>
      <c r="E19" s="52"/>
      <c r="F19" s="52"/>
      <c r="G19" s="52"/>
      <c r="H19" s="52">
        <f>E49/2</f>
        <v>7500</v>
      </c>
      <c r="I19" s="52">
        <f>E49/2</f>
        <v>7500</v>
      </c>
      <c r="J19" s="52"/>
      <c r="K19" s="52"/>
      <c r="L19" s="52"/>
      <c r="M19" s="52"/>
      <c r="N19" s="52"/>
      <c r="O19" s="66"/>
    </row>
    <row r="20" spans="2:15">
      <c r="B20" s="60" t="s">
        <v>129</v>
      </c>
      <c r="C20" s="82">
        <v>7500</v>
      </c>
      <c r="D20" s="52"/>
      <c r="E20" s="52">
        <f>C20*0.6</f>
        <v>4500</v>
      </c>
      <c r="F20" s="52">
        <f>C20*0.4</f>
        <v>3000</v>
      </c>
      <c r="G20" s="52"/>
      <c r="H20" s="52"/>
      <c r="I20" s="52"/>
      <c r="J20" s="52"/>
      <c r="K20" s="52"/>
      <c r="L20" s="52"/>
      <c r="M20" s="52"/>
      <c r="N20" s="52"/>
      <c r="O20" s="66"/>
    </row>
    <row r="21" spans="2:15">
      <c r="B21" s="60" t="s">
        <v>527</v>
      </c>
      <c r="C21" s="82">
        <v>15500</v>
      </c>
      <c r="D21" s="52"/>
      <c r="E21" s="52"/>
      <c r="F21" s="52">
        <f>C21*0.6</f>
        <v>9300</v>
      </c>
      <c r="G21" s="52">
        <f>C21*0.4</f>
        <v>6200</v>
      </c>
      <c r="H21" s="52"/>
      <c r="I21" s="52"/>
      <c r="J21" s="52"/>
      <c r="K21" s="52"/>
      <c r="L21" s="52"/>
      <c r="M21" s="52"/>
      <c r="N21" s="52"/>
      <c r="O21" s="66"/>
    </row>
    <row r="22" spans="2:15">
      <c r="B22" s="60" t="s">
        <v>528</v>
      </c>
      <c r="C22" s="82">
        <v>2230</v>
      </c>
      <c r="D22" s="52"/>
      <c r="E22" s="52"/>
      <c r="F22" s="52">
        <f>C22</f>
        <v>2230</v>
      </c>
      <c r="G22" s="52"/>
      <c r="H22" s="52"/>
      <c r="I22" s="52"/>
      <c r="J22" s="52"/>
      <c r="K22" s="52"/>
      <c r="L22" s="52"/>
      <c r="M22" s="52"/>
      <c r="N22" s="52"/>
      <c r="O22" s="66"/>
    </row>
    <row r="23" spans="2:15">
      <c r="B23" s="60" t="s">
        <v>529</v>
      </c>
      <c r="C23" s="82">
        <v>2230</v>
      </c>
      <c r="D23" s="52"/>
      <c r="E23" s="52"/>
      <c r="F23" s="52">
        <f>C23</f>
        <v>2230</v>
      </c>
      <c r="G23" s="52"/>
      <c r="H23" s="52"/>
      <c r="I23" s="52"/>
      <c r="J23" s="52"/>
      <c r="K23" s="52"/>
      <c r="L23" s="52"/>
      <c r="M23" s="52"/>
      <c r="N23" s="52"/>
      <c r="O23" s="66"/>
    </row>
    <row r="24" spans="2:15">
      <c r="B24" s="60" t="s">
        <v>530</v>
      </c>
      <c r="C24" s="82">
        <v>2230</v>
      </c>
      <c r="D24" s="52"/>
      <c r="E24" s="52"/>
      <c r="F24" s="52">
        <f>C24</f>
        <v>2230</v>
      </c>
      <c r="G24" s="52"/>
      <c r="H24" s="52"/>
      <c r="I24" s="52"/>
      <c r="J24" s="52"/>
      <c r="K24" s="52"/>
      <c r="L24" s="52"/>
      <c r="M24" s="52"/>
      <c r="N24" s="52"/>
      <c r="O24" s="66"/>
    </row>
    <row r="25" spans="2:15">
      <c r="B25" s="60" t="s">
        <v>567</v>
      </c>
      <c r="C25" s="82">
        <v>23000</v>
      </c>
      <c r="D25" s="52"/>
      <c r="E25" s="52"/>
      <c r="F25" s="52"/>
      <c r="G25" s="52"/>
      <c r="H25" s="52">
        <f>C25/3</f>
        <v>7666.666666666667</v>
      </c>
      <c r="I25" s="52">
        <f>C25/3</f>
        <v>7666.666666666667</v>
      </c>
      <c r="J25" s="52">
        <f>C25/3</f>
        <v>7666.666666666667</v>
      </c>
      <c r="K25" s="52"/>
      <c r="L25" s="52"/>
      <c r="M25" s="52"/>
      <c r="N25" s="52"/>
      <c r="O25" s="66"/>
    </row>
    <row r="26" spans="2:15">
      <c r="B26" s="60" t="s">
        <v>568</v>
      </c>
      <c r="C26" s="82">
        <v>14500</v>
      </c>
      <c r="D26" s="52"/>
      <c r="E26" s="52"/>
      <c r="F26" s="52"/>
      <c r="G26" s="52"/>
      <c r="H26" s="52"/>
      <c r="I26" s="52"/>
      <c r="J26" s="52"/>
      <c r="K26" s="52"/>
      <c r="L26" s="52"/>
      <c r="M26" s="52"/>
      <c r="N26" s="52">
        <v>14500</v>
      </c>
      <c r="O26" s="66"/>
    </row>
    <row r="27" spans="2:15">
      <c r="B27" s="60"/>
      <c r="C27" s="81"/>
      <c r="D27" s="52"/>
      <c r="E27" s="52"/>
      <c r="F27" s="52"/>
      <c r="G27" s="52"/>
      <c r="H27" s="52"/>
      <c r="I27" s="52"/>
      <c r="J27" s="52"/>
      <c r="K27" s="52"/>
      <c r="L27" s="52"/>
      <c r="M27" s="52"/>
      <c r="N27" s="52"/>
      <c r="O27" s="66"/>
    </row>
    <row r="28" spans="2:15">
      <c r="B28" s="60" t="s">
        <v>569</v>
      </c>
      <c r="C28" s="82">
        <v>212000</v>
      </c>
      <c r="D28" s="52"/>
      <c r="E28" s="52"/>
      <c r="F28" s="52">
        <v>25000</v>
      </c>
      <c r="G28" s="52">
        <f>(C28-F28-K28)/4</f>
        <v>40500</v>
      </c>
      <c r="H28" s="52">
        <v>40500</v>
      </c>
      <c r="I28" s="52">
        <v>40500</v>
      </c>
      <c r="J28" s="52">
        <v>40500</v>
      </c>
      <c r="K28" s="52">
        <v>25000</v>
      </c>
      <c r="L28" s="52"/>
      <c r="M28" s="52"/>
      <c r="N28" s="52"/>
      <c r="O28" s="66"/>
    </row>
    <row r="29" spans="2:15">
      <c r="B29" s="60" t="s">
        <v>570</v>
      </c>
      <c r="C29" s="82">
        <v>510000</v>
      </c>
      <c r="D29" s="52"/>
      <c r="E29" s="52"/>
      <c r="F29" s="52"/>
      <c r="G29" s="52"/>
      <c r="H29" s="52"/>
      <c r="I29" s="52">
        <f>$C$29*0.1</f>
        <v>51000</v>
      </c>
      <c r="J29" s="78">
        <f>$C$29*0.16</f>
        <v>81600</v>
      </c>
      <c r="K29" s="78">
        <f>$C$29*0.16</f>
        <v>81600</v>
      </c>
      <c r="L29" s="78">
        <f>$C$29*0.16</f>
        <v>81600</v>
      </c>
      <c r="M29" s="78">
        <f>$C$29*0.16</f>
        <v>81600</v>
      </c>
      <c r="N29" s="78">
        <f>$C$29*0.16</f>
        <v>81600</v>
      </c>
      <c r="O29" s="66">
        <f>$C$29*0.1</f>
        <v>51000</v>
      </c>
    </row>
    <row r="30" spans="2:15">
      <c r="B30" s="60" t="s">
        <v>571</v>
      </c>
      <c r="C30" s="82">
        <v>59750</v>
      </c>
      <c r="D30" s="52"/>
      <c r="E30" s="52"/>
      <c r="F30" s="52"/>
      <c r="G30" s="52">
        <f>$C$30/4</f>
        <v>14937.5</v>
      </c>
      <c r="H30" s="52">
        <f>$C$30/4</f>
        <v>14937.5</v>
      </c>
      <c r="I30" s="52">
        <f>$C$30/4</f>
        <v>14937.5</v>
      </c>
      <c r="J30" s="52">
        <f>$C$30/4</f>
        <v>14937.5</v>
      </c>
      <c r="K30" s="52"/>
      <c r="L30" s="52"/>
      <c r="M30" s="52"/>
      <c r="N30" s="52"/>
      <c r="O30" s="66"/>
    </row>
    <row r="31" spans="2:15">
      <c r="B31" s="60"/>
      <c r="C31" s="82"/>
      <c r="D31" s="52"/>
      <c r="E31" s="52"/>
      <c r="F31" s="52"/>
      <c r="G31" s="52"/>
      <c r="H31" s="52"/>
      <c r="I31" s="52"/>
      <c r="J31" s="78"/>
      <c r="K31" s="52"/>
      <c r="L31" s="52"/>
      <c r="M31" s="52"/>
      <c r="N31" s="52"/>
      <c r="O31" s="66"/>
    </row>
    <row r="32" spans="2:15">
      <c r="B32" s="60" t="s">
        <v>47</v>
      </c>
      <c r="C32" s="82"/>
      <c r="D32" s="52">
        <v>50000</v>
      </c>
      <c r="E32" s="52"/>
      <c r="F32" s="52"/>
      <c r="G32" s="52"/>
      <c r="H32" s="52"/>
      <c r="I32" s="52"/>
      <c r="J32" s="78"/>
      <c r="K32" s="52"/>
      <c r="L32" s="52"/>
      <c r="M32" s="52"/>
      <c r="N32" s="52"/>
      <c r="O32" s="66"/>
    </row>
    <row r="33" spans="1:15">
      <c r="B33" s="60"/>
      <c r="C33" s="82"/>
      <c r="D33" s="52"/>
      <c r="E33" s="52"/>
      <c r="F33" s="52"/>
      <c r="G33" s="52"/>
      <c r="H33" s="52"/>
      <c r="I33" s="52"/>
      <c r="J33" s="78"/>
      <c r="K33" s="52"/>
      <c r="L33" s="52"/>
      <c r="M33" s="52"/>
      <c r="N33" s="52"/>
      <c r="O33" s="66"/>
    </row>
    <row r="34" spans="1:15">
      <c r="B34" s="60"/>
      <c r="C34" s="81"/>
      <c r="D34" s="52"/>
      <c r="E34" s="52"/>
      <c r="F34" s="52"/>
      <c r="G34" s="52"/>
      <c r="H34" s="52"/>
      <c r="I34" s="52"/>
      <c r="J34" s="52"/>
      <c r="K34" s="52"/>
      <c r="L34" s="52"/>
      <c r="M34" s="52"/>
      <c r="N34" s="52"/>
      <c r="O34" s="66"/>
    </row>
    <row r="35" spans="1:15">
      <c r="B35" s="57" t="s">
        <v>141</v>
      </c>
      <c r="C35" s="81"/>
      <c r="D35" s="79">
        <v>-45045</v>
      </c>
      <c r="E35" s="79">
        <v>-45045</v>
      </c>
      <c r="F35" s="79">
        <v>-45045</v>
      </c>
      <c r="G35" s="79">
        <v>-45045</v>
      </c>
      <c r="H35" s="79">
        <v>-45045</v>
      </c>
      <c r="I35" s="79">
        <v>-45045</v>
      </c>
      <c r="J35" s="79">
        <v>-38145</v>
      </c>
      <c r="K35" s="79">
        <v>-36645</v>
      </c>
      <c r="L35" s="79">
        <v>-36645</v>
      </c>
      <c r="M35" s="79">
        <v>-36645</v>
      </c>
      <c r="N35" s="79">
        <v>-29641</v>
      </c>
      <c r="O35" s="74">
        <v>-29641</v>
      </c>
    </row>
    <row r="36" spans="1:15">
      <c r="B36" s="57" t="s">
        <v>572</v>
      </c>
      <c r="C36" s="81"/>
      <c r="D36" s="79">
        <v>-32000</v>
      </c>
      <c r="E36" s="79">
        <v>-32000</v>
      </c>
      <c r="F36" s="79">
        <v>-16000</v>
      </c>
      <c r="G36" s="52" t="s">
        <v>0</v>
      </c>
      <c r="H36" s="52"/>
      <c r="I36" s="52"/>
      <c r="J36" s="52"/>
      <c r="K36" s="52"/>
      <c r="L36" s="52"/>
      <c r="M36" s="52"/>
      <c r="N36" s="52"/>
      <c r="O36" s="66"/>
    </row>
    <row r="37" spans="1:15" ht="16" thickBot="1">
      <c r="B37" s="63" t="s">
        <v>573</v>
      </c>
      <c r="C37" s="72"/>
      <c r="D37" s="64">
        <f>SUM(D6:D36)</f>
        <v>117185.04999999999</v>
      </c>
      <c r="E37" s="64">
        <f>SUM(E6:E36)</f>
        <v>28826.809999999998</v>
      </c>
      <c r="F37" s="64">
        <f>SUM(F6:F36)</f>
        <v>42585</v>
      </c>
      <c r="G37" s="64">
        <f t="shared" ref="G37:O37" si="0">SUM(G6:G35)</f>
        <v>46312.5</v>
      </c>
      <c r="H37" s="64">
        <f t="shared" si="0"/>
        <v>30559.166666666672</v>
      </c>
      <c r="I37" s="64">
        <f>SUM(I6:I35)</f>
        <v>79759.166666666672</v>
      </c>
      <c r="J37" s="64">
        <f t="shared" si="0"/>
        <v>106559.16666666666</v>
      </c>
      <c r="K37" s="64">
        <f t="shared" si="0"/>
        <v>69955</v>
      </c>
      <c r="L37" s="64">
        <f t="shared" si="0"/>
        <v>86955</v>
      </c>
      <c r="M37" s="64">
        <f t="shared" si="0"/>
        <v>44955</v>
      </c>
      <c r="N37" s="64">
        <f t="shared" si="0"/>
        <v>66459</v>
      </c>
      <c r="O37" s="67">
        <f t="shared" si="0"/>
        <v>33053.620000000003</v>
      </c>
    </row>
    <row r="38" spans="1:15" ht="17" thickTop="1" thickBot="1">
      <c r="B38" s="61"/>
      <c r="C38" s="73"/>
      <c r="D38" s="62"/>
      <c r="E38" s="62"/>
      <c r="F38" s="62"/>
      <c r="G38" s="62"/>
      <c r="H38" s="62"/>
      <c r="I38" s="62"/>
      <c r="J38" s="62"/>
      <c r="K38" s="62"/>
      <c r="L38" s="62"/>
      <c r="M38" s="62"/>
      <c r="N38" s="62"/>
      <c r="O38" s="76">
        <f>SUM(D37:O37)</f>
        <v>753164.48</v>
      </c>
    </row>
    <row r="39" spans="1:15">
      <c r="D39" s="52"/>
      <c r="E39" s="52"/>
      <c r="F39" s="52"/>
      <c r="G39" s="52"/>
      <c r="H39" s="52"/>
      <c r="I39" s="52"/>
      <c r="J39" s="52"/>
      <c r="K39" s="52"/>
      <c r="L39" s="52"/>
      <c r="M39" s="52"/>
      <c r="N39" s="52"/>
      <c r="O39" s="52"/>
    </row>
    <row r="40" spans="1:15">
      <c r="D40" s="52"/>
      <c r="E40" s="52"/>
      <c r="F40" s="52"/>
      <c r="G40" s="52"/>
      <c r="H40" s="52"/>
      <c r="I40" s="52"/>
      <c r="J40" s="52"/>
      <c r="K40" s="52"/>
      <c r="L40" s="52"/>
      <c r="M40" s="52"/>
      <c r="N40" s="52"/>
      <c r="O40" s="52"/>
    </row>
    <row r="41" spans="1:15">
      <c r="D41" s="52"/>
      <c r="E41" s="52"/>
      <c r="F41" s="52"/>
      <c r="G41" s="52"/>
      <c r="H41" s="52"/>
      <c r="I41" s="52"/>
      <c r="J41" s="52"/>
      <c r="K41" s="52"/>
      <c r="L41" s="52"/>
      <c r="M41" s="52"/>
      <c r="N41" s="52"/>
      <c r="O41" s="52"/>
    </row>
    <row r="42" spans="1:15">
      <c r="D42" s="52"/>
      <c r="E42" s="52"/>
      <c r="F42" s="52"/>
      <c r="G42" s="52"/>
      <c r="H42" s="52"/>
      <c r="I42" s="52"/>
      <c r="J42" s="52"/>
      <c r="K42" s="52"/>
      <c r="L42" s="52"/>
      <c r="M42" s="52"/>
      <c r="N42" s="52"/>
      <c r="O42" s="52"/>
    </row>
    <row r="43" spans="1:15" ht="32">
      <c r="B43" s="42" t="s">
        <v>526</v>
      </c>
      <c r="C43" s="43" t="s">
        <v>521</v>
      </c>
      <c r="D43" s="43" t="s">
        <v>523</v>
      </c>
      <c r="E43" s="43" t="s">
        <v>522</v>
      </c>
      <c r="F43" s="43"/>
      <c r="G43" s="43" t="s">
        <v>0</v>
      </c>
    </row>
    <row r="44" spans="1:15">
      <c r="A44" t="s">
        <v>574</v>
      </c>
      <c r="B44" s="41" t="s">
        <v>129</v>
      </c>
      <c r="C44" s="44">
        <v>17500</v>
      </c>
      <c r="D44" s="45">
        <v>10000</v>
      </c>
      <c r="E44" s="44">
        <f t="shared" ref="E44:E49" si="1">C44-D44</f>
        <v>7500</v>
      </c>
      <c r="F44" s="45"/>
      <c r="G44" t="s">
        <v>0</v>
      </c>
    </row>
    <row r="45" spans="1:15">
      <c r="A45" t="s">
        <v>574</v>
      </c>
      <c r="B45" s="41" t="s">
        <v>527</v>
      </c>
      <c r="C45" s="44">
        <v>39500</v>
      </c>
      <c r="D45" s="45">
        <v>24000</v>
      </c>
      <c r="E45" s="44">
        <f t="shared" si="1"/>
        <v>15500</v>
      </c>
      <c r="F45" s="45"/>
    </row>
    <row r="46" spans="1:15">
      <c r="A46" t="s">
        <v>574</v>
      </c>
      <c r="B46" s="41" t="s">
        <v>528</v>
      </c>
      <c r="C46" s="44">
        <v>4250</v>
      </c>
      <c r="D46" s="45">
        <v>2020</v>
      </c>
      <c r="E46" s="44">
        <f t="shared" si="1"/>
        <v>2230</v>
      </c>
      <c r="F46" s="45"/>
    </row>
    <row r="47" spans="1:15">
      <c r="A47" t="s">
        <v>574</v>
      </c>
      <c r="B47" s="41" t="s">
        <v>529</v>
      </c>
      <c r="C47" s="44">
        <v>4250</v>
      </c>
      <c r="D47" s="45">
        <v>2020</v>
      </c>
      <c r="E47" s="44">
        <f t="shared" si="1"/>
        <v>2230</v>
      </c>
      <c r="F47" s="45"/>
    </row>
    <row r="48" spans="1:15">
      <c r="A48" t="s">
        <v>574</v>
      </c>
      <c r="B48" s="41" t="s">
        <v>530</v>
      </c>
      <c r="C48" s="44">
        <v>4250</v>
      </c>
      <c r="D48" s="44">
        <v>2020</v>
      </c>
      <c r="E48" s="44">
        <f t="shared" si="1"/>
        <v>2230</v>
      </c>
      <c r="F48" s="45"/>
    </row>
    <row r="49" spans="1:15">
      <c r="A49" t="s">
        <v>574</v>
      </c>
      <c r="B49" s="41" t="s">
        <v>531</v>
      </c>
      <c r="C49" s="44">
        <v>35000</v>
      </c>
      <c r="D49" s="44">
        <v>20000</v>
      </c>
      <c r="E49" s="44">
        <f t="shared" si="1"/>
        <v>15000</v>
      </c>
    </row>
    <row r="50" spans="1:15">
      <c r="B50" s="41"/>
      <c r="C50" s="44"/>
      <c r="D50" s="44"/>
      <c r="E50" s="44"/>
    </row>
    <row r="51" spans="1:15">
      <c r="A51" t="s">
        <v>575</v>
      </c>
      <c r="B51" s="41" t="s">
        <v>532</v>
      </c>
      <c r="C51" s="44">
        <v>850000</v>
      </c>
      <c r="D51" s="45">
        <f>C51*0.25</f>
        <v>212500</v>
      </c>
      <c r="E51" s="44">
        <f>(C51-D51)*0.65</f>
        <v>414375</v>
      </c>
      <c r="F51" s="45">
        <f>(C51-D51)*0.35</f>
        <v>223125</v>
      </c>
      <c r="G51" s="47"/>
      <c r="K51" s="48"/>
    </row>
    <row r="52" spans="1:15">
      <c r="B52" s="41" t="s">
        <v>386</v>
      </c>
      <c r="C52" s="44">
        <v>2200000</v>
      </c>
      <c r="D52" s="45">
        <f>C52*0.25</f>
        <v>550000</v>
      </c>
      <c r="E52" s="44">
        <f>(C52-D52)*0.65</f>
        <v>1072500</v>
      </c>
      <c r="F52" s="45">
        <f>(C52-D52)*0.35</f>
        <v>577500</v>
      </c>
    </row>
    <row r="53" spans="1:15">
      <c r="D53" s="52"/>
      <c r="E53" s="52"/>
      <c r="F53" s="52"/>
      <c r="G53" s="52"/>
      <c r="H53" s="52"/>
      <c r="I53" s="52"/>
      <c r="J53" s="52"/>
      <c r="K53" s="52"/>
      <c r="L53" s="52"/>
      <c r="M53" s="52"/>
      <c r="N53" s="52"/>
      <c r="O53" s="52"/>
    </row>
    <row r="54" spans="1:15" ht="32">
      <c r="B54" s="42" t="s">
        <v>520</v>
      </c>
      <c r="C54" s="43" t="s">
        <v>521</v>
      </c>
      <c r="D54" s="43" t="s">
        <v>522</v>
      </c>
      <c r="E54" s="43" t="s">
        <v>523</v>
      </c>
      <c r="F54" s="43" t="s">
        <v>524</v>
      </c>
      <c r="G54" s="43"/>
    </row>
    <row r="55" spans="1:15">
      <c r="B55" s="41" t="s">
        <v>314</v>
      </c>
      <c r="C55" s="44">
        <v>290000</v>
      </c>
      <c r="D55" s="45">
        <f>C55*0.25</f>
        <v>72500</v>
      </c>
      <c r="E55" s="44">
        <f>(C55-D55)*0.65</f>
        <v>141375</v>
      </c>
      <c r="F55" s="45">
        <f>(C55-D55)*0.35</f>
        <v>76125</v>
      </c>
    </row>
    <row r="56" spans="1:15">
      <c r="B56" s="41" t="s">
        <v>315</v>
      </c>
      <c r="C56" s="44">
        <v>150000</v>
      </c>
      <c r="D56" s="45">
        <f>C56*0.25</f>
        <v>37500</v>
      </c>
      <c r="E56" s="44">
        <f>(C56-D56)*0.65</f>
        <v>73125</v>
      </c>
      <c r="F56" s="45">
        <f>(C56-D56)*0.35</f>
        <v>39375</v>
      </c>
      <c r="L56" s="46" t="s">
        <v>0</v>
      </c>
    </row>
    <row r="57" spans="1:15">
      <c r="B57" s="41" t="s">
        <v>132</v>
      </c>
      <c r="C57" s="44">
        <v>65000</v>
      </c>
      <c r="D57" s="45">
        <f>C57*0.25</f>
        <v>16250</v>
      </c>
      <c r="E57" s="44">
        <f>(C57-D57)*0.65</f>
        <v>31687.5</v>
      </c>
      <c r="F57" s="45">
        <f>(C57-D57)*0.35</f>
        <v>17062.5</v>
      </c>
      <c r="L57" s="46" t="s">
        <v>0</v>
      </c>
    </row>
    <row r="58" spans="1:15">
      <c r="B58" s="41" t="s">
        <v>367</v>
      </c>
      <c r="C58" s="44">
        <v>26500</v>
      </c>
      <c r="D58" s="45">
        <f>C58*0.25</f>
        <v>6625</v>
      </c>
      <c r="E58" s="44">
        <f>(C58-D58)*0.65</f>
        <v>12918.75</v>
      </c>
      <c r="F58" s="45">
        <f>(C58-D58)*0.35</f>
        <v>6956.25</v>
      </c>
    </row>
    <row r="59" spans="1:15">
      <c r="B59" s="41" t="s">
        <v>373</v>
      </c>
      <c r="C59" s="44">
        <v>60000</v>
      </c>
      <c r="D59" s="45">
        <f>C59</f>
        <v>60000</v>
      </c>
      <c r="E59" s="44">
        <v>1</v>
      </c>
      <c r="F59" s="45">
        <v>0</v>
      </c>
    </row>
    <row r="60" spans="1:15">
      <c r="B60" s="41" t="s">
        <v>576</v>
      </c>
      <c r="C60" s="44">
        <v>29000</v>
      </c>
      <c r="D60" s="45">
        <f>C60-E60</f>
        <v>25000</v>
      </c>
      <c r="E60" s="44">
        <v>4000</v>
      </c>
      <c r="F60" s="45">
        <v>0</v>
      </c>
    </row>
    <row r="61" spans="1:15">
      <c r="B61" s="41" t="s">
        <v>378</v>
      </c>
      <c r="C61" s="44">
        <v>29000</v>
      </c>
      <c r="D61" s="45">
        <f>C61-E61</f>
        <v>25000</v>
      </c>
      <c r="E61" s="44">
        <v>4000</v>
      </c>
      <c r="F61" s="45">
        <v>0</v>
      </c>
    </row>
  </sheetData>
  <pageMargins left="0.25" right="0.25" top="0.75" bottom="0.75" header="0.3" footer="0.3"/>
  <pageSetup paperSize="9" scale="52" orientation="landscape" horizontalDpi="4294967293"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43"/>
  <sheetViews>
    <sheetView zoomScale="80" zoomScaleNormal="80" workbookViewId="0">
      <selection activeCell="U36" sqref="U36"/>
    </sheetView>
  </sheetViews>
  <sheetFormatPr baseColWidth="10" defaultColWidth="8.83203125" defaultRowHeight="15"/>
  <cols>
    <col min="1" max="1" width="25.1640625" customWidth="1"/>
    <col min="2" max="2" width="23.1640625" bestFit="1" customWidth="1"/>
    <col min="3" max="3" width="4.1640625" customWidth="1"/>
    <col min="4" max="4" width="13.5" customWidth="1"/>
    <col min="5" max="5" width="13.5" bestFit="1" customWidth="1"/>
    <col min="6" max="6" width="13.5" customWidth="1"/>
    <col min="7" max="7" width="14.83203125" customWidth="1"/>
    <col min="20" max="20" width="15.83203125" customWidth="1"/>
    <col min="21" max="22" width="13.83203125" customWidth="1"/>
  </cols>
  <sheetData>
    <row r="1" spans="2:13">
      <c r="B1" s="4"/>
      <c r="C1" s="4"/>
      <c r="D1" s="4"/>
      <c r="E1" s="4"/>
      <c r="F1" s="4"/>
      <c r="G1" s="4"/>
      <c r="H1" s="4"/>
    </row>
    <row r="2" spans="2:13" ht="19">
      <c r="B2" s="5" t="s">
        <v>450</v>
      </c>
      <c r="C2" s="5"/>
      <c r="D2" s="3"/>
      <c r="E2" s="3"/>
      <c r="F2" s="3"/>
      <c r="G2" s="3"/>
      <c r="H2" s="4"/>
    </row>
    <row r="3" spans="2:13" ht="19">
      <c r="B3" s="6" t="s">
        <v>468</v>
      </c>
      <c r="C3" s="6"/>
      <c r="D3" s="6" t="s">
        <v>469</v>
      </c>
      <c r="E3" s="6" t="s">
        <v>470</v>
      </c>
      <c r="F3" s="7" t="s">
        <v>471</v>
      </c>
      <c r="G3" s="6" t="s">
        <v>437</v>
      </c>
      <c r="H3" s="4" t="s">
        <v>374</v>
      </c>
    </row>
    <row r="4" spans="2:13">
      <c r="B4" s="3"/>
      <c r="C4" s="3"/>
      <c r="D4" s="3"/>
      <c r="E4" s="3"/>
      <c r="F4" s="3"/>
      <c r="G4" s="3"/>
      <c r="H4" s="4"/>
    </row>
    <row r="5" spans="2:13">
      <c r="B5" s="8" t="s">
        <v>451</v>
      </c>
      <c r="C5" s="8" t="s">
        <v>452</v>
      </c>
      <c r="D5" s="1"/>
      <c r="E5" s="1"/>
      <c r="F5" s="1"/>
      <c r="G5" s="1"/>
      <c r="H5" s="9"/>
    </row>
    <row r="6" spans="2:13">
      <c r="B6" s="1" t="s">
        <v>484</v>
      </c>
      <c r="C6" s="1" t="s">
        <v>454</v>
      </c>
      <c r="D6" s="2">
        <v>5419.31</v>
      </c>
      <c r="E6" s="2"/>
      <c r="F6" s="2"/>
      <c r="G6" s="2">
        <f>SUM(D6:F6)</f>
        <v>5419.31</v>
      </c>
      <c r="H6" s="9" t="s">
        <v>485</v>
      </c>
    </row>
    <row r="7" spans="2:13">
      <c r="B7" s="1" t="s">
        <v>493</v>
      </c>
      <c r="C7" s="1" t="s">
        <v>454</v>
      </c>
      <c r="D7" s="2">
        <v>55480.05</v>
      </c>
      <c r="E7" s="2"/>
      <c r="F7" s="2"/>
      <c r="G7" s="2">
        <f>SUM(D7:F7)</f>
        <v>55480.05</v>
      </c>
      <c r="H7" s="9" t="s">
        <v>494</v>
      </c>
    </row>
    <row r="8" spans="2:13">
      <c r="B8" s="1" t="s">
        <v>463</v>
      </c>
      <c r="C8" s="1" t="s">
        <v>454</v>
      </c>
      <c r="D8" s="2">
        <v>5812.5</v>
      </c>
      <c r="E8" s="2"/>
      <c r="F8" s="2"/>
      <c r="G8" s="2">
        <f t="shared" ref="G8:G39" si="0">SUM(D8:F8)</f>
        <v>5812.5</v>
      </c>
      <c r="H8" s="9" t="s">
        <v>457</v>
      </c>
    </row>
    <row r="9" spans="2:13">
      <c r="B9" s="1" t="s">
        <v>478</v>
      </c>
      <c r="C9" s="1" t="s">
        <v>0</v>
      </c>
      <c r="D9" s="2">
        <v>3175</v>
      </c>
      <c r="E9" s="2"/>
      <c r="F9" s="2"/>
      <c r="G9" s="2">
        <f t="shared" si="0"/>
        <v>3175</v>
      </c>
      <c r="H9" s="9" t="s">
        <v>479</v>
      </c>
      <c r="I9" t="s">
        <v>480</v>
      </c>
    </row>
    <row r="10" spans="2:13">
      <c r="B10" s="8" t="s">
        <v>458</v>
      </c>
      <c r="C10" s="8" t="s">
        <v>452</v>
      </c>
      <c r="D10" s="2"/>
      <c r="E10" s="2"/>
      <c r="F10" s="2"/>
      <c r="G10" s="2"/>
      <c r="H10" s="9"/>
    </row>
    <row r="11" spans="2:13">
      <c r="B11" s="1" t="s">
        <v>491</v>
      </c>
      <c r="C11" s="1" t="s">
        <v>454</v>
      </c>
      <c r="D11" s="2">
        <v>45000</v>
      </c>
      <c r="E11" s="2"/>
      <c r="F11" s="2"/>
      <c r="G11" s="2">
        <f t="shared" si="0"/>
        <v>45000</v>
      </c>
      <c r="H11" s="9" t="s">
        <v>492</v>
      </c>
      <c r="M11" s="3"/>
    </row>
    <row r="12" spans="2:13">
      <c r="B12" s="8" t="s">
        <v>467</v>
      </c>
      <c r="C12" s="8" t="s">
        <v>452</v>
      </c>
      <c r="D12" s="2"/>
      <c r="E12" s="2"/>
      <c r="F12" s="2"/>
      <c r="G12" s="2"/>
      <c r="H12" s="9"/>
    </row>
    <row r="13" spans="2:13">
      <c r="B13" s="1" t="s">
        <v>62</v>
      </c>
      <c r="C13" s="1" t="s">
        <v>454</v>
      </c>
      <c r="D13" s="2">
        <v>18750</v>
      </c>
      <c r="E13" s="2"/>
      <c r="F13" s="2"/>
      <c r="G13" s="2">
        <f t="shared" si="0"/>
        <v>18750</v>
      </c>
      <c r="H13" s="9" t="s">
        <v>472</v>
      </c>
    </row>
    <row r="14" spans="2:13">
      <c r="B14" s="8" t="s">
        <v>464</v>
      </c>
      <c r="C14" s="8" t="s">
        <v>452</v>
      </c>
      <c r="D14" s="2"/>
      <c r="E14" s="2"/>
      <c r="F14" s="2"/>
      <c r="G14" s="2"/>
      <c r="H14" s="9"/>
    </row>
    <row r="15" spans="2:13">
      <c r="B15" s="1" t="s">
        <v>474</v>
      </c>
      <c r="C15" s="1" t="s">
        <v>460</v>
      </c>
      <c r="D15" s="2"/>
      <c r="E15" s="2"/>
      <c r="F15" s="2"/>
      <c r="G15" s="2">
        <f t="shared" si="0"/>
        <v>0</v>
      </c>
      <c r="H15" s="9"/>
    </row>
    <row r="16" spans="2:13">
      <c r="B16" s="1" t="s">
        <v>483</v>
      </c>
      <c r="C16" s="1" t="s">
        <v>460</v>
      </c>
      <c r="D16" s="2"/>
      <c r="E16" s="2"/>
      <c r="F16" s="2"/>
      <c r="G16" s="2">
        <f t="shared" si="0"/>
        <v>0</v>
      </c>
      <c r="H16" s="9"/>
    </row>
    <row r="17" spans="2:26">
      <c r="B17" s="8" t="s">
        <v>473</v>
      </c>
      <c r="C17" s="8" t="s">
        <v>452</v>
      </c>
      <c r="D17" s="2"/>
      <c r="E17" s="2"/>
      <c r="F17" s="2"/>
      <c r="G17" s="2"/>
      <c r="H17" s="9"/>
      <c r="J17" s="4"/>
    </row>
    <row r="18" spans="2:26">
      <c r="B18" s="1" t="s">
        <v>499</v>
      </c>
      <c r="C18" s="1" t="s">
        <v>0</v>
      </c>
      <c r="D18" s="2">
        <v>2198</v>
      </c>
      <c r="E18" s="2"/>
      <c r="F18" s="2"/>
      <c r="G18" s="2">
        <f t="shared" si="0"/>
        <v>2198</v>
      </c>
      <c r="H18" s="9" t="s">
        <v>500</v>
      </c>
      <c r="I18" t="s">
        <v>480</v>
      </c>
    </row>
    <row r="19" spans="2:26">
      <c r="B19" s="8" t="s">
        <v>504</v>
      </c>
      <c r="C19" s="8" t="s">
        <v>452</v>
      </c>
      <c r="D19" s="2"/>
      <c r="E19" s="2"/>
      <c r="F19" s="2"/>
      <c r="G19" s="2">
        <f t="shared" si="0"/>
        <v>0</v>
      </c>
      <c r="H19" s="9"/>
    </row>
    <row r="20" spans="2:26">
      <c r="B20" s="1" t="s">
        <v>461</v>
      </c>
      <c r="C20" s="1" t="s">
        <v>454</v>
      </c>
      <c r="D20" s="2">
        <v>8750</v>
      </c>
      <c r="E20" s="2"/>
      <c r="F20" s="2"/>
      <c r="G20" s="2">
        <f t="shared" si="0"/>
        <v>8750</v>
      </c>
      <c r="H20" s="9" t="s">
        <v>462</v>
      </c>
    </row>
    <row r="21" spans="2:26">
      <c r="B21" s="1" t="s">
        <v>456</v>
      </c>
      <c r="C21" s="1" t="s">
        <v>454</v>
      </c>
      <c r="D21" s="2">
        <v>18000</v>
      </c>
      <c r="E21" s="2"/>
      <c r="F21" s="2"/>
      <c r="G21" s="2">
        <f t="shared" si="0"/>
        <v>18000</v>
      </c>
      <c r="H21" s="9" t="s">
        <v>457</v>
      </c>
    </row>
    <row r="22" spans="2:26">
      <c r="B22" s="1" t="s">
        <v>503</v>
      </c>
      <c r="C22" s="1" t="s">
        <v>454</v>
      </c>
      <c r="D22" s="2">
        <v>4500</v>
      </c>
      <c r="E22" s="2"/>
      <c r="F22" s="2"/>
      <c r="G22" s="2">
        <f t="shared" si="0"/>
        <v>4500</v>
      </c>
      <c r="H22" s="9" t="s">
        <v>457</v>
      </c>
    </row>
    <row r="23" spans="2:26">
      <c r="B23" s="1" t="s">
        <v>488</v>
      </c>
      <c r="C23" s="1" t="s">
        <v>454</v>
      </c>
      <c r="D23" s="2">
        <v>2450</v>
      </c>
      <c r="E23" s="2"/>
      <c r="F23" s="2"/>
      <c r="G23" s="2">
        <f t="shared" si="0"/>
        <v>2450</v>
      </c>
      <c r="H23" s="9" t="s">
        <v>489</v>
      </c>
      <c r="U23" t="s">
        <v>577</v>
      </c>
      <c r="W23" t="s">
        <v>578</v>
      </c>
    </row>
    <row r="24" spans="2:26">
      <c r="B24" s="8" t="s">
        <v>505</v>
      </c>
      <c r="C24" s="8" t="s">
        <v>452</v>
      </c>
      <c r="D24" s="2"/>
      <c r="E24" s="2"/>
      <c r="F24" s="2"/>
      <c r="G24" s="2"/>
      <c r="H24" s="9"/>
      <c r="U24">
        <v>1600000</v>
      </c>
      <c r="W24">
        <v>1600000</v>
      </c>
    </row>
    <row r="25" spans="2:26">
      <c r="B25" s="1" t="s">
        <v>465</v>
      </c>
      <c r="C25" s="1" t="s">
        <v>454</v>
      </c>
      <c r="D25" s="2">
        <v>16950</v>
      </c>
      <c r="E25" s="2"/>
      <c r="F25" s="2"/>
      <c r="G25" s="2">
        <f t="shared" si="0"/>
        <v>16950</v>
      </c>
      <c r="H25" s="9" t="s">
        <v>457</v>
      </c>
      <c r="U25">
        <f>U24*0.97</f>
        <v>1552000</v>
      </c>
      <c r="V25" s="29">
        <v>0.03</v>
      </c>
      <c r="W25">
        <f>W24*0.985</f>
        <v>1576000</v>
      </c>
      <c r="X25" s="30">
        <v>1.4999999999999999E-2</v>
      </c>
      <c r="Z25">
        <f>U25</f>
        <v>1552000</v>
      </c>
    </row>
    <row r="26" spans="2:26">
      <c r="B26" s="1" t="s">
        <v>481</v>
      </c>
      <c r="C26" s="1" t="s">
        <v>454</v>
      </c>
      <c r="D26" s="2">
        <v>26000</v>
      </c>
      <c r="E26" s="2">
        <v>60000</v>
      </c>
      <c r="F26" s="2"/>
      <c r="G26" s="2">
        <f t="shared" si="0"/>
        <v>86000</v>
      </c>
      <c r="H26" s="9" t="s">
        <v>482</v>
      </c>
      <c r="T26" t="s">
        <v>384</v>
      </c>
      <c r="U26">
        <f>U24-U25</f>
        <v>48000</v>
      </c>
      <c r="W26">
        <f>W24-W25</f>
        <v>24000</v>
      </c>
      <c r="Z26">
        <v>1442500</v>
      </c>
    </row>
    <row r="27" spans="2:26">
      <c r="B27" s="8" t="s">
        <v>486</v>
      </c>
      <c r="C27" s="8" t="s">
        <v>452</v>
      </c>
      <c r="D27" s="2"/>
      <c r="E27" s="2"/>
      <c r="F27" s="2"/>
      <c r="G27" s="2"/>
      <c r="H27" s="9"/>
      <c r="T27" t="s">
        <v>579</v>
      </c>
      <c r="U27">
        <v>1472500</v>
      </c>
      <c r="W27">
        <v>1472000</v>
      </c>
      <c r="Z27">
        <f>Z25-Z26</f>
        <v>109500</v>
      </c>
    </row>
    <row r="28" spans="2:26">
      <c r="B28" s="1" t="s">
        <v>476</v>
      </c>
      <c r="C28" s="1" t="s">
        <v>454</v>
      </c>
      <c r="D28" s="2">
        <v>4000</v>
      </c>
      <c r="E28" s="2"/>
      <c r="F28" s="2"/>
      <c r="G28" s="2">
        <f t="shared" si="0"/>
        <v>4000</v>
      </c>
      <c r="H28" s="9" t="s">
        <v>477</v>
      </c>
      <c r="U28">
        <f>U24-U27</f>
        <v>127500</v>
      </c>
      <c r="W28">
        <f>W24-W27</f>
        <v>128000</v>
      </c>
    </row>
    <row r="29" spans="2:26">
      <c r="B29" s="1" t="s">
        <v>497</v>
      </c>
      <c r="C29" s="1" t="s">
        <v>454</v>
      </c>
      <c r="D29" s="2">
        <v>7500</v>
      </c>
      <c r="E29" s="2"/>
      <c r="G29" s="2">
        <f t="shared" si="0"/>
        <v>7500</v>
      </c>
      <c r="H29" s="9" t="s">
        <v>482</v>
      </c>
      <c r="U29">
        <f>U28*0.97</f>
        <v>123675</v>
      </c>
      <c r="V29" s="29">
        <v>0.03</v>
      </c>
      <c r="W29">
        <f>W28*0.985</f>
        <v>126080</v>
      </c>
      <c r="X29" s="30">
        <v>1.4999999999999999E-2</v>
      </c>
    </row>
    <row r="30" spans="2:26">
      <c r="B30" s="1" t="s">
        <v>497</v>
      </c>
      <c r="C30" s="1"/>
      <c r="D30" s="2"/>
      <c r="E30" s="2"/>
      <c r="F30" s="2">
        <v>40000</v>
      </c>
      <c r="G30" s="2">
        <f t="shared" si="0"/>
        <v>40000</v>
      </c>
      <c r="H30" s="9"/>
      <c r="U30">
        <f>U29*0.8</f>
        <v>98940</v>
      </c>
      <c r="W30">
        <f>W29*0.8</f>
        <v>100864</v>
      </c>
    </row>
    <row r="31" spans="2:26">
      <c r="B31" s="8" t="s">
        <v>475</v>
      </c>
      <c r="C31" s="8" t="s">
        <v>452</v>
      </c>
      <c r="D31" s="2"/>
      <c r="E31" s="2"/>
      <c r="F31" s="2"/>
      <c r="G31" s="2"/>
      <c r="H31" s="9"/>
    </row>
    <row r="32" spans="2:26">
      <c r="B32" s="1" t="s">
        <v>496</v>
      </c>
      <c r="C32" s="1" t="s">
        <v>460</v>
      </c>
      <c r="D32" s="2"/>
      <c r="E32" s="2"/>
      <c r="F32" s="2">
        <v>40000</v>
      </c>
      <c r="G32" s="2">
        <f t="shared" si="0"/>
        <v>40000</v>
      </c>
      <c r="H32" s="9"/>
    </row>
    <row r="33" spans="2:8">
      <c r="B33" s="1" t="s">
        <v>487</v>
      </c>
      <c r="C33" s="1" t="s">
        <v>460</v>
      </c>
      <c r="D33" s="2"/>
      <c r="E33" s="2"/>
      <c r="F33" s="2">
        <v>10000</v>
      </c>
      <c r="G33" s="2">
        <f t="shared" si="0"/>
        <v>10000</v>
      </c>
      <c r="H33" s="9"/>
    </row>
    <row r="34" spans="2:8">
      <c r="B34" s="1" t="s">
        <v>466</v>
      </c>
      <c r="C34" s="1" t="s">
        <v>460</v>
      </c>
      <c r="D34" s="2"/>
      <c r="E34" s="2">
        <v>7500</v>
      </c>
      <c r="F34" s="3"/>
      <c r="G34" s="2">
        <f>SUM(D34:F34)</f>
        <v>7500</v>
      </c>
      <c r="H34" s="9"/>
    </row>
    <row r="35" spans="2:8">
      <c r="B35" s="1" t="s">
        <v>498</v>
      </c>
      <c r="C35" s="1" t="s">
        <v>460</v>
      </c>
      <c r="D35" s="2"/>
      <c r="E35" s="2"/>
      <c r="F35" s="2">
        <v>10000</v>
      </c>
      <c r="G35" s="2">
        <f t="shared" si="0"/>
        <v>10000</v>
      </c>
      <c r="H35" s="9"/>
    </row>
    <row r="36" spans="2:8">
      <c r="B36" s="1" t="s">
        <v>501</v>
      </c>
      <c r="C36" s="1" t="s">
        <v>460</v>
      </c>
      <c r="D36" s="2"/>
      <c r="E36" s="2"/>
      <c r="F36" s="2">
        <v>4158</v>
      </c>
      <c r="G36" s="2">
        <f t="shared" si="0"/>
        <v>4158</v>
      </c>
      <c r="H36" s="9"/>
    </row>
    <row r="37" spans="2:8">
      <c r="B37" s="8" t="s">
        <v>495</v>
      </c>
      <c r="C37" s="8" t="s">
        <v>452</v>
      </c>
      <c r="D37" s="2"/>
      <c r="E37" s="2"/>
      <c r="F37" s="2"/>
      <c r="G37" s="2"/>
      <c r="H37" s="9"/>
    </row>
    <row r="38" spans="2:8">
      <c r="B38" s="1" t="s">
        <v>502</v>
      </c>
      <c r="C38" s="1" t="s">
        <v>454</v>
      </c>
      <c r="D38" s="2">
        <v>8000</v>
      </c>
      <c r="E38" s="2">
        <v>45000</v>
      </c>
      <c r="F38" s="2">
        <v>40000</v>
      </c>
      <c r="G38" s="2">
        <f t="shared" si="0"/>
        <v>93000</v>
      </c>
      <c r="H38" s="9" t="s">
        <v>455</v>
      </c>
    </row>
    <row r="39" spans="2:8">
      <c r="B39" s="1" t="s">
        <v>453</v>
      </c>
      <c r="C39" s="1" t="s">
        <v>454</v>
      </c>
      <c r="D39" s="2">
        <v>3500</v>
      </c>
      <c r="E39" s="2">
        <v>13000</v>
      </c>
      <c r="F39" s="2">
        <v>10000</v>
      </c>
      <c r="G39" s="2">
        <f t="shared" si="0"/>
        <v>26500</v>
      </c>
      <c r="H39" s="9" t="s">
        <v>455</v>
      </c>
    </row>
    <row r="40" spans="2:8">
      <c r="B40" s="1" t="s">
        <v>490</v>
      </c>
      <c r="C40" s="1" t="s">
        <v>454</v>
      </c>
      <c r="D40" s="2">
        <v>3500</v>
      </c>
      <c r="E40" s="2">
        <v>15000</v>
      </c>
      <c r="F40" s="2">
        <v>15000</v>
      </c>
      <c r="G40" s="2">
        <f>SUM(D40:F40)</f>
        <v>33500</v>
      </c>
      <c r="H40" s="9" t="s">
        <v>455</v>
      </c>
    </row>
    <row r="41" spans="2:8">
      <c r="B41" s="1" t="s">
        <v>459</v>
      </c>
      <c r="C41" s="1" t="s">
        <v>460</v>
      </c>
      <c r="D41" s="2"/>
      <c r="E41" s="2"/>
      <c r="F41" s="2"/>
      <c r="G41" s="2"/>
      <c r="H41" s="9"/>
    </row>
    <row r="42" spans="2:8" ht="16" thickBot="1">
      <c r="B42" s="3"/>
      <c r="C42" s="3"/>
      <c r="D42" s="10">
        <f>SUM(D6:D40)</f>
        <v>238984.86</v>
      </c>
      <c r="E42" s="10">
        <f>SUM(E5:E41)</f>
        <v>140500</v>
      </c>
      <c r="F42" s="10">
        <f>SUM(F5:F41)</f>
        <v>169158</v>
      </c>
      <c r="G42" s="10">
        <f>SUM(G6:G40)</f>
        <v>548642.86</v>
      </c>
      <c r="H42" s="9"/>
    </row>
    <row r="43" spans="2:8">
      <c r="B43" s="4"/>
      <c r="C43" s="4"/>
      <c r="D43" s="4"/>
      <c r="E43" s="4"/>
      <c r="F43" s="4"/>
      <c r="G43" s="4"/>
      <c r="H43" s="4"/>
    </row>
  </sheetData>
  <autoFilter ref="B1:Z44" xr:uid="{00000000-0001-0000-0000-000000000000}"/>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0536-7D80-410A-A99A-01AF323F1FD1}">
  <dimension ref="A2:AW44"/>
  <sheetViews>
    <sheetView zoomScale="80" zoomScaleNormal="80" workbookViewId="0">
      <selection activeCell="D8" sqref="D8"/>
    </sheetView>
  </sheetViews>
  <sheetFormatPr baseColWidth="10" defaultColWidth="8.83203125" defaultRowHeight="15"/>
  <cols>
    <col min="1" max="1" width="25.1640625" bestFit="1" customWidth="1"/>
    <col min="2" max="2" width="11.83203125" bestFit="1" customWidth="1"/>
    <col min="3" max="3" width="15.5" customWidth="1"/>
    <col min="4" max="5" width="11.83203125" bestFit="1" customWidth="1"/>
    <col min="6" max="7" width="12" bestFit="1" customWidth="1"/>
    <col min="8" max="8" width="11.83203125" bestFit="1" customWidth="1"/>
    <col min="9" max="9" width="12" bestFit="1" customWidth="1"/>
    <col min="10" max="10" width="11.83203125" bestFit="1" customWidth="1"/>
    <col min="11" max="11" width="12" bestFit="1" customWidth="1"/>
    <col min="12" max="12" width="11.83203125" bestFit="1" customWidth="1"/>
    <col min="13" max="13" width="12" bestFit="1" customWidth="1"/>
    <col min="14" max="14" width="11.83203125" bestFit="1" customWidth="1"/>
    <col min="15" max="18" width="12.83203125" bestFit="1" customWidth="1"/>
    <col min="19" max="19" width="12" bestFit="1" customWidth="1"/>
    <col min="20" max="20" width="11.83203125" bestFit="1" customWidth="1"/>
    <col min="21" max="22" width="12.83203125" bestFit="1" customWidth="1"/>
    <col min="23" max="23" width="12" bestFit="1" customWidth="1"/>
    <col min="24" max="28" width="13.5" bestFit="1" customWidth="1"/>
    <col min="29" max="32" width="10.83203125" bestFit="1" customWidth="1"/>
    <col min="33" max="33" width="11" bestFit="1" customWidth="1"/>
    <col min="34" max="36" width="10.83203125" bestFit="1" customWidth="1"/>
    <col min="37" max="37" width="11" bestFit="1" customWidth="1"/>
    <col min="38" max="41" width="10.83203125" bestFit="1" customWidth="1"/>
    <col min="42" max="42" width="11" bestFit="1" customWidth="1"/>
    <col min="43" max="49" width="10.83203125" bestFit="1" customWidth="1"/>
  </cols>
  <sheetData>
    <row r="2" spans="1:49" ht="24">
      <c r="A2" s="104" t="s">
        <v>580</v>
      </c>
      <c r="B2" s="104"/>
      <c r="C2" s="104"/>
      <c r="D2" s="105"/>
      <c r="E2" s="105"/>
    </row>
    <row r="4" spans="1:49">
      <c r="A4" s="106" t="s">
        <v>581</v>
      </c>
      <c r="B4" s="107">
        <v>44926</v>
      </c>
      <c r="C4" s="107">
        <v>44568</v>
      </c>
      <c r="D4" s="107">
        <f>C4+7</f>
        <v>44575</v>
      </c>
      <c r="E4" s="107">
        <f t="shared" ref="E4:AP4" si="0">D4+7</f>
        <v>44582</v>
      </c>
      <c r="F4" s="107">
        <f t="shared" si="0"/>
        <v>44589</v>
      </c>
      <c r="G4" s="107">
        <f t="shared" si="0"/>
        <v>44596</v>
      </c>
      <c r="H4" s="107">
        <f t="shared" si="0"/>
        <v>44603</v>
      </c>
      <c r="I4" s="107">
        <f t="shared" si="0"/>
        <v>44610</v>
      </c>
      <c r="J4" s="107">
        <f t="shared" si="0"/>
        <v>44617</v>
      </c>
      <c r="K4" s="107">
        <f t="shared" si="0"/>
        <v>44624</v>
      </c>
      <c r="L4" s="107">
        <f t="shared" si="0"/>
        <v>44631</v>
      </c>
      <c r="M4" s="107">
        <f t="shared" si="0"/>
        <v>44638</v>
      </c>
      <c r="N4" s="107">
        <f t="shared" si="0"/>
        <v>44645</v>
      </c>
      <c r="O4" s="107">
        <f t="shared" si="0"/>
        <v>44652</v>
      </c>
      <c r="P4" s="107">
        <f t="shared" si="0"/>
        <v>44659</v>
      </c>
      <c r="Q4" s="107">
        <f t="shared" si="0"/>
        <v>44666</v>
      </c>
      <c r="R4" s="107">
        <f t="shared" si="0"/>
        <v>44673</v>
      </c>
      <c r="S4" s="107">
        <f t="shared" si="0"/>
        <v>44680</v>
      </c>
      <c r="T4" s="107">
        <f t="shared" si="0"/>
        <v>44687</v>
      </c>
      <c r="U4" s="107">
        <f t="shared" si="0"/>
        <v>44694</v>
      </c>
      <c r="V4" s="107">
        <f t="shared" si="0"/>
        <v>44701</v>
      </c>
      <c r="W4" s="107">
        <f t="shared" si="0"/>
        <v>44708</v>
      </c>
      <c r="X4" s="107">
        <f t="shared" si="0"/>
        <v>44715</v>
      </c>
      <c r="Y4" s="107">
        <f t="shared" si="0"/>
        <v>44722</v>
      </c>
      <c r="Z4" s="107">
        <f t="shared" si="0"/>
        <v>44729</v>
      </c>
      <c r="AA4" s="107">
        <f t="shared" si="0"/>
        <v>44736</v>
      </c>
      <c r="AB4" s="107">
        <f t="shared" si="0"/>
        <v>44743</v>
      </c>
      <c r="AC4" s="108">
        <f t="shared" si="0"/>
        <v>44750</v>
      </c>
      <c r="AD4" s="108">
        <f t="shared" si="0"/>
        <v>44757</v>
      </c>
      <c r="AE4" s="108">
        <f t="shared" si="0"/>
        <v>44764</v>
      </c>
      <c r="AF4" s="108">
        <f t="shared" si="0"/>
        <v>44771</v>
      </c>
      <c r="AG4" s="108">
        <f t="shared" si="0"/>
        <v>44778</v>
      </c>
      <c r="AH4" s="108">
        <f t="shared" si="0"/>
        <v>44785</v>
      </c>
      <c r="AI4" s="108">
        <f t="shared" si="0"/>
        <v>44792</v>
      </c>
      <c r="AJ4" s="108">
        <f t="shared" si="0"/>
        <v>44799</v>
      </c>
      <c r="AK4" s="108">
        <f t="shared" si="0"/>
        <v>44806</v>
      </c>
      <c r="AL4" s="108">
        <f t="shared" si="0"/>
        <v>44813</v>
      </c>
      <c r="AM4" s="108">
        <f t="shared" si="0"/>
        <v>44820</v>
      </c>
      <c r="AN4" s="108">
        <f t="shared" si="0"/>
        <v>44827</v>
      </c>
      <c r="AO4" s="108">
        <f t="shared" si="0"/>
        <v>44834</v>
      </c>
      <c r="AP4" s="108">
        <f t="shared" si="0"/>
        <v>44841</v>
      </c>
      <c r="AQ4" s="109"/>
      <c r="AR4" s="109"/>
      <c r="AS4" s="109"/>
      <c r="AT4" s="109"/>
      <c r="AU4" s="109"/>
      <c r="AV4" s="109"/>
      <c r="AW4" s="109"/>
    </row>
    <row r="5" spans="1:49">
      <c r="A5" s="110" t="s">
        <v>582</v>
      </c>
      <c r="B5" s="111">
        <v>212101</v>
      </c>
      <c r="C5" s="111">
        <f>B5</f>
        <v>212101</v>
      </c>
      <c r="D5" s="111">
        <f>C36</f>
        <v>117616.98000000001</v>
      </c>
      <c r="E5" s="111">
        <f t="shared" ref="E5:AB5" si="1">D36</f>
        <v>251351.22999999998</v>
      </c>
      <c r="F5" s="111">
        <f t="shared" si="1"/>
        <v>195643.22999999998</v>
      </c>
      <c r="G5" s="111">
        <f t="shared" si="1"/>
        <v>367758.38</v>
      </c>
      <c r="H5" s="111">
        <f t="shared" si="1"/>
        <v>287218.38</v>
      </c>
      <c r="I5" s="111">
        <f t="shared" si="1"/>
        <v>497257.58999999997</v>
      </c>
      <c r="J5" s="111">
        <f t="shared" si="1"/>
        <v>426549.58999999997</v>
      </c>
      <c r="K5" s="111">
        <f t="shared" si="1"/>
        <v>543716.59</v>
      </c>
      <c r="L5" s="111">
        <f t="shared" si="1"/>
        <v>443176.58999999997</v>
      </c>
      <c r="M5" s="111">
        <f t="shared" si="1"/>
        <v>334544.80999999994</v>
      </c>
      <c r="N5" s="111">
        <f t="shared" si="1"/>
        <v>593836.80999999994</v>
      </c>
      <c r="O5" s="111">
        <f t="shared" si="1"/>
        <v>550628.80999999994</v>
      </c>
      <c r="P5" s="111">
        <f t="shared" si="1"/>
        <v>804088.80999999994</v>
      </c>
      <c r="Q5" s="111">
        <f t="shared" si="1"/>
        <v>725457.02999999991</v>
      </c>
      <c r="R5" s="111">
        <f t="shared" si="1"/>
        <v>654749.02999999991</v>
      </c>
      <c r="S5" s="111">
        <f t="shared" si="1"/>
        <v>584041.02999999991</v>
      </c>
      <c r="T5" s="111">
        <f t="shared" si="1"/>
        <v>490833.02999999991</v>
      </c>
      <c r="U5" s="111">
        <f t="shared" si="1"/>
        <v>437703.24999999988</v>
      </c>
      <c r="V5" s="111">
        <f t="shared" si="1"/>
        <v>390334.4499999999</v>
      </c>
      <c r="W5" s="111">
        <f t="shared" si="1"/>
        <v>374460.4499999999</v>
      </c>
      <c r="X5" s="111">
        <f t="shared" si="1"/>
        <v>324591.64999999991</v>
      </c>
      <c r="Y5" s="111">
        <f t="shared" si="1"/>
        <v>251461.86999999991</v>
      </c>
      <c r="Z5" s="111">
        <f t="shared" si="1"/>
        <v>204093.06999999989</v>
      </c>
      <c r="AA5" s="111">
        <f t="shared" si="1"/>
        <v>188219.06999999989</v>
      </c>
      <c r="AB5" s="111">
        <f t="shared" si="1"/>
        <v>138350.2699999999</v>
      </c>
      <c r="AC5" s="46"/>
      <c r="AD5" s="46"/>
      <c r="AE5" s="46"/>
      <c r="AF5" s="46"/>
      <c r="AG5" s="46"/>
      <c r="AH5" s="46"/>
      <c r="AI5" s="46"/>
      <c r="AJ5" s="46"/>
      <c r="AK5" s="46"/>
      <c r="AL5" s="46"/>
      <c r="AM5" s="46"/>
      <c r="AN5" s="46"/>
      <c r="AO5" s="46"/>
      <c r="AP5" s="46"/>
    </row>
    <row r="6" spans="1:49">
      <c r="A6" s="112"/>
      <c r="B6" s="113"/>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row>
    <row r="7" spans="1:49" ht="19">
      <c r="A7" s="114" t="s">
        <v>583</v>
      </c>
      <c r="B7" s="113"/>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row>
    <row r="8" spans="1:49">
      <c r="A8" s="112" t="s">
        <v>584</v>
      </c>
      <c r="B8" s="113"/>
      <c r="C8" s="46">
        <v>64633</v>
      </c>
      <c r="D8" s="46">
        <f>'[1]Sales and Purchases Forecast'!E54</f>
        <v>252000</v>
      </c>
      <c r="E8" s="46"/>
      <c r="F8" s="46">
        <f>'[1]Sales and Purchases Forecast'!G54</f>
        <v>347000</v>
      </c>
      <c r="G8" s="46"/>
      <c r="H8" s="46">
        <f>'[1]Sales and Purchases Forecast'!I54</f>
        <v>330000</v>
      </c>
      <c r="I8" s="46"/>
      <c r="J8" s="46">
        <f>'[1]Sales and Purchases Forecast'!K54</f>
        <v>320000</v>
      </c>
      <c r="K8" s="46"/>
      <c r="L8" s="46"/>
      <c r="M8" s="46">
        <f>'[1]Sales and Purchases Forecast'!N54</f>
        <v>330000</v>
      </c>
      <c r="N8" s="46"/>
      <c r="O8" s="46">
        <f>'[1]Sales and Purchases Forecast'!P54</f>
        <v>375000</v>
      </c>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row>
    <row r="9" spans="1:49">
      <c r="A9" s="112" t="s">
        <v>585</v>
      </c>
      <c r="B9" s="113"/>
      <c r="C9" s="46"/>
      <c r="D9" s="46"/>
      <c r="E9" s="46"/>
      <c r="F9" s="46">
        <v>82000</v>
      </c>
      <c r="G9" s="46"/>
      <c r="H9" s="46"/>
      <c r="I9" s="46"/>
      <c r="J9" s="46"/>
      <c r="K9" s="46"/>
      <c r="L9" s="46"/>
      <c r="M9" s="46"/>
      <c r="N9" s="46">
        <v>30000</v>
      </c>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row>
    <row r="10" spans="1:49">
      <c r="A10" s="112" t="s">
        <v>586</v>
      </c>
      <c r="B10" s="113"/>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row>
    <row r="11" spans="1:49">
      <c r="A11" s="112"/>
      <c r="B11" s="113"/>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row>
    <row r="12" spans="1:49" ht="16" thickBot="1">
      <c r="A12" s="115" t="s">
        <v>587</v>
      </c>
      <c r="B12" s="113"/>
      <c r="C12" s="116">
        <f>SUM(C8:C11)</f>
        <v>64633</v>
      </c>
      <c r="D12" s="116">
        <f>SUM(D8:D11)</f>
        <v>252000</v>
      </c>
      <c r="E12" s="116"/>
      <c r="F12" s="116">
        <f t="shared" ref="F12:AB12" si="2">SUM(F8:F11)</f>
        <v>429000</v>
      </c>
      <c r="G12" s="116"/>
      <c r="H12" s="116">
        <f t="shared" si="2"/>
        <v>330000</v>
      </c>
      <c r="I12" s="116"/>
      <c r="J12" s="116">
        <f t="shared" si="2"/>
        <v>320000</v>
      </c>
      <c r="K12" s="116"/>
      <c r="L12" s="116"/>
      <c r="M12" s="116">
        <f t="shared" si="2"/>
        <v>330000</v>
      </c>
      <c r="N12" s="116">
        <f t="shared" si="2"/>
        <v>30000</v>
      </c>
      <c r="O12" s="116">
        <f t="shared" si="2"/>
        <v>375000</v>
      </c>
      <c r="P12" s="116"/>
      <c r="Q12" s="116"/>
      <c r="R12" s="116"/>
      <c r="S12" s="116"/>
      <c r="T12" s="116">
        <f t="shared" si="2"/>
        <v>0</v>
      </c>
      <c r="U12" s="116">
        <f t="shared" si="2"/>
        <v>0</v>
      </c>
      <c r="V12" s="116">
        <f t="shared" si="2"/>
        <v>0</v>
      </c>
      <c r="W12" s="116">
        <f t="shared" si="2"/>
        <v>0</v>
      </c>
      <c r="X12" s="116">
        <f t="shared" si="2"/>
        <v>0</v>
      </c>
      <c r="Y12" s="116">
        <f t="shared" si="2"/>
        <v>0</v>
      </c>
      <c r="Z12" s="116">
        <f t="shared" si="2"/>
        <v>0</v>
      </c>
      <c r="AA12" s="116">
        <f t="shared" si="2"/>
        <v>0</v>
      </c>
      <c r="AB12" s="116">
        <f t="shared" si="2"/>
        <v>0</v>
      </c>
      <c r="AC12" s="116"/>
      <c r="AD12" s="116"/>
      <c r="AE12" s="116"/>
      <c r="AF12" s="116"/>
      <c r="AG12" s="116"/>
      <c r="AH12" s="116"/>
      <c r="AI12" s="116"/>
      <c r="AJ12" s="116"/>
      <c r="AK12" s="116"/>
      <c r="AL12" s="116"/>
      <c r="AM12" s="116"/>
      <c r="AN12" s="116"/>
      <c r="AO12" s="116"/>
      <c r="AP12" s="116"/>
    </row>
    <row r="13" spans="1:49">
      <c r="A13" s="70"/>
      <c r="B13" s="113"/>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row>
    <row r="14" spans="1:49" ht="19">
      <c r="A14" s="114" t="s">
        <v>588</v>
      </c>
      <c r="B14" s="113"/>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row>
    <row r="15" spans="1:49">
      <c r="A15" s="117"/>
      <c r="B15" s="113"/>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row>
    <row r="16" spans="1:49">
      <c r="A16" s="81" t="s">
        <v>589</v>
      </c>
      <c r="B16" s="113"/>
      <c r="C16" s="46">
        <v>136409.01999999999</v>
      </c>
      <c r="D16" s="46">
        <v>73133.97</v>
      </c>
      <c r="E16" s="46"/>
      <c r="F16" s="46">
        <v>92288.85</v>
      </c>
      <c r="G16" s="46"/>
      <c r="H16" s="46">
        <v>41329.01</v>
      </c>
      <c r="I16" s="46"/>
      <c r="J16" s="46">
        <v>90000</v>
      </c>
      <c r="K16" s="46"/>
      <c r="L16" s="46">
        <v>30000</v>
      </c>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row>
    <row r="17" spans="1:42">
      <c r="A17" s="112"/>
      <c r="B17" s="113"/>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row>
    <row r="18" spans="1:42">
      <c r="A18" s="118" t="s">
        <v>590</v>
      </c>
      <c r="B18" s="113"/>
      <c r="C18" s="46"/>
      <c r="D18" s="46"/>
      <c r="E18" s="46"/>
      <c r="F18" s="46"/>
      <c r="G18" s="46">
        <v>1500</v>
      </c>
      <c r="H18" s="46"/>
      <c r="I18" s="46"/>
      <c r="J18" s="46"/>
      <c r="K18" s="46">
        <v>1500</v>
      </c>
      <c r="L18" s="46"/>
      <c r="M18" s="46"/>
      <c r="N18" s="46"/>
      <c r="O18" s="46">
        <v>1500</v>
      </c>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row>
    <row r="19" spans="1:42">
      <c r="A19" s="118" t="s">
        <v>591</v>
      </c>
      <c r="B19" s="113"/>
      <c r="C19" s="46"/>
      <c r="D19" s="46"/>
      <c r="E19" s="46"/>
      <c r="F19" s="46"/>
      <c r="G19" s="46">
        <v>500</v>
      </c>
      <c r="H19" s="46"/>
      <c r="I19" s="46"/>
      <c r="J19" s="46"/>
      <c r="K19" s="46">
        <v>500</v>
      </c>
      <c r="L19" s="46"/>
      <c r="M19" s="46"/>
      <c r="N19" s="46"/>
      <c r="O19" s="46">
        <v>500</v>
      </c>
      <c r="P19" s="46"/>
      <c r="Q19" s="46"/>
      <c r="R19" s="46"/>
      <c r="S19" s="46"/>
      <c r="T19" s="46">
        <v>500</v>
      </c>
      <c r="U19" s="46"/>
      <c r="V19" s="46"/>
      <c r="W19" s="46"/>
      <c r="X19" s="46">
        <v>500</v>
      </c>
      <c r="Y19" s="46"/>
      <c r="Z19" s="46"/>
      <c r="AA19" s="46"/>
      <c r="AB19" s="46">
        <v>500</v>
      </c>
      <c r="AC19" s="46"/>
      <c r="AD19" s="46"/>
      <c r="AE19" s="46"/>
      <c r="AF19" s="46"/>
      <c r="AG19" s="46">
        <v>500</v>
      </c>
      <c r="AH19" s="46"/>
      <c r="AI19" s="46"/>
      <c r="AJ19" s="46"/>
      <c r="AK19" s="46">
        <v>500</v>
      </c>
      <c r="AL19" s="46"/>
      <c r="AM19" s="46"/>
      <c r="AN19" s="46"/>
      <c r="AO19" s="46"/>
      <c r="AP19" s="46">
        <v>500</v>
      </c>
    </row>
    <row r="20" spans="1:42">
      <c r="A20" s="118" t="s">
        <v>552</v>
      </c>
      <c r="B20" s="113"/>
      <c r="C20" s="46"/>
      <c r="D20" s="46"/>
      <c r="E20" s="46"/>
      <c r="F20" s="46"/>
      <c r="G20" s="119">
        <v>1082</v>
      </c>
      <c r="H20" s="46"/>
      <c r="I20" s="46"/>
      <c r="J20" s="46"/>
      <c r="K20" s="119">
        <v>1082</v>
      </c>
      <c r="L20" s="46"/>
      <c r="M20" s="46"/>
      <c r="N20" s="46"/>
      <c r="O20" s="119">
        <v>1082</v>
      </c>
      <c r="P20" s="46"/>
      <c r="Q20" s="46"/>
      <c r="R20" s="46"/>
      <c r="S20" s="46"/>
      <c r="T20" s="119">
        <v>1082</v>
      </c>
      <c r="U20" s="46"/>
      <c r="V20" s="46"/>
      <c r="W20" s="46"/>
      <c r="X20" s="119">
        <v>1082</v>
      </c>
      <c r="Y20" s="46"/>
      <c r="Z20" s="46"/>
      <c r="AA20" s="46"/>
      <c r="AB20" s="119">
        <v>1082</v>
      </c>
      <c r="AC20" s="46"/>
      <c r="AD20" s="46"/>
      <c r="AE20" s="46"/>
      <c r="AF20" s="46"/>
      <c r="AG20" s="119">
        <v>1082</v>
      </c>
      <c r="AH20" s="46"/>
      <c r="AI20" s="46"/>
      <c r="AJ20" s="46"/>
      <c r="AK20" s="119">
        <v>1082</v>
      </c>
      <c r="AL20" s="46"/>
      <c r="AM20" s="46"/>
      <c r="AN20" s="46"/>
      <c r="AO20" s="46"/>
      <c r="AP20" s="119">
        <v>1082</v>
      </c>
    </row>
    <row r="21" spans="1:42">
      <c r="A21" s="118" t="s">
        <v>545</v>
      </c>
      <c r="B21" s="113"/>
      <c r="C21" s="46"/>
      <c r="D21" s="46"/>
      <c r="E21" s="46"/>
      <c r="F21" s="46"/>
      <c r="G21" s="119">
        <v>1500</v>
      </c>
      <c r="H21" s="46"/>
      <c r="I21" s="46"/>
      <c r="J21" s="46"/>
      <c r="K21" s="119">
        <v>1500</v>
      </c>
      <c r="L21" s="46"/>
      <c r="M21" s="46"/>
      <c r="N21" s="46"/>
      <c r="O21" s="119">
        <v>1500</v>
      </c>
      <c r="P21" s="46"/>
      <c r="Q21" s="46"/>
      <c r="R21" s="46"/>
      <c r="S21" s="46"/>
      <c r="T21" s="119">
        <v>1500</v>
      </c>
      <c r="U21" s="46"/>
      <c r="V21" s="46"/>
      <c r="W21" s="46"/>
      <c r="X21" s="119">
        <v>1500</v>
      </c>
      <c r="Y21" s="46"/>
      <c r="Z21" s="46"/>
      <c r="AA21" s="46"/>
      <c r="AB21" s="119">
        <v>1500</v>
      </c>
      <c r="AC21" s="46"/>
      <c r="AD21" s="46"/>
      <c r="AE21" s="46"/>
      <c r="AF21" s="46"/>
      <c r="AG21" s="119">
        <v>1500</v>
      </c>
      <c r="AH21" s="46"/>
      <c r="AI21" s="46"/>
      <c r="AJ21" s="46"/>
      <c r="AK21" s="119">
        <v>1500</v>
      </c>
      <c r="AL21" s="46"/>
      <c r="AM21" s="46"/>
      <c r="AN21" s="46"/>
      <c r="AO21" s="46"/>
      <c r="AP21" s="119">
        <v>1500</v>
      </c>
    </row>
    <row r="22" spans="1:42">
      <c r="A22" s="118" t="s">
        <v>547</v>
      </c>
      <c r="B22" s="113"/>
      <c r="C22" s="46"/>
      <c r="D22" s="46"/>
      <c r="E22" s="46"/>
      <c r="F22" s="46"/>
      <c r="G22" s="119">
        <v>2000</v>
      </c>
      <c r="H22" s="46"/>
      <c r="I22" s="46"/>
      <c r="J22" s="46"/>
      <c r="K22" s="119">
        <v>2000</v>
      </c>
      <c r="L22" s="46"/>
      <c r="M22" s="46"/>
      <c r="N22" s="46"/>
      <c r="O22" s="119">
        <v>2000</v>
      </c>
      <c r="P22" s="46"/>
      <c r="Q22" s="46"/>
      <c r="R22" s="46"/>
      <c r="S22" s="46"/>
      <c r="T22" s="119">
        <v>2000</v>
      </c>
      <c r="U22" s="46"/>
      <c r="V22" s="46"/>
      <c r="W22" s="46"/>
      <c r="X22" s="119">
        <v>2000</v>
      </c>
      <c r="Y22" s="46"/>
      <c r="Z22" s="46"/>
      <c r="AA22" s="46"/>
      <c r="AB22" s="119">
        <v>2000</v>
      </c>
      <c r="AC22" s="46"/>
      <c r="AD22" s="46"/>
      <c r="AE22" s="46"/>
      <c r="AF22" s="46"/>
      <c r="AG22" s="119">
        <v>2000</v>
      </c>
      <c r="AH22" s="46"/>
      <c r="AI22" s="46"/>
      <c r="AJ22" s="46"/>
      <c r="AK22" s="119">
        <v>2000</v>
      </c>
      <c r="AL22" s="46"/>
      <c r="AM22" s="46"/>
      <c r="AN22" s="46"/>
      <c r="AO22" s="46"/>
      <c r="AP22" s="119">
        <v>2000</v>
      </c>
    </row>
    <row r="23" spans="1:42">
      <c r="A23" s="118" t="s">
        <v>592</v>
      </c>
      <c r="B23" s="113"/>
      <c r="C23" s="46"/>
      <c r="D23" s="46"/>
      <c r="E23" s="46"/>
      <c r="F23" s="46"/>
      <c r="G23" s="119">
        <v>1500</v>
      </c>
      <c r="H23" s="46"/>
      <c r="I23" s="46"/>
      <c r="J23" s="46"/>
      <c r="K23" s="119">
        <v>1500</v>
      </c>
      <c r="L23" s="46"/>
      <c r="M23" s="46"/>
      <c r="N23" s="46"/>
      <c r="O23" s="119">
        <v>1500</v>
      </c>
      <c r="P23" s="46"/>
      <c r="Q23" s="46"/>
      <c r="R23" s="46"/>
      <c r="S23" s="46"/>
      <c r="T23" s="119">
        <v>1500</v>
      </c>
      <c r="U23" s="46"/>
      <c r="V23" s="46"/>
      <c r="W23" s="46"/>
      <c r="X23" s="119">
        <v>1500</v>
      </c>
      <c r="Y23" s="46"/>
      <c r="Z23" s="46"/>
      <c r="AA23" s="46"/>
      <c r="AB23" s="119">
        <v>1500</v>
      </c>
      <c r="AC23" s="46"/>
      <c r="AD23" s="46"/>
      <c r="AE23" s="46"/>
      <c r="AF23" s="46"/>
      <c r="AG23" s="119">
        <v>1500</v>
      </c>
      <c r="AH23" s="46"/>
      <c r="AI23" s="46"/>
      <c r="AJ23" s="46"/>
      <c r="AK23" s="119">
        <v>1500</v>
      </c>
      <c r="AL23" s="46"/>
      <c r="AM23" s="46"/>
      <c r="AN23" s="46"/>
      <c r="AO23" s="46"/>
      <c r="AP23" s="119">
        <v>1500</v>
      </c>
    </row>
    <row r="24" spans="1:42">
      <c r="A24" s="118" t="s">
        <v>593</v>
      </c>
      <c r="B24" s="113"/>
      <c r="C24" s="46"/>
      <c r="D24" s="46"/>
      <c r="E24" s="46"/>
      <c r="F24" s="46"/>
      <c r="G24" s="119">
        <v>1600</v>
      </c>
      <c r="H24" s="46"/>
      <c r="I24" s="46"/>
      <c r="J24" s="46"/>
      <c r="K24" s="119">
        <v>1600</v>
      </c>
      <c r="L24" s="46"/>
      <c r="M24" s="46"/>
      <c r="N24" s="46"/>
      <c r="O24" s="119">
        <v>1600</v>
      </c>
      <c r="P24" s="46"/>
      <c r="Q24" s="46"/>
      <c r="R24" s="46"/>
      <c r="S24" s="46"/>
      <c r="T24" s="119">
        <v>1600</v>
      </c>
      <c r="U24" s="46"/>
      <c r="V24" s="46"/>
      <c r="W24" s="46"/>
      <c r="X24" s="119">
        <v>1600</v>
      </c>
      <c r="Y24" s="46"/>
      <c r="Z24" s="46"/>
      <c r="AA24" s="46"/>
      <c r="AB24" s="119">
        <v>1600</v>
      </c>
      <c r="AC24" s="46"/>
      <c r="AD24" s="46"/>
      <c r="AE24" s="46"/>
      <c r="AF24" s="46"/>
      <c r="AG24" s="119">
        <v>1600</v>
      </c>
      <c r="AH24" s="46"/>
      <c r="AI24" s="46"/>
      <c r="AJ24" s="46"/>
      <c r="AK24" s="119">
        <v>1600</v>
      </c>
      <c r="AL24" s="46"/>
      <c r="AM24" s="46"/>
      <c r="AN24" s="46"/>
      <c r="AO24" s="46"/>
      <c r="AP24" s="119">
        <v>1600</v>
      </c>
    </row>
    <row r="25" spans="1:42">
      <c r="A25" s="118" t="s">
        <v>594</v>
      </c>
      <c r="B25" s="113"/>
      <c r="C25" s="46"/>
      <c r="D25" s="46"/>
      <c r="E25" s="46"/>
      <c r="F25" s="46"/>
      <c r="G25" s="119">
        <v>0</v>
      </c>
      <c r="H25" s="46"/>
      <c r="I25" s="46"/>
      <c r="J25" s="46"/>
      <c r="K25" s="119">
        <v>0</v>
      </c>
      <c r="L25" s="46"/>
      <c r="M25" s="46"/>
      <c r="N25" s="46"/>
      <c r="O25" s="119">
        <v>0</v>
      </c>
      <c r="P25" s="46"/>
      <c r="Q25" s="46"/>
      <c r="R25" s="46"/>
      <c r="S25" s="46"/>
      <c r="T25" s="119">
        <v>0</v>
      </c>
      <c r="U25" s="46"/>
      <c r="V25" s="46"/>
      <c r="W25" s="46"/>
      <c r="X25" s="119">
        <v>0</v>
      </c>
      <c r="Y25" s="46"/>
      <c r="Z25" s="46"/>
      <c r="AA25" s="46"/>
      <c r="AB25" s="119">
        <v>0</v>
      </c>
      <c r="AC25" s="46"/>
      <c r="AD25" s="46"/>
      <c r="AE25" s="46"/>
      <c r="AF25" s="46"/>
      <c r="AG25" s="119">
        <v>0</v>
      </c>
      <c r="AH25" s="46"/>
      <c r="AI25" s="46"/>
      <c r="AJ25" s="46"/>
      <c r="AK25" s="119">
        <v>0</v>
      </c>
      <c r="AL25" s="46"/>
      <c r="AM25" s="46"/>
      <c r="AN25" s="46"/>
      <c r="AO25" s="46"/>
      <c r="AP25" s="119">
        <v>0</v>
      </c>
    </row>
    <row r="26" spans="1:42">
      <c r="A26" s="118" t="s">
        <v>595</v>
      </c>
      <c r="B26" s="113"/>
      <c r="C26" s="46"/>
      <c r="D26" s="46"/>
      <c r="E26" s="46"/>
      <c r="F26" s="46"/>
      <c r="G26" s="119">
        <v>150</v>
      </c>
      <c r="H26" s="46"/>
      <c r="I26" s="46"/>
      <c r="J26" s="46"/>
      <c r="K26" s="119">
        <v>150</v>
      </c>
      <c r="L26" s="46"/>
      <c r="M26" s="46"/>
      <c r="N26" s="46"/>
      <c r="O26" s="119">
        <v>150</v>
      </c>
      <c r="P26" s="46"/>
      <c r="Q26" s="46"/>
      <c r="R26" s="46"/>
      <c r="S26" s="46"/>
      <c r="T26" s="119">
        <v>150</v>
      </c>
      <c r="U26" s="46"/>
      <c r="V26" s="46"/>
      <c r="W26" s="46"/>
      <c r="X26" s="119">
        <v>150</v>
      </c>
      <c r="Y26" s="46"/>
      <c r="Z26" s="46"/>
      <c r="AA26" s="46"/>
      <c r="AB26" s="119">
        <v>150</v>
      </c>
      <c r="AC26" s="46"/>
      <c r="AD26" s="46"/>
      <c r="AE26" s="46"/>
      <c r="AF26" s="46"/>
      <c r="AG26" s="119">
        <v>150</v>
      </c>
      <c r="AH26" s="46"/>
      <c r="AI26" s="46"/>
      <c r="AJ26" s="46"/>
      <c r="AK26" s="119">
        <v>150</v>
      </c>
      <c r="AL26" s="46"/>
      <c r="AM26" s="46"/>
      <c r="AN26" s="46"/>
      <c r="AO26" s="46"/>
      <c r="AP26" s="119">
        <v>150</v>
      </c>
    </row>
    <row r="27" spans="1:42">
      <c r="A27" s="118" t="s">
        <v>596</v>
      </c>
      <c r="B27" s="113"/>
      <c r="C27" s="46">
        <v>10708</v>
      </c>
      <c r="D27" s="120">
        <v>18631.78</v>
      </c>
      <c r="E27" s="46">
        <v>10708</v>
      </c>
      <c r="F27" s="46">
        <v>10708</v>
      </c>
      <c r="G27" s="46">
        <v>10708</v>
      </c>
      <c r="H27" s="120">
        <v>18631.78</v>
      </c>
      <c r="I27" s="46">
        <v>10708</v>
      </c>
      <c r="J27" s="46">
        <v>10708</v>
      </c>
      <c r="K27" s="46">
        <v>10708</v>
      </c>
      <c r="L27" s="120">
        <v>18631.78</v>
      </c>
      <c r="M27" s="46">
        <v>10708</v>
      </c>
      <c r="N27" s="46">
        <v>10708</v>
      </c>
      <c r="O27" s="46">
        <v>10708</v>
      </c>
      <c r="P27" s="120">
        <v>18631.78</v>
      </c>
      <c r="Q27" s="46">
        <v>10708</v>
      </c>
      <c r="R27" s="46">
        <v>10708</v>
      </c>
      <c r="S27" s="46">
        <v>10708</v>
      </c>
      <c r="T27" s="120">
        <v>18631.78</v>
      </c>
      <c r="U27" s="46">
        <v>10708</v>
      </c>
      <c r="V27" s="46">
        <v>10708</v>
      </c>
      <c r="W27" s="46">
        <v>10708</v>
      </c>
      <c r="X27" s="120">
        <v>18631.78</v>
      </c>
      <c r="Y27" s="46">
        <v>10708</v>
      </c>
      <c r="Z27" s="46">
        <v>10708</v>
      </c>
      <c r="AA27" s="46">
        <v>10708</v>
      </c>
      <c r="AB27" s="120">
        <v>18631.78</v>
      </c>
      <c r="AC27" s="46"/>
      <c r="AD27" s="46"/>
      <c r="AE27" s="46"/>
      <c r="AF27" s="46"/>
      <c r="AG27" s="46"/>
      <c r="AH27" s="46"/>
      <c r="AI27" s="46"/>
      <c r="AJ27" s="46"/>
      <c r="AK27" s="46"/>
      <c r="AL27" s="46"/>
      <c r="AM27" s="46"/>
      <c r="AN27" s="46"/>
      <c r="AO27" s="46"/>
      <c r="AP27" s="46"/>
    </row>
    <row r="28" spans="1:42">
      <c r="A28" s="118" t="s">
        <v>597</v>
      </c>
      <c r="B28" s="113"/>
      <c r="C28" s="46"/>
      <c r="D28" s="46"/>
      <c r="E28" s="46"/>
      <c r="F28" s="119">
        <v>20000</v>
      </c>
      <c r="H28" s="46"/>
      <c r="I28" s="46"/>
      <c r="J28" s="46"/>
      <c r="K28" s="46">
        <v>20000</v>
      </c>
      <c r="L28" s="46"/>
      <c r="M28" s="46"/>
      <c r="N28" s="46"/>
      <c r="O28" s="46">
        <v>20000</v>
      </c>
      <c r="P28" s="46"/>
      <c r="Q28" s="46"/>
      <c r="R28" s="46"/>
      <c r="S28" s="46">
        <v>20000</v>
      </c>
      <c r="U28" s="46"/>
      <c r="V28" s="46"/>
      <c r="W28" s="46"/>
      <c r="X28" s="46">
        <v>20000</v>
      </c>
      <c r="Y28" s="46"/>
      <c r="Z28" s="46"/>
      <c r="AA28" s="46"/>
      <c r="AB28" s="46">
        <v>20000</v>
      </c>
      <c r="AC28" s="46"/>
      <c r="AD28" s="46"/>
      <c r="AE28" s="46"/>
      <c r="AF28" s="46"/>
      <c r="AG28" s="46">
        <v>20000</v>
      </c>
      <c r="AH28" s="46"/>
      <c r="AI28" s="46"/>
      <c r="AJ28" s="46"/>
      <c r="AK28" s="46">
        <v>20000</v>
      </c>
      <c r="AL28" s="46"/>
      <c r="AM28" s="46"/>
      <c r="AN28" s="46"/>
      <c r="AO28" s="46"/>
      <c r="AP28" s="46">
        <v>20000</v>
      </c>
    </row>
    <row r="29" spans="1:42">
      <c r="A29" s="118" t="s">
        <v>572</v>
      </c>
      <c r="B29" s="113"/>
      <c r="C29" s="46">
        <v>12000</v>
      </c>
      <c r="D29" s="46">
        <v>26500</v>
      </c>
      <c r="E29" s="46">
        <v>45000</v>
      </c>
      <c r="F29" s="46">
        <v>60000</v>
      </c>
      <c r="G29" s="46">
        <v>60000</v>
      </c>
      <c r="H29" s="46">
        <v>60000</v>
      </c>
      <c r="I29" s="46">
        <v>60000</v>
      </c>
      <c r="J29" s="46">
        <v>60000</v>
      </c>
      <c r="K29" s="46">
        <v>60000</v>
      </c>
      <c r="L29" s="46">
        <v>60000</v>
      </c>
      <c r="M29" s="46">
        <v>60000</v>
      </c>
      <c r="N29" s="46">
        <v>60000</v>
      </c>
      <c r="O29" s="46">
        <v>60000</v>
      </c>
      <c r="P29" s="46">
        <v>60000</v>
      </c>
      <c r="Q29" s="46">
        <v>60000</v>
      </c>
      <c r="R29" s="46">
        <v>60000</v>
      </c>
      <c r="S29" s="46">
        <v>60000</v>
      </c>
      <c r="T29" s="46">
        <v>5166</v>
      </c>
      <c r="U29" s="119">
        <v>36660.800000000003</v>
      </c>
      <c r="V29" s="46">
        <v>5166</v>
      </c>
      <c r="W29" s="119">
        <v>36660.800000000003</v>
      </c>
      <c r="X29" s="46">
        <v>5166</v>
      </c>
      <c r="Y29" s="119">
        <v>36660.800000000003</v>
      </c>
      <c r="Z29" s="46">
        <v>5166</v>
      </c>
      <c r="AA29" s="119">
        <v>36660.800000000003</v>
      </c>
      <c r="AB29" s="46">
        <v>5166</v>
      </c>
      <c r="AC29" s="119"/>
      <c r="AD29" s="46"/>
      <c r="AE29" s="119"/>
      <c r="AF29" s="46"/>
      <c r="AG29" s="46"/>
      <c r="AH29" s="46"/>
      <c r="AI29" s="46"/>
      <c r="AJ29" s="46"/>
      <c r="AK29" s="46"/>
      <c r="AL29" s="46"/>
      <c r="AM29" s="46"/>
      <c r="AN29" s="46"/>
      <c r="AO29" s="46"/>
      <c r="AP29" s="46"/>
    </row>
    <row r="30" spans="1:42">
      <c r="A30" s="118" t="s">
        <v>598</v>
      </c>
      <c r="B30" s="113"/>
      <c r="C30" s="46"/>
      <c r="D30" s="46"/>
      <c r="E30" s="46"/>
      <c r="F30" s="46">
        <v>71388</v>
      </c>
      <c r="G30" s="119"/>
      <c r="H30" s="46"/>
      <c r="I30" s="46"/>
      <c r="J30" s="46">
        <v>39625</v>
      </c>
      <c r="K30" s="46"/>
      <c r="L30" s="46"/>
      <c r="M30" s="46"/>
      <c r="N30" s="46"/>
      <c r="O30" s="46">
        <v>21000</v>
      </c>
      <c r="P30" s="46"/>
      <c r="Q30" s="46"/>
      <c r="R30" s="46"/>
      <c r="S30" s="46"/>
      <c r="T30" s="46">
        <v>21000</v>
      </c>
      <c r="U30" s="46"/>
      <c r="V30" s="46"/>
      <c r="W30" s="46"/>
      <c r="X30" s="46">
        <v>21000</v>
      </c>
      <c r="Y30" s="46"/>
      <c r="Z30" s="46"/>
      <c r="AA30" s="46"/>
      <c r="AB30" s="46">
        <v>21000</v>
      </c>
      <c r="AC30" s="46"/>
      <c r="AD30" s="46"/>
      <c r="AE30" s="46"/>
      <c r="AF30" s="46"/>
      <c r="AG30" s="46"/>
      <c r="AH30" s="46"/>
      <c r="AI30" s="46"/>
      <c r="AJ30" s="46"/>
      <c r="AK30" s="46"/>
      <c r="AL30" s="46"/>
      <c r="AM30" s="46"/>
      <c r="AN30" s="46"/>
      <c r="AO30" s="46"/>
      <c r="AP30" s="46"/>
    </row>
    <row r="31" spans="1:42">
      <c r="A31" s="118" t="s">
        <v>599</v>
      </c>
      <c r="B31" s="113"/>
      <c r="C31" s="46"/>
      <c r="D31" s="46"/>
      <c r="E31" s="46"/>
      <c r="F31" s="46">
        <v>2500</v>
      </c>
      <c r="G31" s="119"/>
      <c r="H31" s="46"/>
      <c r="I31" s="46"/>
      <c r="J31" s="46">
        <v>2500</v>
      </c>
      <c r="K31" s="46"/>
      <c r="L31" s="46"/>
      <c r="M31" s="46"/>
      <c r="N31" s="46">
        <v>2500</v>
      </c>
      <c r="O31" s="46"/>
      <c r="P31" s="46"/>
      <c r="Q31" s="46"/>
      <c r="R31" s="46"/>
      <c r="S31" s="46">
        <v>2500</v>
      </c>
      <c r="T31" s="46"/>
      <c r="U31" s="46"/>
      <c r="V31" s="46"/>
      <c r="W31" s="46">
        <v>2500</v>
      </c>
      <c r="X31" s="46"/>
      <c r="Y31" s="46"/>
      <c r="Z31" s="46"/>
      <c r="AA31" s="46">
        <v>2500</v>
      </c>
      <c r="AB31" s="46"/>
      <c r="AC31" s="46"/>
      <c r="AD31" s="46"/>
      <c r="AE31" s="46"/>
      <c r="AF31" s="46"/>
      <c r="AG31" s="46"/>
      <c r="AH31" s="46"/>
      <c r="AI31" s="46"/>
      <c r="AJ31" s="46"/>
      <c r="AK31" s="46"/>
      <c r="AL31" s="46"/>
      <c r="AM31" s="46"/>
      <c r="AN31" s="46"/>
      <c r="AO31" s="46"/>
      <c r="AP31" s="46"/>
    </row>
    <row r="32" spans="1:42">
      <c r="A32" s="118" t="s">
        <v>600</v>
      </c>
      <c r="B32" s="113"/>
      <c r="C32" s="46"/>
      <c r="D32" s="46"/>
      <c r="E32" s="46"/>
      <c r="F32" s="46"/>
      <c r="G32" s="119"/>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row>
    <row r="33" spans="1:42">
      <c r="A33" s="112"/>
      <c r="B33" s="113"/>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row>
    <row r="34" spans="1:42" ht="16" thickBot="1">
      <c r="A34" s="115" t="s">
        <v>601</v>
      </c>
      <c r="B34" s="113"/>
      <c r="C34" s="121">
        <f>SUM(C15:C32)</f>
        <v>159117.01999999999</v>
      </c>
      <c r="D34" s="121">
        <f>SUM(D15:D32)</f>
        <v>118265.75</v>
      </c>
      <c r="E34" s="121">
        <f>SUM(E15:E32)</f>
        <v>55708</v>
      </c>
      <c r="F34" s="121">
        <f>SUM(F15:F32)</f>
        <v>256884.85</v>
      </c>
      <c r="G34" s="121">
        <f t="shared" ref="G34:AB34" si="3">SUM(G15:G32)</f>
        <v>80540</v>
      </c>
      <c r="H34" s="121">
        <f t="shared" si="3"/>
        <v>119960.79000000001</v>
      </c>
      <c r="I34" s="121">
        <f t="shared" si="3"/>
        <v>70708</v>
      </c>
      <c r="J34" s="121">
        <f t="shared" si="3"/>
        <v>202833</v>
      </c>
      <c r="K34" s="121">
        <f>SUM(K15:K32)</f>
        <v>100540</v>
      </c>
      <c r="L34" s="121">
        <f t="shared" si="3"/>
        <v>108631.78</v>
      </c>
      <c r="M34" s="121">
        <f t="shared" si="3"/>
        <v>70708</v>
      </c>
      <c r="N34" s="121">
        <f t="shared" si="3"/>
        <v>73208</v>
      </c>
      <c r="O34" s="121">
        <f t="shared" si="3"/>
        <v>121540</v>
      </c>
      <c r="P34" s="121">
        <f t="shared" si="3"/>
        <v>78631.78</v>
      </c>
      <c r="Q34" s="121">
        <f t="shared" si="3"/>
        <v>70708</v>
      </c>
      <c r="R34" s="121">
        <f t="shared" si="3"/>
        <v>70708</v>
      </c>
      <c r="S34" s="121">
        <f t="shared" si="3"/>
        <v>93208</v>
      </c>
      <c r="T34" s="121">
        <f t="shared" si="3"/>
        <v>53129.78</v>
      </c>
      <c r="U34" s="121">
        <f t="shared" si="3"/>
        <v>47368.800000000003</v>
      </c>
      <c r="V34" s="121">
        <f t="shared" si="3"/>
        <v>15874</v>
      </c>
      <c r="W34" s="121">
        <f t="shared" si="3"/>
        <v>49868.800000000003</v>
      </c>
      <c r="X34" s="121">
        <f t="shared" si="3"/>
        <v>73129.78</v>
      </c>
      <c r="Y34" s="121">
        <f t="shared" si="3"/>
        <v>47368.800000000003</v>
      </c>
      <c r="Z34" s="121">
        <f t="shared" si="3"/>
        <v>15874</v>
      </c>
      <c r="AA34" s="121">
        <f t="shared" si="3"/>
        <v>49868.800000000003</v>
      </c>
      <c r="AB34" s="121">
        <f t="shared" si="3"/>
        <v>73129.78</v>
      </c>
      <c r="AC34" s="121"/>
      <c r="AD34" s="121"/>
      <c r="AE34" s="121"/>
      <c r="AF34" s="121"/>
      <c r="AG34" s="121"/>
      <c r="AH34" s="121"/>
      <c r="AI34" s="121"/>
      <c r="AJ34" s="121"/>
      <c r="AK34" s="121"/>
      <c r="AL34" s="121"/>
      <c r="AM34" s="121"/>
      <c r="AN34" s="121"/>
      <c r="AO34" s="121"/>
      <c r="AP34" s="121"/>
    </row>
    <row r="35" spans="1:42">
      <c r="A35" s="112"/>
      <c r="B35" s="113"/>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row>
    <row r="36" spans="1:42" ht="22" thickBot="1">
      <c r="A36" s="122" t="s">
        <v>602</v>
      </c>
      <c r="B36" s="123"/>
      <c r="C36" s="124">
        <f>C5+C12-C34</f>
        <v>117616.98000000001</v>
      </c>
      <c r="D36" s="125">
        <f t="shared" ref="D36:AB36" si="4">D5+D12-D34</f>
        <v>251351.22999999998</v>
      </c>
      <c r="E36" s="125">
        <f t="shared" si="4"/>
        <v>195643.22999999998</v>
      </c>
      <c r="F36" s="125">
        <f t="shared" si="4"/>
        <v>367758.38</v>
      </c>
      <c r="G36" s="125">
        <f t="shared" si="4"/>
        <v>287218.38</v>
      </c>
      <c r="H36" s="125">
        <f t="shared" si="4"/>
        <v>497257.58999999997</v>
      </c>
      <c r="I36" s="125">
        <f t="shared" si="4"/>
        <v>426549.58999999997</v>
      </c>
      <c r="J36" s="125">
        <f t="shared" si="4"/>
        <v>543716.59</v>
      </c>
      <c r="K36" s="125">
        <f t="shared" si="4"/>
        <v>443176.58999999997</v>
      </c>
      <c r="L36" s="125">
        <f t="shared" si="4"/>
        <v>334544.80999999994</v>
      </c>
      <c r="M36" s="125">
        <f t="shared" si="4"/>
        <v>593836.80999999994</v>
      </c>
      <c r="N36" s="125">
        <f t="shared" si="4"/>
        <v>550628.80999999994</v>
      </c>
      <c r="O36" s="126">
        <f t="shared" si="4"/>
        <v>804088.80999999994</v>
      </c>
      <c r="P36" s="125">
        <f t="shared" si="4"/>
        <v>725457.02999999991</v>
      </c>
      <c r="Q36" s="125">
        <f t="shared" si="4"/>
        <v>654749.02999999991</v>
      </c>
      <c r="R36" s="125">
        <f t="shared" si="4"/>
        <v>584041.02999999991</v>
      </c>
      <c r="S36" s="125">
        <f t="shared" si="4"/>
        <v>490833.02999999991</v>
      </c>
      <c r="T36" s="125">
        <f t="shared" si="4"/>
        <v>437703.24999999988</v>
      </c>
      <c r="U36" s="125">
        <f t="shared" si="4"/>
        <v>390334.4499999999</v>
      </c>
      <c r="V36" s="125">
        <f t="shared" si="4"/>
        <v>374460.4499999999</v>
      </c>
      <c r="W36" s="125">
        <f t="shared" si="4"/>
        <v>324591.64999999991</v>
      </c>
      <c r="X36" s="125">
        <f t="shared" si="4"/>
        <v>251461.86999999991</v>
      </c>
      <c r="Y36" s="125">
        <f t="shared" si="4"/>
        <v>204093.06999999989</v>
      </c>
      <c r="Z36" s="125">
        <f t="shared" si="4"/>
        <v>188219.06999999989</v>
      </c>
      <c r="AA36" s="125">
        <f t="shared" si="4"/>
        <v>138350.2699999999</v>
      </c>
      <c r="AB36" s="125">
        <f t="shared" si="4"/>
        <v>65220.489999999903</v>
      </c>
      <c r="AC36" s="125"/>
      <c r="AD36" s="125"/>
      <c r="AE36" s="125"/>
      <c r="AF36" s="125"/>
      <c r="AG36" s="125"/>
      <c r="AH36" s="125"/>
      <c r="AI36" s="125"/>
      <c r="AJ36" s="125"/>
      <c r="AK36" s="125"/>
      <c r="AL36" s="125"/>
      <c r="AM36" s="125"/>
      <c r="AN36" s="125"/>
      <c r="AO36" s="125"/>
      <c r="AP36" s="125"/>
    </row>
    <row r="37" spans="1:42">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row>
    <row r="38" spans="1:42">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row>
    <row r="39" spans="1:42">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row>
    <row r="40" spans="1:42">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row>
    <row r="41" spans="1:42">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row>
    <row r="42" spans="1:42">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row>
    <row r="43" spans="1:42">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row>
    <row r="44" spans="1:42">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row>
  </sheetData>
  <pageMargins left="0.7" right="0.7" top="0.75" bottom="0.75" header="0.3" footer="0.3"/>
  <pageSetup paperSize="9" orientation="portrait" horizontalDpi="4294967293"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535D-37A5-4577-9F64-4D4974044354}">
  <dimension ref="A2:AB54"/>
  <sheetViews>
    <sheetView topLeftCell="A26" workbookViewId="0">
      <selection activeCell="G62" sqref="G62"/>
    </sheetView>
  </sheetViews>
  <sheetFormatPr baseColWidth="10" defaultColWidth="8.83203125" defaultRowHeight="15"/>
  <cols>
    <col min="1" max="1" width="27.83203125" customWidth="1"/>
    <col min="2" max="2" width="17.1640625" customWidth="1"/>
    <col min="3" max="3" width="18" bestFit="1" customWidth="1"/>
    <col min="4" max="4" width="17.5" bestFit="1" customWidth="1"/>
    <col min="5" max="13" width="18.1640625" bestFit="1" customWidth="1"/>
    <col min="14" max="14" width="18" bestFit="1" customWidth="1"/>
    <col min="15" max="15" width="17" bestFit="1" customWidth="1"/>
    <col min="16" max="16" width="18" bestFit="1" customWidth="1"/>
    <col min="17" max="28" width="14.83203125" bestFit="1" customWidth="1"/>
  </cols>
  <sheetData>
    <row r="2" spans="1:15" ht="22" thickBot="1">
      <c r="A2" s="127" t="s">
        <v>603</v>
      </c>
    </row>
    <row r="3" spans="1:15" ht="20" thickBot="1">
      <c r="A3" s="128" t="s">
        <v>604</v>
      </c>
      <c r="B3" s="129">
        <v>44501</v>
      </c>
      <c r="C3" s="129">
        <v>44531</v>
      </c>
      <c r="D3" s="129">
        <v>44562</v>
      </c>
      <c r="E3" s="129">
        <v>44593</v>
      </c>
      <c r="F3" s="129">
        <v>44621</v>
      </c>
      <c r="G3" s="129">
        <v>44652</v>
      </c>
      <c r="H3" s="129">
        <v>44682</v>
      </c>
      <c r="I3" s="129">
        <v>44713</v>
      </c>
      <c r="J3" s="129">
        <v>44743</v>
      </c>
      <c r="K3" s="129">
        <v>44774</v>
      </c>
      <c r="L3" s="129">
        <v>44805</v>
      </c>
      <c r="M3" s="129">
        <v>44835</v>
      </c>
      <c r="N3" s="129">
        <v>44866</v>
      </c>
      <c r="O3" s="129">
        <v>44896</v>
      </c>
    </row>
    <row r="4" spans="1:15">
      <c r="A4" s="130" t="s">
        <v>440</v>
      </c>
      <c r="B4" s="131"/>
      <c r="C4" s="131">
        <v>73133.97</v>
      </c>
      <c r="D4" s="131">
        <v>41329.01</v>
      </c>
      <c r="E4" s="132"/>
      <c r="F4" s="132"/>
      <c r="G4" s="132"/>
      <c r="H4" s="132"/>
      <c r="I4" s="132"/>
      <c r="J4" s="132"/>
      <c r="K4" s="132"/>
      <c r="L4" s="132"/>
      <c r="M4" s="132"/>
      <c r="N4" s="132"/>
      <c r="O4" s="133"/>
    </row>
    <row r="5" spans="1:15">
      <c r="A5" s="134" t="s">
        <v>605</v>
      </c>
      <c r="B5" s="135"/>
      <c r="C5" s="135">
        <v>74592.27</v>
      </c>
      <c r="D5" s="136">
        <v>54800.46</v>
      </c>
      <c r="E5" s="136">
        <v>13302.08</v>
      </c>
      <c r="F5" s="136"/>
      <c r="G5" s="136"/>
      <c r="H5" s="136"/>
      <c r="I5" s="136"/>
      <c r="J5" s="136"/>
      <c r="K5" s="136"/>
      <c r="L5" s="136"/>
      <c r="M5" s="136"/>
      <c r="N5" s="136"/>
      <c r="O5" s="137"/>
    </row>
    <row r="6" spans="1:15">
      <c r="A6" s="134" t="s">
        <v>606</v>
      </c>
      <c r="B6" s="138"/>
      <c r="C6" s="138">
        <v>2352.62</v>
      </c>
      <c r="D6" s="138">
        <v>1313.64</v>
      </c>
      <c r="E6" s="138"/>
      <c r="F6" s="139"/>
      <c r="G6" s="139"/>
      <c r="H6" s="139"/>
      <c r="I6" s="139"/>
      <c r="J6" s="140"/>
      <c r="K6" s="139"/>
      <c r="L6" s="139"/>
      <c r="M6" s="139"/>
      <c r="N6" s="139"/>
      <c r="O6" s="141"/>
    </row>
    <row r="7" spans="1:15">
      <c r="A7" s="134" t="s">
        <v>441</v>
      </c>
      <c r="B7" s="142"/>
      <c r="C7" s="142">
        <v>7102</v>
      </c>
      <c r="D7" s="142">
        <v>16260.3</v>
      </c>
      <c r="E7" s="143"/>
      <c r="F7" s="143"/>
      <c r="G7" s="143"/>
      <c r="H7" s="143"/>
      <c r="I7" s="143"/>
      <c r="J7" s="143"/>
      <c r="K7" s="143"/>
      <c r="L7" s="143"/>
      <c r="M7" s="143"/>
      <c r="N7" s="143"/>
      <c r="O7" s="137"/>
    </row>
    <row r="8" spans="1:15">
      <c r="A8" s="134" t="s">
        <v>442</v>
      </c>
      <c r="B8" s="138"/>
      <c r="C8" s="138">
        <v>39656.22</v>
      </c>
      <c r="D8" s="138">
        <v>12182.2</v>
      </c>
      <c r="E8" s="139"/>
      <c r="F8" s="139"/>
      <c r="G8" s="139"/>
      <c r="H8" s="139"/>
      <c r="I8" s="139"/>
      <c r="J8" s="139"/>
      <c r="K8" s="139"/>
      <c r="L8" s="139"/>
      <c r="M8" s="139"/>
      <c r="N8" s="139"/>
      <c r="O8" s="141"/>
    </row>
    <row r="9" spans="1:15">
      <c r="A9" s="134" t="s">
        <v>448</v>
      </c>
      <c r="B9" s="142"/>
      <c r="C9" s="142">
        <v>1991.38</v>
      </c>
      <c r="D9" s="142"/>
      <c r="E9" s="143"/>
      <c r="F9" s="143"/>
      <c r="G9" s="143"/>
      <c r="H9" s="143"/>
      <c r="I9" s="143"/>
      <c r="J9" s="143"/>
      <c r="K9" s="143"/>
      <c r="L9" s="143"/>
      <c r="M9" s="143"/>
      <c r="N9" s="143"/>
      <c r="O9" s="137"/>
    </row>
    <row r="10" spans="1:15">
      <c r="A10" s="134" t="s">
        <v>607</v>
      </c>
      <c r="B10" s="138"/>
      <c r="C10" s="138"/>
      <c r="D10" s="138"/>
      <c r="E10" s="139"/>
      <c r="F10" s="139"/>
      <c r="G10" s="139"/>
      <c r="H10" s="139"/>
      <c r="I10" s="139"/>
      <c r="J10" s="139"/>
      <c r="K10" s="139"/>
      <c r="L10" s="139"/>
      <c r="M10" s="139"/>
      <c r="N10" s="139"/>
      <c r="O10" s="141"/>
    </row>
    <row r="11" spans="1:15">
      <c r="A11" s="134" t="s">
        <v>443</v>
      </c>
      <c r="B11" s="142"/>
      <c r="C11" s="142">
        <v>10714.53</v>
      </c>
      <c r="D11" s="142">
        <v>7732.25</v>
      </c>
      <c r="E11" s="143"/>
      <c r="F11" s="143"/>
      <c r="G11" s="143"/>
      <c r="H11" s="143"/>
      <c r="I11" s="143"/>
      <c r="J11" s="143"/>
      <c r="K11" s="143"/>
      <c r="L11" s="143"/>
      <c r="M11" s="143"/>
      <c r="N11" s="143"/>
      <c r="O11" s="137"/>
    </row>
    <row r="12" spans="1:15">
      <c r="A12" s="134" t="s">
        <v>608</v>
      </c>
      <c r="B12" s="143"/>
      <c r="C12" s="143"/>
      <c r="D12" s="143"/>
      <c r="E12" s="143"/>
      <c r="F12" s="143"/>
      <c r="G12" s="143"/>
      <c r="H12" s="143"/>
      <c r="I12" s="143"/>
      <c r="J12" s="143"/>
      <c r="K12" s="143"/>
      <c r="L12" s="143"/>
      <c r="M12" s="143"/>
      <c r="N12" s="143"/>
      <c r="O12" s="144"/>
    </row>
    <row r="13" spans="1:15">
      <c r="A13" s="134" t="s">
        <v>609</v>
      </c>
      <c r="B13" s="145"/>
      <c r="C13" s="145"/>
      <c r="D13" s="139"/>
      <c r="E13" s="139"/>
      <c r="F13" s="139"/>
      <c r="G13" s="139"/>
      <c r="H13" s="139"/>
      <c r="I13" s="139"/>
      <c r="J13" s="139"/>
      <c r="K13" s="139"/>
      <c r="L13" s="139"/>
      <c r="M13" s="139"/>
      <c r="N13" s="139"/>
      <c r="O13" s="146"/>
    </row>
    <row r="14" spans="1:15">
      <c r="A14" s="134" t="s">
        <v>610</v>
      </c>
      <c r="B14" s="142"/>
      <c r="C14" s="142"/>
      <c r="D14" s="143"/>
      <c r="E14" s="143"/>
      <c r="F14" s="143"/>
      <c r="G14" s="143"/>
      <c r="H14" s="143"/>
      <c r="I14" s="143"/>
      <c r="J14" s="143"/>
      <c r="K14" s="143"/>
      <c r="L14" s="143"/>
      <c r="M14" s="143"/>
      <c r="N14" s="143"/>
      <c r="O14" s="144"/>
    </row>
    <row r="15" spans="1:15">
      <c r="A15" s="147" t="s">
        <v>611</v>
      </c>
      <c r="B15" s="148"/>
      <c r="C15" s="148"/>
      <c r="D15" s="149"/>
      <c r="E15" s="149"/>
      <c r="F15" s="149"/>
      <c r="G15" s="149"/>
      <c r="H15" s="149"/>
      <c r="I15" s="149"/>
      <c r="J15" s="149"/>
      <c r="K15" s="149"/>
      <c r="L15" s="149"/>
      <c r="M15" s="149"/>
      <c r="N15" s="149"/>
      <c r="O15" s="150"/>
    </row>
    <row r="16" spans="1:15">
      <c r="A16" s="147" t="s">
        <v>183</v>
      </c>
      <c r="B16" s="151"/>
      <c r="C16" s="151"/>
      <c r="D16" s="152"/>
      <c r="E16" s="152"/>
      <c r="F16" s="152"/>
      <c r="G16" s="152"/>
      <c r="H16" s="152"/>
      <c r="I16" s="152"/>
      <c r="J16" s="152"/>
      <c r="K16" s="152"/>
      <c r="L16" s="152"/>
      <c r="M16" s="152"/>
      <c r="N16" s="152"/>
      <c r="O16" s="153"/>
    </row>
    <row r="17" spans="1:28">
      <c r="A17" s="147" t="s">
        <v>612</v>
      </c>
      <c r="B17" s="148"/>
      <c r="C17" s="148"/>
      <c r="D17" s="149"/>
      <c r="E17" s="149"/>
      <c r="F17" s="149"/>
      <c r="G17" s="149"/>
      <c r="H17" s="149"/>
      <c r="I17" s="149"/>
      <c r="J17" s="149"/>
      <c r="K17" s="149"/>
      <c r="L17" s="149"/>
      <c r="M17" s="149"/>
      <c r="N17" s="149"/>
      <c r="O17" s="150"/>
    </row>
    <row r="18" spans="1:28">
      <c r="A18" s="147" t="s">
        <v>613</v>
      </c>
      <c r="B18" s="148"/>
      <c r="C18" s="148"/>
      <c r="D18" s="149"/>
      <c r="E18" s="149"/>
      <c r="F18" s="149"/>
      <c r="G18" s="149"/>
      <c r="H18" s="149"/>
      <c r="I18" s="149"/>
      <c r="J18" s="149"/>
      <c r="K18" s="149"/>
      <c r="L18" s="149"/>
      <c r="M18" s="149"/>
      <c r="N18" s="149"/>
      <c r="O18" s="150"/>
    </row>
    <row r="19" spans="1:28">
      <c r="A19" s="147" t="s">
        <v>614</v>
      </c>
      <c r="B19" s="148"/>
      <c r="C19" s="148"/>
      <c r="D19" s="149"/>
      <c r="E19" s="149"/>
      <c r="F19" s="149"/>
      <c r="G19" s="149"/>
      <c r="H19" s="149"/>
      <c r="I19" s="149"/>
      <c r="J19" s="149"/>
      <c r="K19" s="149"/>
      <c r="L19" s="149"/>
      <c r="M19" s="149"/>
      <c r="N19" s="149"/>
      <c r="O19" s="150"/>
    </row>
    <row r="20" spans="1:28">
      <c r="A20" s="147"/>
      <c r="B20" s="154"/>
      <c r="C20" s="154"/>
      <c r="D20" s="155"/>
      <c r="E20" s="155"/>
      <c r="F20" s="155"/>
      <c r="G20" s="155"/>
      <c r="H20" s="155"/>
      <c r="I20" s="155"/>
      <c r="J20" s="155"/>
      <c r="K20" s="155"/>
      <c r="L20" s="155"/>
      <c r="M20" s="155"/>
      <c r="N20" s="155"/>
      <c r="O20" s="156"/>
    </row>
    <row r="21" spans="1:28" ht="16" thickBot="1">
      <c r="A21" s="157" t="s">
        <v>615</v>
      </c>
      <c r="B21" s="158"/>
      <c r="C21" s="159">
        <f>SUM(C4:C20)</f>
        <v>209542.99</v>
      </c>
      <c r="D21" s="159">
        <f>SUM(D4:D20)</f>
        <v>133617.85999999999</v>
      </c>
      <c r="E21" s="159">
        <f>SUM(E4:E17)</f>
        <v>13302.08</v>
      </c>
      <c r="F21" s="159">
        <f>SUM(F4:F17)</f>
        <v>0</v>
      </c>
      <c r="G21" s="159">
        <f t="shared" ref="G21:O21" si="0">SUM(G4:G17)</f>
        <v>0</v>
      </c>
      <c r="H21" s="159">
        <f t="shared" si="0"/>
        <v>0</v>
      </c>
      <c r="I21" s="159">
        <f t="shared" si="0"/>
        <v>0</v>
      </c>
      <c r="J21" s="159">
        <f t="shared" si="0"/>
        <v>0</v>
      </c>
      <c r="K21" s="159">
        <f t="shared" si="0"/>
        <v>0</v>
      </c>
      <c r="L21" s="159">
        <f t="shared" si="0"/>
        <v>0</v>
      </c>
      <c r="M21" s="159">
        <f t="shared" si="0"/>
        <v>0</v>
      </c>
      <c r="N21" s="159">
        <f t="shared" si="0"/>
        <v>0</v>
      </c>
      <c r="O21" s="159">
        <f t="shared" si="0"/>
        <v>0</v>
      </c>
    </row>
    <row r="24" spans="1:28">
      <c r="A24" s="160"/>
      <c r="B24" s="160"/>
    </row>
    <row r="25" spans="1:28" ht="22" thickBot="1">
      <c r="A25" s="127" t="s">
        <v>616</v>
      </c>
    </row>
    <row r="26" spans="1:28" ht="20" thickBot="1">
      <c r="A26" s="128" t="s">
        <v>617</v>
      </c>
      <c r="B26" s="129">
        <v>44136</v>
      </c>
      <c r="C26" s="161">
        <v>44166</v>
      </c>
      <c r="D26" s="162">
        <v>44568</v>
      </c>
      <c r="E26" s="162">
        <f>D26+7</f>
        <v>44575</v>
      </c>
      <c r="F26" s="162">
        <f t="shared" ref="F26:AB26" si="1">E26+7</f>
        <v>44582</v>
      </c>
      <c r="G26" s="162">
        <f t="shared" si="1"/>
        <v>44589</v>
      </c>
      <c r="H26" s="162">
        <f t="shared" si="1"/>
        <v>44596</v>
      </c>
      <c r="I26" s="162">
        <f t="shared" si="1"/>
        <v>44603</v>
      </c>
      <c r="J26" s="162">
        <f t="shared" si="1"/>
        <v>44610</v>
      </c>
      <c r="K26" s="162">
        <f t="shared" si="1"/>
        <v>44617</v>
      </c>
      <c r="L26" s="162">
        <f t="shared" si="1"/>
        <v>44624</v>
      </c>
      <c r="M26" s="162">
        <f t="shared" si="1"/>
        <v>44631</v>
      </c>
      <c r="N26" s="162">
        <f t="shared" si="1"/>
        <v>44638</v>
      </c>
      <c r="O26" s="162">
        <f t="shared" si="1"/>
        <v>44645</v>
      </c>
      <c r="P26" s="162">
        <f t="shared" si="1"/>
        <v>44652</v>
      </c>
      <c r="Q26" s="162">
        <f t="shared" si="1"/>
        <v>44659</v>
      </c>
      <c r="R26" s="162">
        <f t="shared" si="1"/>
        <v>44666</v>
      </c>
      <c r="S26" s="162">
        <f t="shared" si="1"/>
        <v>44673</v>
      </c>
      <c r="T26" s="162">
        <f t="shared" si="1"/>
        <v>44680</v>
      </c>
      <c r="U26" s="162">
        <f t="shared" si="1"/>
        <v>44687</v>
      </c>
      <c r="V26" s="162">
        <f t="shared" si="1"/>
        <v>44694</v>
      </c>
      <c r="W26" s="162">
        <f t="shared" si="1"/>
        <v>44701</v>
      </c>
      <c r="X26" s="162">
        <f t="shared" si="1"/>
        <v>44708</v>
      </c>
      <c r="Y26" s="162">
        <f t="shared" si="1"/>
        <v>44715</v>
      </c>
      <c r="Z26" s="162">
        <f t="shared" si="1"/>
        <v>44722</v>
      </c>
      <c r="AA26" s="162">
        <f t="shared" si="1"/>
        <v>44729</v>
      </c>
      <c r="AB26" s="162">
        <f t="shared" si="1"/>
        <v>44736</v>
      </c>
    </row>
    <row r="27" spans="1:28">
      <c r="A27" s="163"/>
      <c r="B27" s="164"/>
      <c r="C27" s="164"/>
      <c r="D27" s="165"/>
      <c r="E27" s="165"/>
      <c r="F27" s="165"/>
      <c r="G27" s="165"/>
      <c r="H27" s="165"/>
      <c r="I27" s="165"/>
      <c r="J27" s="165"/>
      <c r="K27" s="165"/>
      <c r="L27" s="165"/>
      <c r="M27" s="165"/>
      <c r="N27" s="165"/>
      <c r="O27" s="166"/>
      <c r="P27" s="166"/>
      <c r="Q27" s="166"/>
      <c r="R27" s="166"/>
      <c r="S27" s="166"/>
      <c r="T27" s="166"/>
      <c r="U27" s="166"/>
      <c r="V27" s="166"/>
      <c r="W27" s="166"/>
      <c r="X27" s="166"/>
      <c r="Y27" s="166"/>
      <c r="Z27" s="166"/>
      <c r="AA27" s="166"/>
      <c r="AB27" s="166"/>
    </row>
    <row r="28" spans="1:28">
      <c r="A28" s="167"/>
      <c r="B28" s="135"/>
      <c r="C28" s="168"/>
      <c r="D28" s="168"/>
      <c r="E28" s="168"/>
      <c r="F28" s="168"/>
      <c r="G28" s="164"/>
      <c r="H28" s="164"/>
      <c r="I28" s="164"/>
      <c r="J28" s="164"/>
      <c r="K28" s="164"/>
      <c r="L28" s="164"/>
      <c r="M28" s="164"/>
      <c r="N28" s="164"/>
      <c r="O28" s="169"/>
      <c r="P28" s="169"/>
      <c r="Q28" s="169"/>
      <c r="R28" s="169"/>
      <c r="S28" s="169"/>
      <c r="T28" s="169"/>
      <c r="U28" s="169"/>
      <c r="V28" s="169"/>
      <c r="W28" s="169"/>
      <c r="X28" s="169"/>
      <c r="Y28" s="169"/>
      <c r="Z28" s="169"/>
      <c r="AA28" s="169"/>
      <c r="AB28" s="169"/>
    </row>
    <row r="29" spans="1:28">
      <c r="A29" s="167" t="s">
        <v>618</v>
      </c>
      <c r="B29" s="135"/>
      <c r="C29" s="168"/>
      <c r="D29" s="168"/>
      <c r="E29" s="168">
        <v>65000</v>
      </c>
      <c r="F29" s="168"/>
      <c r="G29" s="143"/>
      <c r="H29" s="143"/>
      <c r="I29" s="143">
        <v>100000</v>
      </c>
      <c r="J29" s="143"/>
      <c r="K29" s="143">
        <v>50000</v>
      </c>
      <c r="L29" s="143"/>
      <c r="M29" s="143"/>
      <c r="N29" s="143">
        <v>50000</v>
      </c>
      <c r="O29" s="137"/>
      <c r="P29" s="137">
        <v>50000</v>
      </c>
      <c r="Q29" s="137"/>
      <c r="R29" s="137"/>
      <c r="S29" s="137"/>
      <c r="T29" s="137"/>
      <c r="U29" s="137"/>
      <c r="V29" s="137"/>
      <c r="W29" s="137"/>
      <c r="X29" s="137"/>
      <c r="Y29" s="137"/>
      <c r="Z29" s="137"/>
      <c r="AA29" s="137"/>
      <c r="AB29" s="137"/>
    </row>
    <row r="30" spans="1:28">
      <c r="A30" s="167" t="s">
        <v>313</v>
      </c>
      <c r="B30" s="135"/>
      <c r="C30" s="168"/>
      <c r="D30" s="168"/>
      <c r="E30" s="168"/>
      <c r="F30" s="168"/>
      <c r="G30" s="143">
        <v>40000</v>
      </c>
      <c r="H30" s="143"/>
      <c r="I30" s="143"/>
      <c r="J30" s="143"/>
      <c r="K30" s="143"/>
      <c r="L30" s="143"/>
      <c r="M30" s="143"/>
      <c r="N30" s="143"/>
      <c r="O30" s="137"/>
      <c r="P30" s="137">
        <v>25000</v>
      </c>
      <c r="Q30" s="137"/>
      <c r="R30" s="137"/>
      <c r="S30" s="137"/>
      <c r="T30" s="137"/>
      <c r="U30" s="137"/>
      <c r="V30" s="137"/>
      <c r="W30" s="137"/>
      <c r="X30" s="137"/>
      <c r="Y30" s="137"/>
      <c r="Z30" s="137"/>
      <c r="AA30" s="137"/>
      <c r="AB30" s="137"/>
    </row>
    <row r="31" spans="1:28">
      <c r="A31" s="167" t="s">
        <v>619</v>
      </c>
      <c r="B31" s="135"/>
      <c r="C31" s="168"/>
      <c r="D31" s="168"/>
      <c r="E31" s="168"/>
      <c r="F31" s="168"/>
      <c r="G31" s="143">
        <v>40000</v>
      </c>
      <c r="H31" s="143"/>
      <c r="I31" s="143"/>
      <c r="J31" s="143"/>
      <c r="K31" s="143">
        <v>40000</v>
      </c>
      <c r="L31" s="143"/>
      <c r="M31" s="143"/>
      <c r="N31" s="143"/>
      <c r="O31" s="137"/>
      <c r="P31" s="137">
        <v>20000</v>
      </c>
      <c r="Q31" s="137"/>
      <c r="R31" s="137"/>
      <c r="S31" s="137"/>
      <c r="T31" s="137"/>
      <c r="U31" s="137"/>
      <c r="V31" s="137"/>
      <c r="W31" s="137"/>
      <c r="X31" s="137"/>
      <c r="Y31" s="137"/>
      <c r="Z31" s="137"/>
      <c r="AA31" s="137"/>
      <c r="AB31" s="137"/>
    </row>
    <row r="32" spans="1:28">
      <c r="A32" s="170" t="s">
        <v>620</v>
      </c>
      <c r="B32" s="135"/>
      <c r="C32" s="168"/>
      <c r="D32" s="168"/>
      <c r="E32" s="168"/>
      <c r="F32" s="168"/>
      <c r="G32" s="143">
        <v>5000</v>
      </c>
      <c r="H32" s="143"/>
      <c r="I32" s="143"/>
      <c r="J32" s="143"/>
      <c r="K32" s="143"/>
      <c r="L32" s="143"/>
      <c r="M32" s="143"/>
      <c r="N32" s="143"/>
      <c r="O32" s="137"/>
      <c r="P32" s="137"/>
      <c r="Q32" s="137"/>
      <c r="R32" s="137"/>
      <c r="S32" s="137"/>
      <c r="T32" s="137"/>
      <c r="U32" s="137"/>
      <c r="V32" s="137"/>
      <c r="W32" s="137"/>
      <c r="X32" s="137"/>
      <c r="Y32" s="137"/>
      <c r="Z32" s="137"/>
      <c r="AA32" s="137"/>
      <c r="AB32" s="137"/>
    </row>
    <row r="33" spans="1:28">
      <c r="A33" s="170" t="s">
        <v>621</v>
      </c>
      <c r="B33" s="135"/>
      <c r="C33" s="168"/>
      <c r="D33" s="168"/>
      <c r="E33" s="168">
        <v>41000</v>
      </c>
      <c r="F33" s="168"/>
      <c r="G33" s="143">
        <v>140000</v>
      </c>
      <c r="H33" s="143"/>
      <c r="I33" s="143">
        <v>80000</v>
      </c>
      <c r="J33" s="143"/>
      <c r="K33" s="143">
        <v>80000</v>
      </c>
      <c r="L33" s="143"/>
      <c r="M33" s="143"/>
      <c r="N33" s="143">
        <v>80000</v>
      </c>
      <c r="O33" s="137"/>
      <c r="P33" s="137">
        <v>80000</v>
      </c>
      <c r="Q33" s="137"/>
      <c r="R33" s="137"/>
      <c r="S33" s="137"/>
      <c r="T33" s="137"/>
      <c r="U33" s="137"/>
      <c r="V33" s="137"/>
      <c r="W33" s="137"/>
      <c r="X33" s="137"/>
      <c r="Y33" s="137"/>
      <c r="Z33" s="137"/>
      <c r="AA33" s="137"/>
      <c r="AB33" s="137"/>
    </row>
    <row r="34" spans="1:28">
      <c r="A34" s="170" t="s">
        <v>622</v>
      </c>
      <c r="B34" s="135"/>
      <c r="C34" s="168"/>
      <c r="D34" s="168"/>
      <c r="E34" s="168">
        <v>51000</v>
      </c>
      <c r="F34" s="168"/>
      <c r="G34" s="143">
        <v>27000</v>
      </c>
      <c r="H34" s="143"/>
      <c r="I34" s="143"/>
      <c r="J34" s="143"/>
      <c r="K34" s="171"/>
      <c r="L34" s="143"/>
      <c r="M34" s="143"/>
      <c r="N34" s="143"/>
      <c r="O34" s="137"/>
      <c r="P34" s="137"/>
      <c r="Q34" s="137"/>
      <c r="R34" s="137"/>
      <c r="S34" s="137"/>
      <c r="T34" s="137"/>
      <c r="U34" s="137"/>
      <c r="V34" s="137"/>
      <c r="W34" s="137"/>
      <c r="X34" s="137"/>
      <c r="Y34" s="137"/>
      <c r="Z34" s="137"/>
      <c r="AA34" s="137"/>
      <c r="AB34" s="137"/>
    </row>
    <row r="35" spans="1:28">
      <c r="A35" s="170" t="s">
        <v>623</v>
      </c>
      <c r="B35" s="135"/>
      <c r="C35" s="168"/>
      <c r="D35" s="168"/>
      <c r="E35" s="168">
        <v>95000</v>
      </c>
      <c r="F35" s="168"/>
      <c r="G35" s="143">
        <v>95000</v>
      </c>
      <c r="H35" s="143"/>
      <c r="I35" s="143">
        <v>150000</v>
      </c>
      <c r="J35" s="143"/>
      <c r="K35" s="143">
        <v>150000</v>
      </c>
      <c r="L35" s="143"/>
      <c r="M35" s="143"/>
      <c r="N35" s="143">
        <v>200000</v>
      </c>
      <c r="O35" s="144"/>
      <c r="P35" s="144">
        <v>200000</v>
      </c>
      <c r="Q35" s="144"/>
      <c r="R35" s="144"/>
      <c r="S35" s="144"/>
      <c r="T35" s="144"/>
      <c r="U35" s="144"/>
      <c r="V35" s="144"/>
      <c r="W35" s="144"/>
      <c r="X35" s="144"/>
      <c r="Y35" s="144"/>
      <c r="Z35" s="144"/>
      <c r="AA35" s="144"/>
      <c r="AB35" s="144"/>
    </row>
    <row r="36" spans="1:28">
      <c r="A36" s="172"/>
      <c r="B36" s="135"/>
      <c r="C36" s="168"/>
      <c r="D36" s="168"/>
      <c r="E36" s="168"/>
      <c r="F36" s="168"/>
      <c r="G36" s="143"/>
      <c r="H36" s="143"/>
      <c r="I36" s="143"/>
      <c r="J36" s="143"/>
      <c r="K36" s="143"/>
      <c r="L36" s="143"/>
      <c r="M36" s="143"/>
      <c r="N36" s="143"/>
      <c r="O36" s="144"/>
      <c r="P36" s="144"/>
      <c r="Q36" s="144"/>
      <c r="R36" s="144"/>
      <c r="S36" s="144"/>
      <c r="T36" s="144"/>
      <c r="U36" s="144"/>
      <c r="V36" s="144"/>
      <c r="W36" s="144"/>
      <c r="X36" s="144"/>
      <c r="Y36" s="144"/>
      <c r="Z36" s="144"/>
      <c r="AA36" s="144"/>
      <c r="AB36" s="144"/>
    </row>
    <row r="37" spans="1:28">
      <c r="A37" s="167"/>
      <c r="B37" s="135"/>
      <c r="C37" s="168"/>
      <c r="D37" s="168"/>
      <c r="E37" s="168"/>
      <c r="F37" s="168"/>
      <c r="G37" s="143"/>
      <c r="H37" s="143"/>
      <c r="I37" s="143"/>
      <c r="J37" s="143"/>
      <c r="K37" s="143"/>
      <c r="L37" s="143"/>
      <c r="M37" s="143"/>
      <c r="N37" s="143"/>
      <c r="O37" s="144"/>
      <c r="P37" s="144"/>
      <c r="Q37" s="144"/>
      <c r="R37" s="144"/>
      <c r="S37" s="144"/>
      <c r="T37" s="144"/>
      <c r="U37" s="144"/>
      <c r="V37" s="144"/>
      <c r="W37" s="144"/>
      <c r="X37" s="144"/>
      <c r="Y37" s="144"/>
      <c r="Z37" s="144"/>
      <c r="AA37" s="144"/>
      <c r="AB37" s="144"/>
    </row>
    <row r="38" spans="1:28">
      <c r="A38" s="167"/>
      <c r="B38" s="135"/>
      <c r="C38" s="168"/>
      <c r="D38" s="168"/>
      <c r="E38" s="168"/>
      <c r="F38" s="168"/>
      <c r="G38" s="143"/>
      <c r="H38" s="143"/>
      <c r="I38" s="143"/>
      <c r="J38" s="143"/>
      <c r="K38" s="143"/>
      <c r="L38" s="143"/>
      <c r="M38" s="143"/>
      <c r="N38" s="143"/>
      <c r="O38" s="144"/>
      <c r="P38" s="144"/>
      <c r="Q38" s="144"/>
      <c r="R38" s="144"/>
      <c r="S38" s="144"/>
      <c r="T38" s="144"/>
      <c r="U38" s="144"/>
      <c r="V38" s="144"/>
      <c r="W38" s="144"/>
      <c r="X38" s="144"/>
      <c r="Y38" s="144"/>
      <c r="Z38" s="144"/>
      <c r="AA38" s="144"/>
      <c r="AB38" s="144"/>
    </row>
    <row r="39" spans="1:28">
      <c r="A39" s="170"/>
      <c r="B39" s="135"/>
      <c r="C39" s="168"/>
      <c r="D39" s="168"/>
      <c r="E39" s="168"/>
      <c r="F39" s="168"/>
      <c r="G39" s="143"/>
      <c r="H39" s="143"/>
      <c r="I39" s="143"/>
      <c r="J39" s="143"/>
      <c r="K39" s="143"/>
      <c r="L39" s="143"/>
      <c r="M39" s="143"/>
      <c r="N39" s="143"/>
      <c r="O39" s="144"/>
      <c r="P39" s="144"/>
      <c r="Q39" s="144"/>
      <c r="R39" s="144"/>
      <c r="S39" s="144"/>
      <c r="T39" s="144"/>
      <c r="U39" s="144"/>
      <c r="V39" s="144"/>
      <c r="W39" s="144"/>
      <c r="X39" s="144"/>
      <c r="Y39" s="144"/>
      <c r="Z39" s="144"/>
      <c r="AA39" s="144"/>
      <c r="AB39" s="144"/>
    </row>
    <row r="40" spans="1:28">
      <c r="A40" s="170"/>
      <c r="B40" s="135"/>
      <c r="C40" s="168"/>
      <c r="D40" s="168"/>
      <c r="E40" s="168"/>
      <c r="F40" s="168"/>
      <c r="G40" s="152"/>
      <c r="H40" s="152"/>
      <c r="I40" s="152"/>
      <c r="J40" s="152"/>
      <c r="K40" s="152"/>
      <c r="L40" s="152"/>
      <c r="M40" s="152"/>
      <c r="N40" s="152"/>
      <c r="O40" s="153"/>
      <c r="P40" s="153"/>
      <c r="Q40" s="153"/>
      <c r="R40" s="153"/>
      <c r="S40" s="153"/>
      <c r="T40" s="153"/>
      <c r="U40" s="153"/>
      <c r="V40" s="153"/>
      <c r="W40" s="153"/>
      <c r="X40" s="153"/>
      <c r="Y40" s="153"/>
      <c r="Z40" s="153"/>
      <c r="AA40" s="153"/>
      <c r="AB40" s="153"/>
    </row>
    <row r="41" spans="1:28">
      <c r="A41" s="170"/>
      <c r="B41" s="135"/>
      <c r="C41" s="168"/>
      <c r="D41" s="168"/>
      <c r="E41" s="168"/>
      <c r="F41" s="168"/>
      <c r="G41" s="152"/>
      <c r="H41" s="152"/>
      <c r="I41" s="152"/>
      <c r="J41" s="152"/>
      <c r="K41" s="152"/>
      <c r="L41" s="152"/>
      <c r="M41" s="152"/>
      <c r="N41" s="152"/>
      <c r="O41" s="153"/>
      <c r="P41" s="153"/>
      <c r="Q41" s="153"/>
      <c r="R41" s="153"/>
      <c r="S41" s="153"/>
      <c r="T41" s="153"/>
      <c r="U41" s="153"/>
      <c r="V41" s="153"/>
      <c r="W41" s="153"/>
      <c r="X41" s="153"/>
      <c r="Y41" s="153"/>
      <c r="Z41" s="153"/>
      <c r="AA41" s="153"/>
      <c r="AB41" s="153"/>
    </row>
    <row r="42" spans="1:28">
      <c r="A42" s="170"/>
      <c r="B42" s="135"/>
      <c r="C42" s="168"/>
      <c r="D42" s="168"/>
      <c r="E42" s="168"/>
      <c r="F42" s="168"/>
      <c r="G42" s="152"/>
      <c r="H42" s="152"/>
      <c r="I42" s="152"/>
      <c r="J42" s="152"/>
      <c r="K42" s="152"/>
      <c r="L42" s="152"/>
      <c r="M42" s="152"/>
      <c r="N42" s="152"/>
      <c r="O42" s="153"/>
      <c r="P42" s="153"/>
      <c r="Q42" s="153"/>
      <c r="R42" s="153"/>
      <c r="S42" s="153"/>
      <c r="T42" s="153"/>
      <c r="U42" s="153"/>
      <c r="V42" s="153"/>
      <c r="W42" s="153"/>
      <c r="X42" s="153"/>
      <c r="Y42" s="153"/>
      <c r="Z42" s="153"/>
      <c r="AA42" s="153"/>
      <c r="AB42" s="153"/>
    </row>
    <row r="43" spans="1:28">
      <c r="A43" s="170"/>
      <c r="B43" s="135"/>
      <c r="C43" s="168"/>
      <c r="D43" s="168"/>
      <c r="E43" s="168"/>
      <c r="F43" s="168"/>
      <c r="G43" s="152"/>
      <c r="H43" s="152"/>
      <c r="I43" s="152"/>
      <c r="J43" s="152"/>
      <c r="K43" s="152"/>
      <c r="L43" s="152"/>
      <c r="M43" s="152"/>
      <c r="N43" s="152"/>
      <c r="O43" s="153"/>
      <c r="P43" s="153"/>
      <c r="Q43" s="153"/>
      <c r="R43" s="153"/>
      <c r="S43" s="153"/>
      <c r="T43" s="153"/>
      <c r="U43" s="153"/>
      <c r="V43" s="153"/>
      <c r="W43" s="153"/>
      <c r="X43" s="153"/>
      <c r="Y43" s="153"/>
      <c r="Z43" s="153"/>
      <c r="AA43" s="153"/>
      <c r="AB43" s="153"/>
    </row>
    <row r="44" spans="1:28">
      <c r="A44" s="170"/>
      <c r="B44" s="135"/>
      <c r="C44" s="168"/>
      <c r="D44" s="168"/>
      <c r="E44" s="168"/>
      <c r="F44" s="168"/>
      <c r="G44" s="152"/>
      <c r="H44" s="152"/>
      <c r="I44" s="152"/>
      <c r="J44" s="152"/>
      <c r="K44" s="152"/>
      <c r="L44" s="152"/>
      <c r="M44" s="152"/>
      <c r="N44" s="152"/>
      <c r="O44" s="153"/>
      <c r="P44" s="153"/>
      <c r="Q44" s="153"/>
      <c r="R44" s="153"/>
      <c r="S44" s="153"/>
      <c r="T44" s="153"/>
      <c r="U44" s="153"/>
      <c r="V44" s="153"/>
      <c r="W44" s="153"/>
      <c r="X44" s="153"/>
      <c r="Y44" s="153"/>
      <c r="Z44" s="153"/>
      <c r="AA44" s="153"/>
      <c r="AB44" s="153"/>
    </row>
    <row r="45" spans="1:28">
      <c r="A45" s="170"/>
      <c r="B45" s="135"/>
      <c r="C45" s="168"/>
      <c r="D45" s="168"/>
      <c r="E45" s="168"/>
      <c r="F45" s="168"/>
      <c r="G45" s="152"/>
      <c r="H45" s="152"/>
      <c r="I45" s="152"/>
      <c r="J45" s="152"/>
      <c r="K45" s="152"/>
      <c r="L45" s="152"/>
      <c r="M45" s="152"/>
      <c r="N45" s="152"/>
      <c r="O45" s="153"/>
      <c r="P45" s="153"/>
      <c r="Q45" s="153"/>
      <c r="R45" s="153"/>
      <c r="S45" s="153"/>
      <c r="T45" s="153"/>
      <c r="U45" s="153"/>
      <c r="V45" s="153"/>
      <c r="W45" s="153"/>
      <c r="X45" s="153"/>
      <c r="Y45" s="153"/>
      <c r="Z45" s="153"/>
      <c r="AA45" s="153"/>
      <c r="AB45" s="153"/>
    </row>
    <row r="46" spans="1:28">
      <c r="A46" s="170"/>
      <c r="B46" s="135"/>
      <c r="C46" s="168"/>
      <c r="D46" s="168"/>
      <c r="E46" s="168"/>
      <c r="F46" s="168"/>
      <c r="G46" s="152"/>
      <c r="H46" s="152"/>
      <c r="I46" s="152"/>
      <c r="J46" s="152"/>
      <c r="K46" s="152"/>
      <c r="L46" s="152"/>
      <c r="M46" s="152"/>
      <c r="N46" s="152"/>
      <c r="O46" s="153"/>
      <c r="P46" s="153"/>
      <c r="Q46" s="153"/>
      <c r="R46" s="153"/>
      <c r="S46" s="153"/>
      <c r="T46" s="153"/>
      <c r="U46" s="153"/>
      <c r="V46" s="153"/>
      <c r="W46" s="153"/>
      <c r="X46" s="153"/>
      <c r="Y46" s="153"/>
      <c r="Z46" s="153"/>
      <c r="AA46" s="153"/>
      <c r="AB46" s="153"/>
    </row>
    <row r="47" spans="1:28">
      <c r="A47" s="170"/>
      <c r="B47" s="135"/>
      <c r="C47" s="168"/>
      <c r="D47" s="168"/>
      <c r="E47" s="168"/>
      <c r="F47" s="168"/>
      <c r="G47" s="152"/>
      <c r="H47" s="152"/>
      <c r="I47" s="152"/>
      <c r="J47" s="152"/>
      <c r="K47" s="152"/>
      <c r="L47" s="152"/>
      <c r="M47" s="152"/>
      <c r="N47" s="152"/>
      <c r="O47" s="153"/>
      <c r="P47" s="153"/>
      <c r="Q47" s="153"/>
      <c r="R47" s="153"/>
      <c r="S47" s="153"/>
      <c r="T47" s="153"/>
      <c r="U47" s="153"/>
      <c r="V47" s="153"/>
      <c r="W47" s="153"/>
      <c r="X47" s="153"/>
      <c r="Y47" s="153"/>
      <c r="Z47" s="153"/>
      <c r="AA47" s="153"/>
      <c r="AB47" s="153"/>
    </row>
    <row r="48" spans="1:28">
      <c r="A48" s="170"/>
      <c r="B48" s="135"/>
      <c r="C48" s="168"/>
      <c r="D48" s="152"/>
      <c r="E48" s="152"/>
      <c r="F48" s="152"/>
      <c r="G48" s="152"/>
      <c r="H48" s="152"/>
      <c r="I48" s="152"/>
      <c r="J48" s="152"/>
      <c r="K48" s="152"/>
      <c r="L48" s="152"/>
      <c r="M48" s="152"/>
      <c r="N48" s="152"/>
      <c r="O48" s="153"/>
      <c r="P48" s="153"/>
      <c r="Q48" s="153"/>
      <c r="R48" s="153"/>
      <c r="S48" s="153"/>
      <c r="T48" s="153"/>
      <c r="U48" s="153"/>
      <c r="V48" s="153"/>
      <c r="W48" s="153"/>
      <c r="X48" s="153"/>
      <c r="Y48" s="153"/>
      <c r="Z48" s="153"/>
      <c r="AA48" s="153"/>
      <c r="AB48" s="153"/>
    </row>
    <row r="49" spans="1:28">
      <c r="A49" s="170"/>
      <c r="B49" s="151"/>
      <c r="C49" s="151"/>
      <c r="D49" s="152"/>
      <c r="E49" s="152"/>
      <c r="F49" s="152"/>
      <c r="G49" s="152"/>
      <c r="H49" s="152"/>
      <c r="I49" s="152"/>
      <c r="J49" s="152"/>
      <c r="K49" s="152"/>
      <c r="L49" s="152"/>
      <c r="M49" s="152"/>
      <c r="N49" s="152"/>
      <c r="O49" s="153"/>
      <c r="P49" s="153"/>
      <c r="Q49" s="153"/>
      <c r="R49" s="153"/>
      <c r="S49" s="153"/>
      <c r="T49" s="153"/>
      <c r="U49" s="153"/>
      <c r="V49" s="153"/>
      <c r="W49" s="153"/>
      <c r="X49" s="153"/>
      <c r="Y49" s="153"/>
      <c r="Z49" s="153"/>
      <c r="AA49" s="153"/>
      <c r="AB49" s="153"/>
    </row>
    <row r="50" spans="1:28">
      <c r="A50" s="173"/>
      <c r="B50" s="151"/>
      <c r="C50" s="151"/>
      <c r="D50" s="152"/>
      <c r="E50" s="152"/>
      <c r="F50" s="152"/>
      <c r="G50" s="152"/>
      <c r="H50" s="152"/>
      <c r="I50" s="152"/>
      <c r="J50" s="152"/>
      <c r="K50" s="152"/>
      <c r="L50" s="152"/>
      <c r="M50" s="152"/>
      <c r="N50" s="152"/>
      <c r="O50" s="153"/>
      <c r="P50" s="153"/>
      <c r="Q50" s="153"/>
      <c r="R50" s="153"/>
      <c r="S50" s="153"/>
      <c r="T50" s="153"/>
      <c r="U50" s="153"/>
      <c r="V50" s="153"/>
      <c r="W50" s="153"/>
      <c r="X50" s="153"/>
      <c r="Y50" s="153"/>
      <c r="Z50" s="153"/>
      <c r="AA50" s="153"/>
      <c r="AB50" s="153"/>
    </row>
    <row r="51" spans="1:28">
      <c r="A51" s="173"/>
      <c r="B51" s="151"/>
      <c r="C51" s="151"/>
      <c r="D51" s="152"/>
      <c r="E51" s="152"/>
      <c r="F51" s="152"/>
      <c r="G51" s="152"/>
      <c r="H51" s="152"/>
      <c r="I51" s="152"/>
      <c r="J51" s="152"/>
      <c r="K51" s="152"/>
      <c r="L51" s="152"/>
      <c r="M51" s="152"/>
      <c r="N51" s="152"/>
      <c r="O51" s="153"/>
      <c r="P51" s="153"/>
      <c r="Q51" s="153"/>
      <c r="R51" s="153"/>
      <c r="S51" s="153"/>
      <c r="T51" s="153"/>
      <c r="U51" s="153"/>
      <c r="V51" s="153"/>
      <c r="W51" s="153"/>
      <c r="X51" s="153"/>
      <c r="Y51" s="153"/>
      <c r="Z51" s="153"/>
      <c r="AA51" s="153"/>
      <c r="AB51" s="153"/>
    </row>
    <row r="52" spans="1:28">
      <c r="A52" s="173"/>
      <c r="B52" s="151"/>
      <c r="C52" s="151"/>
      <c r="D52" s="152"/>
      <c r="E52" s="152"/>
      <c r="F52" s="152"/>
      <c r="G52" s="152"/>
      <c r="H52" s="152"/>
      <c r="I52" s="152"/>
      <c r="J52" s="152"/>
      <c r="K52" s="152"/>
      <c r="L52" s="152"/>
      <c r="M52" s="152"/>
      <c r="N52" s="152"/>
      <c r="O52" s="153"/>
      <c r="P52" s="153"/>
      <c r="Q52" s="153"/>
      <c r="R52" s="153"/>
      <c r="S52" s="153"/>
      <c r="T52" s="153"/>
      <c r="U52" s="153"/>
      <c r="V52" s="153"/>
      <c r="W52" s="153"/>
      <c r="X52" s="153"/>
      <c r="Y52" s="153"/>
      <c r="Z52" s="153"/>
      <c r="AA52" s="153"/>
      <c r="AB52" s="153"/>
    </row>
    <row r="53" spans="1:28" ht="16" thickBot="1">
      <c r="A53" s="173"/>
      <c r="B53" s="154"/>
      <c r="C53" s="154"/>
      <c r="D53" s="155"/>
      <c r="E53" s="155"/>
      <c r="F53" s="155"/>
      <c r="G53" s="155"/>
      <c r="H53" s="155"/>
      <c r="I53" s="155"/>
      <c r="J53" s="155"/>
      <c r="K53" s="155"/>
      <c r="L53" s="155"/>
      <c r="M53" s="155"/>
      <c r="N53" s="155"/>
      <c r="O53" s="156"/>
      <c r="P53" s="156"/>
      <c r="Q53" s="156"/>
      <c r="R53" s="156"/>
      <c r="S53" s="156"/>
      <c r="T53" s="156"/>
      <c r="U53" s="156"/>
      <c r="V53" s="156"/>
      <c r="W53" s="156"/>
      <c r="X53" s="156"/>
      <c r="Y53" s="156"/>
      <c r="Z53" s="156"/>
      <c r="AA53" s="156"/>
      <c r="AB53" s="156"/>
    </row>
    <row r="54" spans="1:28" ht="16" thickBot="1">
      <c r="A54" s="157"/>
      <c r="B54" s="174">
        <f t="shared" ref="B54:AB54" si="2">SUM(B28:B53)</f>
        <v>0</v>
      </c>
      <c r="C54" s="175">
        <f t="shared" si="2"/>
        <v>0</v>
      </c>
      <c r="D54" s="175">
        <f t="shared" si="2"/>
        <v>0</v>
      </c>
      <c r="E54" s="175">
        <f>SUM(E28:E53)</f>
        <v>252000</v>
      </c>
      <c r="F54" s="175">
        <f t="shared" si="2"/>
        <v>0</v>
      </c>
      <c r="G54" s="175">
        <f>SUM(G28:G53)</f>
        <v>347000</v>
      </c>
      <c r="H54" s="175">
        <f t="shared" si="2"/>
        <v>0</v>
      </c>
      <c r="I54" s="175">
        <f t="shared" si="2"/>
        <v>330000</v>
      </c>
      <c r="J54" s="175">
        <f t="shared" si="2"/>
        <v>0</v>
      </c>
      <c r="K54" s="175">
        <f t="shared" si="2"/>
        <v>320000</v>
      </c>
      <c r="L54" s="175">
        <f t="shared" si="2"/>
        <v>0</v>
      </c>
      <c r="M54" s="175">
        <f t="shared" si="2"/>
        <v>0</v>
      </c>
      <c r="N54" s="175">
        <f t="shared" si="2"/>
        <v>330000</v>
      </c>
      <c r="O54" s="176">
        <f t="shared" si="2"/>
        <v>0</v>
      </c>
      <c r="P54" s="176">
        <f t="shared" si="2"/>
        <v>375000</v>
      </c>
      <c r="Q54" s="176">
        <f t="shared" si="2"/>
        <v>0</v>
      </c>
      <c r="R54" s="176">
        <f t="shared" si="2"/>
        <v>0</v>
      </c>
      <c r="S54" s="176">
        <f t="shared" si="2"/>
        <v>0</v>
      </c>
      <c r="T54" s="176">
        <f t="shared" si="2"/>
        <v>0</v>
      </c>
      <c r="U54" s="176">
        <f t="shared" si="2"/>
        <v>0</v>
      </c>
      <c r="V54" s="176">
        <f t="shared" si="2"/>
        <v>0</v>
      </c>
      <c r="W54" s="176">
        <f t="shared" si="2"/>
        <v>0</v>
      </c>
      <c r="X54" s="176">
        <f t="shared" si="2"/>
        <v>0</v>
      </c>
      <c r="Y54" s="176">
        <f t="shared" si="2"/>
        <v>0</v>
      </c>
      <c r="Z54" s="176">
        <f t="shared" si="2"/>
        <v>0</v>
      </c>
      <c r="AA54" s="176">
        <f t="shared" si="2"/>
        <v>0</v>
      </c>
      <c r="AB54" s="176">
        <f t="shared" si="2"/>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84D7-1046-423C-824F-0F263468544C}">
  <sheetPr>
    <pageSetUpPr fitToPage="1"/>
  </sheetPr>
  <dimension ref="A3:AB122"/>
  <sheetViews>
    <sheetView topLeftCell="A2" zoomScale="80" zoomScaleNormal="80" workbookViewId="0">
      <pane ySplit="6" topLeftCell="A62" activePane="bottomLeft" state="frozen"/>
      <selection activeCell="A2" sqref="A2"/>
      <selection pane="bottomLeft" activeCell="L33" sqref="L33"/>
    </sheetView>
  </sheetViews>
  <sheetFormatPr baseColWidth="10" defaultColWidth="8.83203125" defaultRowHeight="15"/>
  <cols>
    <col min="1" max="1" width="5.5" customWidth="1"/>
    <col min="2" max="2" width="46.83203125" customWidth="1"/>
    <col min="3" max="3" width="16" customWidth="1"/>
    <col min="4" max="4" width="14.5" customWidth="1"/>
    <col min="5" max="13" width="13.5" customWidth="1"/>
    <col min="14" max="14" width="15.83203125" customWidth="1"/>
    <col min="15" max="15" width="13.1640625" customWidth="1"/>
    <col min="16" max="23" width="16.5" customWidth="1"/>
    <col min="24" max="24" width="17.5" customWidth="1"/>
    <col min="25" max="25" width="13.1640625" bestFit="1" customWidth="1"/>
  </cols>
  <sheetData>
    <row r="3" spans="1:24" ht="16" thickBot="1">
      <c r="C3" s="187"/>
      <c r="D3" s="187"/>
    </row>
    <row r="4" spans="1:24" s="53" customFormat="1" ht="24">
      <c r="B4" s="54" t="s">
        <v>1</v>
      </c>
      <c r="C4" s="196"/>
      <c r="D4" s="197"/>
      <c r="E4" s="55"/>
      <c r="F4" s="55"/>
      <c r="G4" s="55"/>
      <c r="H4" s="55"/>
      <c r="I4" s="55"/>
      <c r="J4" s="55"/>
      <c r="K4" s="55"/>
      <c r="L4" s="55"/>
      <c r="M4" s="55"/>
      <c r="N4" s="55"/>
      <c r="O4" s="55"/>
      <c r="P4" s="55"/>
      <c r="Q4" s="55"/>
      <c r="R4" s="55"/>
      <c r="S4" s="55"/>
      <c r="T4" s="55"/>
      <c r="U4" s="55"/>
      <c r="V4" s="55"/>
      <c r="W4" s="55"/>
      <c r="X4" s="56"/>
    </row>
    <row r="5" spans="1:24" ht="19">
      <c r="B5" s="200" t="s">
        <v>2</v>
      </c>
      <c r="C5" s="97"/>
      <c r="D5" s="70"/>
      <c r="X5" s="58"/>
    </row>
    <row r="6" spans="1:24">
      <c r="A6" t="s">
        <v>0</v>
      </c>
      <c r="B6" s="57"/>
      <c r="C6" s="97"/>
      <c r="D6" s="70"/>
      <c r="E6" s="193">
        <v>45170</v>
      </c>
      <c r="F6" s="68">
        <v>45170</v>
      </c>
      <c r="G6" s="68">
        <v>45170</v>
      </c>
      <c r="H6" s="68">
        <v>45170</v>
      </c>
      <c r="I6" s="68">
        <v>45200</v>
      </c>
      <c r="J6" s="68">
        <v>45200</v>
      </c>
      <c r="K6" s="68">
        <v>45200</v>
      </c>
      <c r="L6" s="68">
        <v>45200</v>
      </c>
      <c r="M6" s="68">
        <v>45200</v>
      </c>
      <c r="N6" s="68">
        <v>45200</v>
      </c>
      <c r="O6" s="68">
        <v>45231</v>
      </c>
      <c r="P6" s="68">
        <v>45261</v>
      </c>
      <c r="Q6" s="68">
        <v>45292</v>
      </c>
      <c r="R6" s="68">
        <v>45323</v>
      </c>
      <c r="S6" s="68">
        <v>45352</v>
      </c>
      <c r="T6" s="68">
        <v>45383</v>
      </c>
      <c r="U6" s="68">
        <v>45413</v>
      </c>
      <c r="V6" s="68">
        <v>45444</v>
      </c>
      <c r="W6" s="68">
        <v>45474</v>
      </c>
      <c r="X6" s="75">
        <v>45505</v>
      </c>
    </row>
    <row r="7" spans="1:24">
      <c r="B7" s="57"/>
      <c r="C7" s="98"/>
      <c r="D7" s="70"/>
      <c r="E7" s="77" t="s">
        <v>3</v>
      </c>
      <c r="F7" s="77" t="s">
        <v>4</v>
      </c>
      <c r="G7" s="77" t="s">
        <v>624</v>
      </c>
      <c r="H7" s="77" t="s">
        <v>625</v>
      </c>
      <c r="I7" s="77" t="s">
        <v>626</v>
      </c>
      <c r="J7" s="77" t="s">
        <v>627</v>
      </c>
      <c r="K7" s="77" t="s">
        <v>628</v>
      </c>
      <c r="L7" s="77" t="s">
        <v>629</v>
      </c>
      <c r="M7" s="77" t="s">
        <v>630</v>
      </c>
      <c r="N7" s="77"/>
      <c r="O7" s="77"/>
      <c r="P7" s="77"/>
      <c r="Q7" s="77"/>
      <c r="R7" s="77"/>
      <c r="S7" s="77"/>
      <c r="T7" s="77"/>
      <c r="U7" s="77"/>
      <c r="V7" s="77"/>
      <c r="W7" s="77"/>
      <c r="X7" s="65"/>
    </row>
    <row r="8" spans="1:24" s="52" customFormat="1">
      <c r="B8" s="198" t="s">
        <v>631</v>
      </c>
      <c r="C8" s="99"/>
      <c r="D8" s="71"/>
      <c r="E8" s="180">
        <v>92890</v>
      </c>
      <c r="F8" s="180"/>
      <c r="G8" s="180"/>
      <c r="H8" s="180"/>
      <c r="I8" s="180"/>
      <c r="J8" s="180"/>
      <c r="K8" s="180"/>
      <c r="L8" s="180"/>
      <c r="M8" s="180"/>
      <c r="N8" s="180"/>
      <c r="O8" s="180"/>
      <c r="P8" s="180"/>
      <c r="Q8" s="180"/>
      <c r="R8" s="180"/>
      <c r="S8" s="180"/>
      <c r="T8" s="180"/>
      <c r="X8" s="66"/>
    </row>
    <row r="9" spans="1:24" s="52" customFormat="1">
      <c r="B9" s="198" t="s">
        <v>47</v>
      </c>
      <c r="C9" s="99"/>
      <c r="D9" s="71"/>
      <c r="E9" s="180"/>
      <c r="F9" s="180">
        <v>50000</v>
      </c>
      <c r="G9" s="180"/>
      <c r="H9" s="180"/>
      <c r="I9" s="180"/>
      <c r="J9" s="180"/>
      <c r="K9" s="180"/>
      <c r="L9" s="180"/>
      <c r="M9" s="180"/>
      <c r="N9" s="180"/>
      <c r="O9" s="180">
        <v>7500</v>
      </c>
      <c r="P9" s="180"/>
      <c r="Q9" s="180"/>
      <c r="R9" s="180"/>
      <c r="S9" s="180"/>
      <c r="T9" s="180"/>
      <c r="X9" s="66"/>
    </row>
    <row r="10" spans="1:24" s="52" customFormat="1">
      <c r="B10" s="198" t="s">
        <v>439</v>
      </c>
      <c r="C10" s="99"/>
      <c r="D10" s="71"/>
      <c r="E10" s="180"/>
      <c r="F10" s="180">
        <v>100000</v>
      </c>
      <c r="G10" s="180"/>
      <c r="H10" s="180"/>
      <c r="I10" s="180"/>
      <c r="J10" s="180"/>
      <c r="K10" s="180"/>
      <c r="L10" s="180"/>
      <c r="M10" s="180"/>
      <c r="N10" s="180"/>
      <c r="O10" s="180"/>
      <c r="P10" s="180"/>
      <c r="Q10" s="180"/>
      <c r="R10" s="180"/>
      <c r="S10" s="180"/>
      <c r="T10" s="180"/>
      <c r="X10" s="66"/>
    </row>
    <row r="11" spans="1:24" s="52" customFormat="1">
      <c r="B11" s="198" t="s">
        <v>49</v>
      </c>
      <c r="C11" s="99"/>
      <c r="D11" s="71"/>
      <c r="E11" s="180"/>
      <c r="F11" s="180"/>
      <c r="G11" s="180"/>
      <c r="H11" s="180"/>
      <c r="I11" s="180"/>
      <c r="J11" s="180"/>
      <c r="K11" s="180"/>
      <c r="L11" s="180"/>
      <c r="M11" s="180"/>
      <c r="N11" s="180"/>
      <c r="O11" s="180"/>
      <c r="P11" s="180"/>
      <c r="Q11" s="180"/>
      <c r="R11" s="180"/>
      <c r="S11" s="180"/>
      <c r="T11" s="180"/>
      <c r="X11" s="66"/>
    </row>
    <row r="12" spans="1:24" s="52" customFormat="1" ht="16" thickBot="1">
      <c r="B12" s="198"/>
      <c r="C12" s="99"/>
      <c r="D12" s="71"/>
      <c r="E12" s="180"/>
      <c r="F12" s="180"/>
      <c r="G12" s="180"/>
      <c r="H12" s="180"/>
      <c r="I12" s="180"/>
      <c r="J12" s="180"/>
      <c r="K12" s="180"/>
      <c r="L12" s="180"/>
      <c r="M12" s="180"/>
      <c r="N12" s="180"/>
      <c r="O12" s="180"/>
      <c r="P12" s="180"/>
      <c r="Q12" s="180"/>
      <c r="R12" s="180"/>
      <c r="S12" s="180"/>
      <c r="T12" s="180"/>
      <c r="X12" s="66"/>
    </row>
    <row r="13" spans="1:24" s="52" customFormat="1" ht="17" thickBot="1">
      <c r="B13" s="199" t="s">
        <v>50</v>
      </c>
      <c r="C13" s="99"/>
      <c r="D13" s="71"/>
      <c r="E13" s="180"/>
      <c r="F13" s="180"/>
      <c r="G13" s="180"/>
      <c r="H13" s="180"/>
      <c r="I13" s="180"/>
      <c r="J13" s="180"/>
      <c r="K13" s="180"/>
      <c r="L13" s="180"/>
      <c r="M13" s="180"/>
      <c r="N13" s="180"/>
      <c r="O13" s="180"/>
      <c r="P13" s="180"/>
      <c r="Q13" s="180"/>
      <c r="R13" s="180"/>
      <c r="S13" s="180"/>
      <c r="T13" s="180"/>
      <c r="X13" s="66"/>
    </row>
    <row r="14" spans="1:24" s="52" customFormat="1">
      <c r="B14" s="182" t="s">
        <v>313</v>
      </c>
      <c r="C14" s="99"/>
      <c r="D14" s="71"/>
      <c r="I14" s="183">
        <f>Retention!F4</f>
        <v>14400</v>
      </c>
      <c r="X14" s="66"/>
    </row>
    <row r="15" spans="1:24" s="52" customFormat="1">
      <c r="B15" s="182" t="s">
        <v>62</v>
      </c>
      <c r="C15" s="99"/>
      <c r="D15" s="71"/>
      <c r="H15" s="52">
        <f>Retention!F14</f>
        <v>15000</v>
      </c>
      <c r="X15" s="66"/>
    </row>
    <row r="16" spans="1:24" s="52" customFormat="1">
      <c r="B16" s="182" t="s">
        <v>493</v>
      </c>
      <c r="C16" s="99"/>
      <c r="D16" s="71"/>
      <c r="L16" s="52">
        <f>Retention!F28</f>
        <v>44384.040000000008</v>
      </c>
      <c r="X16" s="66"/>
    </row>
    <row r="17" spans="1:28" s="52" customFormat="1">
      <c r="B17" s="182" t="s">
        <v>465</v>
      </c>
      <c r="C17" s="99"/>
      <c r="D17" s="71"/>
      <c r="M17" s="52">
        <f>Retention!F10</f>
        <v>13560</v>
      </c>
      <c r="X17" s="66"/>
    </row>
    <row r="18" spans="1:28" s="52" customFormat="1">
      <c r="B18" s="182" t="s">
        <v>632</v>
      </c>
      <c r="C18" s="99"/>
      <c r="D18" s="71"/>
      <c r="M18" s="52">
        <f>Retention!F8</f>
        <v>4650</v>
      </c>
      <c r="N18" s="52" t="s">
        <v>0</v>
      </c>
      <c r="X18" s="66"/>
    </row>
    <row r="19" spans="1:28" s="52" customFormat="1">
      <c r="B19" s="182" t="s">
        <v>633</v>
      </c>
      <c r="C19" s="99"/>
      <c r="D19" s="71"/>
      <c r="M19" s="52">
        <f>Retention!F22</f>
        <v>4335.4480000000003</v>
      </c>
      <c r="N19" s="52" t="s">
        <v>0</v>
      </c>
      <c r="X19" s="66"/>
    </row>
    <row r="20" spans="1:28" s="52" customFormat="1">
      <c r="B20" s="182" t="s">
        <v>503</v>
      </c>
      <c r="C20" s="99"/>
      <c r="D20" s="71"/>
      <c r="M20" s="52">
        <f>Retention!F37</f>
        <v>3600</v>
      </c>
      <c r="N20" s="52" t="s">
        <v>0</v>
      </c>
      <c r="X20" s="66"/>
    </row>
    <row r="21" spans="1:28" s="52" customFormat="1">
      <c r="B21" s="182" t="s">
        <v>634</v>
      </c>
      <c r="C21" s="99"/>
      <c r="D21" s="71"/>
      <c r="R21" s="52">
        <f>Retention!H56</f>
        <v>3200</v>
      </c>
      <c r="X21" s="66"/>
    </row>
    <row r="22" spans="1:28" s="52" customFormat="1">
      <c r="B22" s="182" t="s">
        <v>635</v>
      </c>
      <c r="C22" s="99"/>
      <c r="D22" s="71"/>
      <c r="U22" s="52">
        <f>Retention!I56</f>
        <v>42000</v>
      </c>
      <c r="X22" s="66"/>
      <c r="AA22" s="52" t="s">
        <v>497</v>
      </c>
    </row>
    <row r="23" spans="1:28" s="52" customFormat="1">
      <c r="B23" s="182" t="s">
        <v>58</v>
      </c>
      <c r="C23" s="99"/>
      <c r="D23" s="71"/>
      <c r="X23" s="66">
        <f>Retention!J56</f>
        <v>11694.62</v>
      </c>
      <c r="AA23" s="52">
        <f>230*0.25</f>
        <v>57.5</v>
      </c>
    </row>
    <row r="24" spans="1:28" s="52" customFormat="1" ht="16" thickBot="1">
      <c r="B24" s="182"/>
      <c r="C24" s="99"/>
      <c r="D24" s="71"/>
      <c r="X24" s="66"/>
      <c r="AA24" s="52">
        <f>AA23*0.8</f>
        <v>46</v>
      </c>
    </row>
    <row r="25" spans="1:28" ht="17" thickBot="1">
      <c r="A25" t="s">
        <v>0</v>
      </c>
      <c r="B25" s="189" t="s">
        <v>63</v>
      </c>
      <c r="C25" s="177" t="s">
        <v>64</v>
      </c>
      <c r="D25" s="178" t="s">
        <v>65</v>
      </c>
      <c r="E25" s="52"/>
      <c r="F25" s="52"/>
      <c r="G25" s="52"/>
      <c r="H25" s="52"/>
      <c r="I25" s="52"/>
      <c r="J25" s="52"/>
      <c r="K25" s="52"/>
      <c r="L25" s="52"/>
      <c r="M25" s="52"/>
      <c r="N25" s="52"/>
      <c r="O25" s="52"/>
      <c r="P25" s="52"/>
      <c r="Q25" s="52"/>
      <c r="R25" s="52"/>
      <c r="S25" s="52"/>
      <c r="T25" s="52"/>
      <c r="U25" s="52"/>
      <c r="V25" s="52"/>
      <c r="W25" s="52"/>
      <c r="X25" s="66"/>
      <c r="AA25">
        <f>230-AA24</f>
        <v>184</v>
      </c>
    </row>
    <row r="26" spans="1:28">
      <c r="A26" t="s">
        <v>0</v>
      </c>
      <c r="B26" s="60" t="s">
        <v>314</v>
      </c>
      <c r="C26" s="100"/>
      <c r="D26" s="71">
        <f>'Job Calculations'!D63+'Job Calculations'!D66</f>
        <v>204680</v>
      </c>
      <c r="E26" s="52"/>
      <c r="F26" s="52"/>
      <c r="G26" s="52"/>
      <c r="H26" s="52"/>
      <c r="I26" s="52"/>
      <c r="J26" s="52"/>
      <c r="K26" s="52"/>
      <c r="L26" s="52"/>
      <c r="M26" s="52">
        <f>D26*0.33</f>
        <v>67544.400000000009</v>
      </c>
      <c r="N26" s="52">
        <v>0</v>
      </c>
      <c r="O26" s="52">
        <f>D26*0.33</f>
        <v>67544.400000000009</v>
      </c>
      <c r="P26" s="52">
        <f>D26*0.34</f>
        <v>69591.200000000012</v>
      </c>
      <c r="Q26" s="52"/>
      <c r="R26" s="52"/>
      <c r="S26" s="52"/>
      <c r="T26" s="52"/>
      <c r="U26" s="52"/>
      <c r="V26" s="52"/>
      <c r="W26" s="52"/>
      <c r="X26" s="66"/>
      <c r="AA26">
        <f>AA25*0.65</f>
        <v>119.60000000000001</v>
      </c>
      <c r="AB26" t="s">
        <v>350</v>
      </c>
    </row>
    <row r="27" spans="1:28">
      <c r="A27" t="s">
        <v>0</v>
      </c>
      <c r="B27" s="60" t="s">
        <v>315</v>
      </c>
      <c r="C27" s="100"/>
      <c r="D27" s="71">
        <f>'Job Calculations'!D74+'Job Calculations'!D71</f>
        <v>60200</v>
      </c>
      <c r="E27" s="52"/>
      <c r="F27" s="52"/>
      <c r="G27" s="52"/>
      <c r="H27" s="52"/>
      <c r="I27" s="52"/>
      <c r="J27" s="52"/>
      <c r="K27" s="52"/>
      <c r="L27" s="52"/>
      <c r="M27" s="52"/>
      <c r="N27" s="52"/>
      <c r="O27" s="52">
        <f>$D$27*0.4</f>
        <v>24080</v>
      </c>
      <c r="P27" s="52">
        <f>$D$27*0.4</f>
        <v>24080</v>
      </c>
      <c r="Q27" s="52">
        <f>D27*0.2</f>
        <v>12040</v>
      </c>
      <c r="R27" s="52"/>
      <c r="S27" s="52"/>
      <c r="T27" s="52"/>
      <c r="U27" s="52"/>
      <c r="V27" s="52"/>
      <c r="W27" s="52"/>
      <c r="X27" s="66"/>
      <c r="AA27">
        <f>AA25*0.35</f>
        <v>64.399999999999991</v>
      </c>
      <c r="AB27" t="s">
        <v>420</v>
      </c>
    </row>
    <row r="28" spans="1:28">
      <c r="B28" s="60" t="s">
        <v>532</v>
      </c>
      <c r="C28" s="100" t="s">
        <v>76</v>
      </c>
      <c r="D28" s="181">
        <v>212000</v>
      </c>
      <c r="E28" s="52"/>
      <c r="F28" s="52"/>
      <c r="G28" s="52"/>
      <c r="H28" s="52"/>
      <c r="I28" s="52"/>
      <c r="J28" s="52"/>
      <c r="K28" s="52"/>
      <c r="L28" s="52"/>
      <c r="M28" s="52"/>
      <c r="N28" s="52"/>
      <c r="O28" s="52">
        <v>25000</v>
      </c>
      <c r="P28" s="52">
        <f>(D28-O28-T28)/4</f>
        <v>40500</v>
      </c>
      <c r="Q28" s="52">
        <v>40500</v>
      </c>
      <c r="R28" s="52">
        <v>40500</v>
      </c>
      <c r="S28" s="52">
        <v>40500</v>
      </c>
      <c r="T28" s="52">
        <v>25000</v>
      </c>
      <c r="U28" s="52"/>
      <c r="V28" s="52"/>
      <c r="W28" s="52"/>
      <c r="X28" s="66"/>
    </row>
    <row r="29" spans="1:28">
      <c r="B29" s="60" t="s">
        <v>75</v>
      </c>
      <c r="C29" s="100" t="s">
        <v>76</v>
      </c>
      <c r="D29" s="181">
        <v>560000</v>
      </c>
      <c r="E29" s="52"/>
      <c r="F29" s="52"/>
      <c r="G29" s="52"/>
      <c r="H29" s="52"/>
      <c r="I29" s="52"/>
      <c r="J29" s="52"/>
      <c r="K29" s="52"/>
      <c r="L29" s="52"/>
      <c r="M29" s="52"/>
      <c r="N29" s="52"/>
      <c r="O29" s="52"/>
      <c r="P29" s="52"/>
      <c r="Q29" s="52"/>
      <c r="R29" s="52">
        <f>$D$29*0.1</f>
        <v>56000</v>
      </c>
      <c r="S29" s="78">
        <f>$D$29*0.16</f>
        <v>89600</v>
      </c>
      <c r="T29" s="78">
        <f>$D$29*0.16</f>
        <v>89600</v>
      </c>
      <c r="U29" s="78">
        <f>$D$29*0.16</f>
        <v>89600</v>
      </c>
      <c r="V29" s="78">
        <f>$D$29*0.16</f>
        <v>89600</v>
      </c>
      <c r="W29" s="78">
        <f>$D$29*0.16</f>
        <v>89600</v>
      </c>
      <c r="X29" s="66">
        <f>$D$29*0.1</f>
        <v>56000</v>
      </c>
      <c r="AA29" t="s">
        <v>0</v>
      </c>
    </row>
    <row r="30" spans="1:28">
      <c r="B30" s="60" t="s">
        <v>636</v>
      </c>
      <c r="C30" s="100" t="s">
        <v>76</v>
      </c>
      <c r="D30" s="181">
        <v>60000</v>
      </c>
      <c r="E30" s="52"/>
      <c r="F30" s="52"/>
      <c r="G30" s="52"/>
      <c r="H30" s="52"/>
      <c r="I30" s="52"/>
      <c r="J30" s="52"/>
      <c r="K30" s="52"/>
      <c r="L30" s="52"/>
      <c r="M30" s="52"/>
      <c r="N30" s="52"/>
      <c r="O30" s="52"/>
      <c r="P30" s="52"/>
      <c r="Q30" s="52"/>
      <c r="R30" s="52">
        <f>$D$30*0.1</f>
        <v>6000</v>
      </c>
      <c r="S30" s="52">
        <f>$D$30*0.16</f>
        <v>9600</v>
      </c>
      <c r="T30" s="52">
        <f>$D$30*0.16</f>
        <v>9600</v>
      </c>
      <c r="U30" s="52">
        <f>$D$30*0.16</f>
        <v>9600</v>
      </c>
      <c r="V30" s="52">
        <f>$D$30*0.16</f>
        <v>9600</v>
      </c>
      <c r="W30" s="52">
        <f>$D$30*0.16</f>
        <v>9600</v>
      </c>
      <c r="X30" s="66">
        <f>R30</f>
        <v>6000</v>
      </c>
    </row>
    <row r="31" spans="1:28" ht="16" thickBot="1">
      <c r="B31" s="60"/>
      <c r="C31" s="100"/>
      <c r="D31" s="71"/>
      <c r="E31" s="52"/>
      <c r="F31" s="52"/>
      <c r="G31" s="52"/>
      <c r="H31" s="52"/>
      <c r="I31" s="52"/>
      <c r="J31" s="52"/>
      <c r="K31" s="52"/>
      <c r="L31" s="52"/>
      <c r="M31" s="52"/>
      <c r="N31" s="52"/>
      <c r="O31" s="52"/>
      <c r="P31" s="52"/>
      <c r="Q31" s="52"/>
      <c r="R31" s="52"/>
      <c r="S31" s="52"/>
      <c r="T31" s="52"/>
      <c r="U31" s="52"/>
      <c r="V31" s="52"/>
      <c r="W31" s="52"/>
      <c r="X31" s="66"/>
    </row>
    <row r="32" spans="1:28" ht="17" thickBot="1">
      <c r="B32" s="189" t="s">
        <v>637</v>
      </c>
      <c r="C32" s="100"/>
      <c r="D32" s="71"/>
      <c r="E32" s="52"/>
      <c r="F32" s="52"/>
      <c r="G32" s="52"/>
      <c r="H32" s="52"/>
      <c r="I32" s="52"/>
      <c r="J32" s="52"/>
      <c r="K32" s="52"/>
      <c r="L32" s="52"/>
      <c r="M32" s="52"/>
      <c r="N32" s="52"/>
      <c r="O32" s="52"/>
      <c r="P32" s="52"/>
      <c r="Q32" s="52"/>
      <c r="R32" s="52"/>
      <c r="S32" s="52"/>
      <c r="T32" s="52"/>
      <c r="U32" s="52"/>
      <c r="V32" s="52"/>
      <c r="W32" s="52"/>
      <c r="X32" s="66"/>
    </row>
    <row r="33" spans="2:27">
      <c r="B33" s="60" t="s">
        <v>132</v>
      </c>
      <c r="C33" s="100"/>
      <c r="D33" s="71">
        <v>52000</v>
      </c>
      <c r="E33" s="52">
        <v>0</v>
      </c>
      <c r="F33" s="52">
        <f>D33*0.4</f>
        <v>20800</v>
      </c>
      <c r="G33" s="52"/>
      <c r="H33" s="52">
        <f>D33*0.4</f>
        <v>20800</v>
      </c>
      <c r="I33" s="52"/>
      <c r="J33" s="52"/>
      <c r="K33" s="52">
        <f>D33*0.2</f>
        <v>10400</v>
      </c>
      <c r="L33" s="52"/>
      <c r="M33" s="52"/>
      <c r="N33" s="52" t="s">
        <v>0</v>
      </c>
      <c r="O33" s="52">
        <v>0</v>
      </c>
      <c r="P33" s="52"/>
      <c r="Q33" s="52"/>
      <c r="R33" s="52"/>
      <c r="S33" s="52"/>
      <c r="T33" s="52"/>
      <c r="U33" s="52"/>
      <c r="V33" s="52"/>
      <c r="W33" s="52"/>
      <c r="X33" s="66"/>
      <c r="AA33">
        <f>AA26*0.8</f>
        <v>95.68</v>
      </c>
    </row>
    <row r="34" spans="2:27">
      <c r="B34" s="60" t="s">
        <v>373</v>
      </c>
      <c r="C34" s="100"/>
      <c r="D34" s="71">
        <f>'Job Calculations'!I63</f>
        <v>43200</v>
      </c>
      <c r="F34" s="52"/>
      <c r="G34" s="52">
        <f>D34</f>
        <v>43200</v>
      </c>
      <c r="H34" s="52"/>
      <c r="I34" s="52"/>
      <c r="J34" s="52"/>
      <c r="K34" s="52"/>
      <c r="L34" s="52"/>
      <c r="M34" s="52"/>
      <c r="N34" s="52">
        <v>0</v>
      </c>
      <c r="O34" s="52"/>
      <c r="P34" s="52"/>
      <c r="Q34" s="52"/>
      <c r="R34" s="52"/>
      <c r="S34" s="52"/>
      <c r="T34" s="52"/>
      <c r="U34" s="52"/>
      <c r="V34" s="52"/>
      <c r="W34" s="52"/>
      <c r="X34" s="66"/>
    </row>
    <row r="35" spans="2:27">
      <c r="B35" s="60" t="s">
        <v>638</v>
      </c>
      <c r="C35" s="100"/>
      <c r="D35" s="71" t="str">
        <f>'Job Calculations'!I70</f>
        <v xml:space="preserve"> </v>
      </c>
      <c r="E35" s="52">
        <v>0</v>
      </c>
      <c r="F35" s="52"/>
      <c r="G35" s="52"/>
      <c r="H35" s="52" t="str">
        <f>D35</f>
        <v xml:space="preserve"> </v>
      </c>
      <c r="I35" s="52"/>
      <c r="J35" s="52"/>
      <c r="K35" s="52"/>
      <c r="L35" s="52"/>
      <c r="M35" s="52"/>
      <c r="N35" s="52">
        <v>0</v>
      </c>
      <c r="O35" s="52"/>
      <c r="P35" s="52"/>
      <c r="Q35" s="52"/>
      <c r="R35" s="52"/>
      <c r="S35" s="52"/>
      <c r="T35" s="52"/>
      <c r="U35" s="52"/>
      <c r="V35" s="52"/>
      <c r="W35" s="52"/>
      <c r="X35" s="66"/>
    </row>
    <row r="36" spans="2:27">
      <c r="B36" s="60" t="s">
        <v>639</v>
      </c>
      <c r="C36" s="100"/>
      <c r="D36" s="71">
        <f>'Job Calculations'!I78</f>
        <v>24000</v>
      </c>
      <c r="E36" s="52">
        <v>0</v>
      </c>
      <c r="F36" s="52"/>
      <c r="G36" s="52"/>
      <c r="H36" s="52">
        <f>D36</f>
        <v>24000</v>
      </c>
      <c r="I36" s="52"/>
      <c r="J36" s="52"/>
      <c r="K36" s="52"/>
      <c r="L36" s="52"/>
      <c r="M36" s="52"/>
      <c r="N36" s="52">
        <v>0</v>
      </c>
      <c r="O36" s="52"/>
      <c r="P36" s="52"/>
      <c r="Q36" s="52"/>
      <c r="R36" s="52"/>
      <c r="S36" s="52"/>
      <c r="T36" s="52"/>
      <c r="U36" s="52"/>
      <c r="V36" s="52"/>
      <c r="W36" s="52"/>
      <c r="X36" s="66"/>
    </row>
    <row r="37" spans="2:27">
      <c r="B37" s="60" t="s">
        <v>129</v>
      </c>
      <c r="C37" s="194">
        <v>17500</v>
      </c>
      <c r="D37" s="71">
        <f>17500*0.8</f>
        <v>14000</v>
      </c>
      <c r="E37" s="52"/>
      <c r="F37" s="52"/>
      <c r="G37" s="52"/>
      <c r="H37" s="52"/>
      <c r="I37" s="52"/>
      <c r="J37" s="52"/>
      <c r="K37" s="52"/>
      <c r="L37" s="52"/>
      <c r="M37" s="52">
        <f>D37*0.4</f>
        <v>5600</v>
      </c>
      <c r="N37" s="52">
        <v>0</v>
      </c>
      <c r="O37" s="52">
        <f>D37-M37</f>
        <v>8400</v>
      </c>
      <c r="P37" s="52"/>
      <c r="Q37" s="52"/>
      <c r="R37" s="52"/>
      <c r="S37" s="52"/>
      <c r="T37" s="52"/>
      <c r="U37" s="52"/>
      <c r="V37" s="52"/>
      <c r="W37" s="52"/>
      <c r="X37" s="66"/>
    </row>
    <row r="38" spans="2:27">
      <c r="B38" s="60" t="s">
        <v>527</v>
      </c>
      <c r="C38" s="194">
        <v>39500</v>
      </c>
      <c r="D38" s="71"/>
      <c r="E38" s="52"/>
      <c r="F38" s="52"/>
      <c r="G38" s="52"/>
      <c r="H38" s="52"/>
      <c r="I38" s="52"/>
      <c r="J38" s="52"/>
      <c r="K38" s="52"/>
      <c r="L38" s="52"/>
      <c r="M38" s="52"/>
      <c r="N38" s="52"/>
      <c r="O38" s="52">
        <f>N89*0.6</f>
        <v>9300</v>
      </c>
      <c r="P38" s="52">
        <f>N89-O38</f>
        <v>6200</v>
      </c>
      <c r="Q38" s="52"/>
      <c r="R38" s="52"/>
      <c r="S38" s="52"/>
      <c r="T38" s="52"/>
      <c r="U38" s="52"/>
      <c r="V38" s="52"/>
      <c r="W38" s="52"/>
      <c r="X38" s="66"/>
    </row>
    <row r="39" spans="2:27">
      <c r="B39" s="60" t="s">
        <v>528</v>
      </c>
      <c r="C39" s="194">
        <v>4250</v>
      </c>
      <c r="D39" s="71"/>
      <c r="E39" s="52"/>
      <c r="F39" s="52"/>
      <c r="G39" s="52"/>
      <c r="H39" s="52"/>
      <c r="I39" s="52"/>
      <c r="J39" s="52"/>
      <c r="K39" s="52"/>
      <c r="L39" s="52"/>
      <c r="M39" s="52"/>
      <c r="N39" s="52"/>
      <c r="O39" s="52">
        <f>N90</f>
        <v>2230</v>
      </c>
      <c r="P39" s="52"/>
      <c r="Q39" s="52"/>
      <c r="R39" s="52"/>
      <c r="S39" s="52"/>
      <c r="T39" s="52"/>
      <c r="U39" s="52"/>
      <c r="V39" s="52"/>
      <c r="W39" s="52"/>
      <c r="X39" s="66"/>
    </row>
    <row r="40" spans="2:27">
      <c r="B40" s="60" t="s">
        <v>529</v>
      </c>
      <c r="C40" s="194">
        <v>4250</v>
      </c>
      <c r="D40" s="71"/>
      <c r="E40" s="52"/>
      <c r="F40" s="52"/>
      <c r="G40" s="52"/>
      <c r="H40" s="52"/>
      <c r="I40" s="52"/>
      <c r="J40" s="52"/>
      <c r="K40" s="52"/>
      <c r="L40" s="52"/>
      <c r="M40" s="52"/>
      <c r="N40" s="52"/>
      <c r="O40" s="52">
        <f>N91</f>
        <v>2230</v>
      </c>
      <c r="P40" s="52"/>
      <c r="Q40" s="52"/>
      <c r="R40" s="52"/>
      <c r="S40" s="52"/>
      <c r="T40" s="52"/>
      <c r="U40" s="52"/>
      <c r="V40" s="52"/>
      <c r="W40" s="52"/>
      <c r="X40" s="66"/>
    </row>
    <row r="41" spans="2:27">
      <c r="B41" s="60" t="s">
        <v>530</v>
      </c>
      <c r="C41" s="194">
        <v>4250</v>
      </c>
      <c r="D41" s="71"/>
      <c r="E41" s="52"/>
      <c r="F41" s="52"/>
      <c r="G41" s="52"/>
      <c r="H41" s="52"/>
      <c r="I41" s="52"/>
      <c r="J41" s="52"/>
      <c r="K41" s="52"/>
      <c r="L41" s="52"/>
      <c r="M41" s="52"/>
      <c r="N41" s="52"/>
      <c r="O41" s="52">
        <f>N92</f>
        <v>2230</v>
      </c>
      <c r="P41" s="52"/>
      <c r="Q41" s="52"/>
      <c r="R41" s="52"/>
      <c r="S41" s="52"/>
      <c r="T41" s="52"/>
      <c r="U41" s="52"/>
      <c r="V41" s="52"/>
      <c r="W41" s="52"/>
      <c r="X41" s="66"/>
    </row>
    <row r="42" spans="2:27">
      <c r="B42" s="60" t="s">
        <v>567</v>
      </c>
      <c r="C42" s="194">
        <f>'Job Calculations'!G26</f>
        <v>0</v>
      </c>
      <c r="D42" s="71">
        <f>'Job Calculations'!G34</f>
        <v>-33600</v>
      </c>
      <c r="E42" s="52"/>
      <c r="F42" s="52"/>
      <c r="G42" s="52"/>
      <c r="H42" s="52"/>
      <c r="I42" s="52"/>
      <c r="J42" s="52"/>
      <c r="K42" s="52"/>
      <c r="L42" s="52"/>
      <c r="M42" s="52"/>
      <c r="N42" s="52"/>
      <c r="O42" s="52"/>
      <c r="P42" s="52"/>
      <c r="Q42" s="52"/>
      <c r="R42" s="52">
        <f>$D$42/3</f>
        <v>-11200</v>
      </c>
      <c r="S42" s="52">
        <f>$D$42/3</f>
        <v>-11200</v>
      </c>
      <c r="T42" s="52">
        <f>$D$42/3</f>
        <v>-11200</v>
      </c>
      <c r="U42" s="52"/>
      <c r="V42" s="52"/>
      <c r="W42" s="52"/>
      <c r="X42" s="66"/>
    </row>
    <row r="43" spans="2:27">
      <c r="B43" s="60" t="s">
        <v>640</v>
      </c>
      <c r="C43" s="100"/>
      <c r="D43" s="71">
        <v>14500</v>
      </c>
      <c r="E43" s="52"/>
      <c r="F43" s="52"/>
      <c r="G43" s="52"/>
      <c r="H43" s="52"/>
      <c r="I43" s="52"/>
      <c r="J43" s="52"/>
      <c r="K43" s="52"/>
      <c r="L43" s="52"/>
      <c r="M43" s="52"/>
      <c r="N43" s="52"/>
      <c r="O43" s="52"/>
      <c r="P43" s="52"/>
      <c r="Q43" s="52"/>
      <c r="R43" s="52"/>
      <c r="S43" s="52"/>
      <c r="T43" s="52"/>
      <c r="U43" s="52"/>
      <c r="V43" s="52"/>
      <c r="W43" s="52">
        <f>D43</f>
        <v>14500</v>
      </c>
      <c r="X43" s="66"/>
    </row>
    <row r="44" spans="2:27">
      <c r="B44" s="60" t="s">
        <v>130</v>
      </c>
      <c r="C44" s="100">
        <f>'Job Calculations'!G42</f>
        <v>17325</v>
      </c>
      <c r="D44" s="71">
        <f>C44*0.8</f>
        <v>13860</v>
      </c>
      <c r="E44" s="52"/>
      <c r="F44" s="52"/>
      <c r="G44" s="52"/>
      <c r="H44" s="52">
        <f>D44*0.6</f>
        <v>8316</v>
      </c>
      <c r="I44" s="52"/>
      <c r="J44" s="52"/>
      <c r="K44" s="52">
        <f>D44*0.4</f>
        <v>5544</v>
      </c>
      <c r="L44" s="52"/>
      <c r="M44" s="52"/>
      <c r="N44" s="52">
        <v>0</v>
      </c>
      <c r="O44" s="52"/>
      <c r="P44" s="52"/>
      <c r="Q44" s="52"/>
      <c r="R44" s="52"/>
      <c r="S44" s="52"/>
      <c r="T44" s="52"/>
      <c r="U44" s="52"/>
      <c r="V44" s="52"/>
      <c r="W44" s="52"/>
      <c r="X44" s="66"/>
    </row>
    <row r="45" spans="2:27">
      <c r="B45" s="60" t="s">
        <v>367</v>
      </c>
      <c r="C45" s="100">
        <v>50000</v>
      </c>
      <c r="D45" s="71">
        <f>C45*0.8</f>
        <v>40000</v>
      </c>
      <c r="E45" s="52"/>
      <c r="F45" s="52"/>
      <c r="G45" s="52"/>
      <c r="H45" s="52">
        <f>D45*0.5</f>
        <v>20000</v>
      </c>
      <c r="I45" s="52"/>
      <c r="J45" s="52"/>
      <c r="K45" s="52"/>
      <c r="L45" s="52">
        <f>D45*0.5</f>
        <v>20000</v>
      </c>
      <c r="M45" s="52">
        <v>0</v>
      </c>
      <c r="N45" s="52">
        <v>0</v>
      </c>
      <c r="O45" s="52">
        <v>0</v>
      </c>
      <c r="P45" s="52"/>
      <c r="Q45" s="52"/>
      <c r="R45" s="52"/>
      <c r="S45" s="52"/>
      <c r="T45" s="52"/>
      <c r="U45" s="52"/>
      <c r="V45" s="52"/>
      <c r="W45" s="52"/>
      <c r="X45" s="66"/>
    </row>
    <row r="46" spans="2:27" ht="16" thickBot="1">
      <c r="B46" s="60"/>
      <c r="C46" s="100"/>
      <c r="D46" s="71">
        <v>0</v>
      </c>
      <c r="E46" s="52"/>
      <c r="F46" s="52"/>
      <c r="G46" s="52"/>
      <c r="H46" s="52"/>
      <c r="I46" s="52"/>
      <c r="J46" s="52"/>
      <c r="K46" s="52"/>
      <c r="L46" s="52"/>
      <c r="M46" s="52"/>
      <c r="N46" s="52"/>
      <c r="O46" s="52"/>
      <c r="P46" s="52"/>
      <c r="Q46" s="52"/>
      <c r="R46" s="52"/>
      <c r="S46" s="52"/>
      <c r="T46" s="52"/>
      <c r="U46" s="52"/>
      <c r="V46" s="52"/>
      <c r="W46" s="52"/>
      <c r="X46" s="66"/>
    </row>
    <row r="47" spans="2:27" ht="16" thickBot="1">
      <c r="B47" s="190" t="s">
        <v>641</v>
      </c>
      <c r="C47" s="101"/>
      <c r="D47" s="71">
        <v>0</v>
      </c>
      <c r="E47" s="52"/>
      <c r="F47" s="52"/>
      <c r="G47" s="52"/>
      <c r="H47" s="52"/>
      <c r="I47" s="52"/>
      <c r="J47" s="52"/>
      <c r="K47" s="52"/>
      <c r="L47" s="52"/>
      <c r="M47" s="52"/>
      <c r="N47" s="52"/>
      <c r="O47" s="52"/>
      <c r="P47" s="52"/>
      <c r="Q47" s="52"/>
      <c r="R47" s="52"/>
      <c r="S47" s="52"/>
      <c r="T47" s="52"/>
      <c r="U47" s="52"/>
      <c r="V47" s="52"/>
      <c r="W47" s="52"/>
      <c r="X47" s="66"/>
    </row>
    <row r="48" spans="2:27">
      <c r="B48" s="60" t="s">
        <v>138</v>
      </c>
      <c r="C48" s="100"/>
      <c r="D48" s="71">
        <v>0</v>
      </c>
      <c r="E48" s="52"/>
      <c r="F48" s="52"/>
      <c r="G48" s="52"/>
      <c r="H48" s="52"/>
      <c r="I48" s="52"/>
      <c r="J48" s="52"/>
      <c r="K48" s="52"/>
      <c r="L48" s="52"/>
      <c r="M48" s="52"/>
      <c r="N48" s="52"/>
      <c r="O48" s="52"/>
      <c r="P48" s="52"/>
      <c r="Q48" s="52"/>
      <c r="R48" s="52"/>
      <c r="S48" s="52"/>
      <c r="T48" s="52"/>
      <c r="U48" s="52">
        <v>30000</v>
      </c>
      <c r="V48" s="52">
        <v>30000</v>
      </c>
      <c r="W48" s="52">
        <v>30000</v>
      </c>
      <c r="X48" s="66">
        <v>30000</v>
      </c>
    </row>
    <row r="49" spans="2:25">
      <c r="B49" s="60" t="s">
        <v>139</v>
      </c>
      <c r="C49" s="100"/>
      <c r="D49" s="71">
        <v>0</v>
      </c>
      <c r="E49" s="52"/>
      <c r="F49" s="52"/>
      <c r="G49" s="52"/>
      <c r="H49" s="52"/>
      <c r="I49" s="52"/>
      <c r="J49" s="52"/>
      <c r="K49" s="52"/>
      <c r="L49" s="52"/>
      <c r="M49" s="52"/>
      <c r="N49" s="52"/>
      <c r="O49" s="52"/>
      <c r="P49" s="52"/>
      <c r="Q49" s="52">
        <v>10000</v>
      </c>
      <c r="R49" s="52">
        <v>10000</v>
      </c>
      <c r="S49" s="52">
        <v>10000</v>
      </c>
      <c r="T49" s="52">
        <v>10000</v>
      </c>
      <c r="U49" s="52">
        <v>10000</v>
      </c>
      <c r="V49" s="52">
        <v>10000</v>
      </c>
      <c r="W49" s="52">
        <v>10000</v>
      </c>
      <c r="X49" s="66">
        <v>10000</v>
      </c>
    </row>
    <row r="50" spans="2:25">
      <c r="B50" s="57" t="s">
        <v>140</v>
      </c>
      <c r="C50" s="99"/>
      <c r="D50" s="71">
        <v>0</v>
      </c>
      <c r="E50" s="52"/>
      <c r="F50" s="52"/>
      <c r="G50" s="52"/>
      <c r="H50" s="52"/>
      <c r="I50" s="52"/>
      <c r="J50" s="52"/>
      <c r="K50" s="52"/>
      <c r="L50" s="52"/>
      <c r="M50" s="52"/>
      <c r="N50" s="52"/>
      <c r="O50" s="52" t="s">
        <v>0</v>
      </c>
      <c r="P50" s="52">
        <v>7500</v>
      </c>
      <c r="Q50" s="52">
        <v>7500</v>
      </c>
      <c r="R50" s="52">
        <v>7500</v>
      </c>
      <c r="S50" s="52">
        <v>7500</v>
      </c>
      <c r="T50" s="52">
        <v>7500</v>
      </c>
      <c r="U50" s="52">
        <v>7500</v>
      </c>
      <c r="V50" s="52">
        <v>7500</v>
      </c>
      <c r="W50" s="52">
        <v>7500</v>
      </c>
      <c r="X50" s="66">
        <v>7500</v>
      </c>
    </row>
    <row r="51" spans="2:25">
      <c r="B51" s="60" t="s">
        <v>571</v>
      </c>
      <c r="C51" s="100"/>
      <c r="D51" s="71">
        <v>59750</v>
      </c>
      <c r="E51" s="52"/>
      <c r="F51" s="52"/>
      <c r="G51" s="52"/>
      <c r="H51" s="52"/>
      <c r="I51" s="52"/>
      <c r="J51" s="52"/>
      <c r="K51" s="52"/>
      <c r="L51" s="52"/>
      <c r="M51" s="52"/>
      <c r="N51" s="52"/>
      <c r="O51" s="52"/>
      <c r="P51" s="52">
        <v>14937.5</v>
      </c>
      <c r="Q51" s="52">
        <v>14937.5</v>
      </c>
      <c r="R51" s="52">
        <v>14937.5</v>
      </c>
      <c r="S51" s="78">
        <v>14937.5</v>
      </c>
      <c r="T51" s="52"/>
      <c r="U51" s="52"/>
      <c r="V51" s="52"/>
      <c r="W51" s="52"/>
      <c r="X51" s="66"/>
    </row>
    <row r="52" spans="2:25" ht="16" thickBot="1">
      <c r="B52" s="57"/>
      <c r="C52" s="97"/>
      <c r="D52" s="70"/>
      <c r="X52" s="58"/>
    </row>
    <row r="53" spans="2:25" ht="16" thickBot="1">
      <c r="B53" s="191" t="s">
        <v>141</v>
      </c>
      <c r="C53" s="99"/>
      <c r="D53" s="70"/>
      <c r="E53" s="79" t="s">
        <v>0</v>
      </c>
      <c r="F53" s="79"/>
      <c r="G53" s="79"/>
      <c r="H53" s="79"/>
      <c r="I53" s="79"/>
      <c r="J53" s="79"/>
      <c r="K53" s="79"/>
      <c r="L53" s="79"/>
      <c r="M53" s="79"/>
      <c r="N53" s="79" t="s">
        <v>0</v>
      </c>
      <c r="O53" s="79">
        <f>-Overheads!F26</f>
        <v>-47295</v>
      </c>
      <c r="P53" s="79">
        <f>-Overheads!G26</f>
        <v>-47295</v>
      </c>
      <c r="Q53" s="79">
        <f>-Overheads!H26</f>
        <v>-47295</v>
      </c>
      <c r="R53" s="79">
        <f>-Overheads!I26</f>
        <v>-47295</v>
      </c>
      <c r="S53" s="79">
        <v>-41645</v>
      </c>
      <c r="T53" s="79">
        <v>-40145</v>
      </c>
      <c r="U53" s="79">
        <v>-40145</v>
      </c>
      <c r="V53" s="79">
        <v>-40145</v>
      </c>
      <c r="W53" s="79">
        <v>-33141</v>
      </c>
      <c r="X53" s="74">
        <v>-33141</v>
      </c>
      <c r="Y53" s="79">
        <f>SUM(E53:X53)</f>
        <v>-417542</v>
      </c>
    </row>
    <row r="54" spans="2:25">
      <c r="B54" s="59"/>
      <c r="C54" s="99"/>
      <c r="D54" s="70"/>
      <c r="E54" s="79"/>
      <c r="F54" s="79"/>
      <c r="G54" s="79"/>
      <c r="H54" s="79"/>
      <c r="I54" s="79"/>
      <c r="J54" s="79"/>
      <c r="K54" s="79"/>
      <c r="L54" s="79"/>
      <c r="M54" s="79"/>
      <c r="N54" s="79"/>
      <c r="O54" s="79"/>
      <c r="P54" s="79"/>
      <c r="Q54" s="79"/>
      <c r="R54" s="79"/>
      <c r="S54" s="79"/>
      <c r="T54" s="79"/>
      <c r="U54" s="79"/>
      <c r="V54" s="79"/>
      <c r="W54" s="79"/>
      <c r="X54" s="74"/>
      <c r="Y54" s="79"/>
    </row>
    <row r="55" spans="2:25">
      <c r="B55" s="57" t="s">
        <v>642</v>
      </c>
      <c r="C55" s="99"/>
      <c r="D55" s="70"/>
      <c r="E55" s="79">
        <v>-1678</v>
      </c>
      <c r="F55" s="79">
        <v>-1678</v>
      </c>
      <c r="G55" s="79">
        <v>-1678</v>
      </c>
      <c r="H55" s="79">
        <v>-1678</v>
      </c>
      <c r="I55" s="79">
        <v>-1678</v>
      </c>
      <c r="J55" s="79">
        <v>-1678</v>
      </c>
      <c r="K55" s="79">
        <v>-1678</v>
      </c>
      <c r="L55" s="79">
        <v>-1678</v>
      </c>
      <c r="M55" s="79">
        <v>-1678</v>
      </c>
      <c r="N55" s="79"/>
      <c r="O55" s="79">
        <v>-10000</v>
      </c>
      <c r="P55" s="79">
        <v>-10000</v>
      </c>
      <c r="Q55" s="79">
        <v>-10000</v>
      </c>
      <c r="R55" s="79">
        <v>-10000</v>
      </c>
      <c r="S55" s="79">
        <v>-10000</v>
      </c>
      <c r="T55" s="79">
        <v>-10000</v>
      </c>
      <c r="U55" s="79">
        <v>-10000</v>
      </c>
      <c r="V55" s="79">
        <v>-10000</v>
      </c>
      <c r="W55" s="79">
        <v>-10000</v>
      </c>
      <c r="X55" s="74">
        <v>-10000</v>
      </c>
      <c r="Y55" s="79"/>
    </row>
    <row r="56" spans="2:25">
      <c r="B56" s="57" t="s">
        <v>643</v>
      </c>
      <c r="C56" s="99"/>
      <c r="D56" s="70"/>
      <c r="E56" s="79">
        <f>-10000-E55</f>
        <v>-8322</v>
      </c>
      <c r="F56" s="79">
        <f t="shared" ref="F56:M56" si="0">-10000-F55</f>
        <v>-8322</v>
      </c>
      <c r="G56" s="79">
        <f t="shared" si="0"/>
        <v>-8322</v>
      </c>
      <c r="H56" s="79">
        <f t="shared" si="0"/>
        <v>-8322</v>
      </c>
      <c r="I56" s="79">
        <f t="shared" si="0"/>
        <v>-8322</v>
      </c>
      <c r="J56" s="79">
        <f t="shared" si="0"/>
        <v>-8322</v>
      </c>
      <c r="K56" s="79">
        <f t="shared" si="0"/>
        <v>-8322</v>
      </c>
      <c r="L56" s="79">
        <f t="shared" si="0"/>
        <v>-8322</v>
      </c>
      <c r="M56" s="79">
        <f t="shared" si="0"/>
        <v>-8322</v>
      </c>
      <c r="N56" s="79"/>
      <c r="O56" s="79"/>
      <c r="P56" s="79"/>
      <c r="Q56" s="79"/>
      <c r="R56" s="79"/>
      <c r="S56" s="79"/>
      <c r="T56" s="79"/>
      <c r="U56" s="79"/>
      <c r="V56" s="79"/>
      <c r="W56" s="79"/>
      <c r="X56" s="74"/>
      <c r="Y56" s="79"/>
    </row>
    <row r="57" spans="2:25">
      <c r="B57" s="57" t="s">
        <v>145</v>
      </c>
      <c r="C57" s="99"/>
      <c r="D57" s="70"/>
      <c r="E57" s="79"/>
      <c r="F57" s="79"/>
      <c r="G57" s="79">
        <f>-(6667*2)*0.65</f>
        <v>-8667.1</v>
      </c>
      <c r="H57" s="79" t="s">
        <v>0</v>
      </c>
      <c r="I57" s="79"/>
      <c r="J57" s="79"/>
      <c r="K57" s="79">
        <f>G57</f>
        <v>-8667.1</v>
      </c>
      <c r="L57" s="79"/>
      <c r="M57" s="79"/>
      <c r="N57" s="79"/>
      <c r="O57" s="79">
        <f>K57</f>
        <v>-8667.1</v>
      </c>
      <c r="P57" s="79">
        <v>-8667</v>
      </c>
      <c r="Q57" s="79">
        <v>-8667</v>
      </c>
      <c r="R57" s="79">
        <v>-8667</v>
      </c>
      <c r="S57" s="79">
        <f t="shared" ref="S57:X57" si="1">O57</f>
        <v>-8667.1</v>
      </c>
      <c r="T57" s="79">
        <f t="shared" si="1"/>
        <v>-8667</v>
      </c>
      <c r="U57" s="79">
        <f t="shared" si="1"/>
        <v>-8667</v>
      </c>
      <c r="V57" s="79">
        <f t="shared" si="1"/>
        <v>-8667</v>
      </c>
      <c r="W57" s="79">
        <f t="shared" si="1"/>
        <v>-8667.1</v>
      </c>
      <c r="X57" s="74">
        <f t="shared" si="1"/>
        <v>-8667</v>
      </c>
      <c r="Y57" s="79"/>
    </row>
    <row r="58" spans="2:25">
      <c r="B58" s="57" t="s">
        <v>644</v>
      </c>
      <c r="C58" s="99"/>
      <c r="D58" s="70"/>
      <c r="E58" s="79">
        <v>-3200</v>
      </c>
      <c r="F58" s="79">
        <v>-3200</v>
      </c>
      <c r="G58" s="79">
        <v>-3200</v>
      </c>
      <c r="H58" s="79">
        <v>-3200</v>
      </c>
      <c r="I58" s="79">
        <v>-3200</v>
      </c>
      <c r="J58" s="79">
        <v>-3200</v>
      </c>
      <c r="K58" s="79">
        <v>-3200</v>
      </c>
      <c r="L58" s="79">
        <v>-3200</v>
      </c>
      <c r="M58" s="79">
        <v>-3200</v>
      </c>
      <c r="N58" s="79">
        <v>0</v>
      </c>
      <c r="O58" s="79">
        <v>-16000</v>
      </c>
      <c r="P58" s="52" t="s">
        <v>0</v>
      </c>
      <c r="Q58" s="52"/>
      <c r="R58" s="52"/>
      <c r="S58" s="52"/>
      <c r="T58" s="52"/>
      <c r="U58" s="52"/>
      <c r="V58" s="52"/>
      <c r="W58" s="52"/>
      <c r="X58" s="66"/>
    </row>
    <row r="59" spans="2:25">
      <c r="B59" s="57" t="s">
        <v>645</v>
      </c>
      <c r="C59" s="99"/>
      <c r="D59" s="70"/>
      <c r="E59" s="79">
        <v>0</v>
      </c>
      <c r="F59" s="79">
        <v>-27000</v>
      </c>
      <c r="G59" s="79">
        <v>0</v>
      </c>
      <c r="H59" s="79">
        <v>-27000</v>
      </c>
      <c r="I59" s="79">
        <v>0</v>
      </c>
      <c r="J59" s="79">
        <v>-27000</v>
      </c>
      <c r="K59" s="79">
        <v>0</v>
      </c>
      <c r="L59" s="79">
        <v>-27000</v>
      </c>
      <c r="M59" s="79">
        <v>0</v>
      </c>
      <c r="N59" s="79"/>
      <c r="O59" s="79"/>
      <c r="P59" s="52"/>
      <c r="Q59" s="52"/>
      <c r="R59" s="52"/>
      <c r="S59" s="52"/>
      <c r="T59" s="52"/>
      <c r="U59" s="52"/>
      <c r="V59" s="52"/>
      <c r="W59" s="52"/>
      <c r="X59" s="66"/>
    </row>
    <row r="60" spans="2:25">
      <c r="B60" s="57" t="s">
        <v>646</v>
      </c>
      <c r="C60" s="99">
        <v>28000</v>
      </c>
      <c r="D60" s="70">
        <f>-C60*0.8</f>
        <v>-22400</v>
      </c>
      <c r="E60" s="79">
        <f>$D$60/5</f>
        <v>-4480</v>
      </c>
      <c r="F60" s="79">
        <f>$D$60/5</f>
        <v>-4480</v>
      </c>
      <c r="G60" s="79">
        <f>$D$60/5</f>
        <v>-4480</v>
      </c>
      <c r="H60" s="79">
        <f>$D$60/5</f>
        <v>-4480</v>
      </c>
      <c r="I60" s="79">
        <f>$D$60/5</f>
        <v>-4480</v>
      </c>
      <c r="J60" s="79"/>
      <c r="K60" s="79"/>
      <c r="L60" s="79"/>
      <c r="M60" s="79"/>
      <c r="N60" s="79"/>
      <c r="O60" s="79"/>
      <c r="P60" s="52"/>
      <c r="Q60" s="52"/>
      <c r="R60" s="52"/>
      <c r="S60" s="52"/>
      <c r="T60" s="52"/>
      <c r="U60" s="52"/>
      <c r="V60" s="52"/>
      <c r="W60" s="52"/>
      <c r="X60" s="66"/>
    </row>
    <row r="61" spans="2:25" s="52" customFormat="1">
      <c r="B61" s="182" t="s">
        <v>543</v>
      </c>
      <c r="C61" s="99"/>
      <c r="D61" s="71"/>
      <c r="I61" s="52">
        <v>-1752</v>
      </c>
      <c r="O61" s="52">
        <f>$I61</f>
        <v>-1752</v>
      </c>
      <c r="P61" s="52">
        <f>$I61</f>
        <v>-1752</v>
      </c>
      <c r="Q61" s="52">
        <f t="shared" ref="Q61:X61" si="2">$I61</f>
        <v>-1752</v>
      </c>
      <c r="R61" s="52">
        <f t="shared" si="2"/>
        <v>-1752</v>
      </c>
      <c r="S61" s="52">
        <f t="shared" si="2"/>
        <v>-1752</v>
      </c>
      <c r="T61" s="52">
        <f t="shared" si="2"/>
        <v>-1752</v>
      </c>
      <c r="U61" s="52">
        <f t="shared" si="2"/>
        <v>-1752</v>
      </c>
      <c r="V61" s="52">
        <f t="shared" si="2"/>
        <v>-1752</v>
      </c>
      <c r="W61" s="52">
        <f t="shared" si="2"/>
        <v>-1752</v>
      </c>
      <c r="X61" s="66">
        <f t="shared" si="2"/>
        <v>-1752</v>
      </c>
    </row>
    <row r="62" spans="2:25" s="52" customFormat="1">
      <c r="B62" s="182" t="s">
        <v>545</v>
      </c>
      <c r="C62" s="99"/>
      <c r="D62" s="71"/>
      <c r="G62" s="52">
        <v>-1500</v>
      </c>
      <c r="K62" s="52">
        <f>G62</f>
        <v>-1500</v>
      </c>
      <c r="O62" s="52">
        <v>-1500</v>
      </c>
      <c r="P62" s="52">
        <v>-1500</v>
      </c>
      <c r="Q62" s="52">
        <v>-1500</v>
      </c>
      <c r="R62" s="52">
        <v>-1500</v>
      </c>
      <c r="S62" s="52">
        <v>-1500</v>
      </c>
      <c r="T62" s="52">
        <v>-1500</v>
      </c>
      <c r="U62" s="52">
        <v>-1500</v>
      </c>
      <c r="V62" s="52">
        <v>-1500</v>
      </c>
      <c r="W62" s="52">
        <v>-1500</v>
      </c>
      <c r="X62" s="66">
        <v>-1500</v>
      </c>
    </row>
    <row r="63" spans="2:25" s="52" customFormat="1">
      <c r="B63" s="182" t="s">
        <v>547</v>
      </c>
      <c r="C63" s="99"/>
      <c r="D63" s="71"/>
      <c r="F63" s="52">
        <v>-1800</v>
      </c>
      <c r="J63" s="52">
        <v>-1800</v>
      </c>
      <c r="O63" s="52">
        <v>-1800</v>
      </c>
      <c r="P63" s="52">
        <v>-1800</v>
      </c>
      <c r="Q63" s="52">
        <v>-1800</v>
      </c>
      <c r="R63" s="52">
        <v>-1800</v>
      </c>
      <c r="S63" s="52">
        <v>-1800</v>
      </c>
      <c r="T63" s="52">
        <v>-1800</v>
      </c>
      <c r="U63" s="52">
        <v>-1800</v>
      </c>
      <c r="V63" s="52">
        <v>-1800</v>
      </c>
      <c r="W63" s="52">
        <v>-1800</v>
      </c>
      <c r="X63" s="66">
        <v>-1800</v>
      </c>
    </row>
    <row r="64" spans="2:25" s="52" customFormat="1">
      <c r="B64" s="182" t="s">
        <v>169</v>
      </c>
      <c r="C64" s="99"/>
      <c r="D64" s="71"/>
      <c r="X64" s="66"/>
    </row>
    <row r="65" spans="2:26" s="52" customFormat="1">
      <c r="B65" s="182" t="s">
        <v>170</v>
      </c>
      <c r="C65" s="99"/>
      <c r="D65" s="71"/>
      <c r="G65" s="52">
        <v>-500</v>
      </c>
      <c r="K65" s="52">
        <v>-500</v>
      </c>
      <c r="O65" s="52">
        <v>-500</v>
      </c>
      <c r="P65" s="52">
        <v>-500</v>
      </c>
      <c r="Q65" s="52">
        <v>-500</v>
      </c>
      <c r="R65" s="52">
        <v>-500</v>
      </c>
      <c r="S65" s="52">
        <v>-500</v>
      </c>
      <c r="T65" s="52">
        <v>-500</v>
      </c>
      <c r="U65" s="52">
        <v>-500</v>
      </c>
      <c r="V65" s="52">
        <v>-500</v>
      </c>
      <c r="W65" s="52">
        <v>-500</v>
      </c>
      <c r="X65" s="66">
        <v>-500</v>
      </c>
    </row>
    <row r="66" spans="2:26" s="52" customFormat="1">
      <c r="B66" s="182" t="s">
        <v>549</v>
      </c>
      <c r="C66" s="99"/>
      <c r="D66" s="71"/>
      <c r="G66" s="52">
        <v>-2194</v>
      </c>
      <c r="K66" s="52">
        <f>G66</f>
        <v>-2194</v>
      </c>
      <c r="O66" s="52">
        <f>K66</f>
        <v>-2194</v>
      </c>
      <c r="P66" s="52">
        <f>O66</f>
        <v>-2194</v>
      </c>
      <c r="Q66" s="52">
        <f>O66</f>
        <v>-2194</v>
      </c>
      <c r="R66" s="52">
        <f>O66</f>
        <v>-2194</v>
      </c>
      <c r="S66" s="52">
        <f t="shared" ref="S66:X66" si="3">O66</f>
        <v>-2194</v>
      </c>
      <c r="T66" s="52">
        <f t="shared" si="3"/>
        <v>-2194</v>
      </c>
      <c r="U66" s="52">
        <f t="shared" si="3"/>
        <v>-2194</v>
      </c>
      <c r="V66" s="52">
        <f t="shared" si="3"/>
        <v>-2194</v>
      </c>
      <c r="W66" s="52">
        <f t="shared" si="3"/>
        <v>-2194</v>
      </c>
      <c r="X66" s="66">
        <f t="shared" si="3"/>
        <v>-2194</v>
      </c>
    </row>
    <row r="67" spans="2:26" s="52" customFormat="1">
      <c r="B67" s="182" t="s">
        <v>550</v>
      </c>
      <c r="C67" s="99"/>
      <c r="D67" s="71"/>
      <c r="H67" s="52">
        <v>-2300</v>
      </c>
      <c r="M67" s="52">
        <f>H67</f>
        <v>-2300</v>
      </c>
      <c r="O67" s="52">
        <v>-2300</v>
      </c>
      <c r="P67" s="52">
        <v>-2300</v>
      </c>
      <c r="Q67" s="52">
        <v>-2300</v>
      </c>
      <c r="R67" s="52">
        <v>-2300</v>
      </c>
      <c r="S67" s="52">
        <v>-2300</v>
      </c>
      <c r="T67" s="52">
        <v>-2300</v>
      </c>
      <c r="U67" s="52">
        <v>-2300</v>
      </c>
      <c r="V67" s="52">
        <v>-2300</v>
      </c>
      <c r="W67" s="52">
        <v>-2300</v>
      </c>
      <c r="X67" s="66">
        <v>-2300</v>
      </c>
    </row>
    <row r="68" spans="2:26" s="52" customFormat="1">
      <c r="B68" s="182" t="s">
        <v>551</v>
      </c>
      <c r="C68" s="99"/>
      <c r="D68" s="71"/>
      <c r="H68" s="52">
        <v>-1000</v>
      </c>
      <c r="M68" s="52">
        <v>-1000</v>
      </c>
      <c r="O68" s="52">
        <v>-1000</v>
      </c>
      <c r="P68" s="52">
        <v>-1000</v>
      </c>
      <c r="Q68" s="52">
        <v>-1000</v>
      </c>
      <c r="R68" s="52">
        <v>-1000</v>
      </c>
      <c r="S68" s="52">
        <v>-1000</v>
      </c>
      <c r="T68" s="52">
        <v>-1000</v>
      </c>
      <c r="U68" s="52">
        <v>-1000</v>
      </c>
      <c r="V68" s="52">
        <v>-1000</v>
      </c>
      <c r="W68" s="52">
        <v>-1000</v>
      </c>
      <c r="X68" s="66">
        <v>-1000</v>
      </c>
      <c r="Y68" s="52" t="s">
        <v>0</v>
      </c>
      <c r="Z68" s="52" t="s">
        <v>0</v>
      </c>
    </row>
    <row r="69" spans="2:26" s="52" customFormat="1">
      <c r="B69" s="182" t="s">
        <v>553</v>
      </c>
      <c r="C69" s="99"/>
      <c r="D69" s="71"/>
      <c r="H69" s="52">
        <v>-250</v>
      </c>
      <c r="M69" s="52">
        <v>-250</v>
      </c>
      <c r="X69" s="66"/>
    </row>
    <row r="70" spans="2:26" s="52" customFormat="1" ht="16" thickBot="1">
      <c r="B70" s="182"/>
      <c r="C70" s="99"/>
      <c r="D70" s="71"/>
      <c r="X70" s="66"/>
    </row>
    <row r="71" spans="2:26" s="52" customFormat="1" ht="16" thickBot="1">
      <c r="B71" s="192" t="s">
        <v>197</v>
      </c>
      <c r="C71" s="99"/>
      <c r="D71" s="71"/>
      <c r="X71" s="66"/>
    </row>
    <row r="72" spans="2:26" s="52" customFormat="1">
      <c r="B72" s="57" t="s">
        <v>49</v>
      </c>
      <c r="C72" s="99"/>
      <c r="D72" s="71"/>
      <c r="H72" s="52">
        <v>-1658</v>
      </c>
      <c r="M72" s="52">
        <f>H72</f>
        <v>-1658</v>
      </c>
      <c r="O72" s="52">
        <v>-1658</v>
      </c>
      <c r="P72" s="52">
        <v>-1658</v>
      </c>
      <c r="Q72" s="52">
        <v>-1658</v>
      </c>
      <c r="R72" s="52">
        <v>-1658</v>
      </c>
      <c r="S72" s="52">
        <v>-1658</v>
      </c>
      <c r="T72" s="52">
        <v>-1658</v>
      </c>
      <c r="U72" s="52">
        <v>-1658</v>
      </c>
      <c r="V72" s="52">
        <v>-1658</v>
      </c>
      <c r="W72" s="52">
        <v>-1658</v>
      </c>
      <c r="X72" s="66">
        <v>-1658</v>
      </c>
    </row>
    <row r="73" spans="2:26" s="52" customFormat="1">
      <c r="B73" s="57" t="s">
        <v>200</v>
      </c>
      <c r="C73" s="99"/>
      <c r="D73" s="71"/>
      <c r="H73" s="52">
        <v>-7004</v>
      </c>
      <c r="M73" s="52">
        <f>H73</f>
        <v>-7004</v>
      </c>
      <c r="O73" s="52">
        <v>-7004</v>
      </c>
      <c r="P73" s="52">
        <v>-7004</v>
      </c>
      <c r="Q73" s="52">
        <v>-7004</v>
      </c>
      <c r="R73" s="52">
        <v>-7004</v>
      </c>
      <c r="S73" s="52">
        <v>-7004</v>
      </c>
      <c r="T73" s="52">
        <v>-7004</v>
      </c>
      <c r="U73" s="52">
        <v>-7004</v>
      </c>
      <c r="V73" s="52">
        <v>-7004</v>
      </c>
      <c r="W73" s="52" t="s">
        <v>0</v>
      </c>
      <c r="X73" s="66" t="s">
        <v>0</v>
      </c>
    </row>
    <row r="74" spans="2:26" s="52" customFormat="1">
      <c r="B74" s="57" t="s">
        <v>201</v>
      </c>
      <c r="C74" s="99"/>
      <c r="D74" s="71"/>
      <c r="G74" s="52">
        <v>-4400</v>
      </c>
      <c r="H74" s="52">
        <v>-4400</v>
      </c>
      <c r="M74" s="52">
        <f>H74</f>
        <v>-4400</v>
      </c>
      <c r="O74" s="52">
        <v>-4400</v>
      </c>
      <c r="P74" s="52">
        <v>-4400</v>
      </c>
      <c r="Q74" s="52">
        <v>-4400</v>
      </c>
      <c r="X74" s="66"/>
    </row>
    <row r="75" spans="2:26" s="52" customFormat="1" ht="16" thickBot="1">
      <c r="B75" s="182"/>
      <c r="C75" s="99"/>
      <c r="D75" s="71"/>
      <c r="N75" s="179"/>
      <c r="O75" s="179"/>
      <c r="X75" s="66"/>
    </row>
    <row r="76" spans="2:26" ht="16" thickBot="1">
      <c r="B76" s="191" t="s">
        <v>205</v>
      </c>
      <c r="C76" s="99"/>
      <c r="D76" s="70"/>
      <c r="F76" s="79"/>
      <c r="G76" s="79"/>
      <c r="H76" s="79"/>
      <c r="I76" s="79"/>
      <c r="J76" s="79"/>
      <c r="K76" s="79"/>
      <c r="L76" s="79"/>
      <c r="M76" s="79"/>
      <c r="N76" s="179"/>
      <c r="O76" s="179"/>
      <c r="P76" s="79"/>
      <c r="Q76" s="79"/>
      <c r="R76" s="52"/>
      <c r="S76" s="52"/>
      <c r="T76" s="52"/>
      <c r="U76" s="52"/>
      <c r="V76" s="52"/>
      <c r="W76" s="52"/>
      <c r="X76" s="66"/>
    </row>
    <row r="77" spans="2:26">
      <c r="B77" s="57" t="s">
        <v>647</v>
      </c>
      <c r="C77" s="99"/>
      <c r="D77" s="70"/>
      <c r="E77" s="79">
        <v>-4140</v>
      </c>
      <c r="F77" s="79"/>
      <c r="G77" s="79"/>
      <c r="H77" s="79">
        <f>E77</f>
        <v>-4140</v>
      </c>
      <c r="I77" s="79"/>
      <c r="J77" s="79"/>
      <c r="K77" s="79"/>
      <c r="L77" s="79"/>
      <c r="M77" s="79">
        <v>-8280</v>
      </c>
      <c r="O77" s="79">
        <v>-8280</v>
      </c>
      <c r="P77" s="79" t="s">
        <v>0</v>
      </c>
      <c r="Q77" s="79" t="s">
        <v>0</v>
      </c>
      <c r="R77" s="52"/>
      <c r="S77" s="52"/>
      <c r="T77" s="52"/>
      <c r="U77" s="52"/>
      <c r="V77" s="52"/>
      <c r="W77" s="52"/>
      <c r="X77" s="66"/>
    </row>
    <row r="78" spans="2:26" ht="16" thickBot="1">
      <c r="B78" s="57" t="s">
        <v>440</v>
      </c>
      <c r="C78" s="99"/>
      <c r="D78" s="70"/>
      <c r="F78" s="79">
        <v>-45468</v>
      </c>
      <c r="G78" s="79"/>
      <c r="H78" s="79"/>
      <c r="I78" s="79"/>
      <c r="J78" s="79">
        <v>-63508</v>
      </c>
      <c r="K78" s="79"/>
      <c r="L78" s="79"/>
      <c r="M78" s="79"/>
      <c r="N78" s="92" t="s">
        <v>0</v>
      </c>
      <c r="O78" s="92">
        <v>-41268</v>
      </c>
      <c r="P78" s="79"/>
      <c r="Q78" s="79"/>
      <c r="R78" s="52"/>
      <c r="S78" s="52"/>
      <c r="T78" s="52"/>
      <c r="U78" s="52"/>
      <c r="V78" s="52"/>
      <c r="W78" s="52"/>
      <c r="X78" s="66"/>
    </row>
    <row r="79" spans="2:26">
      <c r="B79" s="57" t="s">
        <v>438</v>
      </c>
      <c r="C79" s="99"/>
      <c r="D79" s="70"/>
      <c r="E79" s="79" t="s">
        <v>0</v>
      </c>
      <c r="F79" s="79"/>
      <c r="G79" s="79"/>
      <c r="H79" s="79"/>
      <c r="I79" s="79"/>
      <c r="J79" s="79"/>
      <c r="K79" s="79"/>
      <c r="L79" s="79">
        <v>-10000</v>
      </c>
      <c r="M79" s="79"/>
      <c r="N79" s="179"/>
      <c r="O79" s="179">
        <v>-10000</v>
      </c>
      <c r="P79" s="179">
        <v>-10000</v>
      </c>
      <c r="Q79" s="79">
        <v>-15000</v>
      </c>
      <c r="R79" s="79">
        <v>-15000</v>
      </c>
      <c r="S79" s="79">
        <v>-15000</v>
      </c>
      <c r="T79" s="79">
        <v>-15000</v>
      </c>
      <c r="U79" s="79">
        <v>-15000</v>
      </c>
      <c r="V79" s="79">
        <v>-15000</v>
      </c>
      <c r="W79" s="79">
        <v>-15000</v>
      </c>
      <c r="X79" s="74">
        <v>-15000</v>
      </c>
    </row>
    <row r="80" spans="2:26">
      <c r="B80" s="57" t="s">
        <v>648</v>
      </c>
      <c r="C80" s="99"/>
      <c r="D80" s="70"/>
      <c r="E80" s="79">
        <v>-48000</v>
      </c>
      <c r="F80" s="79"/>
      <c r="G80" s="79"/>
      <c r="H80" s="79"/>
      <c r="I80" s="79"/>
      <c r="J80" s="79"/>
      <c r="K80" s="79">
        <v>-10000</v>
      </c>
      <c r="L80" s="79"/>
      <c r="M80" s="79"/>
      <c r="N80" s="179"/>
      <c r="O80" s="179">
        <v>-10000</v>
      </c>
      <c r="P80" s="79">
        <v>-10000</v>
      </c>
      <c r="Q80" s="79"/>
      <c r="R80" s="52"/>
      <c r="S80" s="52"/>
      <c r="T80" s="52"/>
      <c r="U80" s="52"/>
      <c r="V80" s="52"/>
      <c r="W80" s="52"/>
      <c r="X80" s="66"/>
    </row>
    <row r="81" spans="1:24">
      <c r="B81" s="57" t="s">
        <v>441</v>
      </c>
      <c r="C81" s="99"/>
      <c r="D81" s="70"/>
      <c r="E81" s="79">
        <v>-5285</v>
      </c>
      <c r="F81" s="79"/>
      <c r="G81" s="79"/>
      <c r="H81" s="79"/>
      <c r="I81" s="79">
        <v>-7200</v>
      </c>
      <c r="J81" s="79"/>
      <c r="K81" s="79"/>
      <c r="L81" s="79"/>
      <c r="M81" s="79"/>
      <c r="N81" s="179"/>
      <c r="O81" s="179">
        <v>-7200</v>
      </c>
      <c r="P81" s="179">
        <v>-7200</v>
      </c>
      <c r="Q81" s="179"/>
      <c r="R81" s="52"/>
      <c r="S81" s="52"/>
      <c r="T81" s="52"/>
      <c r="U81" s="52"/>
      <c r="V81" s="52"/>
      <c r="W81" s="52"/>
      <c r="X81" s="66"/>
    </row>
    <row r="82" spans="1:24">
      <c r="B82" s="57"/>
      <c r="C82" s="99"/>
      <c r="D82" s="70"/>
      <c r="E82" s="79"/>
      <c r="F82" s="79"/>
      <c r="G82" s="79"/>
      <c r="H82" s="79"/>
      <c r="I82" s="79"/>
      <c r="J82" s="79"/>
      <c r="K82" s="79"/>
      <c r="L82" s="79"/>
      <c r="M82" s="79"/>
      <c r="N82" s="179"/>
      <c r="O82" s="179"/>
      <c r="P82" s="79"/>
      <c r="Q82" s="79"/>
      <c r="R82" s="52"/>
      <c r="S82" s="52"/>
      <c r="T82" s="52"/>
      <c r="U82" s="52"/>
      <c r="V82" s="52"/>
      <c r="W82" s="52"/>
      <c r="X82" s="66"/>
    </row>
    <row r="83" spans="1:24" ht="16" thickBot="1">
      <c r="B83" s="63" t="s">
        <v>649</v>
      </c>
      <c r="C83" s="102"/>
      <c r="D83" s="72"/>
      <c r="E83" s="64">
        <f t="shared" ref="E83:X83" si="4">SUM(E8:E82)</f>
        <v>17785</v>
      </c>
      <c r="F83" s="64">
        <f t="shared" si="4"/>
        <v>78852</v>
      </c>
      <c r="G83" s="64">
        <f t="shared" si="4"/>
        <v>8258.9000000000015</v>
      </c>
      <c r="H83" s="64">
        <f t="shared" si="4"/>
        <v>22684</v>
      </c>
      <c r="I83" s="64">
        <f t="shared" si="4"/>
        <v>-12232</v>
      </c>
      <c r="J83" s="64">
        <f t="shared" si="4"/>
        <v>-105508</v>
      </c>
      <c r="K83" s="64">
        <f t="shared" si="4"/>
        <v>-20117.099999999999</v>
      </c>
      <c r="L83" s="64">
        <f t="shared" si="4"/>
        <v>14184.040000000008</v>
      </c>
      <c r="M83" s="64">
        <f t="shared" si="4"/>
        <v>61197.848000000013</v>
      </c>
      <c r="N83" s="64">
        <f t="shared" si="4"/>
        <v>0</v>
      </c>
      <c r="O83" s="64">
        <f t="shared" si="4"/>
        <v>-34303.699999999983</v>
      </c>
      <c r="P83" s="64">
        <f t="shared" si="4"/>
        <v>45538.700000000012</v>
      </c>
      <c r="Q83" s="64">
        <f t="shared" si="4"/>
        <v>-20092.5</v>
      </c>
      <c r="R83" s="64">
        <f t="shared" si="4"/>
        <v>26267.5</v>
      </c>
      <c r="S83" s="64">
        <f t="shared" si="4"/>
        <v>65917.399999999994</v>
      </c>
      <c r="T83" s="64">
        <f t="shared" si="4"/>
        <v>36980</v>
      </c>
      <c r="U83" s="64">
        <f t="shared" si="4"/>
        <v>95180</v>
      </c>
      <c r="V83" s="64">
        <f t="shared" si="4"/>
        <v>53180</v>
      </c>
      <c r="W83" s="64">
        <f t="shared" si="4"/>
        <v>81687.899999999994</v>
      </c>
      <c r="X83" s="67">
        <f t="shared" si="4"/>
        <v>41682.619999999995</v>
      </c>
    </row>
    <row r="84" spans="1:24" ht="16" thickTop="1">
      <c r="B84" s="93" t="s">
        <v>650</v>
      </c>
      <c r="C84" s="103"/>
      <c r="D84" s="94"/>
      <c r="E84" s="184">
        <f>E83</f>
        <v>17785</v>
      </c>
      <c r="F84" s="184">
        <f>E84+F83</f>
        <v>96637</v>
      </c>
      <c r="G84" s="184">
        <f t="shared" ref="G84:X84" si="5">F84+G83</f>
        <v>104895.9</v>
      </c>
      <c r="H84" s="184">
        <f t="shared" si="5"/>
        <v>127579.9</v>
      </c>
      <c r="I84" s="184">
        <f t="shared" si="5"/>
        <v>115347.9</v>
      </c>
      <c r="J84" s="184">
        <f t="shared" si="5"/>
        <v>9839.8999999999942</v>
      </c>
      <c r="K84" s="184">
        <f t="shared" si="5"/>
        <v>-10277.200000000004</v>
      </c>
      <c r="L84" s="184">
        <f t="shared" si="5"/>
        <v>3906.8400000000038</v>
      </c>
      <c r="M84" s="184">
        <f t="shared" si="5"/>
        <v>65104.688000000016</v>
      </c>
      <c r="N84" s="184">
        <f t="shared" si="5"/>
        <v>65104.688000000016</v>
      </c>
      <c r="O84" s="184">
        <f>N84+O83</f>
        <v>30800.988000000034</v>
      </c>
      <c r="P84" s="184">
        <f t="shared" si="5"/>
        <v>76339.688000000053</v>
      </c>
      <c r="Q84" s="184">
        <f t="shared" si="5"/>
        <v>56247.188000000053</v>
      </c>
      <c r="R84" s="184">
        <f t="shared" si="5"/>
        <v>82514.688000000053</v>
      </c>
      <c r="S84" s="184">
        <f t="shared" si="5"/>
        <v>148432.08800000005</v>
      </c>
      <c r="T84" s="184">
        <f t="shared" si="5"/>
        <v>185412.08800000005</v>
      </c>
      <c r="U84" s="184">
        <f t="shared" si="5"/>
        <v>280592.08800000005</v>
      </c>
      <c r="V84" s="184">
        <f t="shared" si="5"/>
        <v>333772.08800000005</v>
      </c>
      <c r="W84" s="184">
        <f t="shared" si="5"/>
        <v>415459.98800000001</v>
      </c>
      <c r="X84" s="185">
        <f t="shared" si="5"/>
        <v>457142.60800000001</v>
      </c>
    </row>
    <row r="85" spans="1:24" ht="16" thickBot="1">
      <c r="B85" s="61"/>
      <c r="C85" s="186"/>
      <c r="D85" s="195"/>
      <c r="E85" s="62"/>
      <c r="F85" s="62"/>
      <c r="G85" s="62"/>
      <c r="H85" s="62"/>
      <c r="I85" s="62"/>
      <c r="J85" s="62"/>
      <c r="K85" s="62"/>
      <c r="L85" s="62"/>
      <c r="M85" s="62"/>
      <c r="N85" s="62"/>
      <c r="O85" s="62"/>
      <c r="P85" s="62"/>
      <c r="Q85" s="62"/>
      <c r="R85" s="62"/>
      <c r="S85" s="62"/>
      <c r="T85" s="62"/>
      <c r="U85" s="62"/>
      <c r="V85" s="62"/>
      <c r="W85" s="62"/>
      <c r="X85" s="188"/>
    </row>
    <row r="86" spans="1:24">
      <c r="B86" t="s">
        <v>651</v>
      </c>
      <c r="E86" s="52"/>
      <c r="F86" s="52"/>
      <c r="G86" s="52"/>
      <c r="H86" s="52"/>
      <c r="I86" s="52"/>
      <c r="J86" s="52"/>
      <c r="K86" s="52"/>
      <c r="L86" s="52"/>
      <c r="M86" s="52"/>
      <c r="N86" s="52"/>
      <c r="O86" s="52"/>
      <c r="P86" s="52"/>
      <c r="Q86" s="52"/>
      <c r="R86" s="52"/>
      <c r="S86" s="52"/>
      <c r="T86" s="52"/>
      <c r="U86" s="52"/>
      <c r="V86" s="52"/>
      <c r="W86" s="52"/>
      <c r="X86" s="52"/>
    </row>
    <row r="87" spans="1:24" ht="32">
      <c r="B87" s="42" t="s">
        <v>526</v>
      </c>
      <c r="C87" s="42"/>
      <c r="D87" s="43" t="s">
        <v>521</v>
      </c>
      <c r="E87" s="43" t="s">
        <v>523</v>
      </c>
      <c r="F87" s="43"/>
      <c r="G87" s="43"/>
      <c r="H87" s="43"/>
      <c r="I87" s="43"/>
      <c r="J87" s="43"/>
      <c r="K87" s="43"/>
      <c r="L87" s="43"/>
      <c r="M87" s="43"/>
      <c r="N87" s="43" t="s">
        <v>522</v>
      </c>
      <c r="O87" s="43"/>
      <c r="P87" s="43" t="s">
        <v>0</v>
      </c>
    </row>
    <row r="88" spans="1:24">
      <c r="A88" t="s">
        <v>574</v>
      </c>
      <c r="B88" s="41" t="s">
        <v>129</v>
      </c>
      <c r="C88" s="41"/>
      <c r="D88" s="44">
        <v>17500</v>
      </c>
      <c r="E88" s="45">
        <v>10000</v>
      </c>
      <c r="F88" s="45"/>
      <c r="G88" s="45"/>
      <c r="H88" s="45"/>
      <c r="I88" s="45"/>
      <c r="J88" s="45"/>
      <c r="K88" s="45"/>
      <c r="L88" s="45"/>
      <c r="M88" s="45"/>
      <c r="N88" s="44">
        <f t="shared" ref="N88:N93" si="6">D88-E88</f>
        <v>7500</v>
      </c>
      <c r="O88" s="45"/>
      <c r="P88" t="s">
        <v>0</v>
      </c>
    </row>
    <row r="89" spans="1:24">
      <c r="A89" t="s">
        <v>574</v>
      </c>
      <c r="B89" s="41" t="s">
        <v>527</v>
      </c>
      <c r="C89" s="41"/>
      <c r="D89" s="44">
        <v>39500</v>
      </c>
      <c r="E89" s="45">
        <v>24000</v>
      </c>
      <c r="F89" s="45"/>
      <c r="G89" s="45"/>
      <c r="H89" s="45"/>
      <c r="I89" s="45"/>
      <c r="J89" s="45"/>
      <c r="K89" s="45"/>
      <c r="L89" s="45"/>
      <c r="M89" s="45"/>
      <c r="N89" s="44">
        <f t="shared" si="6"/>
        <v>15500</v>
      </c>
      <c r="O89" s="45"/>
    </row>
    <row r="90" spans="1:24">
      <c r="A90" t="s">
        <v>574</v>
      </c>
      <c r="B90" s="41" t="s">
        <v>528</v>
      </c>
      <c r="C90" s="41"/>
      <c r="D90" s="44">
        <v>4250</v>
      </c>
      <c r="E90" s="45">
        <v>2020</v>
      </c>
      <c r="F90" s="45"/>
      <c r="G90" s="45"/>
      <c r="H90" s="45"/>
      <c r="I90" s="45"/>
      <c r="J90" s="45"/>
      <c r="K90" s="45"/>
      <c r="L90" s="45"/>
      <c r="M90" s="45"/>
      <c r="N90" s="44">
        <f t="shared" si="6"/>
        <v>2230</v>
      </c>
      <c r="O90" s="45"/>
    </row>
    <row r="91" spans="1:24">
      <c r="A91" t="s">
        <v>574</v>
      </c>
      <c r="B91" s="41" t="s">
        <v>529</v>
      </c>
      <c r="C91" s="41"/>
      <c r="D91" s="44">
        <v>4250</v>
      </c>
      <c r="E91" s="45">
        <v>2020</v>
      </c>
      <c r="F91" s="45"/>
      <c r="G91" s="45"/>
      <c r="H91" s="45"/>
      <c r="I91" s="45"/>
      <c r="J91" s="45"/>
      <c r="K91" s="45"/>
      <c r="L91" s="45"/>
      <c r="M91" s="45"/>
      <c r="N91" s="44">
        <f t="shared" si="6"/>
        <v>2230</v>
      </c>
      <c r="O91" s="45"/>
    </row>
    <row r="92" spans="1:24">
      <c r="A92" t="s">
        <v>574</v>
      </c>
      <c r="B92" s="41" t="s">
        <v>530</v>
      </c>
      <c r="C92" s="41"/>
      <c r="D92" s="44">
        <v>4250</v>
      </c>
      <c r="E92" s="44">
        <v>2020</v>
      </c>
      <c r="F92" s="44"/>
      <c r="G92" s="44"/>
      <c r="H92" s="44"/>
      <c r="I92" s="44"/>
      <c r="J92" s="44"/>
      <c r="K92" s="44"/>
      <c r="L92" s="44"/>
      <c r="M92" s="44"/>
      <c r="N92" s="44">
        <f t="shared" si="6"/>
        <v>2230</v>
      </c>
      <c r="O92" s="45"/>
    </row>
    <row r="93" spans="1:24">
      <c r="A93" t="s">
        <v>574</v>
      </c>
      <c r="B93" s="41" t="s">
        <v>531</v>
      </c>
      <c r="C93" s="41"/>
      <c r="D93" s="44">
        <v>35000</v>
      </c>
      <c r="E93" s="44">
        <v>20000</v>
      </c>
      <c r="F93" s="44"/>
      <c r="G93" s="44"/>
      <c r="H93" s="44"/>
      <c r="I93" s="44"/>
      <c r="J93" s="44"/>
      <c r="K93" s="44"/>
      <c r="L93" s="44"/>
      <c r="M93" s="44"/>
      <c r="N93" s="44">
        <f t="shared" si="6"/>
        <v>15000</v>
      </c>
    </row>
    <row r="94" spans="1:24">
      <c r="B94" s="41"/>
      <c r="C94" s="41"/>
      <c r="D94" s="44"/>
      <c r="E94" s="44"/>
      <c r="F94" s="44"/>
      <c r="G94" s="44"/>
      <c r="H94" s="44"/>
      <c r="I94" s="44"/>
      <c r="J94" s="44"/>
      <c r="K94" s="44"/>
      <c r="L94" s="44"/>
      <c r="M94" s="44"/>
      <c r="N94" s="44"/>
    </row>
    <row r="95" spans="1:24">
      <c r="A95" t="s">
        <v>575</v>
      </c>
      <c r="B95" s="41" t="s">
        <v>532</v>
      </c>
      <c r="C95" s="41"/>
      <c r="D95" s="44">
        <v>850000</v>
      </c>
      <c r="E95" s="45">
        <f>D95*0.25</f>
        <v>212500</v>
      </c>
      <c r="F95" s="45"/>
      <c r="G95" s="45"/>
      <c r="H95" s="45"/>
      <c r="I95" s="45"/>
      <c r="J95" s="45"/>
      <c r="K95" s="45"/>
      <c r="L95" s="45"/>
      <c r="M95" s="45"/>
      <c r="N95" s="44">
        <f>(D95-E95)*0.65</f>
        <v>414375</v>
      </c>
      <c r="O95" s="45">
        <f>(D95-E95)*0.35</f>
        <v>223125</v>
      </c>
      <c r="P95" s="47"/>
      <c r="T95" s="48"/>
    </row>
    <row r="96" spans="1:24">
      <c r="B96" s="41" t="s">
        <v>386</v>
      </c>
      <c r="C96" s="41"/>
      <c r="D96" s="44">
        <v>2200000</v>
      </c>
      <c r="E96" s="45">
        <f>D96*0.25</f>
        <v>550000</v>
      </c>
      <c r="F96" s="45"/>
      <c r="G96" s="45"/>
      <c r="H96" s="45"/>
      <c r="I96" s="45"/>
      <c r="J96" s="45"/>
      <c r="K96" s="45"/>
      <c r="L96" s="45"/>
      <c r="M96" s="45"/>
      <c r="N96" s="44">
        <f>(D96-E96)*0.65</f>
        <v>1072500</v>
      </c>
      <c r="O96" s="45">
        <f>(D96-E96)*0.35</f>
        <v>577500</v>
      </c>
    </row>
    <row r="97" spans="2:24">
      <c r="E97" s="52"/>
      <c r="F97" s="52"/>
      <c r="G97" s="52"/>
      <c r="H97" s="52"/>
      <c r="I97" s="52"/>
      <c r="J97" s="52"/>
      <c r="K97" s="52"/>
      <c r="L97" s="52"/>
      <c r="M97" s="52"/>
      <c r="N97" s="52"/>
      <c r="O97" s="52"/>
      <c r="P97" s="52"/>
      <c r="Q97" s="52"/>
      <c r="R97" s="52"/>
      <c r="S97" s="52"/>
      <c r="T97" s="52"/>
      <c r="U97" s="52"/>
      <c r="V97" s="52"/>
      <c r="W97" s="52"/>
      <c r="X97" s="52"/>
    </row>
    <row r="98" spans="2:24" ht="32">
      <c r="B98" s="42" t="s">
        <v>520</v>
      </c>
      <c r="C98" s="42"/>
      <c r="D98" s="43" t="s">
        <v>521</v>
      </c>
      <c r="E98" s="43" t="s">
        <v>522</v>
      </c>
      <c r="F98" s="43"/>
      <c r="G98" s="43"/>
      <c r="H98" s="43"/>
      <c r="I98" s="43"/>
      <c r="J98" s="43"/>
      <c r="K98" s="43"/>
      <c r="L98" s="43"/>
      <c r="M98" s="43"/>
      <c r="N98" s="43" t="s">
        <v>523</v>
      </c>
      <c r="O98" s="43" t="s">
        <v>524</v>
      </c>
      <c r="P98" s="43"/>
    </row>
    <row r="99" spans="2:24">
      <c r="B99" s="41" t="s">
        <v>314</v>
      </c>
      <c r="C99" s="41"/>
      <c r="D99" s="44">
        <v>290000</v>
      </c>
      <c r="E99" s="45">
        <f>D99*0.25</f>
        <v>72500</v>
      </c>
      <c r="F99" s="45"/>
      <c r="G99" s="45"/>
      <c r="H99" s="45"/>
      <c r="I99" s="45"/>
      <c r="J99" s="45"/>
      <c r="K99" s="45"/>
      <c r="L99" s="45"/>
      <c r="M99" s="45"/>
      <c r="N99" s="44">
        <f>(D99-E99)*0.65</f>
        <v>141375</v>
      </c>
      <c r="O99" s="45">
        <f>(D99-E99)*0.35</f>
        <v>76125</v>
      </c>
    </row>
    <row r="100" spans="2:24">
      <c r="B100" s="41" t="s">
        <v>315</v>
      </c>
      <c r="C100" s="41"/>
      <c r="D100" s="44">
        <v>150000</v>
      </c>
      <c r="E100" s="45">
        <f>D100*0.25</f>
        <v>37500</v>
      </c>
      <c r="F100" s="45"/>
      <c r="G100" s="45"/>
      <c r="H100" s="45"/>
      <c r="I100" s="45"/>
      <c r="J100" s="45"/>
      <c r="K100" s="45"/>
      <c r="L100" s="45"/>
      <c r="M100" s="45"/>
      <c r="N100" s="44">
        <f>(D100-E100)*0.65</f>
        <v>73125</v>
      </c>
      <c r="O100" s="45">
        <f>(D100-E100)*0.35</f>
        <v>39375</v>
      </c>
      <c r="U100" s="46" t="s">
        <v>0</v>
      </c>
    </row>
    <row r="101" spans="2:24">
      <c r="B101" s="41" t="s">
        <v>132</v>
      </c>
      <c r="C101" s="41"/>
      <c r="D101" s="44">
        <v>65000</v>
      </c>
      <c r="E101" s="45">
        <f>D101*0.25</f>
        <v>16250</v>
      </c>
      <c r="F101" s="45"/>
      <c r="G101" s="45"/>
      <c r="H101" s="45"/>
      <c r="I101" s="45"/>
      <c r="J101" s="45"/>
      <c r="K101" s="45"/>
      <c r="L101" s="45"/>
      <c r="M101" s="45"/>
      <c r="N101" s="44">
        <f>(D101-E101)*0.65</f>
        <v>31687.5</v>
      </c>
      <c r="O101" s="45">
        <f>(D101-E101)*0.35</f>
        <v>17062.5</v>
      </c>
      <c r="U101" s="46" t="s">
        <v>0</v>
      </c>
    </row>
    <row r="102" spans="2:24">
      <c r="B102" s="41" t="s">
        <v>367</v>
      </c>
      <c r="C102" s="41"/>
      <c r="D102" s="44">
        <v>26500</v>
      </c>
      <c r="E102" s="45">
        <f>D102*0.25</f>
        <v>6625</v>
      </c>
      <c r="F102" s="45"/>
      <c r="G102" s="45"/>
      <c r="H102" s="45"/>
      <c r="I102" s="45"/>
      <c r="J102" s="45"/>
      <c r="K102" s="45"/>
      <c r="L102" s="45"/>
      <c r="M102" s="45"/>
      <c r="N102" s="44">
        <f>(D102-E102)*0.65</f>
        <v>12918.75</v>
      </c>
      <c r="O102" s="45">
        <f>(D102-E102)*0.35</f>
        <v>6956.25</v>
      </c>
    </row>
    <row r="103" spans="2:24">
      <c r="B103" s="41" t="s">
        <v>373</v>
      </c>
      <c r="C103" s="41"/>
      <c r="D103" s="44">
        <v>60000</v>
      </c>
      <c r="E103" s="45">
        <f>D103</f>
        <v>60000</v>
      </c>
      <c r="F103" s="45"/>
      <c r="G103" s="45"/>
      <c r="H103" s="45"/>
      <c r="I103" s="45"/>
      <c r="J103" s="45"/>
      <c r="K103" s="45"/>
      <c r="L103" s="45"/>
      <c r="M103" s="45"/>
      <c r="N103" s="44">
        <v>1</v>
      </c>
      <c r="O103" s="45">
        <v>0</v>
      </c>
    </row>
    <row r="104" spans="2:24">
      <c r="B104" s="41" t="s">
        <v>576</v>
      </c>
      <c r="C104" s="41"/>
      <c r="D104" s="44">
        <v>29000</v>
      </c>
      <c r="E104" s="45">
        <f>D104-N104</f>
        <v>25000</v>
      </c>
      <c r="F104" s="45"/>
      <c r="G104" s="45"/>
      <c r="H104" s="45"/>
      <c r="I104" s="45"/>
      <c r="J104" s="45"/>
      <c r="K104" s="45"/>
      <c r="L104" s="45"/>
      <c r="M104" s="45"/>
      <c r="N104" s="44">
        <v>4000</v>
      </c>
      <c r="O104" s="45">
        <v>0</v>
      </c>
    </row>
    <row r="105" spans="2:24">
      <c r="B105" s="41" t="s">
        <v>378</v>
      </c>
      <c r="C105" s="41"/>
      <c r="D105" s="44">
        <v>29000</v>
      </c>
      <c r="E105" s="45">
        <f>D105-N105</f>
        <v>25000</v>
      </c>
      <c r="F105" s="45"/>
      <c r="G105" s="45"/>
      <c r="H105" s="45"/>
      <c r="I105" s="45"/>
      <c r="J105" s="45"/>
      <c r="K105" s="45"/>
      <c r="L105" s="45"/>
      <c r="M105" s="45"/>
      <c r="N105" s="44">
        <v>4000</v>
      </c>
      <c r="O105" s="45">
        <v>0</v>
      </c>
    </row>
    <row r="109" spans="2:24">
      <c r="B109" t="s">
        <v>541</v>
      </c>
      <c r="D109" s="36">
        <v>22000</v>
      </c>
    </row>
    <row r="110" spans="2:24">
      <c r="B110" t="s">
        <v>543</v>
      </c>
      <c r="D110" s="36">
        <v>1900</v>
      </c>
    </row>
    <row r="111" spans="2:24">
      <c r="B111" t="s">
        <v>545</v>
      </c>
      <c r="D111" s="36">
        <v>1500</v>
      </c>
    </row>
    <row r="112" spans="2:24">
      <c r="B112" t="s">
        <v>547</v>
      </c>
      <c r="D112" s="36">
        <v>1800</v>
      </c>
    </row>
    <row r="113" spans="2:4">
      <c r="B113" t="s">
        <v>169</v>
      </c>
      <c r="D113" s="36">
        <v>290</v>
      </c>
    </row>
    <row r="114" spans="2:4">
      <c r="B114" t="s">
        <v>652</v>
      </c>
      <c r="D114" s="36">
        <v>500</v>
      </c>
    </row>
    <row r="115" spans="2:4">
      <c r="B115" t="s">
        <v>549</v>
      </c>
      <c r="D115" s="36">
        <v>2500</v>
      </c>
    </row>
    <row r="116" spans="2:4">
      <c r="B116" t="s">
        <v>550</v>
      </c>
      <c r="D116" s="36">
        <v>2500</v>
      </c>
    </row>
    <row r="117" spans="2:4">
      <c r="B117" t="s">
        <v>551</v>
      </c>
      <c r="C117" t="s">
        <v>552</v>
      </c>
      <c r="D117" s="36">
        <v>1000</v>
      </c>
    </row>
    <row r="118" spans="2:4">
      <c r="B118" t="s">
        <v>553</v>
      </c>
      <c r="C118" t="s">
        <v>289</v>
      </c>
      <c r="D118" s="36">
        <v>250</v>
      </c>
    </row>
    <row r="119" spans="2:4" ht="16">
      <c r="B119" s="35" t="s">
        <v>554</v>
      </c>
      <c r="C119" s="37"/>
      <c r="D119" s="36"/>
    </row>
    <row r="120" spans="2:4">
      <c r="B120" t="s">
        <v>49</v>
      </c>
      <c r="C120" s="37"/>
      <c r="D120" s="36">
        <v>1651</v>
      </c>
    </row>
    <row r="121" spans="2:4">
      <c r="B121" t="s">
        <v>200</v>
      </c>
      <c r="C121" s="37"/>
      <c r="D121" s="36">
        <v>7004</v>
      </c>
    </row>
    <row r="122" spans="2:4">
      <c r="B122" t="s">
        <v>201</v>
      </c>
      <c r="C122" s="37"/>
      <c r="D122" s="36">
        <v>4400</v>
      </c>
    </row>
  </sheetData>
  <phoneticPr fontId="12" type="noConversion"/>
  <pageMargins left="0.7" right="0.7" top="0.75" bottom="0.75" header="0.3" footer="0.3"/>
  <pageSetup paperSize="9" scale="26" orientation="landscape"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A34D-BF81-46E6-81E6-75D93A540492}">
  <dimension ref="A1"/>
  <sheetViews>
    <sheetView workbookViewId="0"/>
  </sheetViews>
  <sheetFormatPr baseColWidth="10" defaultColWidth="8.83203125"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E0C0-CFB0-473E-9351-CC39D8FFDD50}">
  <sheetPr>
    <pageSetUpPr fitToPage="1"/>
  </sheetPr>
  <dimension ref="A1:AB144"/>
  <sheetViews>
    <sheetView zoomScale="90" zoomScaleNormal="90" workbookViewId="0">
      <pane ySplit="6" topLeftCell="A78" activePane="bottomLeft" state="frozen"/>
      <selection pane="bottomLeft" activeCell="V117" sqref="V117"/>
    </sheetView>
  </sheetViews>
  <sheetFormatPr baseColWidth="10" defaultColWidth="8.83203125" defaultRowHeight="14" outlineLevelCol="1"/>
  <cols>
    <col min="1" max="1" width="8.83203125" style="3" customWidth="1"/>
    <col min="2" max="2" width="48.5" style="282" customWidth="1"/>
    <col min="3" max="3" width="16.1640625" style="3" customWidth="1"/>
    <col min="4" max="4" width="14.1640625" style="3" customWidth="1"/>
    <col min="5" max="5" width="12.83203125" style="3" customWidth="1" outlineLevel="1"/>
    <col min="6" max="7" width="11.83203125" style="3" customWidth="1" outlineLevel="1"/>
    <col min="8" max="8" width="13.5" style="3" customWidth="1" outlineLevel="1"/>
    <col min="9" max="9" width="12.83203125" style="3" customWidth="1" outlineLevel="1"/>
    <col min="10" max="10" width="16.83203125" style="3" customWidth="1"/>
    <col min="11" max="11" width="15.83203125" style="3" customWidth="1"/>
    <col min="12" max="12" width="16.1640625" style="3" bestFit="1" customWidth="1"/>
    <col min="13" max="13" width="18.5" style="3" bestFit="1" customWidth="1"/>
    <col min="14" max="14" width="15.83203125" style="3" customWidth="1"/>
    <col min="15" max="15" width="11.83203125" style="3" customWidth="1"/>
    <col min="16" max="16" width="12.5" style="3" customWidth="1" outlineLevel="1"/>
    <col min="17" max="17" width="17.83203125" style="3" customWidth="1" outlineLevel="1"/>
    <col min="18" max="18" width="13.1640625" style="3" customWidth="1" outlineLevel="1"/>
    <col min="19" max="23" width="11.83203125" style="3" customWidth="1" outlineLevel="1"/>
    <col min="24" max="24" width="11.5" style="3" customWidth="1"/>
    <col min="25" max="25" width="10.1640625" style="3" customWidth="1"/>
    <col min="26" max="16384" width="8.83203125" style="3"/>
  </cols>
  <sheetData>
    <row r="1" spans="1:25">
      <c r="T1" s="3" t="s">
        <v>0</v>
      </c>
    </row>
    <row r="2" spans="1:25" ht="15" thickBot="1"/>
    <row r="3" spans="1:25" s="201" customFormat="1" ht="15">
      <c r="B3" s="283" t="s">
        <v>1</v>
      </c>
      <c r="C3" s="265"/>
      <c r="D3" s="266"/>
      <c r="E3" s="203"/>
      <c r="F3" s="203"/>
      <c r="G3" s="203"/>
      <c r="H3" s="203"/>
      <c r="I3" s="203"/>
      <c r="J3" s="203"/>
      <c r="K3" s="203"/>
      <c r="L3" s="203"/>
      <c r="M3" s="203"/>
      <c r="N3" s="203"/>
      <c r="O3" s="203"/>
      <c r="P3" s="203"/>
      <c r="Q3" s="203"/>
      <c r="R3" s="203"/>
      <c r="S3" s="203"/>
      <c r="T3" s="203"/>
      <c r="U3" s="203"/>
      <c r="V3" s="203"/>
      <c r="W3" s="203"/>
      <c r="X3" s="203"/>
      <c r="Y3" s="204"/>
    </row>
    <row r="4" spans="1:25" ht="15">
      <c r="B4" s="284" t="s">
        <v>2</v>
      </c>
      <c r="C4" s="205"/>
      <c r="D4" s="206"/>
      <c r="Y4" s="207"/>
    </row>
    <row r="5" spans="1:25">
      <c r="A5" s="3" t="s">
        <v>0</v>
      </c>
      <c r="B5" s="285"/>
      <c r="C5" s="205"/>
      <c r="D5" s="206"/>
      <c r="E5" s="208">
        <v>45170</v>
      </c>
      <c r="F5" s="209">
        <v>45170</v>
      </c>
      <c r="G5" s="209">
        <v>45170</v>
      </c>
      <c r="H5" s="209">
        <v>45170</v>
      </c>
      <c r="I5" s="209">
        <v>45200</v>
      </c>
      <c r="J5" s="209">
        <v>45200</v>
      </c>
      <c r="K5" s="209">
        <v>45200</v>
      </c>
      <c r="L5" s="209">
        <v>45200</v>
      </c>
      <c r="M5" s="209">
        <v>45200</v>
      </c>
      <c r="N5" s="209">
        <v>45231</v>
      </c>
      <c r="O5" s="209">
        <v>45261</v>
      </c>
      <c r="P5" s="209">
        <v>45292</v>
      </c>
      <c r="Q5" s="209">
        <v>45323</v>
      </c>
      <c r="R5" s="209">
        <v>45352</v>
      </c>
      <c r="S5" s="209">
        <v>45383</v>
      </c>
      <c r="T5" s="209">
        <v>45413</v>
      </c>
      <c r="U5" s="209">
        <v>45444</v>
      </c>
      <c r="V5" s="209">
        <v>45474</v>
      </c>
      <c r="W5" s="271">
        <v>45505</v>
      </c>
      <c r="X5" s="302">
        <v>45536</v>
      </c>
      <c r="Y5" s="303">
        <v>45566</v>
      </c>
    </row>
    <row r="6" spans="1:25">
      <c r="B6" s="285"/>
      <c r="C6" s="210"/>
      <c r="D6" s="206"/>
      <c r="E6" s="267" t="s">
        <v>3</v>
      </c>
      <c r="F6" s="267" t="s">
        <v>4</v>
      </c>
      <c r="G6" s="267" t="s">
        <v>5</v>
      </c>
      <c r="H6" s="267" t="s">
        <v>6</v>
      </c>
      <c r="I6" s="267" t="s">
        <v>7</v>
      </c>
      <c r="J6" s="267" t="s">
        <v>8</v>
      </c>
      <c r="K6" s="267" t="s">
        <v>653</v>
      </c>
      <c r="L6" s="267" t="s">
        <v>654</v>
      </c>
      <c r="M6" s="267" t="s">
        <v>655</v>
      </c>
      <c r="N6" s="267"/>
      <c r="O6" s="267"/>
      <c r="P6" s="267"/>
      <c r="Q6" s="267"/>
      <c r="R6" s="267"/>
      <c r="S6" s="267"/>
      <c r="T6" s="267"/>
      <c r="U6" s="267"/>
      <c r="V6" s="267"/>
      <c r="W6" s="267"/>
      <c r="X6" s="267"/>
      <c r="Y6" s="207"/>
    </row>
    <row r="7" spans="1:25" s="211" customFormat="1" ht="15">
      <c r="B7" s="286" t="s">
        <v>46</v>
      </c>
      <c r="C7" s="212"/>
      <c r="D7" s="213"/>
      <c r="E7" s="272">
        <v>90280</v>
      </c>
      <c r="F7" s="273"/>
      <c r="G7" s="273" t="s">
        <v>0</v>
      </c>
      <c r="H7" s="273"/>
      <c r="I7" s="273"/>
      <c r="J7" s="273"/>
      <c r="K7" s="273"/>
      <c r="L7" s="273"/>
      <c r="M7" s="273"/>
      <c r="N7" s="273"/>
      <c r="O7" s="273"/>
      <c r="P7" s="273"/>
      <c r="Q7" s="273"/>
      <c r="R7" s="273"/>
      <c r="S7" s="273"/>
      <c r="T7" s="268"/>
      <c r="U7" s="268"/>
      <c r="V7" s="268"/>
      <c r="W7" s="268"/>
      <c r="X7" s="268"/>
      <c r="Y7" s="274"/>
    </row>
    <row r="8" spans="1:25" s="211" customFormat="1" ht="15">
      <c r="B8" s="286" t="s">
        <v>47</v>
      </c>
      <c r="C8" s="212"/>
      <c r="D8" s="213"/>
      <c r="E8" s="273"/>
      <c r="F8" s="272">
        <v>46684</v>
      </c>
      <c r="G8" s="273"/>
      <c r="H8" s="273"/>
      <c r="I8" s="273"/>
      <c r="J8" s="273"/>
      <c r="K8" s="273"/>
      <c r="L8" s="273"/>
      <c r="M8" s="273"/>
      <c r="N8" s="273">
        <v>25000</v>
      </c>
      <c r="O8" s="273"/>
      <c r="P8" s="273"/>
      <c r="Q8" s="273"/>
      <c r="R8" s="273"/>
      <c r="S8" s="273"/>
      <c r="T8" s="268"/>
      <c r="U8" s="268"/>
      <c r="V8" s="268"/>
      <c r="W8" s="268"/>
      <c r="X8" s="268"/>
      <c r="Y8" s="274"/>
    </row>
    <row r="9" spans="1:25" s="211" customFormat="1" ht="15">
      <c r="B9" s="286" t="s">
        <v>49</v>
      </c>
      <c r="C9" s="212"/>
      <c r="D9" s="213"/>
      <c r="E9" s="273"/>
      <c r="F9" s="273"/>
      <c r="G9" s="273"/>
      <c r="H9" s="273"/>
      <c r="I9" s="273"/>
      <c r="J9" s="273"/>
      <c r="K9" s="273"/>
      <c r="L9" s="273"/>
      <c r="M9" s="273"/>
      <c r="N9" s="273"/>
      <c r="O9" s="273"/>
      <c r="P9" s="273"/>
      <c r="Q9" s="273"/>
      <c r="R9" s="273"/>
      <c r="S9" s="273"/>
      <c r="T9" s="268"/>
      <c r="U9" s="268"/>
      <c r="V9" s="268"/>
      <c r="W9" s="268"/>
      <c r="X9" s="268"/>
      <c r="Y9" s="274"/>
    </row>
    <row r="10" spans="1:25" s="211" customFormat="1" ht="15" thickBot="1">
      <c r="B10" s="286"/>
      <c r="C10" s="212"/>
      <c r="D10" s="213"/>
      <c r="E10" s="273"/>
      <c r="F10" s="273"/>
      <c r="G10" s="273"/>
      <c r="H10" s="273"/>
      <c r="I10" s="273"/>
      <c r="J10" s="273"/>
      <c r="K10" s="273"/>
      <c r="L10" s="273"/>
      <c r="M10" s="273"/>
      <c r="N10" s="273"/>
      <c r="O10" s="273"/>
      <c r="P10" s="273"/>
      <c r="Q10" s="273"/>
      <c r="R10" s="273"/>
      <c r="S10" s="273"/>
      <c r="T10" s="268"/>
      <c r="U10" s="268"/>
      <c r="V10" s="268"/>
      <c r="W10" s="268"/>
      <c r="X10" s="268"/>
      <c r="Y10" s="274"/>
    </row>
    <row r="11" spans="1:25" s="211" customFormat="1" ht="16" thickBot="1">
      <c r="B11" s="287" t="s">
        <v>50</v>
      </c>
      <c r="C11" s="212"/>
      <c r="D11" s="213"/>
      <c r="E11" s="273"/>
      <c r="F11" s="273"/>
      <c r="G11" s="273"/>
      <c r="H11" s="273"/>
      <c r="I11" s="273"/>
      <c r="J11" s="273"/>
      <c r="K11" s="273"/>
      <c r="L11" s="273"/>
      <c r="M11" s="273"/>
      <c r="N11" s="273"/>
      <c r="O11" s="273"/>
      <c r="P11" s="273"/>
      <c r="Q11" s="273"/>
      <c r="R11" s="273"/>
      <c r="S11" s="273"/>
      <c r="T11" s="268"/>
      <c r="U11" s="268"/>
      <c r="V11" s="268"/>
      <c r="W11" s="268"/>
      <c r="X11" s="268"/>
      <c r="Y11" s="274"/>
    </row>
    <row r="12" spans="1:25" s="211" customFormat="1" ht="15">
      <c r="B12" s="288" t="s">
        <v>313</v>
      </c>
      <c r="C12" s="212"/>
      <c r="D12" s="213"/>
      <c r="E12" s="268"/>
      <c r="F12" s="268"/>
      <c r="G12" s="268"/>
      <c r="H12" s="268"/>
      <c r="I12" s="268"/>
      <c r="J12" s="268"/>
      <c r="K12" s="268"/>
      <c r="L12" s="268"/>
      <c r="M12" s="268"/>
      <c r="N12" s="275">
        <f>Retention!F4</f>
        <v>14400</v>
      </c>
      <c r="O12" s="268"/>
      <c r="P12" s="268"/>
      <c r="Q12" s="268"/>
      <c r="R12" s="268"/>
      <c r="S12" s="268"/>
      <c r="T12" s="268"/>
      <c r="U12" s="268"/>
      <c r="V12" s="268"/>
      <c r="W12" s="268"/>
      <c r="X12" s="268"/>
      <c r="Y12" s="274"/>
    </row>
    <row r="13" spans="1:25" s="211" customFormat="1" ht="15">
      <c r="B13" s="288" t="s">
        <v>62</v>
      </c>
      <c r="C13" s="212"/>
      <c r="D13" s="213"/>
      <c r="E13" s="268"/>
      <c r="F13" s="268"/>
      <c r="G13" s="269">
        <f>18250*0.8</f>
        <v>14600</v>
      </c>
      <c r="H13" s="268"/>
      <c r="I13" s="268"/>
      <c r="J13" s="268"/>
      <c r="K13" s="268"/>
      <c r="L13" s="268"/>
      <c r="M13" s="268"/>
      <c r="N13" s="268"/>
      <c r="O13" s="268"/>
      <c r="P13" s="268"/>
      <c r="Q13" s="268"/>
      <c r="R13" s="268"/>
      <c r="S13" s="268"/>
      <c r="T13" s="268"/>
      <c r="U13" s="268"/>
      <c r="V13" s="268"/>
      <c r="W13" s="268"/>
      <c r="X13" s="268"/>
      <c r="Y13" s="274"/>
    </row>
    <row r="14" spans="1:25" s="211" customFormat="1" ht="15">
      <c r="B14" s="288" t="s">
        <v>656</v>
      </c>
      <c r="C14" s="212"/>
      <c r="D14" s="213"/>
      <c r="E14" s="268"/>
      <c r="F14" s="268"/>
      <c r="G14" s="268"/>
      <c r="H14" s="268"/>
      <c r="I14" s="268"/>
      <c r="J14" s="268"/>
      <c r="K14" s="268"/>
      <c r="M14" s="268"/>
      <c r="P14" s="268">
        <f>Retention!F28</f>
        <v>44384.040000000008</v>
      </c>
      <c r="Q14" s="268"/>
      <c r="R14" s="268"/>
      <c r="S14" s="268"/>
      <c r="T14" s="268"/>
      <c r="U14" s="268"/>
      <c r="V14" s="268"/>
      <c r="W14" s="268"/>
      <c r="X14" s="268"/>
      <c r="Y14" s="274"/>
    </row>
    <row r="15" spans="1:25" s="211" customFormat="1" ht="15">
      <c r="B15" s="288" t="s">
        <v>657</v>
      </c>
      <c r="C15" s="212"/>
      <c r="D15" s="213"/>
      <c r="E15" s="268"/>
      <c r="F15" s="268"/>
      <c r="G15" s="268"/>
      <c r="H15" s="268"/>
      <c r="I15" s="268"/>
      <c r="J15" s="268"/>
      <c r="K15" s="268"/>
      <c r="L15" s="268"/>
      <c r="N15" s="268"/>
      <c r="O15" s="268"/>
      <c r="P15" s="268"/>
      <c r="Q15" s="268"/>
      <c r="R15" s="268">
        <f>Retention!F10</f>
        <v>13560</v>
      </c>
      <c r="S15" s="268"/>
      <c r="T15" s="268"/>
      <c r="U15" s="268"/>
      <c r="V15" s="268"/>
      <c r="W15" s="268"/>
      <c r="X15" s="268"/>
      <c r="Y15" s="274"/>
    </row>
    <row r="16" spans="1:25" s="211" customFormat="1" ht="15">
      <c r="B16" s="288" t="s">
        <v>54</v>
      </c>
      <c r="C16" s="212"/>
      <c r="D16" s="213"/>
      <c r="E16" s="268"/>
      <c r="F16" s="268"/>
      <c r="G16" s="268"/>
      <c r="H16" s="268"/>
      <c r="I16" s="268"/>
      <c r="J16" s="268"/>
      <c r="K16" s="268"/>
      <c r="L16" s="268"/>
      <c r="M16" s="268">
        <f>Retention!F8</f>
        <v>4650</v>
      </c>
      <c r="N16" s="268"/>
      <c r="O16" s="268"/>
      <c r="P16" s="268"/>
      <c r="Q16" s="268"/>
      <c r="R16" s="268"/>
      <c r="S16" s="268"/>
      <c r="T16" s="268"/>
      <c r="U16" s="268"/>
      <c r="V16" s="268"/>
      <c r="W16" s="268"/>
      <c r="X16" s="268"/>
      <c r="Y16" s="274"/>
    </row>
    <row r="17" spans="1:25" s="211" customFormat="1" ht="15">
      <c r="B17" s="288" t="s">
        <v>55</v>
      </c>
      <c r="C17" s="212"/>
      <c r="D17" s="213"/>
      <c r="E17" s="268"/>
      <c r="F17" s="268"/>
      <c r="G17" s="268"/>
      <c r="H17" s="268"/>
      <c r="I17" s="268"/>
      <c r="J17" s="268"/>
      <c r="K17" s="268"/>
      <c r="L17" s="268"/>
      <c r="N17" s="268">
        <f>Retention!F22</f>
        <v>4335.4480000000003</v>
      </c>
      <c r="O17" s="268"/>
      <c r="P17" s="268"/>
      <c r="Q17" s="268"/>
      <c r="R17" s="268"/>
      <c r="S17" s="268"/>
      <c r="T17" s="268"/>
      <c r="U17" s="268"/>
      <c r="V17" s="268"/>
      <c r="W17" s="268"/>
      <c r="X17" s="268"/>
      <c r="Y17" s="274"/>
    </row>
    <row r="18" spans="1:25" s="211" customFormat="1" ht="15">
      <c r="B18" s="288" t="s">
        <v>56</v>
      </c>
      <c r="C18" s="212" t="s">
        <v>0</v>
      </c>
      <c r="D18" s="213"/>
      <c r="E18" s="268"/>
      <c r="F18" s="268"/>
      <c r="G18" s="268"/>
      <c r="H18" s="268"/>
      <c r="I18" s="268"/>
      <c r="J18" s="268"/>
      <c r="K18" s="268"/>
      <c r="L18" s="268"/>
      <c r="M18" s="268">
        <f>Retention!F37</f>
        <v>3600</v>
      </c>
      <c r="N18" s="268"/>
      <c r="O18" s="268"/>
      <c r="P18" s="268"/>
      <c r="Q18" s="268"/>
      <c r="R18" s="268"/>
      <c r="S18" s="268"/>
      <c r="T18" s="268"/>
      <c r="U18" s="268"/>
      <c r="V18" s="268"/>
      <c r="W18" s="268"/>
      <c r="X18" s="268"/>
      <c r="Y18" s="274"/>
    </row>
    <row r="19" spans="1:25" s="211" customFormat="1" ht="15">
      <c r="B19" s="288" t="s">
        <v>634</v>
      </c>
      <c r="C19" s="212"/>
      <c r="D19" s="213"/>
      <c r="E19" s="268"/>
      <c r="F19" s="268"/>
      <c r="G19" s="268"/>
      <c r="H19" s="268"/>
      <c r="I19" s="268"/>
      <c r="J19" s="268"/>
      <c r="K19" s="268"/>
      <c r="L19" s="268"/>
      <c r="M19" s="268"/>
      <c r="N19" s="268"/>
      <c r="O19" s="268"/>
      <c r="P19" s="268"/>
      <c r="Q19" s="268">
        <f>Retention!H56</f>
        <v>3200</v>
      </c>
      <c r="R19" s="268"/>
      <c r="S19" s="268"/>
      <c r="T19" s="268"/>
      <c r="U19" s="268"/>
      <c r="V19" s="268"/>
      <c r="W19" s="268"/>
      <c r="X19" s="268"/>
      <c r="Y19" s="274"/>
    </row>
    <row r="20" spans="1:25" s="211" customFormat="1" ht="15">
      <c r="B20" s="288" t="s">
        <v>635</v>
      </c>
      <c r="C20" s="212"/>
      <c r="D20" s="213"/>
      <c r="E20" s="268"/>
      <c r="F20" s="268"/>
      <c r="G20" s="268"/>
      <c r="H20" s="268"/>
      <c r="I20" s="268"/>
      <c r="J20" s="268"/>
      <c r="K20" s="268"/>
      <c r="L20" s="268"/>
      <c r="M20" s="268"/>
      <c r="N20" s="268"/>
      <c r="O20" s="268"/>
      <c r="P20" s="268"/>
      <c r="Q20" s="268"/>
      <c r="R20" s="268"/>
      <c r="S20" s="268"/>
      <c r="T20" s="268">
        <f>Retention!I56</f>
        <v>42000</v>
      </c>
      <c r="U20" s="268"/>
      <c r="V20" s="268"/>
      <c r="W20" s="268"/>
      <c r="X20" s="268"/>
      <c r="Y20" s="274"/>
    </row>
    <row r="21" spans="1:25" s="211" customFormat="1" ht="15">
      <c r="B21" s="288" t="s">
        <v>58</v>
      </c>
      <c r="C21" s="212"/>
      <c r="D21" s="213"/>
      <c r="E21" s="268"/>
      <c r="F21" s="268"/>
      <c r="G21" s="268"/>
      <c r="H21" s="268"/>
      <c r="I21" s="268"/>
      <c r="J21" s="268"/>
      <c r="K21" s="268"/>
      <c r="L21" s="268"/>
      <c r="M21" s="268"/>
      <c r="N21" s="268"/>
      <c r="O21" s="268"/>
      <c r="P21" s="268"/>
      <c r="Q21" s="268"/>
      <c r="R21" s="268"/>
      <c r="S21" s="268"/>
      <c r="T21" s="268"/>
      <c r="U21" s="268"/>
      <c r="V21" s="268"/>
      <c r="W21" s="268">
        <f>Retention!J56</f>
        <v>11694.62</v>
      </c>
      <c r="X21" s="268">
        <f>Retention!K56</f>
        <v>0</v>
      </c>
      <c r="Y21" s="274"/>
    </row>
    <row r="22" spans="1:25" s="211" customFormat="1" ht="15">
      <c r="B22" s="288" t="s">
        <v>59</v>
      </c>
      <c r="C22" s="212"/>
      <c r="D22" s="213"/>
      <c r="E22" s="268"/>
      <c r="F22" s="268"/>
      <c r="G22" s="268"/>
      <c r="H22" s="268"/>
      <c r="I22" s="268"/>
      <c r="J22" s="268"/>
      <c r="K22" s="268"/>
      <c r="L22" s="268"/>
      <c r="M22" s="268"/>
      <c r="N22" s="268"/>
      <c r="O22" s="268"/>
      <c r="P22" s="268">
        <f>24391*0.8</f>
        <v>19512.8</v>
      </c>
      <c r="Q22" s="268"/>
      <c r="R22" s="268"/>
      <c r="S22" s="268"/>
      <c r="T22" s="268"/>
      <c r="U22" s="268"/>
      <c r="V22" s="268"/>
      <c r="W22" s="268"/>
      <c r="X22" s="268"/>
      <c r="Y22" s="274"/>
    </row>
    <row r="23" spans="1:25" s="211" customFormat="1" ht="15">
      <c r="B23" s="288" t="s">
        <v>60</v>
      </c>
      <c r="C23" s="212"/>
      <c r="D23" s="213"/>
      <c r="E23" s="268"/>
      <c r="F23" s="268"/>
      <c r="G23" s="268"/>
      <c r="H23" s="268"/>
      <c r="I23" s="268"/>
      <c r="J23" s="268"/>
      <c r="K23" s="268"/>
      <c r="L23" s="268"/>
      <c r="M23" s="268"/>
      <c r="N23" s="268"/>
      <c r="O23" s="268"/>
      <c r="P23" s="268"/>
      <c r="Q23" s="268"/>
      <c r="R23" s="268"/>
      <c r="S23" s="268"/>
      <c r="T23" s="268"/>
      <c r="U23" s="268"/>
      <c r="V23" s="268"/>
      <c r="W23" s="268"/>
      <c r="X23" s="268"/>
      <c r="Y23" s="274">
        <f>P22</f>
        <v>19512.8</v>
      </c>
    </row>
    <row r="24" spans="1:25" s="211" customFormat="1" ht="15" thickBot="1">
      <c r="B24" s="288"/>
      <c r="C24" s="212"/>
      <c r="D24" s="213"/>
      <c r="E24" s="268"/>
      <c r="F24" s="268"/>
      <c r="G24" s="268"/>
      <c r="H24" s="268"/>
      <c r="I24" s="268"/>
      <c r="J24" s="268"/>
      <c r="K24" s="268"/>
      <c r="L24" s="268"/>
      <c r="M24" s="268"/>
      <c r="N24" s="268"/>
      <c r="O24" s="268"/>
      <c r="P24" s="268"/>
      <c r="Q24" s="268"/>
      <c r="R24" s="268"/>
      <c r="S24" s="268"/>
      <c r="T24" s="268"/>
      <c r="U24" s="268"/>
      <c r="V24" s="268"/>
      <c r="W24" s="268"/>
      <c r="X24" s="268"/>
      <c r="Y24" s="274"/>
    </row>
    <row r="25" spans="1:25" ht="16" thickBot="1">
      <c r="A25" s="3" t="s">
        <v>0</v>
      </c>
      <c r="B25" s="289" t="s">
        <v>63</v>
      </c>
      <c r="C25" s="214" t="s">
        <v>64</v>
      </c>
      <c r="D25" s="202" t="s">
        <v>65</v>
      </c>
      <c r="E25" s="268"/>
      <c r="F25" s="268"/>
      <c r="G25" s="268"/>
      <c r="H25" s="268"/>
      <c r="I25" s="268"/>
      <c r="J25" s="268"/>
      <c r="K25" s="268"/>
      <c r="L25" s="268"/>
      <c r="M25" s="268"/>
      <c r="N25" s="268"/>
      <c r="O25" s="268"/>
      <c r="P25" s="268"/>
      <c r="Q25" s="268"/>
      <c r="R25" s="268"/>
      <c r="S25" s="268"/>
      <c r="T25" s="268"/>
      <c r="U25" s="268"/>
      <c r="V25" s="268"/>
      <c r="W25" s="268"/>
      <c r="X25" s="268"/>
      <c r="Y25" s="274"/>
    </row>
    <row r="26" spans="1:25" s="211" customFormat="1" ht="15">
      <c r="B26" s="286" t="s">
        <v>119</v>
      </c>
      <c r="C26" s="212">
        <f>6500+1500</f>
        <v>8000</v>
      </c>
      <c r="D26" s="213">
        <f>C26*0.8</f>
        <v>6400</v>
      </c>
      <c r="E26" s="272">
        <v>6184</v>
      </c>
      <c r="F26" s="268"/>
      <c r="G26" s="273" t="s">
        <v>0</v>
      </c>
      <c r="H26" s="273"/>
      <c r="I26" s="273"/>
      <c r="J26" s="273"/>
      <c r="K26" s="273"/>
      <c r="L26" s="273"/>
      <c r="M26" s="273"/>
      <c r="N26" s="273"/>
      <c r="O26" s="273"/>
      <c r="P26" s="273"/>
      <c r="Q26" s="273"/>
      <c r="R26" s="273"/>
      <c r="S26" s="273"/>
      <c r="T26" s="268"/>
      <c r="U26" s="268"/>
      <c r="V26" s="268"/>
      <c r="W26" s="268"/>
      <c r="X26" s="268"/>
      <c r="Y26" s="274"/>
    </row>
    <row r="27" spans="1:25" ht="15">
      <c r="A27" s="3" t="s">
        <v>0</v>
      </c>
      <c r="B27" s="290" t="s">
        <v>314</v>
      </c>
      <c r="C27" s="215">
        <v>230000</v>
      </c>
      <c r="D27" s="217">
        <f>'Job Calculations'!D62</f>
        <v>323000</v>
      </c>
      <c r="E27" s="268"/>
      <c r="F27" s="268"/>
      <c r="G27" s="268"/>
      <c r="H27" s="268"/>
      <c r="I27" s="269">
        <f>50000*0.8</f>
        <v>40000</v>
      </c>
      <c r="J27" s="268"/>
      <c r="K27" s="268">
        <f>40000*0.8</f>
        <v>32000</v>
      </c>
      <c r="L27" s="268"/>
      <c r="M27" s="268">
        <f>(D27*0.33)-I27</f>
        <v>66590</v>
      </c>
      <c r="N27" s="268">
        <f>(D27-(I27+K27+M27))*0.5</f>
        <v>92205</v>
      </c>
      <c r="O27" s="268">
        <f>N27</f>
        <v>92205</v>
      </c>
      <c r="P27" s="268"/>
      <c r="Q27" s="268"/>
      <c r="R27" s="268"/>
      <c r="S27" s="268"/>
      <c r="T27" s="268"/>
      <c r="U27" s="268"/>
      <c r="V27" s="268"/>
      <c r="W27" s="268"/>
      <c r="X27" s="268"/>
      <c r="Y27" s="274"/>
    </row>
    <row r="28" spans="1:25" ht="15">
      <c r="B28" s="290" t="s">
        <v>118</v>
      </c>
      <c r="C28" s="215">
        <v>13205</v>
      </c>
      <c r="D28" s="213">
        <f>C28*0.8</f>
        <v>10564</v>
      </c>
      <c r="E28" s="268"/>
      <c r="F28" s="268"/>
      <c r="G28" s="268"/>
      <c r="H28" s="269">
        <f>D28</f>
        <v>10564</v>
      </c>
      <c r="I28" s="268"/>
      <c r="J28" s="268"/>
      <c r="K28" s="268"/>
      <c r="L28" s="268"/>
      <c r="M28" s="268"/>
      <c r="N28" s="268"/>
      <c r="O28" s="268"/>
      <c r="P28" s="268"/>
      <c r="Q28" s="268"/>
      <c r="R28" s="268"/>
      <c r="S28" s="268"/>
      <c r="T28" s="268"/>
      <c r="U28" s="268"/>
      <c r="V28" s="268"/>
      <c r="W28" s="268"/>
      <c r="X28" s="268"/>
      <c r="Y28" s="274"/>
    </row>
    <row r="29" spans="1:25" ht="13.5" customHeight="1" thickBot="1">
      <c r="B29" s="290" t="s">
        <v>69</v>
      </c>
      <c r="C29" s="215">
        <v>28658</v>
      </c>
      <c r="D29" s="217">
        <f>'Job Calculations'!D85</f>
        <v>22926.400000000001</v>
      </c>
      <c r="E29" s="268"/>
      <c r="F29" s="268"/>
      <c r="G29" s="268"/>
      <c r="H29" s="268"/>
      <c r="I29" s="268"/>
      <c r="K29" s="269">
        <f>D29</f>
        <v>22926.400000000001</v>
      </c>
      <c r="L29" s="268"/>
      <c r="M29" s="268"/>
      <c r="N29" s="268"/>
      <c r="O29" s="268"/>
      <c r="P29" s="268"/>
      <c r="Q29" s="268"/>
      <c r="R29" s="268"/>
      <c r="S29" s="268">
        <f>D29*0.3</f>
        <v>6877.92</v>
      </c>
      <c r="T29" s="268"/>
      <c r="U29" s="268"/>
      <c r="V29" s="268"/>
      <c r="W29" s="268"/>
      <c r="X29" s="268"/>
      <c r="Y29" s="274"/>
    </row>
    <row r="30" spans="1:25" ht="16" thickBot="1">
      <c r="B30" s="290" t="s">
        <v>72</v>
      </c>
      <c r="C30" s="215">
        <f>'Job Calculations'!C91</f>
        <v>793000</v>
      </c>
      <c r="D30" s="217">
        <f>'Job Calculations'!D91</f>
        <v>753350</v>
      </c>
      <c r="E30" s="268"/>
      <c r="F30" s="268"/>
      <c r="G30" s="268"/>
      <c r="H30" s="268"/>
      <c r="I30" s="268"/>
      <c r="J30" s="268"/>
      <c r="K30" s="304" t="s">
        <v>658</v>
      </c>
      <c r="L30" s="268">
        <v>30000</v>
      </c>
      <c r="M30" s="268">
        <v>30000</v>
      </c>
      <c r="N30" s="268">
        <f>(D30-L30-M30)/5</f>
        <v>138670</v>
      </c>
      <c r="O30" s="268">
        <f>N30</f>
        <v>138670</v>
      </c>
      <c r="P30" s="268">
        <f>O30</f>
        <v>138670</v>
      </c>
      <c r="Q30" s="268">
        <f>P30</f>
        <v>138670</v>
      </c>
      <c r="R30" s="268">
        <f>Q30</f>
        <v>138670</v>
      </c>
      <c r="S30" s="268" t="s">
        <v>0</v>
      </c>
      <c r="T30" s="268"/>
      <c r="U30" s="268"/>
      <c r="V30" s="268"/>
      <c r="W30" s="268"/>
      <c r="X30" s="268"/>
      <c r="Y30" s="274"/>
    </row>
    <row r="31" spans="1:25" ht="15">
      <c r="B31" s="290" t="s">
        <v>75</v>
      </c>
      <c r="C31" s="215" t="s">
        <v>76</v>
      </c>
      <c r="D31" s="216">
        <v>540000</v>
      </c>
      <c r="E31" s="268"/>
      <c r="F31" s="268"/>
      <c r="G31" s="268"/>
      <c r="H31" s="268"/>
      <c r="I31" s="268"/>
      <c r="J31" s="268"/>
      <c r="K31" s="268"/>
      <c r="L31" s="268"/>
      <c r="M31" s="268"/>
      <c r="N31" s="268"/>
      <c r="O31" s="268"/>
      <c r="P31" s="268"/>
      <c r="Q31" s="268">
        <f>$D$31*0.1</f>
        <v>54000</v>
      </c>
      <c r="R31" s="268">
        <f>$D$31*0.16</f>
        <v>86400</v>
      </c>
      <c r="S31" s="268">
        <f>$D$31*0.16</f>
        <v>86400</v>
      </c>
      <c r="T31" s="268">
        <f>$D$31*0.16</f>
        <v>86400</v>
      </c>
      <c r="U31" s="268">
        <f>$D$31*0.16</f>
        <v>86400</v>
      </c>
      <c r="V31" s="268">
        <f>$D$31*0.16</f>
        <v>86400</v>
      </c>
      <c r="W31" s="268">
        <f>$D$31*0.1</f>
        <v>54000</v>
      </c>
      <c r="X31" s="268">
        <f>$D$31*0.1</f>
        <v>54000</v>
      </c>
      <c r="Y31" s="274"/>
    </row>
    <row r="32" spans="1:25" ht="16" thickBot="1">
      <c r="B32" s="290" t="s">
        <v>636</v>
      </c>
      <c r="C32" s="215" t="s">
        <v>76</v>
      </c>
      <c r="D32" s="216">
        <v>60000</v>
      </c>
      <c r="E32" s="268"/>
      <c r="F32" s="268"/>
      <c r="G32" s="268"/>
      <c r="H32" s="268"/>
      <c r="I32" s="268"/>
      <c r="J32" s="268"/>
      <c r="K32" s="268"/>
      <c r="L32" s="268"/>
      <c r="M32" s="268"/>
      <c r="N32" s="268"/>
      <c r="O32" s="268"/>
      <c r="P32" s="268"/>
      <c r="Q32" s="268">
        <f>$D$32*0.1</f>
        <v>6000</v>
      </c>
      <c r="R32" s="268">
        <f>$D$32*0.16</f>
        <v>9600</v>
      </c>
      <c r="S32" s="268">
        <f>$D$32*0.16</f>
        <v>9600</v>
      </c>
      <c r="T32" s="268">
        <f>$D$32*0.16</f>
        <v>9600</v>
      </c>
      <c r="U32" s="268">
        <f>$D$32*0.16</f>
        <v>9600</v>
      </c>
      <c r="V32" s="268">
        <f>$D$32*0.16</f>
        <v>9600</v>
      </c>
      <c r="W32" s="268">
        <f>Q32</f>
        <v>6000</v>
      </c>
      <c r="X32" s="268">
        <f>R32</f>
        <v>9600</v>
      </c>
      <c r="Y32" s="274"/>
    </row>
    <row r="33" spans="1:25" ht="16" thickBot="1">
      <c r="B33" s="290" t="s">
        <v>77</v>
      </c>
      <c r="C33" s="215">
        <v>136000</v>
      </c>
      <c r="D33" s="213"/>
      <c r="E33" s="268"/>
      <c r="F33" s="268"/>
      <c r="G33" s="268"/>
      <c r="H33" s="268"/>
      <c r="I33" s="268"/>
      <c r="J33" s="268"/>
      <c r="K33" s="268"/>
      <c r="L33" s="268"/>
      <c r="M33" s="268"/>
      <c r="N33" s="268"/>
      <c r="O33" s="268" t="s">
        <v>0</v>
      </c>
      <c r="P33" s="304" t="s">
        <v>658</v>
      </c>
      <c r="Q33" s="268">
        <v>0</v>
      </c>
      <c r="R33" s="268">
        <v>0</v>
      </c>
      <c r="S33" s="268">
        <v>0</v>
      </c>
      <c r="T33" s="268">
        <v>0</v>
      </c>
      <c r="U33" s="268">
        <v>0</v>
      </c>
      <c r="V33" s="268">
        <v>0</v>
      </c>
      <c r="W33" s="268">
        <v>0</v>
      </c>
      <c r="X33" s="268">
        <v>0</v>
      </c>
      <c r="Y33" s="274"/>
    </row>
    <row r="34" spans="1:25" ht="16" thickBot="1">
      <c r="B34" s="290" t="s">
        <v>78</v>
      </c>
      <c r="C34" s="215">
        <v>147000</v>
      </c>
      <c r="D34" s="213"/>
      <c r="E34" s="268"/>
      <c r="F34" s="268"/>
      <c r="G34" s="268"/>
      <c r="H34" s="268"/>
      <c r="I34" s="268"/>
      <c r="J34" s="268"/>
      <c r="K34" s="268"/>
      <c r="L34" s="268"/>
      <c r="M34" s="268"/>
      <c r="N34" s="268"/>
      <c r="O34" s="268" t="s">
        <v>0</v>
      </c>
      <c r="P34" s="268" t="s">
        <v>0</v>
      </c>
      <c r="Q34" s="268" t="s">
        <v>0</v>
      </c>
      <c r="R34" s="304" t="s">
        <v>658</v>
      </c>
      <c r="S34" s="268">
        <v>0</v>
      </c>
      <c r="T34" s="268">
        <v>0</v>
      </c>
      <c r="U34" s="268">
        <v>0</v>
      </c>
      <c r="V34" s="268">
        <v>0</v>
      </c>
      <c r="W34" s="268">
        <v>0</v>
      </c>
      <c r="X34" s="268">
        <v>0</v>
      </c>
      <c r="Y34" s="274"/>
    </row>
    <row r="35" spans="1:25" ht="15">
      <c r="B35" s="290" t="s">
        <v>123</v>
      </c>
      <c r="C35" s="215">
        <f>27500*0.97</f>
        <v>26675</v>
      </c>
      <c r="D35" s="213">
        <f>C35*0.8</f>
        <v>21340</v>
      </c>
      <c r="E35" s="268"/>
      <c r="F35" s="268"/>
      <c r="G35" s="268"/>
      <c r="H35" s="269">
        <f>D35</f>
        <v>21340</v>
      </c>
      <c r="I35" s="268"/>
      <c r="J35" s="268"/>
      <c r="K35" s="268"/>
      <c r="L35" s="268"/>
      <c r="M35" s="268"/>
      <c r="N35" s="268"/>
      <c r="O35" s="268"/>
      <c r="P35" s="268"/>
      <c r="Q35" s="268"/>
      <c r="R35" s="268"/>
      <c r="S35" s="268"/>
      <c r="T35" s="268"/>
      <c r="U35" s="268"/>
      <c r="V35" s="268"/>
      <c r="W35" s="268"/>
      <c r="X35" s="268"/>
      <c r="Y35" s="274"/>
    </row>
    <row r="36" spans="1:25" ht="15">
      <c r="B36" s="290" t="s">
        <v>123</v>
      </c>
      <c r="C36" s="215">
        <v>30000</v>
      </c>
      <c r="D36" s="213">
        <v>30000</v>
      </c>
      <c r="E36" s="268"/>
      <c r="F36" s="268"/>
      <c r="G36" s="268"/>
      <c r="H36" s="268"/>
      <c r="I36" s="268" t="s">
        <v>0</v>
      </c>
      <c r="J36" s="269">
        <f>(D36*0.97)*0.8</f>
        <v>23280</v>
      </c>
      <c r="K36" s="268"/>
      <c r="L36" s="268"/>
      <c r="M36" s="268"/>
      <c r="N36" s="268"/>
      <c r="O36" s="268"/>
      <c r="P36" s="268"/>
      <c r="Q36" s="268"/>
      <c r="R36" s="268"/>
      <c r="S36" s="268"/>
      <c r="T36" s="268"/>
      <c r="U36" s="268"/>
      <c r="V36" s="268"/>
      <c r="W36" s="268"/>
      <c r="X36" s="268"/>
      <c r="Y36" s="274"/>
    </row>
    <row r="37" spans="1:25" ht="15">
      <c r="A37" s="3" t="s">
        <v>0</v>
      </c>
      <c r="B37" s="290" t="s">
        <v>315</v>
      </c>
      <c r="C37" s="215"/>
      <c r="D37" s="213">
        <f>'Job Calculations'!D70</f>
        <v>80000</v>
      </c>
      <c r="E37" s="268"/>
      <c r="F37" s="268"/>
      <c r="G37" s="268"/>
      <c r="H37" s="268"/>
      <c r="I37" s="268"/>
      <c r="J37" s="268"/>
      <c r="K37" s="268"/>
      <c r="L37" s="268"/>
      <c r="M37" s="268">
        <v>5336</v>
      </c>
      <c r="N37" s="268">
        <f>($D$37*0.4)-M37</f>
        <v>26664</v>
      </c>
      <c r="O37" s="268">
        <f>$D$37*0.4</f>
        <v>32000</v>
      </c>
      <c r="P37" s="268">
        <f>D37*0.2</f>
        <v>16000</v>
      </c>
      <c r="Q37" s="268"/>
      <c r="R37" s="268"/>
      <c r="S37" s="268"/>
      <c r="T37" s="268"/>
      <c r="U37" s="268"/>
      <c r="V37" s="268"/>
      <c r="W37" s="268"/>
      <c r="X37" s="268"/>
      <c r="Y37" s="274"/>
    </row>
    <row r="38" spans="1:25" ht="15">
      <c r="B38" s="290" t="s">
        <v>126</v>
      </c>
      <c r="C38" s="215">
        <v>53300</v>
      </c>
      <c r="D38" s="213">
        <f>'Job Calculations'!J63</f>
        <v>41904</v>
      </c>
      <c r="E38" s="268"/>
      <c r="F38" s="268"/>
      <c r="G38" s="268"/>
      <c r="H38" s="269">
        <f>D38</f>
        <v>41904</v>
      </c>
      <c r="I38" s="268"/>
      <c r="J38" s="268"/>
      <c r="K38" s="268"/>
      <c r="L38" s="268"/>
      <c r="M38" s="268"/>
      <c r="N38" s="268"/>
      <c r="O38" s="268"/>
      <c r="P38" s="268"/>
      <c r="Q38" s="268"/>
      <c r="R38" s="268"/>
      <c r="S38" s="268"/>
      <c r="T38" s="268"/>
      <c r="U38" s="268"/>
      <c r="V38" s="268"/>
      <c r="W38" s="268"/>
      <c r="X38" s="268"/>
      <c r="Y38" s="274"/>
    </row>
    <row r="39" spans="1:25" ht="15">
      <c r="B39" s="290" t="s">
        <v>659</v>
      </c>
      <c r="C39" s="215"/>
      <c r="D39" s="213"/>
      <c r="E39" s="268"/>
      <c r="F39" s="268"/>
      <c r="G39" s="268"/>
      <c r="H39" s="268"/>
      <c r="I39" s="268"/>
      <c r="J39" s="268"/>
      <c r="K39" s="268"/>
      <c r="L39" s="268"/>
      <c r="M39" s="268"/>
      <c r="N39" s="268"/>
      <c r="O39" s="268"/>
      <c r="P39" s="268"/>
      <c r="Q39" s="268"/>
      <c r="R39" s="268"/>
      <c r="S39" s="268"/>
      <c r="T39" s="268"/>
      <c r="U39" s="268"/>
      <c r="V39" s="268"/>
      <c r="W39" s="268"/>
      <c r="X39" s="268"/>
      <c r="Y39" s="274"/>
    </row>
    <row r="40" spans="1:25" ht="15">
      <c r="B40" s="290" t="s">
        <v>128</v>
      </c>
      <c r="C40" s="215">
        <v>27700</v>
      </c>
      <c r="D40" s="213">
        <f>C40*0.8</f>
        <v>22160</v>
      </c>
      <c r="E40" s="268">
        <v>0</v>
      </c>
      <c r="F40" s="268"/>
      <c r="G40" s="268"/>
      <c r="H40" s="269">
        <f>D40*0.97</f>
        <v>21495.200000000001</v>
      </c>
      <c r="I40" s="268"/>
      <c r="J40" s="268"/>
      <c r="K40" s="268"/>
      <c r="L40" s="268"/>
      <c r="M40" s="268"/>
      <c r="N40" s="268"/>
      <c r="O40" s="268"/>
      <c r="P40" s="268"/>
      <c r="Q40" s="268"/>
      <c r="R40" s="268"/>
      <c r="S40" s="268"/>
      <c r="T40" s="268"/>
      <c r="U40" s="268"/>
      <c r="V40" s="268"/>
      <c r="W40" s="268"/>
      <c r="X40" s="268"/>
      <c r="Y40" s="274"/>
    </row>
    <row r="41" spans="1:25" ht="15">
      <c r="B41" s="290" t="s">
        <v>133</v>
      </c>
      <c r="C41" s="215">
        <v>10582</v>
      </c>
      <c r="D41" s="213">
        <f>C41*0.8</f>
        <v>8465.6</v>
      </c>
      <c r="E41" s="268"/>
      <c r="F41" s="268"/>
      <c r="G41" s="268"/>
      <c r="H41" s="268"/>
      <c r="I41" s="268"/>
      <c r="J41" s="268"/>
      <c r="K41" s="268"/>
      <c r="L41" s="268"/>
      <c r="M41" s="269">
        <f>D41</f>
        <v>8465.6</v>
      </c>
      <c r="N41" s="268"/>
      <c r="O41" s="268"/>
      <c r="P41" s="268"/>
      <c r="Q41" s="268"/>
      <c r="R41" s="268"/>
      <c r="S41" s="268"/>
      <c r="T41" s="268"/>
      <c r="U41" s="268"/>
      <c r="V41" s="268"/>
      <c r="W41" s="268"/>
      <c r="X41" s="268"/>
      <c r="Y41" s="274"/>
    </row>
    <row r="42" spans="1:25" ht="15">
      <c r="B42" s="290" t="s">
        <v>127</v>
      </c>
      <c r="C42" s="215"/>
      <c r="D42" s="213">
        <f>'Job Calculations'!I78</f>
        <v>24000</v>
      </c>
      <c r="E42" s="268">
        <v>0</v>
      </c>
      <c r="F42" s="268"/>
      <c r="G42" s="268"/>
      <c r="H42" s="269">
        <f>D42*0.97</f>
        <v>23280</v>
      </c>
      <c r="I42" s="268"/>
      <c r="J42" s="268"/>
      <c r="K42" s="268"/>
      <c r="L42" s="268"/>
      <c r="M42" s="268"/>
      <c r="N42" s="268"/>
      <c r="O42" s="268"/>
      <c r="P42" s="268"/>
      <c r="Q42" s="268"/>
      <c r="R42" s="268"/>
      <c r="S42" s="268"/>
      <c r="T42" s="268"/>
      <c r="U42" s="268"/>
      <c r="V42" s="268"/>
      <c r="W42" s="268"/>
      <c r="X42" s="268"/>
      <c r="Y42" s="274"/>
    </row>
    <row r="43" spans="1:25" ht="15">
      <c r="B43" s="290" t="s">
        <v>80</v>
      </c>
      <c r="C43" s="215">
        <v>22483</v>
      </c>
      <c r="D43" s="213">
        <f>C43*0.8</f>
        <v>17986.400000000001</v>
      </c>
      <c r="E43" s="268"/>
      <c r="F43" s="268"/>
      <c r="G43" s="268"/>
      <c r="H43" s="268"/>
      <c r="I43" s="268"/>
      <c r="J43" s="268"/>
      <c r="K43" s="268"/>
      <c r="L43" s="268"/>
      <c r="M43" s="268">
        <f>D43*0.97</f>
        <v>17446.808000000001</v>
      </c>
      <c r="N43" s="268"/>
      <c r="O43" s="268"/>
      <c r="P43" s="268"/>
      <c r="Q43" s="268"/>
      <c r="R43" s="268"/>
      <c r="S43" s="268"/>
      <c r="T43" s="268"/>
      <c r="U43" s="268"/>
      <c r="V43" s="268"/>
      <c r="W43" s="268"/>
      <c r="X43" s="268"/>
      <c r="Y43" s="274"/>
    </row>
    <row r="44" spans="1:25" ht="15">
      <c r="B44" s="290" t="s">
        <v>129</v>
      </c>
      <c r="C44" s="301">
        <v>16065</v>
      </c>
      <c r="D44" s="217">
        <f>C44*0.8</f>
        <v>12852</v>
      </c>
      <c r="E44" s="268"/>
      <c r="F44" s="268"/>
      <c r="G44" s="268"/>
      <c r="H44" s="268"/>
      <c r="I44" s="269">
        <f>D44</f>
        <v>12852</v>
      </c>
      <c r="K44" s="268"/>
      <c r="L44" s="268"/>
      <c r="M44" s="268" t="s">
        <v>0</v>
      </c>
      <c r="N44" s="268" t="s">
        <v>0</v>
      </c>
      <c r="O44" s="268"/>
      <c r="P44" s="268"/>
      <c r="Q44" s="268"/>
      <c r="R44" s="268"/>
      <c r="S44" s="268"/>
      <c r="T44" s="268"/>
      <c r="U44" s="268"/>
      <c r="V44" s="268"/>
      <c r="W44" s="268"/>
      <c r="X44" s="268"/>
      <c r="Y44" s="274"/>
    </row>
    <row r="45" spans="1:25" ht="15">
      <c r="B45" s="290" t="s">
        <v>527</v>
      </c>
      <c r="C45" s="301">
        <v>39500</v>
      </c>
      <c r="D45" s="213">
        <f>$C$45*0.8</f>
        <v>31600</v>
      </c>
      <c r="E45" s="268"/>
      <c r="F45" s="268"/>
      <c r="G45" s="268"/>
      <c r="H45" s="268"/>
      <c r="I45" s="268"/>
      <c r="J45" s="268"/>
      <c r="K45" s="268"/>
      <c r="L45" s="268"/>
      <c r="M45" s="268"/>
      <c r="N45" s="268">
        <f>D45*0.6</f>
        <v>18960</v>
      </c>
      <c r="O45" s="268">
        <f>D45-N45</f>
        <v>12640</v>
      </c>
      <c r="P45" s="268"/>
      <c r="Q45" s="268"/>
      <c r="R45" s="268"/>
      <c r="S45" s="268"/>
      <c r="T45" s="268"/>
      <c r="U45" s="268"/>
      <c r="V45" s="268"/>
      <c r="W45" s="268"/>
      <c r="X45" s="268"/>
      <c r="Y45" s="274"/>
    </row>
    <row r="46" spans="1:25" ht="15">
      <c r="B46" s="290" t="s">
        <v>528</v>
      </c>
      <c r="C46" s="301">
        <v>4250</v>
      </c>
      <c r="D46" s="213">
        <f>C46*0.8</f>
        <v>3400</v>
      </c>
      <c r="E46" s="268"/>
      <c r="F46" s="268"/>
      <c r="G46" s="268"/>
      <c r="H46" s="268"/>
      <c r="I46" s="268"/>
      <c r="J46" s="268"/>
      <c r="K46" s="268"/>
      <c r="L46" s="268"/>
      <c r="M46" s="268"/>
      <c r="N46" s="268">
        <f>D46</f>
        <v>3400</v>
      </c>
      <c r="O46" s="268"/>
      <c r="P46" s="268"/>
      <c r="Q46" s="268"/>
      <c r="R46" s="268"/>
      <c r="S46" s="268"/>
      <c r="T46" s="268"/>
      <c r="U46" s="268"/>
      <c r="V46" s="268"/>
      <c r="W46" s="268"/>
      <c r="X46" s="268"/>
      <c r="Y46" s="274"/>
    </row>
    <row r="47" spans="1:25" ht="15">
      <c r="B47" s="290" t="s">
        <v>529</v>
      </c>
      <c r="C47" s="301">
        <v>4250</v>
      </c>
      <c r="D47" s="213">
        <f>C47*0.8</f>
        <v>3400</v>
      </c>
      <c r="E47" s="268"/>
      <c r="F47" s="268"/>
      <c r="G47" s="268"/>
      <c r="H47" s="268"/>
      <c r="I47" s="268"/>
      <c r="J47" s="268"/>
      <c r="K47" s="268"/>
      <c r="L47" s="268"/>
      <c r="M47" s="268"/>
      <c r="N47" s="268">
        <f>D47</f>
        <v>3400</v>
      </c>
      <c r="O47" s="268"/>
      <c r="P47" s="268"/>
      <c r="Q47" s="268"/>
      <c r="R47" s="268"/>
      <c r="S47" s="268"/>
      <c r="T47" s="268"/>
      <c r="U47" s="268"/>
      <c r="V47" s="268"/>
      <c r="W47" s="268"/>
      <c r="X47" s="268"/>
      <c r="Y47" s="274"/>
    </row>
    <row r="48" spans="1:25" ht="15">
      <c r="B48" s="290" t="s">
        <v>530</v>
      </c>
      <c r="C48" s="301">
        <v>4250</v>
      </c>
      <c r="D48" s="213">
        <f>C48*0.8</f>
        <v>3400</v>
      </c>
      <c r="E48" s="268"/>
      <c r="F48" s="268"/>
      <c r="G48" s="268"/>
      <c r="H48" s="268"/>
      <c r="I48" s="268"/>
      <c r="J48" s="268"/>
      <c r="K48" s="268"/>
      <c r="L48" s="268"/>
      <c r="M48" s="268"/>
      <c r="N48" s="268">
        <f>D48</f>
        <v>3400</v>
      </c>
      <c r="O48" s="268"/>
      <c r="P48" s="268"/>
      <c r="Q48" s="268"/>
      <c r="R48" s="268"/>
      <c r="S48" s="268"/>
      <c r="T48" s="268"/>
      <c r="U48" s="268"/>
      <c r="V48" s="268"/>
      <c r="W48" s="268"/>
      <c r="X48" s="268"/>
      <c r="Y48" s="274"/>
    </row>
    <row r="49" spans="2:28" ht="15">
      <c r="B49" s="290" t="s">
        <v>567</v>
      </c>
      <c r="C49" s="206"/>
      <c r="D49" s="213">
        <v>33600</v>
      </c>
      <c r="E49" s="268"/>
      <c r="F49" s="268"/>
      <c r="G49" s="268"/>
      <c r="H49" s="268"/>
      <c r="I49" s="268"/>
      <c r="J49" s="268"/>
      <c r="K49" s="268"/>
      <c r="L49" s="268"/>
      <c r="M49" s="268"/>
      <c r="N49" s="268"/>
      <c r="O49" s="268"/>
      <c r="P49" s="268"/>
      <c r="Q49" s="268">
        <f>$D$49/3</f>
        <v>11200</v>
      </c>
      <c r="R49" s="268">
        <f>$D$49/3</f>
        <v>11200</v>
      </c>
      <c r="S49" s="268">
        <f>$D$49/3</f>
        <v>11200</v>
      </c>
      <c r="T49" s="268"/>
      <c r="U49" s="268"/>
      <c r="V49" s="268"/>
      <c r="W49" s="268"/>
      <c r="X49" s="268"/>
      <c r="Y49" s="274"/>
      <c r="AB49" s="268" t="s">
        <v>0</v>
      </c>
    </row>
    <row r="50" spans="2:28" ht="15">
      <c r="B50" s="290" t="s">
        <v>640</v>
      </c>
      <c r="C50" s="215"/>
      <c r="D50" s="213">
        <v>14500</v>
      </c>
      <c r="E50" s="268"/>
      <c r="F50" s="268"/>
      <c r="G50" s="268"/>
      <c r="H50" s="268"/>
      <c r="I50" s="268"/>
      <c r="J50" s="268"/>
      <c r="K50" s="268"/>
      <c r="L50" s="268"/>
      <c r="M50" s="268"/>
      <c r="N50" s="268"/>
      <c r="O50" s="268"/>
      <c r="P50" s="268"/>
      <c r="Q50" s="268"/>
      <c r="R50" s="268"/>
      <c r="S50" s="268"/>
      <c r="T50" s="268"/>
      <c r="U50" s="268"/>
      <c r="V50" s="268">
        <f>D50</f>
        <v>14500</v>
      </c>
      <c r="W50" s="268"/>
      <c r="X50" s="268"/>
      <c r="Y50" s="274"/>
    </row>
    <row r="51" spans="2:28" ht="15">
      <c r="B51" s="290" t="s">
        <v>132</v>
      </c>
      <c r="C51" s="215">
        <f>(D51/80)*100</f>
        <v>76315</v>
      </c>
      <c r="D51" s="213">
        <f>G51+K51+M51</f>
        <v>61052</v>
      </c>
      <c r="E51" s="268">
        <v>0</v>
      </c>
      <c r="F51" s="268"/>
      <c r="G51" s="269">
        <f>32543*0.8</f>
        <v>26034.400000000001</v>
      </c>
      <c r="H51" s="268"/>
      <c r="I51" s="268"/>
      <c r="K51" s="276">
        <f>25012*0.8</f>
        <v>20009.600000000002</v>
      </c>
      <c r="L51" s="268"/>
      <c r="M51" s="268">
        <f>18760*0.8</f>
        <v>15008</v>
      </c>
      <c r="N51" s="268">
        <v>0</v>
      </c>
      <c r="O51" s="268"/>
      <c r="P51" s="268"/>
      <c r="Q51" s="268"/>
      <c r="R51" s="268"/>
      <c r="S51" s="268"/>
      <c r="T51" s="268"/>
      <c r="U51" s="268"/>
      <c r="V51" s="268"/>
      <c r="W51" s="268"/>
      <c r="X51" s="268"/>
      <c r="Y51" s="274"/>
    </row>
    <row r="52" spans="2:28" ht="15">
      <c r="B52" s="290" t="s">
        <v>130</v>
      </c>
      <c r="C52" s="215">
        <v>18326</v>
      </c>
      <c r="D52" s="213">
        <f>C52*0.8</f>
        <v>14660.800000000001</v>
      </c>
      <c r="E52" s="268"/>
      <c r="F52" s="268"/>
      <c r="G52" s="268"/>
      <c r="H52" s="268"/>
      <c r="J52" s="269">
        <f>D52*0.5</f>
        <v>7330.4000000000005</v>
      </c>
      <c r="K52" s="268">
        <f>D52*0.5</f>
        <v>7330.4000000000005</v>
      </c>
      <c r="L52" s="268"/>
      <c r="M52" s="268"/>
      <c r="N52" s="268"/>
      <c r="O52" s="268"/>
      <c r="P52" s="268"/>
      <c r="Q52" s="268"/>
      <c r="R52" s="268"/>
      <c r="S52" s="268"/>
      <c r="T52" s="268"/>
      <c r="U52" s="268"/>
      <c r="V52" s="268"/>
      <c r="W52" s="268"/>
      <c r="X52" s="268"/>
      <c r="Y52" s="274"/>
    </row>
    <row r="53" spans="2:28" ht="15">
      <c r="B53" s="290" t="s">
        <v>124</v>
      </c>
      <c r="C53" s="215">
        <v>3118</v>
      </c>
      <c r="D53" s="213">
        <f>C53*0.8</f>
        <v>2494.4</v>
      </c>
      <c r="E53" s="268"/>
      <c r="F53" s="268"/>
      <c r="G53" s="268"/>
      <c r="H53" s="268"/>
      <c r="J53" s="276">
        <f>D53</f>
        <v>2494.4</v>
      </c>
      <c r="K53" s="268"/>
      <c r="L53" s="268"/>
      <c r="M53" s="268"/>
      <c r="N53" s="268"/>
      <c r="O53" s="268"/>
      <c r="P53" s="268"/>
      <c r="Q53" s="268"/>
      <c r="R53" s="268"/>
      <c r="S53" s="268"/>
      <c r="T53" s="268"/>
      <c r="U53" s="268"/>
      <c r="V53" s="268"/>
      <c r="W53" s="268"/>
      <c r="X53" s="268"/>
      <c r="Y53" s="274"/>
    </row>
    <row r="54" spans="2:28" ht="15">
      <c r="B54" s="290" t="s">
        <v>120</v>
      </c>
      <c r="C54" s="215">
        <v>3705</v>
      </c>
      <c r="D54" s="213">
        <f>C54*0.8</f>
        <v>2964</v>
      </c>
      <c r="E54" s="268"/>
      <c r="F54" s="269">
        <f>D54</f>
        <v>2964</v>
      </c>
      <c r="G54" s="268"/>
      <c r="H54" s="268"/>
      <c r="J54" s="268"/>
      <c r="K54" s="268"/>
      <c r="L54" s="268"/>
      <c r="M54" s="268"/>
      <c r="N54" s="268"/>
      <c r="O54" s="268"/>
      <c r="P54" s="268"/>
      <c r="Q54" s="268"/>
      <c r="R54" s="268"/>
      <c r="S54" s="268"/>
      <c r="T54" s="268"/>
      <c r="U54" s="268"/>
      <c r="V54" s="268"/>
      <c r="W54" s="268"/>
      <c r="X54" s="268"/>
      <c r="Y54" s="274"/>
    </row>
    <row r="55" spans="2:28" ht="15">
      <c r="B55" s="290" t="s">
        <v>121</v>
      </c>
      <c r="C55" s="215">
        <v>1586</v>
      </c>
      <c r="D55" s="213">
        <f>C55*0.8</f>
        <v>1268.8000000000002</v>
      </c>
      <c r="E55" s="268"/>
      <c r="F55" s="268"/>
      <c r="G55" s="268"/>
      <c r="H55" s="268"/>
      <c r="J55" s="269">
        <f>D55</f>
        <v>1268.8000000000002</v>
      </c>
      <c r="K55" s="268"/>
      <c r="L55" s="268"/>
      <c r="M55" s="268"/>
      <c r="N55" s="268"/>
      <c r="O55" s="268"/>
      <c r="P55" s="268"/>
      <c r="Q55" s="268"/>
      <c r="R55" s="268"/>
      <c r="S55" s="268"/>
      <c r="T55" s="268"/>
      <c r="U55" s="268"/>
      <c r="V55" s="268"/>
      <c r="W55" s="268"/>
      <c r="X55" s="268"/>
      <c r="Y55" s="274"/>
    </row>
    <row r="56" spans="2:28" s="211" customFormat="1" ht="15">
      <c r="B56" s="288" t="s">
        <v>122</v>
      </c>
      <c r="C56" s="213">
        <v>42000</v>
      </c>
      <c r="D56" s="213">
        <f>C56*0.8</f>
        <v>33600</v>
      </c>
      <c r="E56" s="269">
        <v>31545</v>
      </c>
      <c r="F56" s="269">
        <f>2772*0.8</f>
        <v>2217.6</v>
      </c>
      <c r="G56" s="268"/>
      <c r="H56" s="268"/>
      <c r="I56" s="268"/>
      <c r="J56" s="268"/>
      <c r="K56" s="268"/>
      <c r="L56" s="268"/>
      <c r="M56" s="268"/>
      <c r="N56" s="268"/>
      <c r="O56" s="268"/>
      <c r="P56" s="268"/>
      <c r="Q56" s="268"/>
      <c r="R56" s="268"/>
      <c r="S56" s="268"/>
      <c r="T56" s="268"/>
      <c r="U56" s="268"/>
      <c r="V56" s="268"/>
      <c r="W56" s="268"/>
      <c r="X56" s="268"/>
      <c r="Y56" s="274"/>
    </row>
    <row r="57" spans="2:28" ht="15">
      <c r="B57" s="290" t="s">
        <v>125</v>
      </c>
      <c r="C57" s="215">
        <v>9400</v>
      </c>
      <c r="D57" s="213">
        <f>3973+2250</f>
        <v>6223</v>
      </c>
      <c r="E57" s="268"/>
      <c r="F57" s="268"/>
      <c r="G57" s="268"/>
      <c r="H57" s="268"/>
      <c r="I57" s="268"/>
      <c r="J57" s="268"/>
      <c r="K57" s="268"/>
      <c r="L57" s="268"/>
      <c r="M57" s="268">
        <f>D57</f>
        <v>6223</v>
      </c>
      <c r="N57" s="268"/>
      <c r="O57" s="268"/>
      <c r="P57" s="268"/>
      <c r="Q57" s="268"/>
      <c r="R57" s="268"/>
      <c r="S57" s="268"/>
      <c r="T57" s="268"/>
      <c r="U57" s="268"/>
      <c r="V57" s="268"/>
      <c r="W57" s="268"/>
      <c r="X57" s="268"/>
      <c r="Y57" s="274"/>
    </row>
    <row r="58" spans="2:28" ht="15">
      <c r="B58" s="290" t="s">
        <v>104</v>
      </c>
      <c r="C58" s="215">
        <v>19553</v>
      </c>
      <c r="D58" s="213">
        <f>C58*0.8</f>
        <v>15642.400000000001</v>
      </c>
      <c r="E58" s="268"/>
      <c r="F58" s="268"/>
      <c r="G58" s="268"/>
      <c r="H58" s="268"/>
      <c r="I58" s="268"/>
      <c r="J58" s="268"/>
      <c r="K58" s="268"/>
      <c r="L58" s="268"/>
      <c r="M58" s="268"/>
      <c r="N58" s="268"/>
      <c r="O58" s="268">
        <f>'Job Calculations'!D100</f>
        <v>7414.4000000000015</v>
      </c>
      <c r="P58" s="268"/>
      <c r="Q58" s="268"/>
      <c r="R58" s="268"/>
      <c r="S58" s="268"/>
      <c r="T58" s="268"/>
      <c r="U58" s="268"/>
      <c r="V58" s="268"/>
      <c r="W58" s="268"/>
      <c r="X58" s="268"/>
      <c r="Y58" s="274"/>
    </row>
    <row r="59" spans="2:28" ht="15" thickBot="1">
      <c r="B59" s="290"/>
      <c r="C59" s="215"/>
      <c r="D59" s="213"/>
      <c r="E59" s="268"/>
      <c r="F59" s="268"/>
      <c r="G59" s="268"/>
      <c r="H59" s="268"/>
      <c r="I59" s="268"/>
      <c r="J59" s="268"/>
      <c r="K59" s="268"/>
      <c r="L59" s="268"/>
      <c r="M59" s="268"/>
      <c r="N59" s="268"/>
      <c r="O59" s="268"/>
      <c r="P59" s="268"/>
      <c r="Q59" s="268"/>
      <c r="R59" s="268"/>
      <c r="S59" s="268"/>
      <c r="T59" s="268"/>
      <c r="U59" s="268"/>
      <c r="V59" s="268"/>
      <c r="W59" s="268"/>
      <c r="X59" s="268"/>
      <c r="Y59" s="274"/>
    </row>
    <row r="60" spans="2:28" ht="16" thickBot="1">
      <c r="B60" s="291" t="s">
        <v>137</v>
      </c>
      <c r="C60" s="218"/>
      <c r="D60" s="213">
        <v>0</v>
      </c>
      <c r="E60" s="268"/>
      <c r="F60" s="268"/>
      <c r="G60" s="268"/>
      <c r="H60" s="268"/>
      <c r="I60" s="268"/>
      <c r="J60" s="268"/>
      <c r="K60" s="268"/>
      <c r="L60" s="268"/>
      <c r="M60" s="268"/>
      <c r="N60" s="268"/>
      <c r="O60" s="268"/>
      <c r="P60" s="268"/>
      <c r="Q60" s="268"/>
      <c r="R60" s="268"/>
      <c r="S60" s="268"/>
      <c r="T60" s="268"/>
      <c r="U60" s="268"/>
      <c r="V60" s="268"/>
      <c r="W60" s="268"/>
      <c r="X60" s="268"/>
      <c r="Y60" s="274"/>
    </row>
    <row r="61" spans="2:28" ht="15">
      <c r="B61" s="290" t="s">
        <v>138</v>
      </c>
      <c r="C61" s="215"/>
      <c r="D61" s="213">
        <v>0</v>
      </c>
      <c r="E61" s="268"/>
      <c r="F61" s="268"/>
      <c r="G61" s="268"/>
      <c r="H61" s="268"/>
      <c r="I61" s="268"/>
      <c r="J61" s="268"/>
      <c r="K61" s="268"/>
      <c r="L61" s="268"/>
      <c r="M61" s="268"/>
      <c r="N61" s="268"/>
      <c r="O61" s="268"/>
      <c r="P61" s="268"/>
      <c r="Q61" s="268"/>
      <c r="R61" s="268"/>
      <c r="S61" s="268"/>
      <c r="T61" s="268">
        <v>30000</v>
      </c>
      <c r="U61" s="268">
        <v>30000</v>
      </c>
      <c r="V61" s="268">
        <v>30000</v>
      </c>
      <c r="W61" s="268">
        <v>30000</v>
      </c>
      <c r="X61" s="268">
        <v>30000</v>
      </c>
      <c r="Y61" s="274"/>
    </row>
    <row r="62" spans="2:28" ht="15">
      <c r="B62" s="290" t="s">
        <v>139</v>
      </c>
      <c r="C62" s="215"/>
      <c r="D62" s="213">
        <v>0</v>
      </c>
      <c r="E62" s="268"/>
      <c r="F62" s="268"/>
      <c r="G62" s="268"/>
      <c r="H62" s="268"/>
      <c r="I62" s="268"/>
      <c r="J62" s="268"/>
      <c r="K62" s="268"/>
      <c r="L62" s="268"/>
      <c r="M62" s="268"/>
      <c r="N62" s="268"/>
      <c r="O62" s="268"/>
      <c r="P62" s="268">
        <v>10000</v>
      </c>
      <c r="Q62" s="268">
        <v>10000</v>
      </c>
      <c r="R62" s="268">
        <v>10000</v>
      </c>
      <c r="S62" s="268">
        <v>10000</v>
      </c>
      <c r="T62" s="268">
        <v>10000</v>
      </c>
      <c r="U62" s="268">
        <v>10000</v>
      </c>
      <c r="V62" s="268">
        <v>10000</v>
      </c>
      <c r="W62" s="268">
        <v>10000</v>
      </c>
      <c r="X62" s="268">
        <v>10000</v>
      </c>
      <c r="Y62" s="274"/>
    </row>
    <row r="63" spans="2:28" ht="15">
      <c r="B63" s="285" t="s">
        <v>140</v>
      </c>
      <c r="C63" s="212"/>
      <c r="D63" s="213">
        <v>0</v>
      </c>
      <c r="E63" s="268"/>
      <c r="F63" s="268"/>
      <c r="G63" s="268"/>
      <c r="H63" s="268"/>
      <c r="I63" s="268"/>
      <c r="J63" s="268"/>
      <c r="K63" s="268"/>
      <c r="L63" s="268"/>
      <c r="M63" s="268"/>
      <c r="N63" s="268" t="s">
        <v>0</v>
      </c>
      <c r="O63" s="268">
        <v>7500</v>
      </c>
      <c r="P63" s="268">
        <v>7500</v>
      </c>
      <c r="Q63" s="268">
        <v>7500</v>
      </c>
      <c r="R63" s="268">
        <v>7500</v>
      </c>
      <c r="S63" s="268">
        <v>7500</v>
      </c>
      <c r="T63" s="268">
        <v>7500</v>
      </c>
      <c r="U63" s="268">
        <v>7500</v>
      </c>
      <c r="V63" s="268">
        <v>7500</v>
      </c>
      <c r="W63" s="268">
        <v>7500</v>
      </c>
      <c r="X63" s="268">
        <v>7500</v>
      </c>
      <c r="Y63" s="274"/>
    </row>
    <row r="64" spans="2:28" ht="15" thickBot="1">
      <c r="B64" s="285"/>
      <c r="C64" s="205"/>
      <c r="D64" s="206"/>
      <c r="E64" s="268"/>
      <c r="F64" s="268"/>
      <c r="G64" s="268"/>
      <c r="H64" s="268"/>
      <c r="I64" s="268"/>
      <c r="J64" s="268"/>
      <c r="K64" s="268"/>
      <c r="L64" s="268"/>
      <c r="M64" s="268"/>
      <c r="N64" s="268"/>
      <c r="O64" s="268"/>
      <c r="P64" s="268"/>
      <c r="Q64" s="268"/>
      <c r="R64" s="268"/>
      <c r="S64" s="268"/>
      <c r="T64" s="268"/>
      <c r="U64" s="268"/>
      <c r="V64" s="268"/>
      <c r="W64" s="268"/>
      <c r="X64" s="268"/>
      <c r="Y64" s="274"/>
    </row>
    <row r="65" spans="2:25" ht="16" thickBot="1">
      <c r="B65" s="292" t="s">
        <v>141</v>
      </c>
      <c r="C65" s="212"/>
      <c r="D65" s="206"/>
      <c r="E65" s="268" t="s">
        <v>0</v>
      </c>
      <c r="F65" s="268"/>
      <c r="G65" s="268"/>
      <c r="H65" s="268"/>
      <c r="I65" s="268"/>
      <c r="J65" s="268"/>
      <c r="K65" s="268"/>
      <c r="L65" s="268"/>
      <c r="M65" s="268"/>
      <c r="N65" s="268">
        <v>0</v>
      </c>
      <c r="O65" s="268">
        <v>0</v>
      </c>
      <c r="P65" s="268">
        <v>0</v>
      </c>
      <c r="Q65" s="268">
        <v>0</v>
      </c>
      <c r="R65" s="268">
        <v>0</v>
      </c>
      <c r="S65" s="268">
        <v>0</v>
      </c>
      <c r="T65" s="268">
        <v>0</v>
      </c>
      <c r="U65" s="268">
        <v>0</v>
      </c>
      <c r="V65" s="268">
        <v>0</v>
      </c>
      <c r="W65" s="268">
        <v>0</v>
      </c>
      <c r="X65" s="268">
        <v>0</v>
      </c>
      <c r="Y65" s="274"/>
    </row>
    <row r="66" spans="2:25" ht="15">
      <c r="B66" s="285" t="s">
        <v>142</v>
      </c>
      <c r="C66" s="212"/>
      <c r="D66" s="206"/>
      <c r="E66" s="268">
        <v>-774</v>
      </c>
      <c r="F66" s="269">
        <v>-774</v>
      </c>
      <c r="G66" s="269">
        <v>-774</v>
      </c>
      <c r="H66" s="269">
        <v>-774</v>
      </c>
      <c r="I66" s="269">
        <v>-774</v>
      </c>
      <c r="J66" s="268">
        <v>-774</v>
      </c>
      <c r="K66" s="268">
        <v>-774</v>
      </c>
      <c r="L66" s="268">
        <v>-774</v>
      </c>
      <c r="M66" s="268">
        <v>-774</v>
      </c>
      <c r="N66" s="268">
        <f>(M66*52)/12</f>
        <v>-3354</v>
      </c>
      <c r="O66" s="268">
        <f>N66</f>
        <v>-3354</v>
      </c>
      <c r="P66" s="268">
        <f>O66</f>
        <v>-3354</v>
      </c>
      <c r="Q66" s="268">
        <f t="shared" ref="Q66:Y66" si="0">P66</f>
        <v>-3354</v>
      </c>
      <c r="R66" s="268">
        <f t="shared" si="0"/>
        <v>-3354</v>
      </c>
      <c r="S66" s="268">
        <f t="shared" si="0"/>
        <v>-3354</v>
      </c>
      <c r="T66" s="268">
        <f t="shared" si="0"/>
        <v>-3354</v>
      </c>
      <c r="U66" s="268">
        <f t="shared" si="0"/>
        <v>-3354</v>
      </c>
      <c r="V66" s="268">
        <f t="shared" si="0"/>
        <v>-3354</v>
      </c>
      <c r="W66" s="268">
        <f t="shared" si="0"/>
        <v>-3354</v>
      </c>
      <c r="X66" s="268">
        <f t="shared" si="0"/>
        <v>-3354</v>
      </c>
      <c r="Y66" s="274">
        <f t="shared" si="0"/>
        <v>-3354</v>
      </c>
    </row>
    <row r="67" spans="2:25" ht="15">
      <c r="B67" s="285" t="s">
        <v>143</v>
      </c>
      <c r="C67" s="212"/>
      <c r="D67" s="206"/>
      <c r="E67" s="268">
        <v>-905</v>
      </c>
      <c r="F67" s="269">
        <v>-905</v>
      </c>
      <c r="G67" s="269">
        <v>-905</v>
      </c>
      <c r="H67" s="269">
        <v>-905</v>
      </c>
      <c r="I67" s="269">
        <v>-905</v>
      </c>
      <c r="J67" s="268">
        <v>-905</v>
      </c>
      <c r="K67" s="268">
        <v>-905</v>
      </c>
      <c r="L67" s="268">
        <v>-905</v>
      </c>
      <c r="M67" s="268">
        <v>-905</v>
      </c>
      <c r="N67" s="268">
        <f>(M67*52)/12</f>
        <v>-3921.6666666666665</v>
      </c>
      <c r="O67" s="268">
        <f>N67</f>
        <v>-3921.6666666666665</v>
      </c>
      <c r="P67" s="268">
        <f t="shared" ref="P67:Y71" si="1">O67</f>
        <v>-3921.6666666666665</v>
      </c>
      <c r="Q67" s="268">
        <f t="shared" si="1"/>
        <v>-3921.6666666666665</v>
      </c>
      <c r="R67" s="268">
        <f t="shared" si="1"/>
        <v>-3921.6666666666665</v>
      </c>
      <c r="S67" s="268">
        <f t="shared" si="1"/>
        <v>-3921.6666666666665</v>
      </c>
      <c r="T67" s="268">
        <f t="shared" si="1"/>
        <v>-3921.6666666666665</v>
      </c>
      <c r="U67" s="268">
        <f t="shared" si="1"/>
        <v>-3921.6666666666665</v>
      </c>
      <c r="V67" s="268">
        <f t="shared" si="1"/>
        <v>-3921.6666666666665</v>
      </c>
      <c r="W67" s="268">
        <f t="shared" si="1"/>
        <v>-3921.6666666666665</v>
      </c>
      <c r="X67" s="268">
        <f t="shared" si="1"/>
        <v>-3921.6666666666665</v>
      </c>
      <c r="Y67" s="274">
        <f t="shared" si="1"/>
        <v>-3921.6666666666665</v>
      </c>
    </row>
    <row r="68" spans="2:25" ht="15">
      <c r="B68" s="285" t="s">
        <v>643</v>
      </c>
      <c r="C68" s="212"/>
      <c r="D68" s="206"/>
      <c r="E68" s="268">
        <v>-7173</v>
      </c>
      <c r="F68" s="269">
        <v>-7885</v>
      </c>
      <c r="G68" s="269">
        <v>-8934</v>
      </c>
      <c r="H68" s="269">
        <v>-8315</v>
      </c>
      <c r="I68" s="269">
        <v>-8162</v>
      </c>
      <c r="J68" s="268">
        <f>I68</f>
        <v>-8162</v>
      </c>
      <c r="K68" s="268">
        <f>J68</f>
        <v>-8162</v>
      </c>
      <c r="L68" s="268">
        <f>K68</f>
        <v>-8162</v>
      </c>
      <c r="M68" s="268">
        <f>L68</f>
        <v>-8162</v>
      </c>
      <c r="N68" s="268">
        <f>(M68*52)/12</f>
        <v>-35368.666666666664</v>
      </c>
      <c r="O68" s="268">
        <f>N68</f>
        <v>-35368.666666666664</v>
      </c>
      <c r="P68" s="268">
        <f t="shared" si="1"/>
        <v>-35368.666666666664</v>
      </c>
      <c r="Q68" s="268">
        <v>0</v>
      </c>
      <c r="R68" s="268">
        <f t="shared" si="1"/>
        <v>0</v>
      </c>
      <c r="S68" s="268">
        <f t="shared" si="1"/>
        <v>0</v>
      </c>
      <c r="T68" s="268">
        <f t="shared" si="1"/>
        <v>0</v>
      </c>
      <c r="U68" s="268">
        <f t="shared" si="1"/>
        <v>0</v>
      </c>
      <c r="V68" s="268">
        <f t="shared" si="1"/>
        <v>0</v>
      </c>
      <c r="W68" s="268">
        <f t="shared" si="1"/>
        <v>0</v>
      </c>
      <c r="X68" s="268">
        <f t="shared" si="1"/>
        <v>0</v>
      </c>
      <c r="Y68" s="274">
        <f t="shared" si="1"/>
        <v>0</v>
      </c>
    </row>
    <row r="69" spans="2:25" ht="15">
      <c r="B69" s="285" t="s">
        <v>145</v>
      </c>
      <c r="C69" s="212"/>
      <c r="D69" s="206"/>
      <c r="E69" s="268"/>
      <c r="F69" s="269"/>
      <c r="G69" s="269">
        <v>-8409</v>
      </c>
      <c r="H69" s="268" t="s">
        <v>0</v>
      </c>
      <c r="I69" s="268"/>
      <c r="J69" s="268"/>
      <c r="K69" s="268">
        <f>G69</f>
        <v>-8409</v>
      </c>
      <c r="L69" s="268"/>
      <c r="M69" s="268"/>
      <c r="N69" s="268">
        <f>K69</f>
        <v>-8409</v>
      </c>
      <c r="O69" s="268">
        <f>N69</f>
        <v>-8409</v>
      </c>
      <c r="P69" s="268">
        <f t="shared" si="1"/>
        <v>-8409</v>
      </c>
      <c r="Q69" s="268">
        <f t="shared" si="1"/>
        <v>-8409</v>
      </c>
      <c r="R69" s="268">
        <f>N69</f>
        <v>-8409</v>
      </c>
      <c r="S69" s="268">
        <f t="shared" ref="S69:Y69" si="2">O69</f>
        <v>-8409</v>
      </c>
      <c r="T69" s="268">
        <f t="shared" si="2"/>
        <v>-8409</v>
      </c>
      <c r="U69" s="268">
        <f t="shared" si="2"/>
        <v>-8409</v>
      </c>
      <c r="V69" s="268">
        <f t="shared" si="2"/>
        <v>-8409</v>
      </c>
      <c r="W69" s="268">
        <f t="shared" si="2"/>
        <v>-8409</v>
      </c>
      <c r="X69" s="268">
        <f t="shared" si="2"/>
        <v>-8409</v>
      </c>
      <c r="Y69" s="274">
        <f t="shared" si="2"/>
        <v>-8409</v>
      </c>
    </row>
    <row r="70" spans="2:25" ht="15">
      <c r="B70" s="285" t="s">
        <v>644</v>
      </c>
      <c r="C70" s="212"/>
      <c r="D70" s="206"/>
      <c r="E70" s="268">
        <v>-3125</v>
      </c>
      <c r="F70" s="269">
        <v>-3175</v>
      </c>
      <c r="G70" s="269">
        <v>-3005</v>
      </c>
      <c r="H70" s="269">
        <v>-2325</v>
      </c>
      <c r="I70" s="269">
        <v>-3175</v>
      </c>
      <c r="J70" s="268">
        <v>-3200</v>
      </c>
      <c r="K70" s="268">
        <v>-3200</v>
      </c>
      <c r="L70" s="268">
        <v>-3200</v>
      </c>
      <c r="M70" s="268">
        <v>-3200</v>
      </c>
      <c r="N70" s="268">
        <f>(M70*52)/12</f>
        <v>-13866.666666666666</v>
      </c>
      <c r="O70" s="268">
        <f>N70</f>
        <v>-13866.666666666666</v>
      </c>
      <c r="P70" s="268">
        <f t="shared" si="1"/>
        <v>-13866.666666666666</v>
      </c>
      <c r="Q70" s="268">
        <v>0</v>
      </c>
      <c r="R70" s="268">
        <f t="shared" si="1"/>
        <v>0</v>
      </c>
      <c r="S70" s="268">
        <f t="shared" si="1"/>
        <v>0</v>
      </c>
      <c r="T70" s="268">
        <f t="shared" si="1"/>
        <v>0</v>
      </c>
      <c r="U70" s="268">
        <f t="shared" si="1"/>
        <v>0</v>
      </c>
      <c r="V70" s="268">
        <f t="shared" si="1"/>
        <v>0</v>
      </c>
      <c r="W70" s="268">
        <f t="shared" si="1"/>
        <v>0</v>
      </c>
      <c r="X70" s="268">
        <f t="shared" si="1"/>
        <v>0</v>
      </c>
      <c r="Y70" s="274"/>
    </row>
    <row r="71" spans="2:25" ht="15">
      <c r="B71" s="285" t="s">
        <v>645</v>
      </c>
      <c r="C71" s="212"/>
      <c r="D71" s="206"/>
      <c r="E71" s="268">
        <v>0</v>
      </c>
      <c r="F71" s="269">
        <v>-24491</v>
      </c>
      <c r="G71" s="268">
        <v>0</v>
      </c>
      <c r="H71" s="269">
        <v>-23986</v>
      </c>
      <c r="I71" s="268">
        <v>0</v>
      </c>
      <c r="J71" s="268">
        <v>-27000</v>
      </c>
      <c r="K71" s="268">
        <v>0</v>
      </c>
      <c r="L71" s="268">
        <v>-27000</v>
      </c>
      <c r="M71" s="268">
        <v>0</v>
      </c>
      <c r="N71" s="268">
        <f>(L71*26)/12</f>
        <v>-58500</v>
      </c>
      <c r="O71" s="268">
        <f>N71</f>
        <v>-58500</v>
      </c>
      <c r="P71" s="268">
        <f>O71</f>
        <v>-58500</v>
      </c>
      <c r="Q71" s="268">
        <f>P71</f>
        <v>-58500</v>
      </c>
      <c r="R71" s="268">
        <f>Q71</f>
        <v>-58500</v>
      </c>
      <c r="S71" s="268" t="s">
        <v>0</v>
      </c>
      <c r="T71" s="268" t="s">
        <v>0</v>
      </c>
      <c r="U71" s="268" t="str">
        <f t="shared" si="1"/>
        <v xml:space="preserve"> </v>
      </c>
      <c r="V71" s="268" t="str">
        <f t="shared" si="1"/>
        <v xml:space="preserve"> </v>
      </c>
      <c r="W71" s="268" t="str">
        <f t="shared" si="1"/>
        <v xml:space="preserve"> </v>
      </c>
      <c r="X71" s="268" t="str">
        <f t="shared" si="1"/>
        <v xml:space="preserve"> </v>
      </c>
      <c r="Y71" s="274"/>
    </row>
    <row r="72" spans="2:25" ht="15">
      <c r="B72" s="285" t="s">
        <v>660</v>
      </c>
      <c r="C72" s="212"/>
      <c r="D72" s="206"/>
      <c r="E72" s="268"/>
      <c r="F72" s="269"/>
      <c r="G72" s="268"/>
      <c r="H72" s="268"/>
      <c r="I72" s="268"/>
      <c r="J72" s="268"/>
      <c r="K72" s="268"/>
      <c r="L72" s="268">
        <v>-5000</v>
      </c>
      <c r="M72" s="268">
        <v>-5000</v>
      </c>
      <c r="N72" s="268">
        <v>-20000</v>
      </c>
      <c r="O72" s="268">
        <v>-20000</v>
      </c>
      <c r="P72" s="268">
        <v>-20000</v>
      </c>
      <c r="Q72" s="268">
        <v>-20000</v>
      </c>
      <c r="R72" s="268">
        <f>Q72</f>
        <v>-20000</v>
      </c>
      <c r="S72" s="268"/>
      <c r="T72" s="268"/>
      <c r="U72" s="268"/>
      <c r="V72" s="268"/>
      <c r="W72" s="268"/>
      <c r="X72" s="268"/>
      <c r="Y72" s="274"/>
    </row>
    <row r="73" spans="2:25" ht="15">
      <c r="B73" s="285" t="s">
        <v>646</v>
      </c>
      <c r="C73" s="212">
        <v>0</v>
      </c>
      <c r="D73" s="206">
        <v>0</v>
      </c>
      <c r="E73" s="268">
        <f>$D$73/5</f>
        <v>0</v>
      </c>
      <c r="F73" s="269">
        <f>$D$73/5</f>
        <v>0</v>
      </c>
      <c r="G73" s="268">
        <f>$D$73/5</f>
        <v>0</v>
      </c>
      <c r="H73" s="268">
        <f>$D$73/5</f>
        <v>0</v>
      </c>
      <c r="I73" s="268">
        <f>$D$73/5</f>
        <v>0</v>
      </c>
      <c r="J73" s="268"/>
      <c r="K73" s="268"/>
      <c r="L73" s="268"/>
      <c r="M73" s="268"/>
      <c r="N73" s="268"/>
      <c r="O73" s="268"/>
      <c r="P73" s="268"/>
      <c r="Q73" s="268"/>
      <c r="R73" s="268"/>
      <c r="S73" s="268"/>
      <c r="T73" s="268"/>
      <c r="U73" s="268"/>
      <c r="V73" s="268"/>
      <c r="W73" s="268"/>
      <c r="X73" s="268"/>
      <c r="Y73" s="274"/>
    </row>
    <row r="74" spans="2:25" ht="15">
      <c r="B74" s="293" t="s">
        <v>661</v>
      </c>
      <c r="C74" s="212">
        <v>-9594</v>
      </c>
      <c r="D74" s="206"/>
      <c r="E74" s="268">
        <v>-3800</v>
      </c>
      <c r="F74" s="269">
        <f>-2000*0.8</f>
        <v>-1600</v>
      </c>
      <c r="G74" s="269">
        <v>-2000</v>
      </c>
      <c r="H74" s="268">
        <v>0</v>
      </c>
      <c r="I74" s="269">
        <f>-800-594</f>
        <v>-1394</v>
      </c>
      <c r="J74" s="268"/>
      <c r="K74" s="268"/>
      <c r="L74" s="268"/>
      <c r="M74" s="268"/>
      <c r="N74" s="268"/>
      <c r="O74" s="268"/>
      <c r="P74" s="268"/>
      <c r="Q74" s="268"/>
      <c r="R74" s="268"/>
      <c r="S74" s="268"/>
      <c r="T74" s="268"/>
      <c r="U74" s="268"/>
      <c r="V74" s="268"/>
      <c r="W74" s="268"/>
      <c r="X74" s="268"/>
      <c r="Y74" s="274"/>
    </row>
    <row r="75" spans="2:25" ht="15">
      <c r="B75" s="293" t="s">
        <v>662</v>
      </c>
      <c r="C75" s="212">
        <v>-20000</v>
      </c>
      <c r="D75" s="206"/>
      <c r="E75" s="268">
        <f>$C$75/5</f>
        <v>-4000</v>
      </c>
      <c r="F75" s="269">
        <v>-2000</v>
      </c>
      <c r="G75" s="269">
        <v>-2000</v>
      </c>
      <c r="H75" s="269">
        <v>-2000</v>
      </c>
      <c r="I75" s="269">
        <v>-2000</v>
      </c>
      <c r="J75" s="268">
        <v>-2000</v>
      </c>
      <c r="K75" s="268">
        <v>-2000</v>
      </c>
      <c r="L75" s="268">
        <v>-2000</v>
      </c>
      <c r="M75" s="268">
        <v>-2000</v>
      </c>
      <c r="N75" s="268"/>
      <c r="O75" s="268"/>
      <c r="P75" s="268"/>
      <c r="Q75" s="268"/>
      <c r="R75" s="268"/>
      <c r="S75" s="268"/>
      <c r="T75" s="268"/>
      <c r="U75" s="268"/>
      <c r="V75" s="268"/>
      <c r="W75" s="268"/>
      <c r="X75" s="268"/>
      <c r="Y75" s="274"/>
    </row>
    <row r="76" spans="2:25" ht="15">
      <c r="B76" s="285" t="s">
        <v>663</v>
      </c>
      <c r="C76" s="212"/>
      <c r="D76" s="206"/>
      <c r="E76" s="268"/>
      <c r="F76" s="268"/>
      <c r="G76" s="268"/>
      <c r="H76" s="268"/>
      <c r="I76" s="269">
        <v>-4920</v>
      </c>
      <c r="J76" s="268"/>
      <c r="K76" s="268"/>
      <c r="L76" s="268">
        <v>-4920</v>
      </c>
      <c r="M76" s="268"/>
      <c r="N76" s="277">
        <f>L76</f>
        <v>-4920</v>
      </c>
      <c r="O76" s="277">
        <f>N76</f>
        <v>-4920</v>
      </c>
      <c r="P76" s="277">
        <f t="shared" ref="P76:X76" si="3">N76</f>
        <v>-4920</v>
      </c>
      <c r="Q76" s="277">
        <f t="shared" si="3"/>
        <v>-4920</v>
      </c>
      <c r="R76" s="277">
        <f t="shared" si="3"/>
        <v>-4920</v>
      </c>
      <c r="S76" s="277">
        <f t="shared" si="3"/>
        <v>-4920</v>
      </c>
      <c r="T76" s="277">
        <f t="shared" si="3"/>
        <v>-4920</v>
      </c>
      <c r="U76" s="277">
        <f t="shared" si="3"/>
        <v>-4920</v>
      </c>
      <c r="V76" s="277">
        <f t="shared" si="3"/>
        <v>-4920</v>
      </c>
      <c r="W76" s="277">
        <f t="shared" si="3"/>
        <v>-4920</v>
      </c>
      <c r="X76" s="277">
        <f t="shared" si="3"/>
        <v>-4920</v>
      </c>
      <c r="Y76" s="274"/>
    </row>
    <row r="77" spans="2:25" s="211" customFormat="1" ht="15">
      <c r="B77" s="288" t="s">
        <v>664</v>
      </c>
      <c r="C77" s="212"/>
      <c r="D77" s="213"/>
      <c r="E77" s="268">
        <v>-1752</v>
      </c>
      <c r="F77" s="268"/>
      <c r="G77" s="268"/>
      <c r="H77" s="268"/>
      <c r="I77" s="269">
        <v>-1752</v>
      </c>
      <c r="J77" s="268"/>
      <c r="K77" s="268"/>
      <c r="L77" s="268"/>
      <c r="M77" s="268"/>
      <c r="N77" s="268">
        <f t="shared" ref="N77:X77" si="4">$I77</f>
        <v>-1752</v>
      </c>
      <c r="O77" s="268">
        <f t="shared" si="4"/>
        <v>-1752</v>
      </c>
      <c r="P77" s="268">
        <f t="shared" si="4"/>
        <v>-1752</v>
      </c>
      <c r="Q77" s="268">
        <f t="shared" si="4"/>
        <v>-1752</v>
      </c>
      <c r="R77" s="268">
        <f t="shared" si="4"/>
        <v>-1752</v>
      </c>
      <c r="S77" s="268">
        <f t="shared" si="4"/>
        <v>-1752</v>
      </c>
      <c r="T77" s="268">
        <f t="shared" si="4"/>
        <v>-1752</v>
      </c>
      <c r="U77" s="268">
        <f t="shared" si="4"/>
        <v>-1752</v>
      </c>
      <c r="V77" s="268">
        <f t="shared" si="4"/>
        <v>-1752</v>
      </c>
      <c r="W77" s="268">
        <f t="shared" si="4"/>
        <v>-1752</v>
      </c>
      <c r="X77" s="268">
        <f t="shared" si="4"/>
        <v>-1752</v>
      </c>
      <c r="Y77" s="274"/>
    </row>
    <row r="78" spans="2:25" s="211" customFormat="1" ht="15">
      <c r="B78" s="288" t="s">
        <v>665</v>
      </c>
      <c r="C78" s="212"/>
      <c r="D78" s="213"/>
      <c r="E78" s="268"/>
      <c r="F78" s="268"/>
      <c r="G78" s="269">
        <f>-719.85-798.2</f>
        <v>-1518.0500000000002</v>
      </c>
      <c r="H78" s="268" t="s">
        <v>0</v>
      </c>
      <c r="I78" s="268"/>
      <c r="J78" s="268"/>
      <c r="K78" s="268">
        <f>G78</f>
        <v>-1518.0500000000002</v>
      </c>
      <c r="L78" s="268"/>
      <c r="M78" s="268"/>
      <c r="N78" s="268">
        <v>-1518</v>
      </c>
      <c r="O78" s="268">
        <v>-1518</v>
      </c>
      <c r="P78" s="268">
        <v>-1518</v>
      </c>
      <c r="Q78" s="268">
        <v>-1518</v>
      </c>
      <c r="R78" s="268">
        <v>-1518</v>
      </c>
      <c r="S78" s="268">
        <v>-1518</v>
      </c>
      <c r="T78" s="268">
        <v>-1518</v>
      </c>
      <c r="U78" s="268">
        <v>-1518</v>
      </c>
      <c r="V78" s="268">
        <v>-1518</v>
      </c>
      <c r="W78" s="268">
        <v>-1518</v>
      </c>
      <c r="X78" s="268">
        <v>-1518</v>
      </c>
      <c r="Y78" s="274"/>
    </row>
    <row r="79" spans="2:25" s="211" customFormat="1" ht="15">
      <c r="B79" s="288" t="s">
        <v>166</v>
      </c>
      <c r="C79" s="212"/>
      <c r="D79" s="213"/>
      <c r="E79" s="269">
        <v>-866</v>
      </c>
      <c r="F79" s="269">
        <v>-543</v>
      </c>
      <c r="G79" s="269">
        <f>-(778.37+24.6+17.71)</f>
        <v>-820.68000000000006</v>
      </c>
      <c r="H79" s="269">
        <f>-470-200-803</f>
        <v>-1473</v>
      </c>
      <c r="I79" s="269">
        <v>-803.12</v>
      </c>
      <c r="J79" s="269">
        <f>-713</f>
        <v>-713</v>
      </c>
      <c r="K79" s="268">
        <v>-800</v>
      </c>
      <c r="L79" s="268">
        <v>-800</v>
      </c>
      <c r="M79" s="268">
        <v>-800</v>
      </c>
      <c r="N79" s="268">
        <v>-3000</v>
      </c>
      <c r="O79" s="268">
        <v>-3000</v>
      </c>
      <c r="P79" s="268">
        <v>-3000</v>
      </c>
      <c r="Q79" s="268">
        <v>-3000</v>
      </c>
      <c r="R79" s="268">
        <v>-3000</v>
      </c>
      <c r="S79" s="268">
        <v>-3000</v>
      </c>
      <c r="T79" s="268">
        <v>-3000</v>
      </c>
      <c r="U79" s="268">
        <v>-3000</v>
      </c>
      <c r="V79" s="268">
        <v>-3000</v>
      </c>
      <c r="W79" s="268">
        <v>-3000</v>
      </c>
      <c r="X79" s="268">
        <v>-3000</v>
      </c>
      <c r="Y79" s="274"/>
    </row>
    <row r="80" spans="2:25" s="211" customFormat="1" ht="15">
      <c r="B80" s="288" t="s">
        <v>167</v>
      </c>
      <c r="C80" s="212"/>
      <c r="D80" s="213"/>
      <c r="E80" s="268"/>
      <c r="F80" s="268"/>
      <c r="G80" s="268"/>
      <c r="H80" s="268"/>
      <c r="I80" s="269">
        <v>-200</v>
      </c>
      <c r="J80" s="268"/>
      <c r="K80" s="268"/>
      <c r="L80" s="268"/>
      <c r="M80" s="268"/>
      <c r="N80" s="268"/>
      <c r="O80" s="268"/>
      <c r="P80" s="268"/>
      <c r="Q80" s="268"/>
      <c r="R80" s="268"/>
      <c r="S80" s="268"/>
      <c r="T80" s="268"/>
      <c r="U80" s="268"/>
      <c r="V80" s="268"/>
      <c r="W80" s="268"/>
      <c r="X80" s="268"/>
      <c r="Y80" s="274"/>
    </row>
    <row r="81" spans="2:25" s="211" customFormat="1" ht="15">
      <c r="B81" s="288" t="s">
        <v>168</v>
      </c>
      <c r="C81" s="212"/>
      <c r="D81" s="213"/>
      <c r="E81" s="268"/>
      <c r="F81" s="269">
        <v>-240</v>
      </c>
      <c r="G81" s="268"/>
      <c r="H81" s="268"/>
      <c r="I81" s="269">
        <v>-240</v>
      </c>
      <c r="K81" s="268"/>
      <c r="L81" s="268"/>
      <c r="M81" s="268"/>
      <c r="N81" s="268">
        <v>-240</v>
      </c>
      <c r="O81" s="268">
        <v>-240</v>
      </c>
      <c r="P81" s="268">
        <v>-240</v>
      </c>
      <c r="Q81" s="268">
        <v>-240</v>
      </c>
      <c r="R81" s="268">
        <v>-240</v>
      </c>
      <c r="S81" s="268">
        <v>-240</v>
      </c>
      <c r="T81" s="268">
        <v>-240</v>
      </c>
      <c r="U81" s="268">
        <v>-240</v>
      </c>
      <c r="V81" s="268">
        <v>-240</v>
      </c>
      <c r="W81" s="268">
        <v>-240</v>
      </c>
      <c r="X81" s="268">
        <v>-240</v>
      </c>
      <c r="Y81" s="274"/>
    </row>
    <row r="82" spans="2:25" s="211" customFormat="1" ht="15">
      <c r="B82" s="288" t="s">
        <v>169</v>
      </c>
      <c r="C82" s="212"/>
      <c r="D82" s="213"/>
      <c r="E82" s="268"/>
      <c r="F82" s="268"/>
      <c r="G82" s="268"/>
      <c r="H82" s="268"/>
      <c r="I82" s="268"/>
      <c r="J82" s="268"/>
      <c r="K82" s="268"/>
      <c r="L82" s="268"/>
      <c r="M82" s="268"/>
      <c r="N82" s="268"/>
      <c r="O82" s="268"/>
      <c r="P82" s="268"/>
      <c r="Q82" s="268"/>
      <c r="R82" s="268"/>
      <c r="S82" s="268"/>
      <c r="T82" s="268"/>
      <c r="U82" s="268"/>
      <c r="V82" s="268"/>
      <c r="W82" s="268"/>
      <c r="X82" s="268"/>
      <c r="Y82" s="274"/>
    </row>
    <row r="83" spans="2:25" s="211" customFormat="1" ht="15">
      <c r="B83" s="288" t="s">
        <v>170</v>
      </c>
      <c r="C83" s="212"/>
      <c r="D83" s="213"/>
      <c r="E83" s="268"/>
      <c r="F83" s="268"/>
      <c r="G83" s="269">
        <v>-513</v>
      </c>
      <c r="H83" s="268"/>
      <c r="I83" s="268"/>
      <c r="J83" s="268"/>
      <c r="K83" s="268">
        <v>-513</v>
      </c>
      <c r="L83" s="268"/>
      <c r="M83" s="268"/>
      <c r="N83" s="268">
        <v>-513</v>
      </c>
      <c r="O83" s="268">
        <v>-513</v>
      </c>
      <c r="P83" s="268">
        <v>-513</v>
      </c>
      <c r="Q83" s="268">
        <v>-513</v>
      </c>
      <c r="R83" s="268">
        <v>-513</v>
      </c>
      <c r="S83" s="268">
        <v>-513</v>
      </c>
      <c r="T83" s="268">
        <v>-513</v>
      </c>
      <c r="U83" s="268">
        <v>-513</v>
      </c>
      <c r="V83" s="268">
        <v>-513</v>
      </c>
      <c r="W83" s="268">
        <v>-513</v>
      </c>
      <c r="X83" s="268">
        <v>-513</v>
      </c>
      <c r="Y83" s="274"/>
    </row>
    <row r="84" spans="2:25" s="211" customFormat="1" ht="15">
      <c r="B84" s="288" t="s">
        <v>549</v>
      </c>
      <c r="C84" s="212"/>
      <c r="D84" s="213"/>
      <c r="E84" s="268"/>
      <c r="F84" s="268"/>
      <c r="G84" s="269">
        <v>-2194</v>
      </c>
      <c r="H84" s="268"/>
      <c r="I84" s="268"/>
      <c r="J84" s="268"/>
      <c r="K84" s="268">
        <f>G84</f>
        <v>-2194</v>
      </c>
      <c r="L84" s="268"/>
      <c r="M84" s="268"/>
      <c r="N84" s="268">
        <f>K84</f>
        <v>-2194</v>
      </c>
      <c r="O84" s="268">
        <f>N84</f>
        <v>-2194</v>
      </c>
      <c r="P84" s="268">
        <f>N84</f>
        <v>-2194</v>
      </c>
      <c r="Q84" s="268">
        <f>N84</f>
        <v>-2194</v>
      </c>
      <c r="R84" s="268">
        <f>N84</f>
        <v>-2194</v>
      </c>
      <c r="S84" s="268">
        <f t="shared" ref="S84:X84" si="5">O84</f>
        <v>-2194</v>
      </c>
      <c r="T84" s="268">
        <f t="shared" si="5"/>
        <v>-2194</v>
      </c>
      <c r="U84" s="268">
        <f t="shared" si="5"/>
        <v>-2194</v>
      </c>
      <c r="V84" s="268">
        <f t="shared" si="5"/>
        <v>-2194</v>
      </c>
      <c r="W84" s="268">
        <f t="shared" si="5"/>
        <v>-2194</v>
      </c>
      <c r="X84" s="268">
        <f t="shared" si="5"/>
        <v>-2194</v>
      </c>
      <c r="Y84" s="274"/>
    </row>
    <row r="85" spans="2:25" ht="15">
      <c r="B85" s="285" t="s">
        <v>550</v>
      </c>
      <c r="C85" s="212"/>
      <c r="D85" s="206"/>
      <c r="E85" s="268">
        <v>-2600</v>
      </c>
      <c r="F85" s="268"/>
      <c r="G85" s="269">
        <v>-2287.56</v>
      </c>
      <c r="H85" s="268">
        <v>0</v>
      </c>
      <c r="I85" s="269">
        <v>-2807.46</v>
      </c>
      <c r="J85" s="268"/>
      <c r="K85" s="268"/>
      <c r="L85" s="268">
        <v>-2600</v>
      </c>
      <c r="M85" s="268"/>
      <c r="N85" s="268">
        <v>-2600</v>
      </c>
      <c r="O85" s="268">
        <v>-2600</v>
      </c>
      <c r="P85" s="268">
        <v>-2600</v>
      </c>
      <c r="Q85" s="268">
        <v>-2600</v>
      </c>
      <c r="R85" s="268">
        <v>-2600</v>
      </c>
      <c r="S85" s="268">
        <v>-2600</v>
      </c>
      <c r="T85" s="268">
        <v>-2600</v>
      </c>
      <c r="U85" s="268">
        <v>-2600</v>
      </c>
      <c r="V85" s="268">
        <v>-2600</v>
      </c>
      <c r="W85" s="268">
        <v>-2600</v>
      </c>
      <c r="X85" s="268">
        <v>-2600</v>
      </c>
      <c r="Y85" s="274"/>
    </row>
    <row r="86" spans="2:25" s="211" customFormat="1" ht="15">
      <c r="B86" s="288" t="s">
        <v>173</v>
      </c>
      <c r="C86" s="212">
        <f>-8659-(1082*3)</f>
        <v>-11905</v>
      </c>
      <c r="D86" s="213"/>
      <c r="E86" s="268"/>
      <c r="F86" s="268"/>
      <c r="G86" s="268"/>
      <c r="H86" s="268"/>
      <c r="I86" s="269">
        <f>-1082.4*2</f>
        <v>-2164.8000000000002</v>
      </c>
      <c r="J86" s="268"/>
      <c r="K86" s="268"/>
      <c r="L86" s="268"/>
      <c r="M86" s="268">
        <f>I86</f>
        <v>-2164.8000000000002</v>
      </c>
      <c r="N86" s="268">
        <f>M86</f>
        <v>-2164.8000000000002</v>
      </c>
      <c r="O86" s="268">
        <f>M86</f>
        <v>-2164.8000000000002</v>
      </c>
      <c r="P86" s="268">
        <f>M86</f>
        <v>-2164.8000000000002</v>
      </c>
      <c r="Q86" s="268">
        <f t="shared" ref="Q86:V86" si="6">M86</f>
        <v>-2164.8000000000002</v>
      </c>
      <c r="R86" s="268">
        <f t="shared" si="6"/>
        <v>-2164.8000000000002</v>
      </c>
      <c r="S86" s="268">
        <f t="shared" si="6"/>
        <v>-2164.8000000000002</v>
      </c>
      <c r="T86" s="268">
        <f t="shared" si="6"/>
        <v>-2164.8000000000002</v>
      </c>
      <c r="U86" s="268">
        <f t="shared" si="6"/>
        <v>-2164.8000000000002</v>
      </c>
      <c r="V86" s="268">
        <f t="shared" si="6"/>
        <v>-2164.8000000000002</v>
      </c>
      <c r="W86" s="268">
        <v>-1082.4000000000001</v>
      </c>
      <c r="X86" s="268">
        <v>-1082.4000000000001</v>
      </c>
      <c r="Y86" s="274">
        <v>-1082.4000000000001</v>
      </c>
    </row>
    <row r="87" spans="2:25" s="211" customFormat="1" ht="15">
      <c r="B87" s="288" t="s">
        <v>553</v>
      </c>
      <c r="C87" s="212"/>
      <c r="D87" s="213"/>
      <c r="E87" s="268"/>
      <c r="F87" s="269">
        <v>-500</v>
      </c>
      <c r="G87" s="268" t="s">
        <v>0</v>
      </c>
      <c r="H87" s="268">
        <v>0</v>
      </c>
      <c r="I87" s="268"/>
      <c r="J87" s="268"/>
      <c r="K87" s="268"/>
      <c r="L87" s="268"/>
      <c r="M87" s="268">
        <v>-250</v>
      </c>
      <c r="N87" s="268"/>
      <c r="O87" s="268"/>
      <c r="P87" s="268"/>
      <c r="Q87" s="268"/>
      <c r="R87" s="268"/>
      <c r="S87" s="268"/>
      <c r="T87" s="268"/>
      <c r="U87" s="268"/>
      <c r="V87" s="268"/>
      <c r="W87" s="268"/>
      <c r="X87" s="268"/>
      <c r="Y87" s="274"/>
    </row>
    <row r="88" spans="2:25" s="211" customFormat="1" ht="15">
      <c r="B88" s="288" t="s">
        <v>666</v>
      </c>
      <c r="C88" s="212"/>
      <c r="D88" s="213"/>
      <c r="E88" s="268"/>
      <c r="F88" s="269">
        <v>-3550</v>
      </c>
      <c r="G88" s="268"/>
      <c r="H88" s="268"/>
      <c r="I88" s="268"/>
      <c r="J88" s="268"/>
      <c r="K88" s="268"/>
      <c r="L88" s="268"/>
      <c r="M88" s="268"/>
      <c r="N88" s="268"/>
      <c r="O88" s="268"/>
      <c r="P88" s="268"/>
      <c r="Q88" s="268"/>
      <c r="R88" s="268"/>
      <c r="S88" s="268"/>
      <c r="T88" s="268"/>
      <c r="U88" s="268"/>
      <c r="V88" s="268"/>
      <c r="W88" s="268"/>
      <c r="X88" s="268"/>
      <c r="Y88" s="274"/>
    </row>
    <row r="89" spans="2:25" s="211" customFormat="1" ht="15">
      <c r="B89" s="288" t="s">
        <v>177</v>
      </c>
      <c r="C89" s="212"/>
      <c r="D89" s="213"/>
      <c r="E89" s="268"/>
      <c r="F89" s="268"/>
      <c r="G89" s="269">
        <v>-2563</v>
      </c>
      <c r="H89" s="268"/>
      <c r="I89" s="268"/>
      <c r="J89" s="268"/>
      <c r="K89" s="268"/>
      <c r="L89" s="268"/>
      <c r="M89" s="268"/>
      <c r="N89" s="268"/>
      <c r="O89" s="268"/>
      <c r="P89" s="268"/>
      <c r="Q89" s="268"/>
      <c r="R89" s="268"/>
      <c r="S89" s="268"/>
      <c r="T89" s="268"/>
      <c r="U89" s="268"/>
      <c r="V89" s="268"/>
      <c r="W89" s="268"/>
      <c r="X89" s="268"/>
      <c r="Y89" s="274"/>
    </row>
    <row r="90" spans="2:25" s="211" customFormat="1" ht="15">
      <c r="B90" s="288" t="s">
        <v>178</v>
      </c>
      <c r="C90" s="212"/>
      <c r="D90" s="213"/>
      <c r="E90" s="268"/>
      <c r="F90" s="268"/>
      <c r="G90" s="268"/>
      <c r="H90" s="268"/>
      <c r="I90" s="269">
        <f>-62.5-33.26</f>
        <v>-95.759999999999991</v>
      </c>
      <c r="J90" s="268"/>
      <c r="K90" s="268"/>
      <c r="L90" s="268"/>
      <c r="M90" s="268"/>
      <c r="N90" s="268"/>
      <c r="O90" s="268"/>
      <c r="P90" s="268"/>
      <c r="Q90" s="268"/>
      <c r="R90" s="268"/>
      <c r="S90" s="268"/>
      <c r="T90" s="268"/>
      <c r="U90" s="268"/>
      <c r="V90" s="268"/>
      <c r="W90" s="268"/>
      <c r="X90" s="268"/>
      <c r="Y90" s="274"/>
    </row>
    <row r="91" spans="2:25" s="211" customFormat="1" ht="15">
      <c r="B91" s="288" t="s">
        <v>179</v>
      </c>
      <c r="C91" s="212"/>
      <c r="D91" s="213"/>
      <c r="E91" s="268"/>
      <c r="F91" s="268"/>
      <c r="G91" s="269">
        <v>-186</v>
      </c>
      <c r="H91" s="268"/>
      <c r="I91" s="268"/>
      <c r="J91" s="268"/>
      <c r="K91" s="268">
        <f>G91</f>
        <v>-186</v>
      </c>
      <c r="L91" s="268"/>
      <c r="M91" s="268"/>
      <c r="N91" s="268">
        <f>K91</f>
        <v>-186</v>
      </c>
      <c r="O91" s="268">
        <f>N91</f>
        <v>-186</v>
      </c>
      <c r="P91" s="268">
        <f>O91</f>
        <v>-186</v>
      </c>
      <c r="Q91" s="268">
        <f>N91</f>
        <v>-186</v>
      </c>
      <c r="R91" s="268">
        <f t="shared" ref="R91:X91" si="7">O91</f>
        <v>-186</v>
      </c>
      <c r="S91" s="268">
        <f t="shared" si="7"/>
        <v>-186</v>
      </c>
      <c r="T91" s="268">
        <f t="shared" si="7"/>
        <v>-186</v>
      </c>
      <c r="U91" s="268">
        <f t="shared" si="7"/>
        <v>-186</v>
      </c>
      <c r="V91" s="268">
        <f t="shared" si="7"/>
        <v>-186</v>
      </c>
      <c r="W91" s="268">
        <f t="shared" si="7"/>
        <v>-186</v>
      </c>
      <c r="X91" s="268">
        <f t="shared" si="7"/>
        <v>-186</v>
      </c>
      <c r="Y91" s="274"/>
    </row>
    <row r="92" spans="2:25" s="211" customFormat="1" ht="15" thickBot="1">
      <c r="B92" s="288"/>
      <c r="C92" s="212"/>
      <c r="D92" s="213"/>
      <c r="E92" s="268"/>
      <c r="F92" s="268"/>
      <c r="G92" s="268"/>
      <c r="H92" s="268"/>
      <c r="I92" s="268"/>
      <c r="J92" s="268"/>
      <c r="K92" s="268"/>
      <c r="L92" s="268"/>
      <c r="M92" s="268"/>
      <c r="N92" s="268"/>
      <c r="O92" s="268"/>
      <c r="P92" s="268"/>
      <c r="Q92" s="268"/>
      <c r="R92" s="268"/>
      <c r="S92" s="268"/>
      <c r="T92" s="268"/>
      <c r="U92" s="268"/>
      <c r="V92" s="268"/>
      <c r="W92" s="268"/>
      <c r="X92" s="268"/>
      <c r="Y92" s="274"/>
    </row>
    <row r="93" spans="2:25" s="211" customFormat="1" ht="16" thickBot="1">
      <c r="B93" s="294" t="s">
        <v>197</v>
      </c>
      <c r="C93" s="212"/>
      <c r="D93" s="213"/>
      <c r="E93" s="268"/>
      <c r="F93" s="268"/>
      <c r="G93" s="268"/>
      <c r="H93" s="268"/>
      <c r="I93" s="268"/>
      <c r="J93" s="268"/>
      <c r="K93" s="268"/>
      <c r="L93" s="268"/>
      <c r="M93" s="268"/>
      <c r="N93" s="268"/>
      <c r="O93" s="268"/>
      <c r="P93" s="268"/>
      <c r="Q93" s="268"/>
      <c r="R93" s="268"/>
      <c r="S93" s="268"/>
      <c r="T93" s="268"/>
      <c r="U93" s="268"/>
      <c r="V93" s="268"/>
      <c r="W93" s="268"/>
      <c r="X93" s="268"/>
      <c r="Y93" s="274"/>
    </row>
    <row r="94" spans="2:25" s="211" customFormat="1" ht="15">
      <c r="B94" s="285" t="s">
        <v>199</v>
      </c>
      <c r="C94" s="212"/>
      <c r="D94" s="213"/>
      <c r="E94" s="268"/>
      <c r="F94" s="268"/>
      <c r="G94" s="268"/>
      <c r="H94" s="268"/>
      <c r="I94" s="269">
        <v>-1658</v>
      </c>
      <c r="J94" s="268"/>
      <c r="K94" s="268"/>
      <c r="L94" s="268"/>
      <c r="M94" s="268">
        <f>I94</f>
        <v>-1658</v>
      </c>
      <c r="N94" s="268">
        <v>-1658</v>
      </c>
      <c r="O94" s="268">
        <v>-1658</v>
      </c>
      <c r="P94" s="268">
        <v>-1658</v>
      </c>
      <c r="Q94" s="268">
        <v>-1658</v>
      </c>
      <c r="R94" s="268">
        <v>-1658</v>
      </c>
      <c r="S94" s="268">
        <v>-1658</v>
      </c>
      <c r="T94" s="268">
        <v>-1658</v>
      </c>
      <c r="U94" s="268">
        <v>-1658</v>
      </c>
      <c r="V94" s="268">
        <v>-1658</v>
      </c>
      <c r="W94" s="268">
        <v>-1658</v>
      </c>
      <c r="X94" s="268">
        <v>-1658</v>
      </c>
      <c r="Y94" s="274"/>
    </row>
    <row r="95" spans="2:25" s="211" customFormat="1" ht="15">
      <c r="B95" s="285" t="s">
        <v>200</v>
      </c>
      <c r="C95" s="212"/>
      <c r="D95" s="213"/>
      <c r="E95" s="268"/>
      <c r="F95" s="268"/>
      <c r="G95" s="268"/>
      <c r="H95" s="269">
        <v>-7004</v>
      </c>
      <c r="I95" s="268"/>
      <c r="J95" s="268"/>
      <c r="K95" s="268"/>
      <c r="L95" s="268"/>
      <c r="M95" s="268">
        <f>H95</f>
        <v>-7004</v>
      </c>
      <c r="N95" s="268">
        <v>-7004</v>
      </c>
      <c r="O95" s="268">
        <v>-7004</v>
      </c>
      <c r="P95" s="268">
        <v>-7004</v>
      </c>
      <c r="Q95" s="268">
        <v>-7004</v>
      </c>
      <c r="R95" s="268">
        <v>-7004</v>
      </c>
      <c r="S95" s="268">
        <v>-7004</v>
      </c>
      <c r="T95" s="268">
        <v>-7004</v>
      </c>
      <c r="U95" s="268">
        <v>-7004</v>
      </c>
      <c r="V95" s="268" t="s">
        <v>0</v>
      </c>
      <c r="W95" s="268" t="s">
        <v>0</v>
      </c>
      <c r="X95" s="268" t="s">
        <v>0</v>
      </c>
      <c r="Y95" s="274"/>
    </row>
    <row r="96" spans="2:25" s="211" customFormat="1" ht="16" thickBot="1">
      <c r="B96" s="285" t="s">
        <v>201</v>
      </c>
      <c r="C96" s="212"/>
      <c r="D96" s="213"/>
      <c r="E96" s="268"/>
      <c r="F96" s="268"/>
      <c r="G96" s="269">
        <v>-4371</v>
      </c>
      <c r="H96" s="268">
        <v>0</v>
      </c>
      <c r="I96" s="268"/>
      <c r="J96" s="268"/>
      <c r="K96" s="268"/>
      <c r="L96" s="268"/>
      <c r="M96" s="268">
        <v>-4371</v>
      </c>
      <c r="N96" s="268">
        <v>-4400</v>
      </c>
      <c r="O96" s="268">
        <v>-4400</v>
      </c>
      <c r="P96" s="268">
        <v>-4400</v>
      </c>
      <c r="Q96" s="268"/>
      <c r="R96" s="268"/>
      <c r="S96" s="268"/>
      <c r="T96" s="268"/>
      <c r="U96" s="268"/>
      <c r="V96" s="268"/>
      <c r="W96" s="268"/>
      <c r="X96" s="268"/>
      <c r="Y96" s="274"/>
    </row>
    <row r="97" spans="2:25" ht="16" thickBot="1">
      <c r="B97" s="292" t="s">
        <v>205</v>
      </c>
      <c r="C97" s="212"/>
      <c r="D97" s="206"/>
      <c r="E97" s="268"/>
      <c r="F97" s="268"/>
      <c r="G97" s="268"/>
      <c r="H97" s="268"/>
      <c r="I97" s="268"/>
      <c r="J97" s="268"/>
      <c r="K97" s="268"/>
      <c r="L97" s="268"/>
      <c r="M97" s="268"/>
      <c r="N97" s="277"/>
      <c r="O97" s="268"/>
      <c r="P97" s="268"/>
      <c r="Q97" s="268"/>
      <c r="R97" s="268"/>
      <c r="S97" s="268"/>
      <c r="T97" s="268"/>
      <c r="U97" s="268"/>
      <c r="V97" s="268"/>
      <c r="W97" s="268"/>
      <c r="X97" s="268"/>
      <c r="Y97" s="274"/>
    </row>
    <row r="98" spans="2:25" ht="15">
      <c r="B98" s="285" t="s">
        <v>647</v>
      </c>
      <c r="C98" s="212"/>
      <c r="D98" s="206"/>
      <c r="E98" s="269">
        <v>-4140</v>
      </c>
      <c r="F98" s="268"/>
      <c r="G98" s="268"/>
      <c r="H98" s="268" t="s">
        <v>0</v>
      </c>
      <c r="I98" s="269">
        <v>-4140</v>
      </c>
      <c r="J98" s="268" t="s">
        <v>0</v>
      </c>
      <c r="K98" s="268"/>
      <c r="L98" s="268"/>
      <c r="M98" s="268" t="s">
        <v>0</v>
      </c>
      <c r="N98" s="269">
        <v>-8280</v>
      </c>
      <c r="O98" s="269">
        <v>-8280</v>
      </c>
      <c r="P98" s="269">
        <v>-8613</v>
      </c>
      <c r="Q98" s="268"/>
      <c r="R98" s="268"/>
      <c r="S98" s="268"/>
      <c r="T98" s="268"/>
      <c r="U98" s="268"/>
      <c r="V98" s="268"/>
      <c r="W98" s="268"/>
      <c r="X98" s="268"/>
      <c r="Y98" s="274"/>
    </row>
    <row r="99" spans="2:25" ht="15">
      <c r="B99" s="285" t="s">
        <v>206</v>
      </c>
      <c r="C99" s="212">
        <v>189000</v>
      </c>
      <c r="D99" s="206"/>
      <c r="E99" s="268"/>
      <c r="F99" s="268"/>
      <c r="G99" s="268"/>
      <c r="H99" s="268"/>
      <c r="I99" s="268"/>
      <c r="J99" s="268"/>
      <c r="K99" s="268"/>
      <c r="L99" s="269">
        <v>-15000</v>
      </c>
      <c r="M99" s="268"/>
      <c r="N99" s="269">
        <v>-15000</v>
      </c>
      <c r="O99" s="269">
        <v>-15000</v>
      </c>
      <c r="P99" s="278">
        <v>-15000</v>
      </c>
      <c r="Q99" s="278">
        <v>-15000</v>
      </c>
      <c r="R99" s="278">
        <v>-15000</v>
      </c>
      <c r="S99" s="278">
        <v>-15000</v>
      </c>
      <c r="T99" s="278">
        <v>-15000</v>
      </c>
      <c r="U99" s="278">
        <v>-15000</v>
      </c>
      <c r="V99" s="278">
        <v>-15000</v>
      </c>
      <c r="W99" s="278">
        <v>-15000</v>
      </c>
      <c r="X99" s="278">
        <v>-15000</v>
      </c>
      <c r="Y99" s="274">
        <v>-15000</v>
      </c>
    </row>
    <row r="100" spans="2:25" ht="15">
      <c r="B100" s="285" t="s">
        <v>667</v>
      </c>
      <c r="C100" s="212"/>
      <c r="D100" s="206"/>
      <c r="E100" s="268"/>
      <c r="F100" s="268"/>
      <c r="G100" s="268"/>
      <c r="H100" s="268"/>
      <c r="I100" s="268"/>
      <c r="J100" s="268"/>
      <c r="K100" s="268"/>
      <c r="L100" s="268"/>
      <c r="M100" s="268"/>
      <c r="N100" s="277"/>
      <c r="O100" s="277">
        <v>-20000</v>
      </c>
      <c r="P100" s="277">
        <f>-130000/4</f>
        <v>-32500</v>
      </c>
      <c r="Q100" s="277">
        <f>-130000/4</f>
        <v>-32500</v>
      </c>
      <c r="R100" s="277">
        <f>-130000/4</f>
        <v>-32500</v>
      </c>
      <c r="S100" s="277">
        <f>-130000/4</f>
        <v>-32500</v>
      </c>
      <c r="T100" s="268"/>
      <c r="U100" s="268"/>
      <c r="V100" s="268"/>
      <c r="W100" s="268"/>
      <c r="X100" s="268"/>
      <c r="Y100" s="274"/>
    </row>
    <row r="101" spans="2:25" ht="15">
      <c r="B101" s="285" t="s">
        <v>648</v>
      </c>
      <c r="C101" s="212"/>
      <c r="D101" s="206"/>
      <c r="E101" s="269">
        <v>-48000</v>
      </c>
      <c r="F101" s="268"/>
      <c r="G101" s="268"/>
      <c r="H101" s="268"/>
      <c r="I101" s="268"/>
      <c r="J101" s="268"/>
      <c r="K101" s="269">
        <v>-10000</v>
      </c>
      <c r="L101" s="268"/>
      <c r="M101" s="268"/>
      <c r="N101" s="278">
        <v>-10000</v>
      </c>
      <c r="O101" s="269">
        <v>-10000</v>
      </c>
      <c r="P101" s="268"/>
      <c r="Q101" s="268"/>
      <c r="R101" s="268"/>
      <c r="S101" s="268"/>
      <c r="T101" s="268"/>
      <c r="U101" s="268"/>
      <c r="V101" s="268"/>
      <c r="W101" s="268"/>
      <c r="X101" s="268"/>
      <c r="Y101" s="274"/>
    </row>
    <row r="102" spans="2:25" ht="15">
      <c r="B102" s="285" t="s">
        <v>211</v>
      </c>
      <c r="C102" s="212"/>
      <c r="D102" s="206"/>
      <c r="E102" s="269">
        <v>-5285</v>
      </c>
      <c r="F102" s="269">
        <v>-5379</v>
      </c>
      <c r="G102" s="268"/>
      <c r="H102" s="268"/>
      <c r="I102" s="269">
        <v>-6700</v>
      </c>
      <c r="J102" s="268">
        <f>-7200-F102</f>
        <v>-1821</v>
      </c>
      <c r="K102" s="268"/>
      <c r="L102" s="268"/>
      <c r="M102" s="268"/>
      <c r="N102" s="277">
        <v>-7200</v>
      </c>
      <c r="O102" s="277">
        <v>-7200</v>
      </c>
      <c r="P102" s="277"/>
      <c r="Q102" s="268"/>
      <c r="R102" s="268"/>
      <c r="S102" s="268"/>
      <c r="T102" s="268"/>
      <c r="U102" s="268"/>
      <c r="V102" s="268"/>
      <c r="W102" s="268"/>
      <c r="X102" s="268"/>
      <c r="Y102" s="274"/>
    </row>
    <row r="103" spans="2:25" ht="15">
      <c r="B103" s="285" t="s">
        <v>668</v>
      </c>
      <c r="C103" s="212">
        <v>-5385</v>
      </c>
      <c r="D103" s="206"/>
      <c r="E103" s="268"/>
      <c r="F103" s="268"/>
      <c r="G103" s="268"/>
      <c r="H103" s="269">
        <f>(-4678-707)/2</f>
        <v>-2692.5</v>
      </c>
      <c r="I103" s="268" t="s">
        <v>0</v>
      </c>
      <c r="J103" s="268"/>
      <c r="K103" s="268">
        <f>(-4678-707)/2</f>
        <v>-2692.5</v>
      </c>
      <c r="L103" s="268"/>
      <c r="M103" s="268"/>
      <c r="N103" s="277"/>
      <c r="O103" s="277"/>
      <c r="P103" s="277"/>
      <c r="Q103" s="268"/>
      <c r="R103" s="268"/>
      <c r="S103" s="268"/>
      <c r="T103" s="268"/>
      <c r="U103" s="268"/>
      <c r="V103" s="268"/>
      <c r="W103" s="268"/>
      <c r="X103" s="268"/>
      <c r="Y103" s="274"/>
    </row>
    <row r="104" spans="2:25" ht="15">
      <c r="B104" s="285" t="s">
        <v>213</v>
      </c>
      <c r="C104" s="213">
        <v>-15449</v>
      </c>
      <c r="D104" s="206"/>
      <c r="E104" s="268"/>
      <c r="F104" s="278">
        <v>-2600</v>
      </c>
      <c r="G104" s="268"/>
      <c r="H104" s="268"/>
      <c r="I104" s="269">
        <f>-(10383+387)-F104</f>
        <v>-8170</v>
      </c>
      <c r="J104" s="268"/>
      <c r="K104" s="268"/>
      <c r="L104" s="268"/>
      <c r="M104" s="268">
        <f>-(2786+1891)</f>
        <v>-4677</v>
      </c>
      <c r="N104" s="277"/>
      <c r="O104" s="277"/>
      <c r="P104" s="277"/>
      <c r="Q104" s="268"/>
      <c r="R104" s="268"/>
      <c r="S104" s="268"/>
      <c r="T104" s="268"/>
      <c r="U104" s="268"/>
      <c r="V104" s="268"/>
      <c r="W104" s="268"/>
      <c r="X104" s="268"/>
      <c r="Y104" s="274"/>
    </row>
    <row r="105" spans="2:25" ht="15">
      <c r="B105" s="285" t="s">
        <v>669</v>
      </c>
      <c r="C105" s="213">
        <v>-14884</v>
      </c>
      <c r="D105" s="206"/>
      <c r="E105" s="268"/>
      <c r="F105" s="269">
        <v>-1576</v>
      </c>
      <c r="G105" s="268"/>
      <c r="H105" s="268"/>
      <c r="I105" s="269">
        <f>(C105-F105)/2</f>
        <v>-6654</v>
      </c>
      <c r="J105" s="268"/>
      <c r="K105" s="268">
        <f>I105</f>
        <v>-6654</v>
      </c>
      <c r="L105" s="268"/>
      <c r="M105" s="268"/>
      <c r="N105" s="277">
        <v>-8745</v>
      </c>
      <c r="O105" s="277"/>
      <c r="P105" s="277"/>
      <c r="Q105" s="268"/>
      <c r="R105" s="268"/>
      <c r="S105" s="268"/>
      <c r="T105" s="268"/>
      <c r="U105" s="268"/>
      <c r="V105" s="268"/>
      <c r="W105" s="268"/>
      <c r="X105" s="268"/>
      <c r="Y105" s="274"/>
    </row>
    <row r="106" spans="2:25" ht="16" thickBot="1">
      <c r="B106" s="285" t="s">
        <v>447</v>
      </c>
      <c r="C106" s="213"/>
      <c r="D106" s="206"/>
      <c r="E106" s="268"/>
      <c r="F106" s="269">
        <f>-1049.87-225.19</f>
        <v>-1275.06</v>
      </c>
      <c r="G106" s="268"/>
      <c r="H106" s="268"/>
      <c r="I106" s="269">
        <f>-(3413.12-1049.87-225.19)</f>
        <v>-2138.06</v>
      </c>
      <c r="J106" s="268"/>
      <c r="K106" s="268"/>
      <c r="L106" s="268"/>
      <c r="M106" s="268"/>
      <c r="N106" s="277"/>
      <c r="O106" s="277"/>
      <c r="P106" s="277"/>
      <c r="Q106" s="268"/>
      <c r="R106" s="268"/>
      <c r="S106" s="268"/>
      <c r="T106" s="268"/>
      <c r="U106" s="268"/>
      <c r="V106" s="268"/>
      <c r="W106" s="268"/>
      <c r="X106" s="268"/>
      <c r="Y106" s="274"/>
    </row>
    <row r="107" spans="2:25" ht="15" thickBot="1">
      <c r="B107" s="295"/>
      <c r="C107" s="211"/>
      <c r="D107" s="206"/>
      <c r="E107" s="268"/>
      <c r="F107" s="268"/>
      <c r="G107" s="268"/>
      <c r="H107" s="268"/>
      <c r="I107" s="268"/>
      <c r="J107" s="268"/>
      <c r="K107" s="268"/>
      <c r="L107" s="268"/>
      <c r="M107" s="268"/>
      <c r="N107" s="277"/>
      <c r="O107" s="277"/>
      <c r="P107" s="277"/>
      <c r="Q107" s="268"/>
      <c r="R107" s="268"/>
      <c r="S107" s="268"/>
      <c r="T107" s="268"/>
      <c r="U107" s="268"/>
      <c r="V107" s="268"/>
      <c r="W107" s="268"/>
      <c r="X107" s="268"/>
      <c r="Y107" s="274"/>
    </row>
    <row r="108" spans="2:25" ht="15">
      <c r="B108" s="285" t="s">
        <v>221</v>
      </c>
      <c r="C108" s="212">
        <v>-12500</v>
      </c>
      <c r="D108" s="206"/>
      <c r="E108" s="268"/>
      <c r="F108" s="268"/>
      <c r="G108" s="268"/>
      <c r="H108" s="268"/>
      <c r="I108" s="269">
        <v>-3000</v>
      </c>
      <c r="J108" s="268"/>
      <c r="K108" s="268"/>
      <c r="M108" s="268">
        <v>-3000</v>
      </c>
      <c r="N108" s="277">
        <v>-4000</v>
      </c>
      <c r="O108" s="277">
        <v>-2000</v>
      </c>
      <c r="P108" s="268">
        <v>-4000</v>
      </c>
      <c r="Q108" s="268"/>
      <c r="R108" s="268"/>
      <c r="S108" s="268"/>
      <c r="T108" s="268"/>
      <c r="U108" s="268"/>
      <c r="V108" s="268"/>
      <c r="W108" s="268"/>
      <c r="X108" s="268"/>
      <c r="Y108" s="274"/>
    </row>
    <row r="109" spans="2:25" ht="15">
      <c r="B109" s="285" t="s">
        <v>222</v>
      </c>
      <c r="C109" s="212">
        <v>-25000</v>
      </c>
      <c r="D109" s="206"/>
      <c r="E109" s="268"/>
      <c r="F109" s="268"/>
      <c r="G109" s="268"/>
      <c r="H109" s="268"/>
      <c r="I109" s="269">
        <v>-5000</v>
      </c>
      <c r="J109" s="268"/>
      <c r="K109" s="268"/>
      <c r="M109" s="268">
        <v>-5000</v>
      </c>
      <c r="N109" s="277">
        <v>-7500</v>
      </c>
      <c r="O109" s="277">
        <v>-7500</v>
      </c>
      <c r="P109" s="277"/>
      <c r="Q109" s="268"/>
      <c r="R109" s="268"/>
      <c r="S109" s="268"/>
      <c r="T109" s="268"/>
      <c r="U109" s="268"/>
      <c r="V109" s="268"/>
      <c r="W109" s="268"/>
      <c r="X109" s="268"/>
      <c r="Y109" s="274"/>
    </row>
    <row r="110" spans="2:25">
      <c r="B110" s="285"/>
      <c r="C110" s="212"/>
      <c r="D110" s="206"/>
      <c r="E110" s="268"/>
      <c r="F110" s="268"/>
      <c r="G110" s="268"/>
      <c r="H110" s="268"/>
      <c r="I110" s="268"/>
      <c r="J110" s="268"/>
      <c r="K110" s="268"/>
      <c r="L110" s="268"/>
      <c r="M110" s="268"/>
      <c r="N110" s="277"/>
      <c r="O110" s="268"/>
      <c r="P110" s="268"/>
      <c r="Q110" s="268"/>
      <c r="R110" s="268"/>
      <c r="S110" s="268"/>
      <c r="T110" s="268"/>
      <c r="U110" s="268"/>
      <c r="V110" s="268"/>
      <c r="W110" s="268"/>
      <c r="X110" s="268"/>
      <c r="Y110" s="274"/>
    </row>
    <row r="111" spans="2:25" ht="16" thickBot="1">
      <c r="B111" s="296" t="s">
        <v>224</v>
      </c>
      <c r="C111" s="219"/>
      <c r="D111" s="220"/>
      <c r="E111" s="279">
        <f>SUM(E7:E110)</f>
        <v>45589</v>
      </c>
      <c r="F111" s="279">
        <f t="shared" ref="F111:X111" si="8">SUM(F7:F110)</f>
        <v>-4627.4600000000009</v>
      </c>
      <c r="G111" s="279">
        <f t="shared" si="8"/>
        <v>154.1100000000024</v>
      </c>
      <c r="H111" s="279">
        <f t="shared" si="8"/>
        <v>69108.7</v>
      </c>
      <c r="I111" s="279">
        <f t="shared" si="8"/>
        <v>-14001.199999999995</v>
      </c>
      <c r="J111" s="279">
        <f t="shared" si="8"/>
        <v>-10201.399999999994</v>
      </c>
      <c r="K111" s="279">
        <f t="shared" si="8"/>
        <v>34258.849999999991</v>
      </c>
      <c r="L111" s="279">
        <f t="shared" si="8"/>
        <v>-40361</v>
      </c>
      <c r="M111" s="279">
        <f t="shared" si="8"/>
        <v>108353.60800000001</v>
      </c>
      <c r="N111" s="279">
        <f t="shared" si="8"/>
        <v>94139.647999999928</v>
      </c>
      <c r="O111" s="279">
        <f t="shared" si="8"/>
        <v>44879.60000000002</v>
      </c>
      <c r="P111" s="279">
        <f t="shared" si="8"/>
        <v>384.0400000000518</v>
      </c>
      <c r="Q111" s="279">
        <f t="shared" si="8"/>
        <v>61135.53333333334</v>
      </c>
      <c r="R111" s="279">
        <f t="shared" si="8"/>
        <v>107495.53333333333</v>
      </c>
      <c r="S111" s="279">
        <f t="shared" si="8"/>
        <v>40643.453333333309</v>
      </c>
      <c r="T111" s="279">
        <f t="shared" si="8"/>
        <v>127065.53333333335</v>
      </c>
      <c r="U111" s="279">
        <f t="shared" si="8"/>
        <v>85065.53333333334</v>
      </c>
      <c r="V111" s="279">
        <f t="shared" si="8"/>
        <v>106569.53333333334</v>
      </c>
      <c r="W111" s="279">
        <f t="shared" si="8"/>
        <v>68846.55333333333</v>
      </c>
      <c r="X111" s="279">
        <f t="shared" si="8"/>
        <v>60751.933333333334</v>
      </c>
      <c r="Y111" s="280">
        <f>SUM(Y7:Y110)</f>
        <v>-12254.266666666666</v>
      </c>
    </row>
    <row r="112" spans="2:25" ht="16" thickTop="1">
      <c r="B112" s="297" t="s">
        <v>225</v>
      </c>
      <c r="C112" s="221"/>
      <c r="D112" s="222"/>
      <c r="E112" s="269">
        <f>E111</f>
        <v>45589</v>
      </c>
      <c r="F112" s="269">
        <v>48154</v>
      </c>
      <c r="G112" s="269">
        <f t="shared" ref="G112:N112" si="9">F112+G111</f>
        <v>48308.11</v>
      </c>
      <c r="H112" s="269">
        <v>112921.45</v>
      </c>
      <c r="I112" s="269">
        <v>103166</v>
      </c>
      <c r="J112" s="269">
        <f t="shared" si="9"/>
        <v>92964.6</v>
      </c>
      <c r="K112" s="269">
        <f t="shared" si="9"/>
        <v>127223.45</v>
      </c>
      <c r="L112" s="269">
        <f t="shared" si="9"/>
        <v>86862.45</v>
      </c>
      <c r="M112" s="269">
        <f t="shared" si="9"/>
        <v>195216.05800000002</v>
      </c>
      <c r="N112" s="269">
        <f t="shared" si="9"/>
        <v>289355.70599999995</v>
      </c>
      <c r="O112" s="269">
        <f>N112+O111</f>
        <v>334235.30599999998</v>
      </c>
      <c r="P112" s="269">
        <f t="shared" ref="P112:Y112" si="10">O112+P111</f>
        <v>334619.34600000002</v>
      </c>
      <c r="Q112" s="269">
        <f t="shared" si="10"/>
        <v>395754.87933333335</v>
      </c>
      <c r="R112" s="269">
        <f t="shared" si="10"/>
        <v>503250.41266666667</v>
      </c>
      <c r="S112" s="269">
        <f t="shared" si="10"/>
        <v>543893.86599999992</v>
      </c>
      <c r="T112" s="269">
        <f t="shared" si="10"/>
        <v>670959.39933333325</v>
      </c>
      <c r="U112" s="269">
        <f t="shared" si="10"/>
        <v>756024.93266666657</v>
      </c>
      <c r="V112" s="269">
        <f t="shared" si="10"/>
        <v>862594.4659999999</v>
      </c>
      <c r="W112" s="269">
        <f t="shared" si="10"/>
        <v>931441.01933333324</v>
      </c>
      <c r="X112" s="269">
        <f t="shared" si="10"/>
        <v>992192.95266666659</v>
      </c>
      <c r="Y112" s="281">
        <f t="shared" si="10"/>
        <v>979938.68599999987</v>
      </c>
    </row>
    <row r="113" spans="1:27" ht="15" thickBot="1">
      <c r="B113" s="298"/>
      <c r="C113" s="223"/>
      <c r="D113" s="224"/>
      <c r="E113" s="225"/>
      <c r="F113" s="225"/>
      <c r="G113" s="225"/>
      <c r="H113" s="225"/>
      <c r="I113" s="225"/>
      <c r="J113" s="225"/>
      <c r="K113" s="225"/>
      <c r="L113" s="225"/>
      <c r="M113" s="225"/>
      <c r="N113" s="225"/>
      <c r="O113" s="225"/>
      <c r="P113" s="225"/>
      <c r="Q113" s="225"/>
      <c r="R113" s="225"/>
      <c r="S113" s="225"/>
      <c r="T113" s="225"/>
      <c r="U113" s="225"/>
      <c r="V113" s="225"/>
      <c r="W113" s="225"/>
      <c r="X113" s="225"/>
      <c r="Y113" s="270"/>
    </row>
    <row r="114" spans="1:27">
      <c r="C114" s="211"/>
      <c r="E114" s="211"/>
      <c r="F114" s="211" t="s">
        <v>0</v>
      </c>
      <c r="G114" s="211"/>
      <c r="H114" s="211"/>
      <c r="I114" s="211"/>
      <c r="J114" s="211"/>
      <c r="K114" s="211"/>
      <c r="L114" s="211"/>
      <c r="M114" s="211"/>
      <c r="N114" s="211"/>
      <c r="O114" s="211"/>
      <c r="P114" s="211"/>
      <c r="Q114" s="211"/>
      <c r="R114" s="211"/>
      <c r="S114" s="211"/>
      <c r="T114" s="211"/>
      <c r="U114" s="211"/>
      <c r="V114" s="211"/>
      <c r="W114" s="211"/>
      <c r="X114" s="211"/>
    </row>
    <row r="115" spans="1:27" ht="15" thickBot="1">
      <c r="C115" s="211"/>
      <c r="D115" s="211"/>
      <c r="E115" s="211"/>
      <c r="F115" s="211"/>
      <c r="G115" s="211"/>
      <c r="H115" s="211"/>
      <c r="I115" s="211"/>
      <c r="J115" s="211"/>
      <c r="K115" s="211"/>
      <c r="L115" s="211"/>
      <c r="M115" s="211"/>
      <c r="N115" s="211"/>
      <c r="O115" s="211"/>
      <c r="P115" s="211"/>
      <c r="Q115" s="211"/>
      <c r="R115" s="211"/>
      <c r="S115" s="211"/>
      <c r="T115" s="211"/>
      <c r="U115" s="211"/>
      <c r="V115" s="211"/>
      <c r="W115" s="211"/>
    </row>
    <row r="116" spans="1:27" ht="16" thickBot="1">
      <c r="B116" s="295" t="s">
        <v>229</v>
      </c>
      <c r="C116" s="211"/>
      <c r="D116" s="211"/>
      <c r="E116" s="211"/>
      <c r="F116" s="211"/>
      <c r="G116" s="211"/>
      <c r="H116" s="211"/>
      <c r="I116" s="211"/>
      <c r="J116" s="211"/>
      <c r="K116" s="211"/>
      <c r="L116" s="211"/>
      <c r="M116" s="211"/>
      <c r="N116" s="211"/>
      <c r="O116" s="211"/>
      <c r="P116" s="211"/>
      <c r="Q116" s="211"/>
      <c r="R116" s="211"/>
      <c r="S116" s="211"/>
      <c r="T116" s="211"/>
      <c r="U116" s="211"/>
      <c r="V116" s="211"/>
      <c r="W116" s="211"/>
    </row>
    <row r="117" spans="1:27" ht="15">
      <c r="B117" s="282" t="s">
        <v>670</v>
      </c>
      <c r="C117" s="211"/>
      <c r="D117" s="211"/>
      <c r="E117" s="211"/>
      <c r="F117" s="211"/>
      <c r="G117" s="211"/>
      <c r="H117" s="211" t="s">
        <v>0</v>
      </c>
      <c r="I117" s="211"/>
      <c r="J117" s="211"/>
      <c r="K117" s="211"/>
      <c r="L117" s="211"/>
      <c r="M117" s="211"/>
      <c r="N117" s="211"/>
      <c r="O117" s="211"/>
      <c r="P117" s="268" t="s">
        <v>0</v>
      </c>
      <c r="Q117" s="211" t="s">
        <v>0</v>
      </c>
      <c r="R117" s="211"/>
      <c r="S117" s="211"/>
      <c r="T117" s="211"/>
      <c r="U117" s="211"/>
      <c r="V117" s="211"/>
      <c r="W117" s="211"/>
    </row>
    <row r="118" spans="1:27" ht="15">
      <c r="B118" s="282" t="s">
        <v>671</v>
      </c>
      <c r="C118" s="211"/>
      <c r="D118" s="211"/>
      <c r="E118" s="211"/>
      <c r="F118" s="211"/>
      <c r="G118" s="211"/>
      <c r="H118" s="211"/>
      <c r="I118" s="211"/>
      <c r="J118" s="211"/>
      <c r="K118" s="211"/>
      <c r="L118" s="211"/>
      <c r="M118" s="211"/>
      <c r="N118" s="211"/>
      <c r="O118" s="211"/>
      <c r="P118" s="211" t="s">
        <v>0</v>
      </c>
      <c r="Q118" s="211"/>
      <c r="R118" s="211"/>
      <c r="S118" s="211"/>
      <c r="T118" s="211"/>
      <c r="U118" s="211"/>
      <c r="V118" s="211"/>
      <c r="W118" s="211"/>
    </row>
    <row r="119" spans="1:27" ht="15">
      <c r="B119" s="282" t="s">
        <v>672</v>
      </c>
      <c r="C119" s="211">
        <v>471000</v>
      </c>
      <c r="D119" s="211"/>
      <c r="E119" s="211"/>
      <c r="F119" s="211"/>
      <c r="G119" s="211"/>
      <c r="H119" s="211"/>
      <c r="I119" s="211"/>
      <c r="J119" s="211"/>
      <c r="K119" s="211"/>
      <c r="L119" s="211"/>
      <c r="M119" s="211"/>
      <c r="N119" s="211"/>
      <c r="O119" s="211"/>
      <c r="P119" s="211" t="s">
        <v>0</v>
      </c>
      <c r="Q119" s="211"/>
      <c r="R119" s="211"/>
      <c r="S119" s="211"/>
      <c r="T119" s="211"/>
      <c r="U119" s="211"/>
      <c r="V119" s="211"/>
      <c r="W119" s="211"/>
    </row>
    <row r="120" spans="1:27" ht="15">
      <c r="B120" s="299" t="s">
        <v>571</v>
      </c>
      <c r="C120" s="263">
        <v>250000</v>
      </c>
      <c r="D120" s="211">
        <v>59750</v>
      </c>
      <c r="E120" s="211"/>
      <c r="F120" s="211"/>
      <c r="G120" s="211"/>
      <c r="H120" s="211"/>
      <c r="I120" s="211"/>
      <c r="J120" s="211"/>
      <c r="K120" s="211"/>
      <c r="L120" s="211"/>
      <c r="M120" s="211"/>
      <c r="N120" s="211"/>
      <c r="O120" s="211" t="s">
        <v>0</v>
      </c>
      <c r="P120" s="211" t="s">
        <v>0</v>
      </c>
      <c r="Q120" s="211" t="s">
        <v>0</v>
      </c>
      <c r="R120" s="211" t="s">
        <v>0</v>
      </c>
      <c r="S120" s="211"/>
      <c r="T120" s="211"/>
      <c r="U120" s="211"/>
      <c r="V120" s="211"/>
      <c r="W120" s="211"/>
      <c r="X120" s="211"/>
    </row>
    <row r="121" spans="1:27" ht="15">
      <c r="B121" s="299" t="s">
        <v>673</v>
      </c>
      <c r="C121" s="263"/>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row>
    <row r="122" spans="1:27" ht="15">
      <c r="B122" s="282" t="s">
        <v>672</v>
      </c>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row>
    <row r="123" spans="1:27" ht="15">
      <c r="B123" s="282" t="s">
        <v>674</v>
      </c>
      <c r="C123" s="263"/>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row>
    <row r="124" spans="1:27" ht="15">
      <c r="B124" s="282" t="s">
        <v>675</v>
      </c>
      <c r="C124" s="211">
        <v>600000</v>
      </c>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row>
    <row r="125" spans="1:27" ht="15">
      <c r="B125" s="290" t="s">
        <v>367</v>
      </c>
      <c r="C125" s="264">
        <v>50000</v>
      </c>
      <c r="D125" s="211">
        <f>C125*0.8</f>
        <v>40000</v>
      </c>
      <c r="E125" s="211"/>
      <c r="F125" s="211"/>
      <c r="G125" s="211"/>
      <c r="H125" s="211">
        <v>0</v>
      </c>
      <c r="I125" s="211"/>
      <c r="J125" s="211"/>
      <c r="K125" s="211"/>
      <c r="L125" s="211">
        <v>0</v>
      </c>
      <c r="M125" s="211">
        <v>0</v>
      </c>
      <c r="N125" s="211">
        <v>0</v>
      </c>
      <c r="O125" s="211"/>
      <c r="P125" s="211"/>
      <c r="Q125" s="211"/>
      <c r="R125" s="211"/>
      <c r="S125" s="211"/>
      <c r="T125" s="211"/>
      <c r="U125" s="211"/>
      <c r="V125" s="211"/>
      <c r="W125" s="211"/>
      <c r="X125" s="211"/>
    </row>
    <row r="126" spans="1:27" ht="30">
      <c r="B126" s="300" t="s">
        <v>526</v>
      </c>
      <c r="C126" s="226"/>
      <c r="D126" s="227" t="s">
        <v>521</v>
      </c>
      <c r="E126" s="227" t="s">
        <v>523</v>
      </c>
      <c r="F126" s="227"/>
      <c r="G126" s="227"/>
      <c r="H126" s="227"/>
      <c r="I126" s="227"/>
      <c r="J126" s="227"/>
      <c r="K126" s="227"/>
      <c r="L126" s="227"/>
      <c r="M126" s="227"/>
      <c r="N126" s="227"/>
      <c r="O126" s="227" t="s">
        <v>0</v>
      </c>
    </row>
    <row r="127" spans="1:27" ht="15">
      <c r="A127" s="3" t="s">
        <v>574</v>
      </c>
      <c r="B127" s="227" t="s">
        <v>129</v>
      </c>
      <c r="C127" s="228"/>
      <c r="D127" s="229">
        <v>17500</v>
      </c>
      <c r="E127" s="230">
        <v>10000</v>
      </c>
      <c r="F127" s="230"/>
      <c r="G127" s="230"/>
      <c r="H127" s="230"/>
      <c r="I127" s="230"/>
      <c r="J127" s="230"/>
      <c r="K127" s="230"/>
      <c r="L127" s="230"/>
      <c r="M127" s="230"/>
      <c r="N127" s="230"/>
      <c r="O127" s="3" t="s">
        <v>0</v>
      </c>
    </row>
    <row r="128" spans="1:27" ht="15">
      <c r="A128" s="3" t="s">
        <v>574</v>
      </c>
      <c r="B128" s="227" t="s">
        <v>527</v>
      </c>
      <c r="C128" s="228"/>
      <c r="D128" s="229">
        <v>39500</v>
      </c>
      <c r="E128" s="230">
        <v>24000</v>
      </c>
      <c r="F128" s="230"/>
      <c r="G128" s="230"/>
      <c r="H128" s="230"/>
      <c r="I128" s="230"/>
      <c r="J128" s="230"/>
      <c r="K128" s="230"/>
      <c r="L128" s="230"/>
      <c r="M128" s="230"/>
      <c r="N128" s="230"/>
    </row>
    <row r="129" spans="1:23" ht="15">
      <c r="A129" s="3" t="s">
        <v>574</v>
      </c>
      <c r="B129" s="227" t="s">
        <v>528</v>
      </c>
      <c r="C129" s="228"/>
      <c r="D129" s="229">
        <v>4250</v>
      </c>
      <c r="E129" s="230">
        <v>2020</v>
      </c>
      <c r="F129" s="230"/>
      <c r="G129" s="230"/>
      <c r="H129" s="230"/>
      <c r="I129" s="230"/>
      <c r="J129" s="230"/>
      <c r="K129" s="230"/>
      <c r="L129" s="230"/>
      <c r="M129" s="230"/>
      <c r="N129" s="230"/>
    </row>
    <row r="130" spans="1:23" ht="15">
      <c r="A130" s="3" t="s">
        <v>574</v>
      </c>
      <c r="B130" s="227" t="s">
        <v>529</v>
      </c>
      <c r="C130" s="228"/>
      <c r="D130" s="229">
        <v>4250</v>
      </c>
      <c r="E130" s="230">
        <v>2020</v>
      </c>
      <c r="F130" s="230"/>
      <c r="G130" s="230"/>
      <c r="H130" s="230"/>
      <c r="I130" s="230"/>
      <c r="J130" s="230"/>
      <c r="K130" s="230"/>
      <c r="L130" s="230"/>
      <c r="M130" s="230"/>
      <c r="N130" s="230"/>
    </row>
    <row r="131" spans="1:23" ht="15">
      <c r="A131" s="3" t="s">
        <v>574</v>
      </c>
      <c r="B131" s="227" t="s">
        <v>530</v>
      </c>
      <c r="C131" s="228"/>
      <c r="D131" s="229">
        <v>4250</v>
      </c>
      <c r="E131" s="229">
        <v>2020</v>
      </c>
      <c r="F131" s="229"/>
      <c r="G131" s="229"/>
      <c r="H131" s="229"/>
      <c r="I131" s="229"/>
      <c r="J131" s="229"/>
      <c r="K131" s="229"/>
      <c r="L131" s="229"/>
      <c r="M131" s="229"/>
      <c r="N131" s="230"/>
    </row>
    <row r="132" spans="1:23" ht="15">
      <c r="A132" s="3" t="s">
        <v>574</v>
      </c>
      <c r="B132" s="227" t="s">
        <v>531</v>
      </c>
      <c r="C132" s="228"/>
      <c r="D132" s="229">
        <v>35000</v>
      </c>
      <c r="E132" s="229">
        <v>20000</v>
      </c>
      <c r="F132" s="229"/>
      <c r="G132" s="229"/>
      <c r="H132" s="229"/>
      <c r="I132" s="229"/>
      <c r="J132" s="229"/>
      <c r="K132" s="229"/>
      <c r="L132" s="229"/>
      <c r="M132" s="229"/>
    </row>
    <row r="133" spans="1:23">
      <c r="B133" s="227"/>
      <c r="C133" s="228"/>
      <c r="D133" s="229"/>
      <c r="E133" s="229"/>
      <c r="F133" s="229"/>
      <c r="G133" s="229"/>
      <c r="H133" s="229"/>
      <c r="I133" s="229"/>
      <c r="J133" s="229"/>
      <c r="K133" s="229"/>
      <c r="L133" s="229"/>
      <c r="M133" s="229"/>
    </row>
    <row r="134" spans="1:23" ht="15">
      <c r="A134" s="3" t="s">
        <v>575</v>
      </c>
      <c r="B134" s="227" t="s">
        <v>532</v>
      </c>
      <c r="C134" s="228"/>
      <c r="D134" s="229">
        <v>850000</v>
      </c>
      <c r="E134" s="230">
        <f>D134*0.25</f>
        <v>212500</v>
      </c>
      <c r="F134" s="230"/>
      <c r="G134" s="230"/>
      <c r="H134" s="230"/>
      <c r="I134" s="230"/>
      <c r="J134" s="230"/>
      <c r="K134" s="230"/>
      <c r="L134" s="230"/>
      <c r="M134" s="230"/>
      <c r="N134" s="230">
        <f>(D134-E134)*0.35</f>
        <v>223125</v>
      </c>
      <c r="O134" s="13"/>
      <c r="S134" s="231"/>
    </row>
    <row r="135" spans="1:23" ht="15">
      <c r="B135" s="227" t="s">
        <v>386</v>
      </c>
      <c r="C135" s="228"/>
      <c r="D135" s="229">
        <v>2200000</v>
      </c>
      <c r="E135" s="230">
        <f>D135*0.25</f>
        <v>550000</v>
      </c>
      <c r="F135" s="230"/>
      <c r="G135" s="230"/>
      <c r="H135" s="230"/>
      <c r="I135" s="230"/>
      <c r="J135" s="230"/>
      <c r="K135" s="230"/>
      <c r="L135" s="230"/>
      <c r="M135" s="230"/>
      <c r="N135" s="230">
        <f>(D135-E135)*0.35</f>
        <v>577500</v>
      </c>
    </row>
    <row r="136" spans="1:23">
      <c r="E136" s="211"/>
      <c r="F136" s="211"/>
      <c r="G136" s="211"/>
      <c r="H136" s="211"/>
      <c r="I136" s="211"/>
      <c r="J136" s="211"/>
      <c r="K136" s="211"/>
      <c r="L136" s="211"/>
      <c r="M136" s="211"/>
      <c r="N136" s="211"/>
      <c r="O136" s="211"/>
      <c r="P136" s="211"/>
      <c r="Q136" s="211"/>
      <c r="R136" s="211"/>
      <c r="S136" s="211"/>
      <c r="T136" s="211"/>
      <c r="U136" s="211"/>
      <c r="V136" s="211"/>
      <c r="W136" s="211"/>
    </row>
    <row r="137" spans="1:23" ht="30">
      <c r="B137" s="300" t="s">
        <v>520</v>
      </c>
      <c r="C137" s="226"/>
      <c r="D137" s="227" t="s">
        <v>521</v>
      </c>
      <c r="E137" s="227" t="s">
        <v>522</v>
      </c>
      <c r="F137" s="227"/>
      <c r="G137" s="227"/>
      <c r="H137" s="227"/>
      <c r="I137" s="227"/>
      <c r="J137" s="227"/>
      <c r="K137" s="227"/>
      <c r="L137" s="227"/>
      <c r="M137" s="227"/>
      <c r="N137" s="227" t="s">
        <v>524</v>
      </c>
      <c r="O137" s="227"/>
    </row>
    <row r="138" spans="1:23" ht="15">
      <c r="B138" s="227" t="s">
        <v>314</v>
      </c>
      <c r="C138" s="228"/>
      <c r="D138" s="229">
        <v>290000</v>
      </c>
      <c r="E138" s="230">
        <f>D138*0.25</f>
        <v>72500</v>
      </c>
      <c r="F138" s="230"/>
      <c r="G138" s="230"/>
      <c r="H138" s="230"/>
      <c r="I138" s="230"/>
      <c r="J138" s="230"/>
      <c r="K138" s="230"/>
      <c r="L138" s="230"/>
      <c r="M138" s="230"/>
      <c r="N138" s="230">
        <f>(D138-E138)*0.35</f>
        <v>76125</v>
      </c>
    </row>
    <row r="139" spans="1:23" ht="15">
      <c r="B139" s="227" t="s">
        <v>315</v>
      </c>
      <c r="C139" s="228"/>
      <c r="D139" s="229">
        <v>150000</v>
      </c>
      <c r="E139" s="230">
        <f>D139*0.25</f>
        <v>37500</v>
      </c>
      <c r="F139" s="230"/>
      <c r="G139" s="230"/>
      <c r="H139" s="230"/>
      <c r="I139" s="230"/>
      <c r="J139" s="230"/>
      <c r="K139" s="230"/>
      <c r="L139" s="230"/>
      <c r="M139" s="230"/>
      <c r="N139" s="230">
        <f>(D139-E139)*0.35</f>
        <v>39375</v>
      </c>
      <c r="T139" s="232" t="s">
        <v>0</v>
      </c>
    </row>
    <row r="140" spans="1:23" ht="15">
      <c r="B140" s="227" t="s">
        <v>132</v>
      </c>
      <c r="C140" s="228"/>
      <c r="D140" s="229">
        <v>65000</v>
      </c>
      <c r="E140" s="230">
        <f>D140*0.25</f>
        <v>16250</v>
      </c>
      <c r="F140" s="230"/>
      <c r="G140" s="230"/>
      <c r="H140" s="230"/>
      <c r="I140" s="230"/>
      <c r="J140" s="230"/>
      <c r="K140" s="230"/>
      <c r="L140" s="230"/>
      <c r="M140" s="230"/>
      <c r="N140" s="230">
        <f>(D140-E140)*0.35</f>
        <v>17062.5</v>
      </c>
      <c r="T140" s="232" t="s">
        <v>0</v>
      </c>
    </row>
    <row r="141" spans="1:23" ht="15">
      <c r="B141" s="227" t="s">
        <v>367</v>
      </c>
      <c r="C141" s="228"/>
      <c r="D141" s="229">
        <v>26500</v>
      </c>
      <c r="E141" s="230">
        <f>D141*0.25</f>
        <v>6625</v>
      </c>
      <c r="F141" s="230"/>
      <c r="G141" s="230"/>
      <c r="H141" s="230"/>
      <c r="I141" s="230"/>
      <c r="J141" s="230"/>
      <c r="K141" s="230"/>
      <c r="L141" s="230"/>
      <c r="M141" s="230"/>
      <c r="N141" s="230">
        <f>(D141-E141)*0.35</f>
        <v>6956.25</v>
      </c>
    </row>
    <row r="142" spans="1:23" ht="15">
      <c r="B142" s="227" t="s">
        <v>373</v>
      </c>
      <c r="C142" s="228"/>
      <c r="D142" s="229">
        <v>60000</v>
      </c>
      <c r="E142" s="230">
        <f>D142</f>
        <v>60000</v>
      </c>
      <c r="F142" s="230"/>
      <c r="G142" s="230"/>
      <c r="H142" s="230"/>
      <c r="I142" s="230"/>
      <c r="J142" s="230"/>
      <c r="K142" s="230"/>
      <c r="L142" s="230"/>
      <c r="M142" s="230"/>
      <c r="N142" s="230">
        <v>0</v>
      </c>
    </row>
    <row r="143" spans="1:23" ht="15">
      <c r="B143" s="227" t="s">
        <v>576</v>
      </c>
      <c r="C143" s="228"/>
      <c r="D143" s="229">
        <v>29000</v>
      </c>
      <c r="E143" s="230" t="e">
        <f>D143-#REF!</f>
        <v>#REF!</v>
      </c>
      <c r="F143" s="230"/>
      <c r="G143" s="230"/>
      <c r="H143" s="230"/>
      <c r="I143" s="230"/>
      <c r="J143" s="230"/>
      <c r="K143" s="230"/>
      <c r="L143" s="230"/>
      <c r="M143" s="230"/>
      <c r="N143" s="230">
        <v>0</v>
      </c>
    </row>
    <row r="144" spans="1:23" ht="15">
      <c r="B144" s="227" t="s">
        <v>378</v>
      </c>
      <c r="C144" s="228"/>
      <c r="D144" s="229">
        <v>29000</v>
      </c>
      <c r="E144" s="230" t="e">
        <f>D144-#REF!</f>
        <v>#REF!</v>
      </c>
      <c r="F144" s="230"/>
      <c r="G144" s="230"/>
      <c r="H144" s="230"/>
      <c r="I144" s="230"/>
      <c r="J144" s="230"/>
      <c r="K144" s="230"/>
      <c r="L144" s="230"/>
      <c r="M144" s="230"/>
      <c r="N144" s="230">
        <v>0</v>
      </c>
    </row>
  </sheetData>
  <pageMargins left="0.70866141732283472" right="0.70866141732283472" top="0.74803149606299213" bottom="0.74803149606299213" header="0.31496062992125984" footer="0.31496062992125984"/>
  <pageSetup paperSize="8" scale="46" orientation="portrait" horizontalDpi="360" verticalDpi="360"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AD53-3FFB-45C6-895A-B44468DAF180}">
  <dimension ref="A1:AG149"/>
  <sheetViews>
    <sheetView topLeftCell="A93" zoomScale="80" zoomScaleNormal="80" workbookViewId="0">
      <selection activeCell="O29" sqref="O29"/>
    </sheetView>
  </sheetViews>
  <sheetFormatPr baseColWidth="10" defaultColWidth="8.83203125" defaultRowHeight="14" outlineLevelCol="1"/>
  <cols>
    <col min="1" max="1" width="2.5" style="3" customWidth="1"/>
    <col min="2" max="2" width="48.5" style="282" customWidth="1"/>
    <col min="3" max="3" width="16.1640625" style="3" customWidth="1"/>
    <col min="4" max="4" width="13.5" style="3" customWidth="1"/>
    <col min="5" max="5" width="12.83203125" style="3" hidden="1" customWidth="1" outlineLevel="1"/>
    <col min="6" max="7" width="11.83203125" style="3" hidden="1" customWidth="1" outlineLevel="1"/>
    <col min="8" max="8" width="13.5" style="3" hidden="1" customWidth="1" outlineLevel="1"/>
    <col min="9" max="9" width="12.83203125" style="3" hidden="1" customWidth="1" outlineLevel="1"/>
    <col min="10" max="10" width="16.83203125" style="3" hidden="1" customWidth="1" outlineLevel="1"/>
    <col min="11" max="11" width="18.5" style="3" customWidth="1" collapsed="1"/>
    <col min="12" max="12" width="16.1640625" style="3" bestFit="1" customWidth="1"/>
    <col min="13" max="13" width="19.83203125" style="3" customWidth="1"/>
    <col min="14" max="14" width="20.1640625" style="3" customWidth="1"/>
    <col min="15" max="15" width="19.83203125" style="3" customWidth="1"/>
    <col min="16" max="16" width="20.1640625" style="3" customWidth="1"/>
    <col min="17" max="17" width="20.83203125" style="3" customWidth="1"/>
    <col min="18" max="21" width="19.1640625" style="3" customWidth="1"/>
    <col min="22" max="22" width="12.5" style="3" customWidth="1" outlineLevel="1"/>
    <col min="23" max="23" width="17.83203125" style="3" customWidth="1" outlineLevel="1"/>
    <col min="24" max="24" width="13.1640625" style="3" customWidth="1" outlineLevel="1"/>
    <col min="25" max="29" width="11.83203125" style="3" customWidth="1" outlineLevel="1"/>
    <col min="30" max="30" width="11.5" style="3" customWidth="1"/>
    <col min="31" max="31" width="8.83203125" style="3"/>
    <col min="32" max="32" width="12.5" style="3" bestFit="1" customWidth="1"/>
    <col min="33" max="33" width="11.5" style="3" bestFit="1" customWidth="1"/>
    <col min="34" max="16384" width="8.83203125" style="3"/>
  </cols>
  <sheetData>
    <row r="1" spans="1:30">
      <c r="Z1" s="3" t="s">
        <v>0</v>
      </c>
    </row>
    <row r="2" spans="1:30" ht="15" thickBot="1">
      <c r="L2" s="334"/>
    </row>
    <row r="3" spans="1:30" s="201" customFormat="1" ht="16" thickBot="1">
      <c r="B3" s="283" t="s">
        <v>1</v>
      </c>
      <c r="C3" s="265"/>
      <c r="D3" s="266"/>
      <c r="E3" s="203"/>
      <c r="F3" s="203"/>
      <c r="G3" s="203"/>
      <c r="H3" s="203"/>
      <c r="I3" s="203"/>
      <c r="J3" s="203"/>
      <c r="K3" s="203"/>
      <c r="L3" s="203"/>
      <c r="M3" s="203"/>
      <c r="N3" s="203"/>
      <c r="O3" s="203"/>
      <c r="P3" s="203"/>
      <c r="Q3" s="203"/>
      <c r="R3" s="203"/>
      <c r="S3" s="203"/>
      <c r="T3" s="203"/>
      <c r="U3" s="203"/>
      <c r="V3" s="203"/>
      <c r="W3" s="203"/>
      <c r="X3" s="203"/>
      <c r="Y3" s="203"/>
      <c r="Z3" s="203"/>
      <c r="AA3" s="203"/>
      <c r="AB3" s="203"/>
      <c r="AC3" s="203"/>
      <c r="AD3" s="204"/>
    </row>
    <row r="4" spans="1:30" ht="16" thickTop="1">
      <c r="B4" s="284" t="s">
        <v>2</v>
      </c>
      <c r="C4" s="205"/>
      <c r="D4" s="206"/>
      <c r="N4" s="339"/>
      <c r="AD4" s="207"/>
    </row>
    <row r="5" spans="1:30">
      <c r="A5" s="3" t="s">
        <v>0</v>
      </c>
      <c r="B5" s="285"/>
      <c r="C5" s="205"/>
      <c r="D5" s="206"/>
      <c r="E5" s="208">
        <v>45170</v>
      </c>
      <c r="F5" s="209">
        <v>45170</v>
      </c>
      <c r="G5" s="209">
        <v>45170</v>
      </c>
      <c r="H5" s="209">
        <v>45170</v>
      </c>
      <c r="I5" s="209">
        <v>45200</v>
      </c>
      <c r="J5" s="271">
        <v>45200</v>
      </c>
      <c r="K5" s="302">
        <v>45200</v>
      </c>
      <c r="L5" s="302">
        <v>45200</v>
      </c>
      <c r="M5" s="302">
        <v>45200</v>
      </c>
      <c r="N5" s="340">
        <v>45231</v>
      </c>
      <c r="O5" s="208">
        <v>45231</v>
      </c>
      <c r="P5" s="209">
        <v>45231</v>
      </c>
      <c r="Q5" s="209">
        <v>45231</v>
      </c>
      <c r="R5" s="209">
        <v>45261</v>
      </c>
      <c r="S5" s="209">
        <v>45261</v>
      </c>
      <c r="T5" s="209">
        <v>45261</v>
      </c>
      <c r="U5" s="209">
        <v>45261</v>
      </c>
      <c r="V5" s="209">
        <v>45292</v>
      </c>
      <c r="W5" s="209">
        <v>45323</v>
      </c>
      <c r="X5" s="209">
        <v>45352</v>
      </c>
      <c r="Y5" s="209">
        <v>45383</v>
      </c>
      <c r="Z5" s="209">
        <v>45413</v>
      </c>
      <c r="AA5" s="209">
        <v>45444</v>
      </c>
      <c r="AB5" s="209">
        <v>45474</v>
      </c>
      <c r="AC5" s="271">
        <v>45505</v>
      </c>
      <c r="AD5" s="303">
        <v>45536</v>
      </c>
    </row>
    <row r="6" spans="1:30">
      <c r="B6" s="285"/>
      <c r="C6" s="210"/>
      <c r="D6" s="206"/>
      <c r="E6" s="267" t="s">
        <v>3</v>
      </c>
      <c r="F6" s="267" t="s">
        <v>4</v>
      </c>
      <c r="G6" s="267" t="s">
        <v>5</v>
      </c>
      <c r="H6" s="267" t="s">
        <v>6</v>
      </c>
      <c r="I6" s="267" t="s">
        <v>7</v>
      </c>
      <c r="J6" s="267" t="s">
        <v>8</v>
      </c>
      <c r="K6" s="267" t="s">
        <v>9</v>
      </c>
      <c r="L6" s="267" t="s">
        <v>10</v>
      </c>
      <c r="M6" s="267" t="s">
        <v>11</v>
      </c>
      <c r="N6" s="341" t="s">
        <v>12</v>
      </c>
      <c r="O6" s="267" t="s">
        <v>13</v>
      </c>
      <c r="P6" s="267" t="s">
        <v>14</v>
      </c>
      <c r="Q6" s="267" t="s">
        <v>15</v>
      </c>
      <c r="R6" s="267" t="s">
        <v>16</v>
      </c>
      <c r="S6" s="267" t="s">
        <v>17</v>
      </c>
      <c r="T6" s="267" t="s">
        <v>18</v>
      </c>
      <c r="U6" s="267" t="s">
        <v>19</v>
      </c>
      <c r="V6" s="267"/>
      <c r="W6" s="267"/>
      <c r="X6" s="267"/>
      <c r="Y6" s="267"/>
      <c r="Z6" s="267"/>
      <c r="AA6" s="267"/>
      <c r="AB6" s="267"/>
      <c r="AC6" s="267"/>
      <c r="AD6" s="305"/>
    </row>
    <row r="7" spans="1:30" s="211" customFormat="1" ht="15">
      <c r="B7" s="286" t="s">
        <v>46</v>
      </c>
      <c r="C7" s="212"/>
      <c r="D7" s="213"/>
      <c r="E7" s="272">
        <v>90280</v>
      </c>
      <c r="F7" s="273"/>
      <c r="G7" s="273" t="s">
        <v>0</v>
      </c>
      <c r="H7" s="273"/>
      <c r="I7" s="273"/>
      <c r="J7" s="273"/>
      <c r="K7" s="273"/>
      <c r="L7" s="273"/>
      <c r="M7" s="273"/>
      <c r="N7" s="342"/>
      <c r="O7" s="273"/>
      <c r="P7" s="273"/>
      <c r="Q7" s="273"/>
      <c r="R7" s="273"/>
      <c r="S7" s="273"/>
      <c r="T7" s="273"/>
      <c r="U7" s="273"/>
      <c r="V7" s="273"/>
      <c r="W7" s="273"/>
      <c r="X7" s="273"/>
      <c r="Y7" s="273"/>
      <c r="Z7" s="268"/>
      <c r="AA7" s="268"/>
      <c r="AB7" s="268"/>
      <c r="AC7" s="268"/>
      <c r="AD7" s="274"/>
    </row>
    <row r="8" spans="1:30" s="211" customFormat="1" ht="15">
      <c r="B8" s="286" t="s">
        <v>47</v>
      </c>
      <c r="C8" s="212"/>
      <c r="D8" s="213"/>
      <c r="E8" s="273"/>
      <c r="F8" s="272">
        <v>46684</v>
      </c>
      <c r="G8" s="273"/>
      <c r="H8" s="273"/>
      <c r="I8" s="273"/>
      <c r="J8" s="273"/>
      <c r="K8" s="273"/>
      <c r="L8" s="273"/>
      <c r="M8" s="273"/>
      <c r="N8" s="343"/>
      <c r="P8" s="273">
        <v>25000</v>
      </c>
      <c r="Q8" s="273"/>
      <c r="R8" s="273"/>
      <c r="S8" s="273"/>
      <c r="T8" s="273"/>
      <c r="U8" s="273"/>
      <c r="V8" s="273">
        <v>25000</v>
      </c>
      <c r="W8" s="273"/>
      <c r="X8" s="273"/>
      <c r="Y8" s="273"/>
      <c r="Z8" s="268"/>
      <c r="AA8" s="268"/>
      <c r="AB8" s="268"/>
      <c r="AC8" s="268"/>
      <c r="AD8" s="274"/>
    </row>
    <row r="9" spans="1:30" s="211" customFormat="1" ht="15">
      <c r="B9" s="286" t="s">
        <v>49</v>
      </c>
      <c r="C9" s="212"/>
      <c r="D9" s="213"/>
      <c r="E9" s="273"/>
      <c r="F9" s="273"/>
      <c r="G9" s="273"/>
      <c r="H9" s="273"/>
      <c r="I9" s="273"/>
      <c r="J9" s="273"/>
      <c r="K9" s="273"/>
      <c r="L9" s="273"/>
      <c r="M9" s="273"/>
      <c r="N9" s="342"/>
      <c r="O9" s="273"/>
      <c r="P9" s="273"/>
      <c r="Q9" s="273"/>
      <c r="R9" s="273"/>
      <c r="S9" s="273"/>
      <c r="T9" s="273"/>
      <c r="U9" s="273"/>
      <c r="V9" s="273"/>
      <c r="W9" s="273"/>
      <c r="X9" s="273"/>
      <c r="Y9" s="273"/>
      <c r="Z9" s="268"/>
      <c r="AA9" s="268"/>
      <c r="AB9" s="268"/>
      <c r="AC9" s="268"/>
      <c r="AD9" s="274"/>
    </row>
    <row r="10" spans="1:30" s="211" customFormat="1" ht="15" thickBot="1">
      <c r="B10" s="286"/>
      <c r="C10" s="212"/>
      <c r="D10" s="213"/>
      <c r="E10" s="273"/>
      <c r="F10" s="273"/>
      <c r="G10" s="273"/>
      <c r="H10" s="273"/>
      <c r="I10" s="273"/>
      <c r="J10" s="273"/>
      <c r="K10" s="273"/>
      <c r="L10" s="273"/>
      <c r="M10" s="273"/>
      <c r="N10" s="342"/>
      <c r="O10" s="273"/>
      <c r="P10" s="273"/>
      <c r="Q10" s="273"/>
      <c r="R10" s="273"/>
      <c r="S10" s="273"/>
      <c r="T10" s="273"/>
      <c r="U10" s="273"/>
      <c r="V10" s="273"/>
      <c r="W10" s="273"/>
      <c r="X10" s="273"/>
      <c r="Y10" s="273"/>
      <c r="Z10" s="268"/>
      <c r="AA10" s="268"/>
      <c r="AB10" s="268"/>
      <c r="AC10" s="268"/>
      <c r="AD10" s="274"/>
    </row>
    <row r="11" spans="1:30" s="211" customFormat="1" ht="16" thickBot="1">
      <c r="B11" s="287" t="s">
        <v>50</v>
      </c>
      <c r="C11" s="212"/>
      <c r="D11" s="213"/>
      <c r="E11" s="273"/>
      <c r="F11" s="273"/>
      <c r="G11" s="273"/>
      <c r="H11" s="273"/>
      <c r="I11" s="273"/>
      <c r="J11" s="273"/>
      <c r="K11" s="273"/>
      <c r="L11" s="273"/>
      <c r="M11" s="273"/>
      <c r="N11" s="342"/>
      <c r="O11" s="273"/>
      <c r="P11" s="273"/>
      <c r="Q11" s="273"/>
      <c r="R11" s="273"/>
      <c r="S11" s="273"/>
      <c r="T11" s="273"/>
      <c r="U11" s="273"/>
      <c r="V11" s="273"/>
      <c r="W11" s="273"/>
      <c r="X11" s="273"/>
      <c r="Y11" s="273"/>
      <c r="Z11" s="268"/>
      <c r="AA11" s="268"/>
      <c r="AB11" s="268"/>
      <c r="AC11" s="268"/>
      <c r="AD11" s="274"/>
    </row>
    <row r="12" spans="1:30" s="211" customFormat="1" ht="15">
      <c r="B12" s="288" t="s">
        <v>313</v>
      </c>
      <c r="C12" s="212"/>
      <c r="D12" s="213"/>
      <c r="E12" s="268"/>
      <c r="F12" s="268"/>
      <c r="G12" s="268"/>
      <c r="H12" s="268"/>
      <c r="I12" s="268"/>
      <c r="J12" s="268"/>
      <c r="K12" s="268"/>
      <c r="L12" s="268"/>
      <c r="M12" s="268"/>
      <c r="N12" s="343"/>
      <c r="O12" s="275"/>
      <c r="P12" s="275"/>
      <c r="Q12" s="275"/>
      <c r="R12" s="268"/>
      <c r="S12" s="275">
        <f>Retention!F4</f>
        <v>14400</v>
      </c>
      <c r="T12" s="268"/>
      <c r="U12" s="268"/>
      <c r="V12" s="268"/>
      <c r="W12" s="268"/>
      <c r="X12" s="268"/>
      <c r="Y12" s="268"/>
      <c r="Z12" s="268"/>
      <c r="AA12" s="268"/>
      <c r="AB12" s="268"/>
      <c r="AC12" s="268"/>
      <c r="AD12" s="274"/>
    </row>
    <row r="13" spans="1:30" s="211" customFormat="1" ht="15">
      <c r="B13" s="288" t="s">
        <v>62</v>
      </c>
      <c r="C13" s="212"/>
      <c r="D13" s="213"/>
      <c r="E13" s="268"/>
      <c r="F13" s="268"/>
      <c r="G13" s="269">
        <f>18250*0.8</f>
        <v>14600</v>
      </c>
      <c r="H13" s="268"/>
      <c r="I13" s="268"/>
      <c r="J13" s="268"/>
      <c r="K13" s="268"/>
      <c r="L13" s="268"/>
      <c r="M13" s="268"/>
      <c r="N13" s="344"/>
      <c r="O13" s="268"/>
      <c r="P13" s="268"/>
      <c r="Q13" s="268"/>
      <c r="R13" s="268"/>
      <c r="S13" s="268"/>
      <c r="T13" s="268"/>
      <c r="U13" s="268"/>
      <c r="V13" s="268"/>
      <c r="W13" s="268"/>
      <c r="X13" s="268"/>
      <c r="Y13" s="268"/>
      <c r="Z13" s="268"/>
      <c r="AA13" s="268"/>
      <c r="AB13" s="268"/>
      <c r="AC13" s="268"/>
      <c r="AD13" s="274"/>
    </row>
    <row r="14" spans="1:30" s="211" customFormat="1" ht="15">
      <c r="B14" s="288" t="s">
        <v>656</v>
      </c>
      <c r="C14" s="212"/>
      <c r="D14" s="213"/>
      <c r="E14" s="268"/>
      <c r="F14" s="268"/>
      <c r="G14" s="268"/>
      <c r="H14" s="268"/>
      <c r="I14" s="268"/>
      <c r="J14" s="268"/>
      <c r="K14" s="268"/>
      <c r="M14" s="268"/>
      <c r="N14" s="343"/>
      <c r="V14" s="268">
        <f>Retention!F28</f>
        <v>44384.040000000008</v>
      </c>
      <c r="W14" s="268"/>
      <c r="X14" s="268"/>
      <c r="Y14" s="268"/>
      <c r="Z14" s="268"/>
      <c r="AA14" s="268"/>
      <c r="AB14" s="268"/>
      <c r="AC14" s="268"/>
      <c r="AD14" s="274"/>
    </row>
    <row r="15" spans="1:30" s="211" customFormat="1" ht="15">
      <c r="B15" s="288" t="s">
        <v>657</v>
      </c>
      <c r="C15" s="212"/>
      <c r="D15" s="213"/>
      <c r="E15" s="268"/>
      <c r="F15" s="268"/>
      <c r="G15" s="268"/>
      <c r="H15" s="268"/>
      <c r="I15" s="268"/>
      <c r="J15" s="268"/>
      <c r="K15" s="268"/>
      <c r="L15" s="268"/>
      <c r="N15" s="344"/>
      <c r="O15" s="268"/>
      <c r="P15" s="268"/>
      <c r="Q15" s="268"/>
      <c r="R15" s="268"/>
      <c r="S15" s="268"/>
      <c r="T15" s="268"/>
      <c r="U15" s="268"/>
      <c r="V15" s="268"/>
      <c r="W15" s="268"/>
      <c r="X15" s="268">
        <f>Retention!F10</f>
        <v>13560</v>
      </c>
      <c r="Y15" s="268"/>
      <c r="Z15" s="268"/>
      <c r="AA15" s="268"/>
      <c r="AB15" s="268"/>
      <c r="AC15" s="268"/>
      <c r="AD15" s="274"/>
    </row>
    <row r="16" spans="1:30" s="211" customFormat="1" ht="15">
      <c r="B16" s="288" t="s">
        <v>54</v>
      </c>
      <c r="C16" s="212"/>
      <c r="D16" s="213"/>
      <c r="E16" s="268"/>
      <c r="F16" s="268"/>
      <c r="G16" s="268"/>
      <c r="H16" s="268"/>
      <c r="I16" s="268" t="s">
        <v>0</v>
      </c>
      <c r="J16" s="268"/>
      <c r="K16" s="268"/>
      <c r="L16" s="268"/>
      <c r="N16" s="344"/>
      <c r="O16" s="268">
        <f>Retention!F8</f>
        <v>4650</v>
      </c>
      <c r="P16" s="268"/>
      <c r="Q16" s="268"/>
      <c r="R16" s="268"/>
      <c r="S16" s="268"/>
      <c r="T16" s="268"/>
      <c r="U16" s="268"/>
      <c r="V16" s="268"/>
      <c r="W16" s="268"/>
      <c r="X16" s="268"/>
      <c r="Y16" s="268"/>
      <c r="Z16" s="268"/>
      <c r="AA16" s="268"/>
      <c r="AB16" s="268"/>
      <c r="AC16" s="268"/>
      <c r="AD16" s="274"/>
    </row>
    <row r="17" spans="1:31" s="211" customFormat="1" ht="15">
      <c r="B17" s="288" t="s">
        <v>55</v>
      </c>
      <c r="C17" s="212"/>
      <c r="D17" s="213"/>
      <c r="E17" s="268"/>
      <c r="F17" s="268"/>
      <c r="G17" s="268"/>
      <c r="H17" s="268"/>
      <c r="I17" s="268"/>
      <c r="J17" s="268"/>
      <c r="K17" s="268"/>
      <c r="L17" s="268"/>
      <c r="N17" s="343"/>
      <c r="O17" s="268"/>
      <c r="P17" s="268"/>
      <c r="Q17" s="268"/>
      <c r="R17" s="268">
        <f>Retention!F22</f>
        <v>4335.4480000000003</v>
      </c>
      <c r="S17" s="268"/>
      <c r="T17" s="268"/>
      <c r="U17" s="268"/>
      <c r="V17" s="268"/>
      <c r="W17" s="268"/>
      <c r="X17" s="268"/>
      <c r="Y17" s="268"/>
      <c r="Z17" s="268"/>
      <c r="AA17" s="268"/>
      <c r="AB17" s="268"/>
      <c r="AC17" s="268"/>
      <c r="AD17" s="274"/>
    </row>
    <row r="18" spans="1:31" s="211" customFormat="1" ht="15">
      <c r="B18" s="288" t="s">
        <v>56</v>
      </c>
      <c r="C18" s="212" t="s">
        <v>0</v>
      </c>
      <c r="D18" s="213"/>
      <c r="E18" s="268"/>
      <c r="F18" s="268"/>
      <c r="G18" s="268"/>
      <c r="H18" s="268"/>
      <c r="I18" s="268"/>
      <c r="J18" s="268"/>
      <c r="K18" s="268"/>
      <c r="L18" s="268"/>
      <c r="N18" s="344"/>
      <c r="O18" s="268"/>
      <c r="P18" s="268"/>
      <c r="Q18" s="268"/>
      <c r="R18" s="268"/>
      <c r="S18" s="268"/>
      <c r="T18" s="268"/>
      <c r="U18" s="268"/>
      <c r="V18" s="268"/>
      <c r="W18" s="268"/>
      <c r="X18" s="268"/>
      <c r="Y18" s="268"/>
      <c r="Z18" s="268"/>
      <c r="AA18" s="268"/>
      <c r="AB18" s="268"/>
      <c r="AC18" s="268"/>
      <c r="AD18" s="274"/>
    </row>
    <row r="19" spans="1:31" s="211" customFormat="1" ht="15">
      <c r="B19" s="288" t="s">
        <v>634</v>
      </c>
      <c r="C19" s="212" t="s">
        <v>0</v>
      </c>
      <c r="D19" s="213"/>
      <c r="E19" s="268"/>
      <c r="F19" s="268"/>
      <c r="G19" s="268"/>
      <c r="H19" s="268"/>
      <c r="I19" s="268"/>
      <c r="J19" s="268"/>
      <c r="K19" s="268"/>
      <c r="L19" s="268"/>
      <c r="M19" s="268"/>
      <c r="N19" s="344"/>
      <c r="O19" s="268"/>
      <c r="P19" s="268"/>
      <c r="Q19" s="268"/>
      <c r="R19" s="268"/>
      <c r="S19" s="268"/>
      <c r="T19" s="268"/>
      <c r="U19" s="268"/>
      <c r="V19" s="268"/>
      <c r="W19" s="268">
        <f>Retention!H56</f>
        <v>3200</v>
      </c>
      <c r="X19" s="268"/>
      <c r="Y19" s="268"/>
      <c r="Z19" s="268"/>
      <c r="AA19" s="268"/>
      <c r="AB19" s="268"/>
      <c r="AC19" s="268"/>
      <c r="AD19" s="274"/>
    </row>
    <row r="20" spans="1:31" s="211" customFormat="1" ht="15">
      <c r="B20" s="288" t="s">
        <v>635</v>
      </c>
      <c r="C20" s="212"/>
      <c r="D20" s="213"/>
      <c r="E20" s="268"/>
      <c r="F20" s="268"/>
      <c r="G20" s="268"/>
      <c r="H20" s="268"/>
      <c r="I20" s="268"/>
      <c r="J20" s="268"/>
      <c r="K20" s="268"/>
      <c r="L20" s="268"/>
      <c r="M20" s="268"/>
      <c r="N20" s="344"/>
      <c r="O20" s="268"/>
      <c r="P20" s="268"/>
      <c r="Q20" s="268"/>
      <c r="R20" s="268"/>
      <c r="S20" s="268"/>
      <c r="T20" s="268"/>
      <c r="U20" s="268"/>
      <c r="V20" s="268"/>
      <c r="W20" s="268"/>
      <c r="X20" s="268"/>
      <c r="Y20" s="268"/>
      <c r="Z20" s="268">
        <f>Retention!I56</f>
        <v>42000</v>
      </c>
      <c r="AA20" s="268"/>
      <c r="AB20" s="268"/>
      <c r="AC20" s="268"/>
      <c r="AD20" s="274"/>
    </row>
    <row r="21" spans="1:31" s="211" customFormat="1" ht="15">
      <c r="B21" s="288" t="s">
        <v>58</v>
      </c>
      <c r="C21" s="212"/>
      <c r="D21" s="213"/>
      <c r="E21" s="268"/>
      <c r="F21" s="268"/>
      <c r="G21" s="268"/>
      <c r="H21" s="268"/>
      <c r="I21" s="268"/>
      <c r="J21" s="268"/>
      <c r="K21" s="268"/>
      <c r="L21" s="268"/>
      <c r="M21" s="268"/>
      <c r="N21" s="344"/>
      <c r="O21" s="268"/>
      <c r="P21" s="268"/>
      <c r="Q21" s="268"/>
      <c r="R21" s="268"/>
      <c r="S21" s="268"/>
      <c r="T21" s="268"/>
      <c r="U21" s="268"/>
      <c r="V21" s="268"/>
      <c r="W21" s="268"/>
      <c r="X21" s="268"/>
      <c r="Y21" s="268"/>
      <c r="Z21" s="268"/>
      <c r="AA21" s="268"/>
      <c r="AB21" s="268"/>
      <c r="AC21" s="268">
        <f>Retention!J56</f>
        <v>11694.62</v>
      </c>
      <c r="AD21" s="274">
        <f>Retention!K56</f>
        <v>0</v>
      </c>
    </row>
    <row r="22" spans="1:31" s="211" customFormat="1" ht="15">
      <c r="B22" s="288" t="s">
        <v>59</v>
      </c>
      <c r="C22" s="212"/>
      <c r="D22" s="213"/>
      <c r="E22" s="268"/>
      <c r="F22" s="268"/>
      <c r="G22" s="268"/>
      <c r="H22" s="268"/>
      <c r="I22" s="268"/>
      <c r="J22" s="268"/>
      <c r="K22" s="268"/>
      <c r="L22" s="268"/>
      <c r="M22" s="268"/>
      <c r="N22" s="344"/>
      <c r="O22" s="268"/>
      <c r="P22" s="268"/>
      <c r="Q22" s="268"/>
      <c r="R22" s="268"/>
      <c r="S22" s="268"/>
      <c r="T22" s="268"/>
      <c r="U22" s="268"/>
      <c r="V22" s="268">
        <f>24391*0.8</f>
        <v>19512.8</v>
      </c>
      <c r="W22" s="268"/>
      <c r="X22" s="268"/>
      <c r="Y22" s="268"/>
      <c r="Z22" s="268"/>
      <c r="AA22" s="268"/>
      <c r="AB22" s="268"/>
      <c r="AC22" s="268"/>
      <c r="AD22" s="274"/>
    </row>
    <row r="23" spans="1:31" s="211" customFormat="1" ht="15">
      <c r="B23" s="288" t="s">
        <v>60</v>
      </c>
      <c r="C23" s="212"/>
      <c r="D23" s="213"/>
      <c r="E23" s="268"/>
      <c r="F23" s="268"/>
      <c r="G23" s="268"/>
      <c r="H23" s="268"/>
      <c r="I23" s="268"/>
      <c r="J23" s="268"/>
      <c r="K23" s="268"/>
      <c r="L23" s="268"/>
      <c r="M23" s="268"/>
      <c r="N23" s="344"/>
      <c r="O23" s="268"/>
      <c r="P23" s="268"/>
      <c r="Q23" s="268"/>
      <c r="R23" s="268"/>
      <c r="S23" s="268"/>
      <c r="T23" s="268"/>
      <c r="U23" s="268"/>
      <c r="V23" s="268"/>
      <c r="W23" s="268"/>
      <c r="X23" s="268"/>
      <c r="Y23" s="268"/>
      <c r="Z23" s="268"/>
      <c r="AA23" s="268"/>
      <c r="AB23" s="268"/>
      <c r="AC23" s="268"/>
      <c r="AD23" s="274"/>
    </row>
    <row r="24" spans="1:31" s="211" customFormat="1" ht="15" thickBot="1">
      <c r="B24" s="288"/>
      <c r="C24" s="212"/>
      <c r="D24" s="213"/>
      <c r="E24" s="268"/>
      <c r="F24" s="268"/>
      <c r="G24" s="268"/>
      <c r="H24" s="268"/>
      <c r="I24" s="268"/>
      <c r="J24" s="268"/>
      <c r="K24" s="268"/>
      <c r="L24" s="268"/>
      <c r="M24" s="268"/>
      <c r="N24" s="344"/>
      <c r="O24" s="268"/>
      <c r="P24" s="268"/>
      <c r="Q24" s="268"/>
      <c r="R24" s="268"/>
      <c r="S24" s="268"/>
      <c r="T24" s="268"/>
      <c r="U24" s="268"/>
      <c r="V24" s="268"/>
      <c r="W24" s="268"/>
      <c r="X24" s="268"/>
      <c r="Y24" s="268"/>
      <c r="Z24" s="268"/>
      <c r="AA24" s="268"/>
      <c r="AB24" s="268"/>
      <c r="AC24" s="268"/>
      <c r="AD24" s="274"/>
    </row>
    <row r="25" spans="1:31" ht="16" thickBot="1">
      <c r="A25" s="3" t="s">
        <v>0</v>
      </c>
      <c r="B25" s="289" t="s">
        <v>63</v>
      </c>
      <c r="C25" s="315" t="s">
        <v>64</v>
      </c>
      <c r="D25" s="316" t="s">
        <v>65</v>
      </c>
      <c r="E25" s="268"/>
      <c r="F25" s="268"/>
      <c r="G25" s="268"/>
      <c r="H25" s="268"/>
      <c r="I25" s="268"/>
      <c r="J25" s="268"/>
      <c r="K25" s="268"/>
      <c r="L25" s="268"/>
      <c r="M25" s="268"/>
      <c r="N25" s="344"/>
      <c r="O25" s="268"/>
      <c r="P25" s="268"/>
      <c r="Q25" s="268"/>
      <c r="R25" s="268"/>
      <c r="S25" s="268"/>
      <c r="T25" s="268"/>
      <c r="U25" s="268"/>
      <c r="V25" s="268"/>
      <c r="W25" s="268"/>
      <c r="X25" s="268"/>
      <c r="Y25" s="268"/>
      <c r="Z25" s="268"/>
      <c r="AA25" s="268"/>
      <c r="AB25" s="268"/>
      <c r="AC25" s="268"/>
      <c r="AD25" s="274"/>
    </row>
    <row r="26" spans="1:31" ht="15">
      <c r="A26" s="3" t="s">
        <v>0</v>
      </c>
      <c r="B26" s="290" t="s">
        <v>314</v>
      </c>
      <c r="C26" s="215">
        <v>340000</v>
      </c>
      <c r="D26" s="217">
        <v>200000</v>
      </c>
      <c r="E26" s="268"/>
      <c r="F26" s="268"/>
      <c r="G26" s="268"/>
      <c r="H26" s="268"/>
      <c r="I26" s="269">
        <f>50000*0.8</f>
        <v>40000</v>
      </c>
      <c r="J26" s="269">
        <f>40000*0.8</f>
        <v>32000</v>
      </c>
      <c r="L26" s="268" t="s">
        <v>0</v>
      </c>
      <c r="N26" s="344"/>
      <c r="O26" s="354">
        <v>35000</v>
      </c>
      <c r="P26" s="268">
        <v>0</v>
      </c>
      <c r="Q26" s="268">
        <v>35000</v>
      </c>
      <c r="R26" s="268">
        <v>0</v>
      </c>
      <c r="S26" s="268">
        <v>0</v>
      </c>
      <c r="T26" s="268">
        <v>0</v>
      </c>
      <c r="U26" s="268">
        <f>67000+8500</f>
        <v>75500</v>
      </c>
      <c r="V26" s="268" t="s">
        <v>0</v>
      </c>
      <c r="W26" s="268" t="s">
        <v>0</v>
      </c>
      <c r="X26" s="268"/>
      <c r="Y26" s="268"/>
      <c r="Z26" s="268"/>
      <c r="AA26" s="268"/>
      <c r="AB26" s="268"/>
      <c r="AC26" s="268"/>
      <c r="AD26" s="274"/>
    </row>
    <row r="27" spans="1:31" ht="15">
      <c r="B27" s="290" t="s">
        <v>68</v>
      </c>
      <c r="C27" s="215"/>
      <c r="D27" s="213">
        <v>5800</v>
      </c>
      <c r="E27" s="268"/>
      <c r="F27" s="268"/>
      <c r="G27" s="268"/>
      <c r="H27" s="268"/>
      <c r="I27" s="268"/>
      <c r="J27" s="268"/>
      <c r="L27" s="268"/>
      <c r="M27" s="268"/>
      <c r="N27" s="344"/>
      <c r="O27" s="268"/>
      <c r="P27" s="268"/>
      <c r="Q27" s="269">
        <f>D27*0.8</f>
        <v>4640</v>
      </c>
      <c r="R27" s="268"/>
      <c r="S27" s="268"/>
      <c r="T27" s="268"/>
      <c r="U27" s="268"/>
      <c r="V27" s="268"/>
      <c r="W27" s="268"/>
      <c r="X27" s="268"/>
      <c r="Y27" s="268"/>
      <c r="Z27" s="268"/>
      <c r="AA27" s="268"/>
      <c r="AB27" s="268"/>
      <c r="AC27" s="268"/>
      <c r="AD27" s="274"/>
    </row>
    <row r="28" spans="1:31" ht="15">
      <c r="B28" s="290" t="s">
        <v>135</v>
      </c>
      <c r="C28" s="215"/>
      <c r="D28" s="213">
        <v>7480</v>
      </c>
      <c r="E28" s="268"/>
      <c r="F28" s="268"/>
      <c r="G28" s="268"/>
      <c r="H28" s="268"/>
      <c r="I28" s="268"/>
      <c r="J28" s="268"/>
      <c r="L28" s="268"/>
      <c r="M28" s="268"/>
      <c r="N28" s="355">
        <f>7480*0.8</f>
        <v>5984</v>
      </c>
      <c r="P28" s="268"/>
      <c r="Q28" s="268"/>
      <c r="R28" s="268"/>
      <c r="S28" s="268"/>
      <c r="T28" s="268"/>
      <c r="U28" s="268"/>
      <c r="V28" s="268"/>
      <c r="W28" s="268"/>
      <c r="X28" s="268"/>
      <c r="Y28" s="268"/>
      <c r="Z28" s="268"/>
      <c r="AA28" s="268"/>
      <c r="AB28" s="268"/>
      <c r="AC28" s="268"/>
      <c r="AD28" s="274"/>
    </row>
    <row r="29" spans="1:31" ht="12.75" customHeight="1">
      <c r="B29" s="290" t="s">
        <v>72</v>
      </c>
      <c r="C29" s="215">
        <f>'Job Calculations'!C91</f>
        <v>793000</v>
      </c>
      <c r="D29" s="217">
        <f>'Job Calculations'!E91</f>
        <v>602680</v>
      </c>
      <c r="E29" s="268"/>
      <c r="F29" s="268"/>
      <c r="G29" s="268"/>
      <c r="H29" s="268"/>
      <c r="I29" s="268"/>
      <c r="J29" s="326" t="s">
        <v>71</v>
      </c>
      <c r="K29" s="268"/>
      <c r="L29" s="318">
        <f>(17515*0.984)*0.95*0.8</f>
        <v>13098.417599999999</v>
      </c>
      <c r="M29" s="269">
        <v>29352</v>
      </c>
      <c r="N29" s="345"/>
      <c r="O29" s="268">
        <f>30000*0.8</f>
        <v>24000</v>
      </c>
      <c r="P29" s="268">
        <f>(243000-L29-M30-M29-O29)/6</f>
        <v>24917.463733333338</v>
      </c>
      <c r="Q29" s="268">
        <v>0</v>
      </c>
      <c r="R29" s="268">
        <v>0</v>
      </c>
      <c r="S29" s="268">
        <f>Q29</f>
        <v>0</v>
      </c>
      <c r="T29" s="268">
        <f>R29</f>
        <v>0</v>
      </c>
      <c r="U29" s="268">
        <f>Q29</f>
        <v>0</v>
      </c>
      <c r="V29" s="268">
        <v>0</v>
      </c>
      <c r="W29" s="268">
        <v>0</v>
      </c>
      <c r="X29" s="268">
        <v>0</v>
      </c>
      <c r="Y29" s="268">
        <v>0</v>
      </c>
      <c r="AA29" s="268"/>
      <c r="AB29" s="268"/>
      <c r="AC29" s="268"/>
      <c r="AD29" s="274"/>
      <c r="AE29" s="268"/>
    </row>
    <row r="30" spans="1:31" ht="12.75" customHeight="1">
      <c r="B30" s="290" t="s">
        <v>134</v>
      </c>
      <c r="C30" s="215"/>
      <c r="D30" s="213"/>
      <c r="E30" s="268"/>
      <c r="F30" s="268"/>
      <c r="G30" s="268"/>
      <c r="H30" s="268"/>
      <c r="I30" s="268"/>
      <c r="J30" s="326"/>
      <c r="K30" s="268"/>
      <c r="L30" s="337"/>
      <c r="M30" s="269">
        <f>33806*0.8</f>
        <v>27044.800000000003</v>
      </c>
      <c r="N30" s="345"/>
      <c r="O30" s="268"/>
      <c r="P30" s="268"/>
      <c r="Q30" s="268"/>
      <c r="R30" s="268"/>
      <c r="S30" s="268"/>
      <c r="T30" s="268"/>
      <c r="U30" s="268"/>
      <c r="V30" s="268"/>
      <c r="W30" s="268"/>
      <c r="X30" s="268"/>
      <c r="Y30" s="268"/>
      <c r="Z30" s="268"/>
      <c r="AA30" s="268"/>
      <c r="AB30" s="268"/>
      <c r="AC30" s="268"/>
      <c r="AD30" s="274"/>
      <c r="AE30" s="268"/>
    </row>
    <row r="31" spans="1:31" ht="15">
      <c r="B31" s="290" t="s">
        <v>75</v>
      </c>
      <c r="C31" s="215" t="s">
        <v>76</v>
      </c>
      <c r="D31" s="213" t="e">
        <f>'Job Calculations'!F103</f>
        <v>#VALUE!</v>
      </c>
      <c r="E31" s="268"/>
      <c r="F31" s="268"/>
      <c r="G31" s="268"/>
      <c r="H31" s="268"/>
      <c r="I31" s="268"/>
      <c r="J31" s="268"/>
      <c r="K31" s="273"/>
      <c r="L31" s="268"/>
      <c r="M31" s="268"/>
      <c r="N31" s="344"/>
      <c r="O31" s="268"/>
      <c r="P31" s="268"/>
      <c r="Q31" s="268"/>
      <c r="R31" s="268"/>
      <c r="S31" s="268"/>
      <c r="T31" s="268"/>
      <c r="U31" s="268"/>
      <c r="V31" s="268">
        <v>0</v>
      </c>
      <c r="W31" s="268" t="e">
        <f>$D$31*0.12</f>
        <v>#VALUE!</v>
      </c>
      <c r="X31" s="268" t="e">
        <f>$D$31*0.16</f>
        <v>#VALUE!</v>
      </c>
      <c r="Y31" s="268" t="e">
        <f>$D$31*0.16</f>
        <v>#VALUE!</v>
      </c>
      <c r="Z31" s="268" t="e">
        <f>$D$31*0.16</f>
        <v>#VALUE!</v>
      </c>
      <c r="AA31" s="268" t="e">
        <f>$D$31*0.1</f>
        <v>#VALUE!</v>
      </c>
      <c r="AB31" s="268" t="e">
        <f>$D$31*0.1</f>
        <v>#VALUE!</v>
      </c>
      <c r="AC31" s="268" t="e">
        <f>$D$31*0.1</f>
        <v>#VALUE!</v>
      </c>
      <c r="AD31" s="274" t="e">
        <f>$D$31*0.1</f>
        <v>#VALUE!</v>
      </c>
    </row>
    <row r="32" spans="1:31" ht="15">
      <c r="B32" s="290" t="s">
        <v>636</v>
      </c>
      <c r="C32" s="215" t="s">
        <v>76</v>
      </c>
      <c r="D32" s="213">
        <v>60000</v>
      </c>
      <c r="E32" s="268"/>
      <c r="F32" s="268"/>
      <c r="G32" s="268"/>
      <c r="H32" s="268"/>
      <c r="I32" s="268"/>
      <c r="J32" s="268"/>
      <c r="K32" s="268"/>
      <c r="L32" s="268"/>
      <c r="M32" s="268"/>
      <c r="N32" s="344"/>
      <c r="O32" s="268"/>
      <c r="P32" s="268"/>
      <c r="Q32" s="268"/>
      <c r="R32" s="268"/>
      <c r="S32" s="268"/>
      <c r="T32" s="268"/>
      <c r="U32" s="268"/>
      <c r="V32" s="268">
        <v>0</v>
      </c>
      <c r="W32" s="268">
        <v>0</v>
      </c>
      <c r="X32" s="268">
        <v>0</v>
      </c>
      <c r="Y32" s="268">
        <v>0</v>
      </c>
      <c r="Z32" s="268">
        <v>0</v>
      </c>
      <c r="AA32" s="268">
        <v>0</v>
      </c>
      <c r="AB32" s="268">
        <v>0</v>
      </c>
      <c r="AC32" s="268">
        <v>0</v>
      </c>
      <c r="AD32" s="274">
        <f>X32</f>
        <v>0</v>
      </c>
    </row>
    <row r="33" spans="1:33" ht="15">
      <c r="B33" s="290" t="s">
        <v>77</v>
      </c>
      <c r="C33" s="215">
        <v>0</v>
      </c>
      <c r="D33" s="213">
        <v>0</v>
      </c>
      <c r="E33" s="268"/>
      <c r="F33" s="268"/>
      <c r="G33" s="268"/>
      <c r="H33" s="268"/>
      <c r="I33" s="268"/>
      <c r="J33" s="268"/>
      <c r="K33" s="268"/>
      <c r="L33" s="268"/>
      <c r="M33" s="268"/>
      <c r="N33" s="344"/>
      <c r="O33" s="268"/>
      <c r="P33" s="268"/>
      <c r="Q33" s="268"/>
      <c r="R33" s="268"/>
      <c r="S33" s="268"/>
      <c r="T33" s="268"/>
      <c r="U33" s="268"/>
      <c r="V33" s="308" t="s">
        <v>0</v>
      </c>
      <c r="W33" s="268">
        <v>0</v>
      </c>
      <c r="X33" s="268">
        <v>0</v>
      </c>
      <c r="Y33" s="268">
        <v>0</v>
      </c>
      <c r="Z33" s="268">
        <v>0</v>
      </c>
      <c r="AA33" s="268">
        <v>0</v>
      </c>
      <c r="AB33" s="268">
        <v>0</v>
      </c>
      <c r="AC33" s="268">
        <v>0</v>
      </c>
      <c r="AD33" s="274">
        <v>0</v>
      </c>
    </row>
    <row r="34" spans="1:33" ht="15">
      <c r="B34" s="290" t="s">
        <v>78</v>
      </c>
      <c r="C34" s="215">
        <v>0</v>
      </c>
      <c r="D34" s="213">
        <v>0</v>
      </c>
      <c r="E34" s="268"/>
      <c r="F34" s="268"/>
      <c r="G34" s="268"/>
      <c r="H34" s="268"/>
      <c r="I34" s="268"/>
      <c r="J34" s="268"/>
      <c r="K34" s="268"/>
      <c r="L34" s="268"/>
      <c r="M34" s="268"/>
      <c r="N34" s="344"/>
      <c r="O34" s="268"/>
      <c r="P34" s="268"/>
      <c r="Q34" s="268"/>
      <c r="R34" s="268"/>
      <c r="S34" s="268"/>
      <c r="T34" s="268"/>
      <c r="U34" s="268"/>
      <c r="V34" s="268" t="s">
        <v>0</v>
      </c>
      <c r="W34" s="268" t="s">
        <v>0</v>
      </c>
      <c r="X34" s="308" t="s">
        <v>0</v>
      </c>
      <c r="Y34" s="268">
        <v>0</v>
      </c>
      <c r="Z34" s="268">
        <v>0</v>
      </c>
      <c r="AA34" s="268">
        <v>0</v>
      </c>
      <c r="AB34" s="268">
        <v>0</v>
      </c>
      <c r="AC34" s="268">
        <v>0</v>
      </c>
      <c r="AD34" s="274">
        <v>0</v>
      </c>
    </row>
    <row r="35" spans="1:33" ht="15">
      <c r="B35" s="290" t="s">
        <v>126</v>
      </c>
      <c r="C35" s="215">
        <v>53300</v>
      </c>
      <c r="D35" s="213">
        <f>'Job Calculations'!J63</f>
        <v>41904</v>
      </c>
      <c r="E35" s="268"/>
      <c r="F35" s="268"/>
      <c r="G35" s="268"/>
      <c r="H35" s="269">
        <f>D35</f>
        <v>41904</v>
      </c>
      <c r="I35" s="268"/>
      <c r="J35" s="268"/>
      <c r="K35" s="268"/>
      <c r="L35" s="268"/>
      <c r="M35" s="268"/>
      <c r="N35" s="344"/>
      <c r="O35" s="268"/>
      <c r="P35" s="268"/>
      <c r="Q35" s="268"/>
      <c r="R35" s="268"/>
      <c r="S35" s="268"/>
      <c r="T35" s="268"/>
      <c r="U35" s="268"/>
      <c r="V35" s="268"/>
      <c r="W35" s="268"/>
      <c r="X35" s="268"/>
      <c r="Y35" s="268"/>
      <c r="Z35" s="268"/>
      <c r="AA35" s="268"/>
      <c r="AB35" s="268"/>
      <c r="AC35" s="268"/>
      <c r="AD35" s="274"/>
    </row>
    <row r="36" spans="1:33" ht="15">
      <c r="B36" s="290" t="s">
        <v>79</v>
      </c>
      <c r="C36" s="215"/>
      <c r="D36" s="213">
        <v>12500</v>
      </c>
      <c r="E36" s="268"/>
      <c r="F36" s="268"/>
      <c r="G36" s="268"/>
      <c r="H36" s="268"/>
      <c r="I36" s="268"/>
      <c r="J36" s="268"/>
      <c r="K36" s="268"/>
      <c r="L36" s="268"/>
      <c r="M36" s="268"/>
      <c r="N36" s="344"/>
      <c r="O36" s="268"/>
      <c r="P36" s="268"/>
      <c r="Q36" s="268">
        <f>12311*0.8</f>
        <v>9848.8000000000011</v>
      </c>
      <c r="R36" s="268"/>
      <c r="S36" s="268" t="s">
        <v>0</v>
      </c>
      <c r="T36" s="268" t="s">
        <v>0</v>
      </c>
      <c r="U36" s="268"/>
      <c r="V36" s="268"/>
      <c r="W36" s="268"/>
      <c r="X36" s="268"/>
      <c r="Y36" s="268"/>
      <c r="Z36" s="268"/>
      <c r="AA36" s="268"/>
      <c r="AB36" s="268"/>
      <c r="AC36" s="268"/>
      <c r="AD36" s="274"/>
    </row>
    <row r="37" spans="1:33" ht="15">
      <c r="B37" s="290" t="s">
        <v>128</v>
      </c>
      <c r="C37" s="215">
        <v>27700</v>
      </c>
      <c r="D37" s="213">
        <f>C37*0.8</f>
        <v>22160</v>
      </c>
      <c r="E37" s="268">
        <v>0</v>
      </c>
      <c r="F37" s="268"/>
      <c r="G37" s="268"/>
      <c r="H37" s="269">
        <f>D37*0.97</f>
        <v>21495.200000000001</v>
      </c>
      <c r="I37" s="268"/>
      <c r="J37" s="268"/>
      <c r="K37" s="268"/>
      <c r="L37" s="268"/>
      <c r="M37" s="268"/>
      <c r="N37" s="344"/>
      <c r="O37" s="268"/>
      <c r="P37" s="268"/>
      <c r="Q37" s="268"/>
      <c r="R37" s="268"/>
      <c r="S37" s="268"/>
      <c r="T37" s="268"/>
      <c r="U37" s="268"/>
      <c r="V37" s="268"/>
      <c r="W37" s="268"/>
      <c r="X37" s="268"/>
      <c r="Y37" s="268"/>
      <c r="Z37" s="268"/>
      <c r="AA37" s="268"/>
      <c r="AB37" s="268"/>
      <c r="AC37" s="268"/>
      <c r="AD37" s="274"/>
    </row>
    <row r="38" spans="1:33" ht="15">
      <c r="B38" s="290" t="s">
        <v>133</v>
      </c>
      <c r="C38" s="215">
        <v>10582</v>
      </c>
      <c r="D38" s="213">
        <f>C38*0.8</f>
        <v>8465.6</v>
      </c>
      <c r="E38" s="268"/>
      <c r="F38" s="268"/>
      <c r="G38" s="268"/>
      <c r="H38" s="268"/>
      <c r="I38" s="268"/>
      <c r="J38" s="268"/>
      <c r="K38" s="268"/>
      <c r="L38" s="268"/>
      <c r="M38" s="269">
        <f>D38</f>
        <v>8465.6</v>
      </c>
      <c r="N38" s="344"/>
      <c r="O38" s="268"/>
      <c r="P38" s="268"/>
      <c r="Q38" s="268">
        <f>8859*0.8</f>
        <v>7087.2000000000007</v>
      </c>
      <c r="R38" s="268">
        <v>2200</v>
      </c>
      <c r="S38" s="268"/>
      <c r="T38" s="268"/>
      <c r="U38" s="268"/>
      <c r="V38" s="268"/>
      <c r="W38" s="268"/>
      <c r="X38" s="268"/>
      <c r="Y38" s="268"/>
      <c r="Z38" s="268"/>
      <c r="AA38" s="268"/>
      <c r="AB38" s="268"/>
      <c r="AC38" s="268"/>
      <c r="AD38" s="274"/>
    </row>
    <row r="39" spans="1:33" ht="15">
      <c r="B39" s="290" t="s">
        <v>127</v>
      </c>
      <c r="C39" s="215"/>
      <c r="D39" s="213">
        <f>'Job Calculations'!I78</f>
        <v>24000</v>
      </c>
      <c r="E39" s="268">
        <v>0</v>
      </c>
      <c r="F39" s="268"/>
      <c r="G39" s="268"/>
      <c r="H39" s="269">
        <f>D39*0.97</f>
        <v>23280</v>
      </c>
      <c r="I39" s="268"/>
      <c r="J39" s="268"/>
      <c r="K39" s="268"/>
      <c r="L39" s="268"/>
      <c r="M39" s="268"/>
      <c r="N39" s="344"/>
      <c r="O39" s="268"/>
      <c r="P39" s="268"/>
      <c r="Q39" s="268"/>
      <c r="R39" s="268"/>
      <c r="S39" s="268"/>
      <c r="T39" s="268"/>
      <c r="U39" s="268"/>
      <c r="V39" s="268"/>
      <c r="W39" s="268"/>
      <c r="X39" s="268"/>
      <c r="Y39" s="268"/>
      <c r="Z39" s="268"/>
      <c r="AA39" s="268"/>
      <c r="AB39" s="268"/>
      <c r="AC39" s="268"/>
      <c r="AD39" s="274"/>
    </row>
    <row r="40" spans="1:33" ht="15">
      <c r="B40" s="290" t="s">
        <v>80</v>
      </c>
      <c r="C40" s="215">
        <v>22483</v>
      </c>
      <c r="D40" s="213">
        <f>C40*0.8</f>
        <v>17986.400000000001</v>
      </c>
      <c r="E40" s="268"/>
      <c r="F40" s="268"/>
      <c r="G40" s="268"/>
      <c r="H40" s="268"/>
      <c r="I40" s="268"/>
      <c r="J40" s="268"/>
      <c r="K40" s="268"/>
      <c r="L40" s="268"/>
      <c r="N40" s="355">
        <f>16493*0.8</f>
        <v>13194.400000000001</v>
      </c>
      <c r="O40" s="268"/>
      <c r="P40" s="268"/>
      <c r="Q40" s="268">
        <f>20047*0.8</f>
        <v>16037.6</v>
      </c>
      <c r="R40" s="268" t="s">
        <v>0</v>
      </c>
      <c r="S40" s="268"/>
      <c r="T40" s="268">
        <f>3500*0.8</f>
        <v>2800</v>
      </c>
      <c r="U40" s="268"/>
      <c r="V40" s="268"/>
      <c r="W40" s="268"/>
      <c r="X40" s="268"/>
      <c r="Y40" s="268"/>
      <c r="Z40" s="268"/>
      <c r="AA40" s="268"/>
      <c r="AB40" s="268"/>
      <c r="AC40" s="268"/>
      <c r="AD40" s="274"/>
    </row>
    <row r="41" spans="1:33" ht="15">
      <c r="A41" s="3" t="s">
        <v>0</v>
      </c>
      <c r="B41" s="290" t="s">
        <v>315</v>
      </c>
      <c r="C41" s="215">
        <v>100000</v>
      </c>
      <c r="D41" s="213">
        <f>'Job Calculations'!D70</f>
        <v>80000</v>
      </c>
      <c r="E41" s="268"/>
      <c r="F41" s="268"/>
      <c r="G41" s="268"/>
      <c r="H41" s="268"/>
      <c r="I41" s="268"/>
      <c r="J41" s="268"/>
      <c r="K41" s="268"/>
      <c r="L41" s="268"/>
      <c r="N41" s="355">
        <f>6670*0.8</f>
        <v>5336</v>
      </c>
      <c r="O41" s="268"/>
      <c r="P41" s="268"/>
      <c r="Q41" s="356">
        <f>24235*0.8</f>
        <v>19388</v>
      </c>
      <c r="S41" s="268"/>
      <c r="T41" s="268">
        <f>$D$41*0.4</f>
        <v>32000</v>
      </c>
      <c r="U41" s="268"/>
      <c r="V41" s="268">
        <f>D41-N41-Q41-T41</f>
        <v>23276</v>
      </c>
      <c r="W41" s="268"/>
      <c r="X41" s="268"/>
      <c r="Y41" s="268"/>
      <c r="Z41" s="268"/>
      <c r="AA41" s="268"/>
      <c r="AB41" s="268"/>
      <c r="AC41" s="268"/>
      <c r="AD41" s="274"/>
    </row>
    <row r="42" spans="1:33" ht="15">
      <c r="B42" s="290" t="s">
        <v>129</v>
      </c>
      <c r="C42" s="301">
        <v>16065</v>
      </c>
      <c r="D42" s="217">
        <f>C42*0.8</f>
        <v>12852</v>
      </c>
      <c r="E42" s="268"/>
      <c r="F42" s="268"/>
      <c r="G42" s="268"/>
      <c r="H42" s="268"/>
      <c r="I42" s="269">
        <f>D42</f>
        <v>12852</v>
      </c>
      <c r="K42" s="268"/>
      <c r="L42" s="268"/>
      <c r="M42" s="268" t="s">
        <v>0</v>
      </c>
      <c r="N42" s="344" t="s">
        <v>0</v>
      </c>
      <c r="O42" s="268"/>
      <c r="P42" s="268"/>
      <c r="Q42" s="268"/>
      <c r="R42" s="268"/>
      <c r="S42" s="268"/>
      <c r="T42" s="268"/>
      <c r="U42" s="268"/>
      <c r="V42" s="268"/>
      <c r="W42" s="268"/>
      <c r="X42" s="268"/>
      <c r="Y42" s="268"/>
      <c r="Z42" s="268"/>
      <c r="AA42" s="268"/>
      <c r="AB42" s="268"/>
      <c r="AC42" s="268"/>
      <c r="AD42" s="274"/>
    </row>
    <row r="43" spans="1:33" ht="15">
      <c r="B43" s="290" t="s">
        <v>82</v>
      </c>
      <c r="C43" s="301">
        <v>39500</v>
      </c>
      <c r="D43" s="213">
        <f>$C$43*0.8</f>
        <v>31600</v>
      </c>
      <c r="E43" s="268"/>
      <c r="F43" s="268"/>
      <c r="G43" s="268"/>
      <c r="H43" s="268"/>
      <c r="I43" s="268"/>
      <c r="J43" s="268"/>
      <c r="K43" s="268"/>
      <c r="L43" s="268"/>
      <c r="M43" s="268"/>
      <c r="N43" s="345"/>
      <c r="O43" s="268"/>
      <c r="P43" s="268">
        <f>D43*0.6</f>
        <v>18960</v>
      </c>
      <c r="Q43" s="268"/>
      <c r="R43" s="268">
        <f>D43-P43</f>
        <v>12640</v>
      </c>
      <c r="S43" s="268"/>
      <c r="T43" s="268"/>
      <c r="U43" s="268"/>
      <c r="V43" s="268"/>
      <c r="W43" s="268"/>
      <c r="X43" s="268"/>
      <c r="Y43" s="268"/>
      <c r="Z43" s="268"/>
      <c r="AA43" s="268"/>
      <c r="AB43" s="268"/>
      <c r="AC43" s="268"/>
      <c r="AD43" s="274"/>
    </row>
    <row r="44" spans="1:33" ht="15">
      <c r="B44" s="290" t="s">
        <v>676</v>
      </c>
      <c r="C44" s="301">
        <v>4250</v>
      </c>
      <c r="D44" s="213">
        <f>C44*0.8</f>
        <v>3400</v>
      </c>
      <c r="E44" s="268"/>
      <c r="F44" s="268"/>
      <c r="G44" s="268"/>
      <c r="H44" s="268"/>
      <c r="I44" s="268"/>
      <c r="J44" s="268"/>
      <c r="K44" s="268"/>
      <c r="L44" s="268"/>
      <c r="M44" s="268"/>
      <c r="N44" s="345"/>
      <c r="O44" s="268"/>
      <c r="P44" s="268"/>
      <c r="R44" s="268"/>
      <c r="S44" s="268">
        <f>D44</f>
        <v>3400</v>
      </c>
      <c r="T44" s="268"/>
      <c r="U44" s="268"/>
      <c r="V44" s="268"/>
      <c r="W44" s="268"/>
      <c r="X44" s="268"/>
      <c r="Y44" s="268"/>
      <c r="Z44" s="268"/>
      <c r="AA44" s="268"/>
      <c r="AB44" s="268"/>
      <c r="AC44" s="268"/>
      <c r="AD44" s="274"/>
    </row>
    <row r="45" spans="1:33" ht="15">
      <c r="B45" s="290" t="s">
        <v>677</v>
      </c>
      <c r="C45" s="301">
        <v>4250</v>
      </c>
      <c r="D45" s="213">
        <f>C45*0.8</f>
        <v>3400</v>
      </c>
      <c r="E45" s="268"/>
      <c r="F45" s="268"/>
      <c r="G45" s="268"/>
      <c r="H45" s="268"/>
      <c r="I45" s="268"/>
      <c r="J45" s="268"/>
      <c r="K45" s="268"/>
      <c r="L45" s="268"/>
      <c r="M45" s="268"/>
      <c r="N45" s="345"/>
      <c r="O45" s="268"/>
      <c r="P45" s="268"/>
      <c r="R45" s="268"/>
      <c r="S45" s="268">
        <f>D45</f>
        <v>3400</v>
      </c>
      <c r="T45" s="268"/>
      <c r="U45" s="268"/>
      <c r="V45" s="268"/>
      <c r="W45" s="268"/>
      <c r="X45" s="268"/>
      <c r="Y45" s="268"/>
      <c r="Z45" s="268"/>
      <c r="AA45" s="268"/>
      <c r="AB45" s="268"/>
      <c r="AC45" s="268"/>
      <c r="AD45" s="274"/>
    </row>
    <row r="46" spans="1:33" ht="15">
      <c r="B46" s="290" t="s">
        <v>84</v>
      </c>
      <c r="C46" s="301">
        <v>4250</v>
      </c>
      <c r="D46" s="213">
        <f>C46*0.8</f>
        <v>3400</v>
      </c>
      <c r="E46" s="268"/>
      <c r="F46" s="268"/>
      <c r="G46" s="268"/>
      <c r="H46" s="268"/>
      <c r="I46" s="268"/>
      <c r="J46" s="268"/>
      <c r="K46" s="268"/>
      <c r="L46" s="268"/>
      <c r="M46" s="268"/>
      <c r="N46" s="345"/>
      <c r="O46" s="268"/>
      <c r="P46" s="268"/>
      <c r="R46" s="268"/>
      <c r="S46" s="268">
        <f>D46</f>
        <v>3400</v>
      </c>
      <c r="T46" s="268"/>
      <c r="U46" s="268"/>
      <c r="V46" s="268"/>
      <c r="W46" s="268"/>
      <c r="X46" s="268"/>
      <c r="Y46" s="268"/>
      <c r="Z46" s="268"/>
      <c r="AA46" s="268"/>
      <c r="AB46" s="268"/>
      <c r="AC46" s="268"/>
      <c r="AD46" s="274"/>
    </row>
    <row r="47" spans="1:33" ht="15">
      <c r="B47" s="290" t="s">
        <v>87</v>
      </c>
      <c r="C47" s="206"/>
      <c r="D47" s="213">
        <v>33600</v>
      </c>
      <c r="E47" s="268"/>
      <c r="F47" s="268"/>
      <c r="G47" s="268"/>
      <c r="H47" s="268"/>
      <c r="I47" s="268"/>
      <c r="J47" s="268"/>
      <c r="K47" s="268"/>
      <c r="L47" s="268"/>
      <c r="M47" s="268"/>
      <c r="N47" s="344"/>
      <c r="O47" s="268"/>
      <c r="P47" s="268"/>
      <c r="Q47" s="268"/>
      <c r="R47" s="268"/>
      <c r="S47" s="268"/>
      <c r="T47" s="268"/>
      <c r="U47" s="268"/>
      <c r="V47" s="268"/>
      <c r="W47" s="268">
        <f>$D$47/3</f>
        <v>11200</v>
      </c>
      <c r="X47" s="268">
        <f>$D$47/3</f>
        <v>11200</v>
      </c>
      <c r="Y47" s="268">
        <f>$D$47/3</f>
        <v>11200</v>
      </c>
      <c r="Z47" s="268"/>
      <c r="AA47" s="268"/>
      <c r="AB47" s="268"/>
      <c r="AC47" s="268"/>
      <c r="AD47" s="274"/>
      <c r="AG47" s="268" t="s">
        <v>0</v>
      </c>
    </row>
    <row r="48" spans="1:33" ht="15">
      <c r="B48" s="290" t="s">
        <v>88</v>
      </c>
      <c r="C48" s="215">
        <v>45000</v>
      </c>
      <c r="D48" s="213">
        <f>C48</f>
        <v>45000</v>
      </c>
      <c r="E48" s="268"/>
      <c r="F48" s="268"/>
      <c r="G48" s="268"/>
      <c r="H48" s="268"/>
      <c r="I48" s="268"/>
      <c r="J48" s="268"/>
      <c r="K48" s="268"/>
      <c r="L48" s="268"/>
      <c r="M48" s="268"/>
      <c r="N48" s="344"/>
      <c r="O48" s="268"/>
      <c r="P48" s="268"/>
      <c r="Q48" s="268"/>
      <c r="R48" s="268"/>
      <c r="S48" s="268"/>
      <c r="T48" s="268"/>
      <c r="U48" s="268"/>
      <c r="V48" s="268"/>
      <c r="W48" s="268"/>
      <c r="X48" s="268"/>
      <c r="Y48" s="268"/>
      <c r="Z48" s="268"/>
      <c r="AA48" s="268"/>
      <c r="AB48" s="268">
        <f>D48*0.8</f>
        <v>36000</v>
      </c>
      <c r="AC48" s="268"/>
      <c r="AD48" s="274"/>
    </row>
    <row r="49" spans="2:30" ht="15">
      <c r="B49" s="290" t="s">
        <v>132</v>
      </c>
      <c r="C49" s="215">
        <f>(D49/80)*100</f>
        <v>76315</v>
      </c>
      <c r="D49" s="213">
        <f>G49+K49+R49</f>
        <v>61052</v>
      </c>
      <c r="E49" s="268">
        <v>0</v>
      </c>
      <c r="F49" s="268"/>
      <c r="G49" s="269">
        <f>32543*0.8</f>
        <v>26034.400000000001</v>
      </c>
      <c r="H49" s="268"/>
      <c r="I49" s="268"/>
      <c r="K49" s="269">
        <f>25012*0.8</f>
        <v>20009.600000000002</v>
      </c>
      <c r="L49" s="268"/>
      <c r="N49" s="344" t="s">
        <v>0</v>
      </c>
      <c r="O49" s="268"/>
      <c r="P49" s="268"/>
      <c r="Q49" s="268"/>
      <c r="R49" s="268">
        <f>18760*0.8</f>
        <v>15008</v>
      </c>
      <c r="S49" s="268"/>
      <c r="T49" s="268"/>
      <c r="U49" s="268"/>
      <c r="V49" s="268"/>
      <c r="W49" s="268"/>
      <c r="X49" s="268"/>
      <c r="Y49" s="268"/>
      <c r="Z49" s="268"/>
      <c r="AA49" s="268"/>
      <c r="AB49" s="268"/>
      <c r="AC49" s="268"/>
      <c r="AD49" s="274"/>
    </row>
    <row r="50" spans="2:30" ht="15">
      <c r="B50" s="290" t="s">
        <v>130</v>
      </c>
      <c r="C50" s="215">
        <v>18326</v>
      </c>
      <c r="D50" s="213">
        <f>C50*0.8</f>
        <v>14660.800000000001</v>
      </c>
      <c r="E50" s="268"/>
      <c r="F50" s="268"/>
      <c r="G50" s="268"/>
      <c r="H50" s="268"/>
      <c r="J50" s="269">
        <f>D50*0.5</f>
        <v>7330.4000000000005</v>
      </c>
      <c r="K50" s="269">
        <f>D50*0.5</f>
        <v>7330.4000000000005</v>
      </c>
      <c r="M50" s="268"/>
      <c r="N50" s="344"/>
      <c r="O50" s="268"/>
      <c r="P50" s="268"/>
      <c r="Q50" s="268"/>
      <c r="R50" s="268"/>
      <c r="S50" s="268"/>
      <c r="T50" s="268"/>
      <c r="U50" s="268"/>
      <c r="V50" s="268"/>
      <c r="W50" s="268"/>
      <c r="X50" s="268"/>
      <c r="Y50" s="268"/>
      <c r="Z50" s="268"/>
      <c r="AA50" s="268"/>
      <c r="AB50" s="268"/>
      <c r="AC50" s="268"/>
      <c r="AD50" s="274"/>
    </row>
    <row r="51" spans="2:30" ht="15">
      <c r="B51" s="290" t="s">
        <v>678</v>
      </c>
      <c r="C51" s="215"/>
      <c r="D51" s="213">
        <v>11500</v>
      </c>
      <c r="E51" s="268"/>
      <c r="F51" s="268"/>
      <c r="G51" s="268"/>
      <c r="H51" s="268"/>
      <c r="J51" s="268"/>
      <c r="K51" s="268"/>
      <c r="M51" s="268"/>
      <c r="N51" s="344"/>
      <c r="O51" s="268">
        <f>D51*0.8</f>
        <v>9200</v>
      </c>
      <c r="P51" s="268"/>
      <c r="Q51" s="268"/>
      <c r="R51" s="268"/>
      <c r="S51" s="268"/>
      <c r="T51" s="268"/>
      <c r="U51" s="268"/>
      <c r="V51" s="268"/>
      <c r="W51" s="268"/>
      <c r="X51" s="268"/>
      <c r="Y51" s="268"/>
      <c r="Z51" s="268"/>
      <c r="AA51" s="268"/>
      <c r="AB51" s="268"/>
      <c r="AC51" s="268"/>
      <c r="AD51" s="274"/>
    </row>
    <row r="52" spans="2:30" ht="15">
      <c r="B52" s="290" t="s">
        <v>124</v>
      </c>
      <c r="C52" s="215">
        <v>3118</v>
      </c>
      <c r="D52" s="213">
        <f>C52*0.8</f>
        <v>2494.4</v>
      </c>
      <c r="E52" s="268"/>
      <c r="F52" s="268"/>
      <c r="G52" s="268"/>
      <c r="H52" s="268"/>
      <c r="K52" s="269">
        <f>D52</f>
        <v>2494.4</v>
      </c>
      <c r="M52" s="268"/>
      <c r="N52" s="344"/>
      <c r="O52" s="268"/>
      <c r="P52" s="268"/>
      <c r="Q52" s="268"/>
      <c r="R52" s="268"/>
      <c r="S52" s="268"/>
      <c r="T52" s="268"/>
      <c r="U52" s="268"/>
      <c r="V52" s="268"/>
      <c r="W52" s="268"/>
      <c r="X52" s="268"/>
      <c r="Y52" s="268"/>
      <c r="Z52" s="268"/>
      <c r="AA52" s="268"/>
      <c r="AB52" s="268"/>
      <c r="AC52" s="268"/>
      <c r="AD52" s="274"/>
    </row>
    <row r="53" spans="2:30" ht="15">
      <c r="B53" s="290" t="s">
        <v>125</v>
      </c>
      <c r="C53" s="215">
        <v>9400</v>
      </c>
      <c r="D53" s="213">
        <f>C53*0.8</f>
        <v>7520</v>
      </c>
      <c r="E53" s="268"/>
      <c r="F53" s="268"/>
      <c r="G53" s="268"/>
      <c r="H53" s="268"/>
      <c r="I53" s="268"/>
      <c r="J53" s="268"/>
      <c r="K53" s="268"/>
      <c r="L53" s="268"/>
      <c r="M53" s="269">
        <f>D53</f>
        <v>7520</v>
      </c>
      <c r="N53" s="344"/>
      <c r="O53" s="268"/>
      <c r="P53" s="268"/>
      <c r="Q53" s="268"/>
      <c r="R53" s="268"/>
      <c r="S53" s="268"/>
      <c r="T53" s="268"/>
      <c r="U53" s="268"/>
      <c r="V53" s="268"/>
      <c r="W53" s="268"/>
      <c r="X53" s="268"/>
      <c r="Y53" s="268"/>
      <c r="Z53" s="268"/>
      <c r="AA53" s="268"/>
      <c r="AB53" s="268"/>
      <c r="AC53" s="268"/>
      <c r="AD53" s="274"/>
    </row>
    <row r="54" spans="2:30" ht="15">
      <c r="B54" s="290" t="s">
        <v>104</v>
      </c>
      <c r="C54" s="215">
        <v>19553</v>
      </c>
      <c r="D54" s="213">
        <f>C54*0.8</f>
        <v>15642.400000000001</v>
      </c>
      <c r="E54" s="268"/>
      <c r="F54" s="268"/>
      <c r="G54" s="268"/>
      <c r="H54" s="268"/>
      <c r="I54" s="268"/>
      <c r="J54" s="268"/>
      <c r="K54" s="268"/>
      <c r="L54" s="268"/>
      <c r="M54" s="268"/>
      <c r="N54" s="344"/>
      <c r="O54" s="268"/>
      <c r="P54" s="268"/>
      <c r="Q54" s="268"/>
      <c r="S54" s="268"/>
      <c r="T54" s="268">
        <f>'Job Calculations'!E98</f>
        <v>12448.000000000002</v>
      </c>
      <c r="U54" s="268"/>
      <c r="V54" s="268"/>
      <c r="W54" s="268"/>
      <c r="X54" s="268"/>
      <c r="Y54" s="268"/>
      <c r="Z54" s="268"/>
      <c r="AA54" s="268"/>
      <c r="AB54" s="268"/>
      <c r="AC54" s="268"/>
      <c r="AD54" s="274"/>
    </row>
    <row r="55" spans="2:30" ht="13.5" customHeight="1">
      <c r="B55" s="290" t="s">
        <v>69</v>
      </c>
      <c r="C55" s="215">
        <v>28658</v>
      </c>
      <c r="D55" s="217">
        <f>'Job Calculations'!F85</f>
        <v>21780.080000000002</v>
      </c>
      <c r="E55" s="268"/>
      <c r="F55" s="268"/>
      <c r="G55" s="268"/>
      <c r="H55" s="268"/>
      <c r="I55" s="268"/>
      <c r="K55" s="269">
        <f>D55</f>
        <v>21780.080000000002</v>
      </c>
      <c r="L55" s="268"/>
      <c r="M55" s="268"/>
      <c r="N55" s="344"/>
      <c r="O55" s="268"/>
      <c r="P55" s="268"/>
      <c r="Q55" s="268"/>
      <c r="R55" s="268"/>
      <c r="S55" s="268"/>
      <c r="T55" s="268"/>
      <c r="U55" s="268"/>
      <c r="V55" s="268"/>
      <c r="W55" s="268"/>
      <c r="X55" s="268"/>
      <c r="Y55" s="268">
        <f>D55*0.3</f>
        <v>6534.0240000000003</v>
      </c>
      <c r="Z55" s="268"/>
      <c r="AA55" s="268"/>
      <c r="AB55" s="268"/>
      <c r="AC55" s="268"/>
      <c r="AD55" s="274"/>
    </row>
    <row r="56" spans="2:30" ht="15">
      <c r="B56" s="290" t="s">
        <v>659</v>
      </c>
      <c r="C56" s="215"/>
      <c r="D56" s="213"/>
      <c r="E56" s="268"/>
      <c r="F56" s="268"/>
      <c r="G56" s="268"/>
      <c r="H56" s="268"/>
      <c r="I56" s="268"/>
      <c r="J56" s="268"/>
      <c r="K56" s="268"/>
      <c r="L56" s="268"/>
      <c r="M56" s="268"/>
      <c r="N56" s="344"/>
      <c r="O56" s="268"/>
      <c r="P56" s="268"/>
      <c r="Q56" s="268"/>
      <c r="R56" s="268"/>
      <c r="S56" s="268"/>
      <c r="T56" s="268"/>
      <c r="U56" s="268"/>
      <c r="V56" s="268"/>
      <c r="W56" s="268"/>
      <c r="X56" s="268"/>
      <c r="Y56" s="268"/>
      <c r="Z56" s="268"/>
      <c r="AA56" s="268"/>
      <c r="AB56" s="268"/>
      <c r="AC56" s="268"/>
      <c r="AD56" s="274"/>
    </row>
    <row r="57" spans="2:30" ht="15">
      <c r="B57" s="285" t="s">
        <v>679</v>
      </c>
      <c r="C57" s="215"/>
      <c r="D57" s="213">
        <v>40000</v>
      </c>
      <c r="E57" s="268"/>
      <c r="F57" s="268"/>
      <c r="G57" s="268"/>
      <c r="H57" s="268"/>
      <c r="I57" s="268"/>
      <c r="J57" s="268"/>
      <c r="K57" s="268"/>
      <c r="L57" s="268"/>
      <c r="M57" s="268"/>
      <c r="N57" s="344"/>
      <c r="O57" s="268"/>
      <c r="P57" s="268"/>
      <c r="Q57" s="268"/>
      <c r="R57" s="268"/>
      <c r="S57" s="268"/>
      <c r="U57" s="268"/>
      <c r="V57" s="268">
        <f>D57</f>
        <v>40000</v>
      </c>
      <c r="W57" s="268"/>
      <c r="X57" s="268"/>
      <c r="Y57" s="268"/>
      <c r="Z57" s="268"/>
      <c r="AA57" s="268"/>
      <c r="AB57" s="268"/>
      <c r="AC57" s="268"/>
      <c r="AD57" s="274"/>
    </row>
    <row r="58" spans="2:30" ht="15">
      <c r="B58" s="285" t="s">
        <v>680</v>
      </c>
      <c r="C58" s="215"/>
      <c r="D58" s="213">
        <f>5000*20</f>
        <v>100000</v>
      </c>
      <c r="E58" s="268"/>
      <c r="F58" s="268"/>
      <c r="G58" s="268"/>
      <c r="H58" s="268"/>
      <c r="I58" s="268"/>
      <c r="J58" s="268"/>
      <c r="K58" s="268"/>
      <c r="L58" s="268"/>
      <c r="M58" s="268"/>
      <c r="N58" s="344"/>
      <c r="O58" s="268"/>
      <c r="P58" s="268"/>
      <c r="Q58" s="268"/>
      <c r="R58" s="268"/>
      <c r="S58" s="268"/>
      <c r="T58" s="268"/>
      <c r="U58" s="268"/>
      <c r="W58" s="268">
        <v>45000</v>
      </c>
      <c r="X58" s="268">
        <v>45000</v>
      </c>
      <c r="Y58" s="268">
        <v>32000</v>
      </c>
      <c r="Z58" s="268"/>
      <c r="AA58" s="268"/>
      <c r="AB58" s="268"/>
      <c r="AC58" s="268"/>
      <c r="AD58" s="274"/>
    </row>
    <row r="59" spans="2:30" ht="15">
      <c r="B59" s="285" t="s">
        <v>681</v>
      </c>
      <c r="C59" s="215">
        <f>'Job Calculations'!C113</f>
        <v>518000</v>
      </c>
      <c r="D59" s="213">
        <f>'Job Calculations'!E114</f>
        <v>362600</v>
      </c>
      <c r="E59" s="268"/>
      <c r="F59" s="268"/>
      <c r="G59" s="268"/>
      <c r="H59" s="268"/>
      <c r="I59" s="268"/>
      <c r="J59" s="268"/>
      <c r="K59" s="268"/>
      <c r="L59" s="268"/>
      <c r="M59" s="268"/>
      <c r="N59" s="344"/>
      <c r="O59" s="268"/>
      <c r="P59" s="268"/>
      <c r="Q59" s="268"/>
      <c r="R59" s="268"/>
      <c r="S59" s="268"/>
      <c r="T59" s="268"/>
      <c r="U59" s="268"/>
      <c r="V59" s="268"/>
      <c r="W59" s="268">
        <f>D59/6</f>
        <v>60433.333333333336</v>
      </c>
      <c r="X59" s="268">
        <f>W59</f>
        <v>60433.333333333336</v>
      </c>
      <c r="Y59" s="268">
        <f>X59</f>
        <v>60433.333333333336</v>
      </c>
      <c r="Z59" s="268">
        <f>Y59</f>
        <v>60433.333333333336</v>
      </c>
      <c r="AA59" s="268">
        <f>Z59</f>
        <v>60433.333333333336</v>
      </c>
      <c r="AB59" s="268">
        <f>AA59</f>
        <v>60433.333333333336</v>
      </c>
      <c r="AC59" s="268"/>
      <c r="AD59" s="274"/>
    </row>
    <row r="60" spans="2:30" ht="15">
      <c r="B60" s="285" t="s">
        <v>202</v>
      </c>
      <c r="C60" s="215"/>
      <c r="D60" s="213"/>
      <c r="E60" s="268"/>
      <c r="F60" s="268"/>
      <c r="G60" s="268"/>
      <c r="H60" s="268"/>
      <c r="I60" s="268"/>
      <c r="J60" s="268"/>
      <c r="K60" s="268"/>
      <c r="L60" s="268"/>
      <c r="M60" s="268"/>
      <c r="N60" s="344"/>
      <c r="O60" s="269">
        <v>100000</v>
      </c>
      <c r="Q60" s="268"/>
      <c r="R60" s="268"/>
      <c r="S60" s="268"/>
      <c r="T60" s="268"/>
      <c r="U60" s="268"/>
      <c r="V60" s="268"/>
      <c r="W60" s="268"/>
      <c r="X60" s="268"/>
      <c r="Y60" s="268"/>
      <c r="Z60" s="268"/>
      <c r="AA60" s="268"/>
      <c r="AB60" s="268"/>
      <c r="AC60" s="268"/>
      <c r="AD60" s="274"/>
    </row>
    <row r="61" spans="2:30" ht="15" thickBot="1">
      <c r="B61" s="285"/>
      <c r="C61" s="215"/>
      <c r="D61" s="213"/>
      <c r="E61" s="268"/>
      <c r="F61" s="268"/>
      <c r="G61" s="268"/>
      <c r="H61" s="268"/>
      <c r="I61" s="268"/>
      <c r="J61" s="268"/>
      <c r="K61" s="268"/>
      <c r="L61" s="268"/>
      <c r="M61" s="268"/>
      <c r="N61" s="344"/>
      <c r="O61" s="268"/>
      <c r="P61" s="268"/>
      <c r="Q61" s="268"/>
      <c r="R61" s="268"/>
      <c r="S61" s="268"/>
      <c r="T61" s="268"/>
      <c r="U61" s="268"/>
      <c r="V61" s="268"/>
      <c r="W61" s="268"/>
      <c r="X61" s="268"/>
      <c r="Y61" s="268"/>
      <c r="Z61" s="268"/>
      <c r="AA61" s="268"/>
      <c r="AB61" s="268"/>
      <c r="AC61" s="268"/>
      <c r="AD61" s="274"/>
    </row>
    <row r="62" spans="2:30" ht="16" thickBot="1">
      <c r="B62" s="291" t="s">
        <v>117</v>
      </c>
      <c r="C62" s="215"/>
      <c r="D62" s="213"/>
      <c r="E62" s="268"/>
      <c r="F62" s="268"/>
      <c r="G62" s="268"/>
      <c r="H62" s="268"/>
      <c r="I62" s="268"/>
      <c r="J62" s="268"/>
      <c r="K62" s="268"/>
      <c r="L62" s="268"/>
      <c r="M62" s="268"/>
      <c r="N62" s="344"/>
      <c r="O62" s="268"/>
      <c r="P62" s="268"/>
      <c r="Q62" s="268"/>
      <c r="R62" s="268"/>
      <c r="S62" s="268"/>
      <c r="T62" s="268"/>
      <c r="U62" s="268"/>
      <c r="V62" s="268"/>
      <c r="W62" s="268"/>
      <c r="X62" s="268"/>
      <c r="Y62" s="268"/>
      <c r="Z62" s="268"/>
      <c r="AA62" s="268"/>
      <c r="AB62" s="268"/>
      <c r="AC62" s="268"/>
      <c r="AD62" s="274"/>
    </row>
    <row r="63" spans="2:30" ht="15">
      <c r="B63" s="290" t="s">
        <v>118</v>
      </c>
      <c r="C63" s="215">
        <v>13205</v>
      </c>
      <c r="D63" s="213">
        <f t="shared" ref="D63:D68" si="0">C63*0.8</f>
        <v>10564</v>
      </c>
      <c r="E63" s="268"/>
      <c r="F63" s="268"/>
      <c r="G63" s="268"/>
      <c r="H63" s="269">
        <f>D63</f>
        <v>10564</v>
      </c>
      <c r="I63" s="268"/>
      <c r="J63" s="268"/>
      <c r="K63" s="268"/>
      <c r="L63" s="268"/>
      <c r="M63" s="268"/>
      <c r="N63" s="344"/>
      <c r="O63" s="268"/>
      <c r="P63" s="268"/>
      <c r="Q63" s="268"/>
      <c r="R63" s="268"/>
      <c r="S63" s="268"/>
      <c r="T63" s="268"/>
      <c r="U63" s="268"/>
      <c r="V63" s="268"/>
      <c r="W63" s="268"/>
      <c r="X63" s="268"/>
      <c r="Y63" s="268"/>
      <c r="Z63" s="268"/>
      <c r="AA63" s="268"/>
      <c r="AB63" s="268"/>
      <c r="AC63" s="268"/>
      <c r="AD63" s="274"/>
    </row>
    <row r="64" spans="2:30" s="211" customFormat="1" ht="15">
      <c r="B64" s="307" t="s">
        <v>119</v>
      </c>
      <c r="C64" s="212">
        <f>6500+1500</f>
        <v>8000</v>
      </c>
      <c r="D64" s="213">
        <f t="shared" si="0"/>
        <v>6400</v>
      </c>
      <c r="E64" s="272">
        <v>6184</v>
      </c>
      <c r="F64" s="268"/>
      <c r="G64" s="273" t="s">
        <v>0</v>
      </c>
      <c r="H64" s="273"/>
      <c r="I64" s="273"/>
      <c r="J64" s="273"/>
      <c r="K64" s="273"/>
      <c r="L64" s="273"/>
      <c r="M64" s="273"/>
      <c r="N64" s="342"/>
      <c r="O64" s="273"/>
      <c r="P64" s="273"/>
      <c r="Q64" s="273"/>
      <c r="R64" s="273" t="s">
        <v>0</v>
      </c>
      <c r="S64" s="273"/>
      <c r="T64" s="273"/>
      <c r="U64" s="273"/>
      <c r="V64" s="273"/>
      <c r="W64" s="273"/>
      <c r="X64" s="273"/>
      <c r="Y64" s="273"/>
      <c r="Z64" s="268"/>
      <c r="AA64" s="268"/>
      <c r="AB64" s="268"/>
      <c r="AC64" s="268"/>
      <c r="AD64" s="274"/>
    </row>
    <row r="65" spans="2:30" ht="15">
      <c r="B65" s="290" t="s">
        <v>120</v>
      </c>
      <c r="C65" s="215">
        <v>3705</v>
      </c>
      <c r="D65" s="213">
        <f t="shared" si="0"/>
        <v>2964</v>
      </c>
      <c r="E65" s="268"/>
      <c r="F65" s="269">
        <f>D65</f>
        <v>2964</v>
      </c>
      <c r="G65" s="268"/>
      <c r="H65" s="268"/>
      <c r="J65" s="268"/>
      <c r="K65" s="268"/>
      <c r="L65" s="268"/>
      <c r="M65" s="268"/>
      <c r="N65" s="344"/>
      <c r="O65" s="268"/>
      <c r="P65" s="268"/>
      <c r="Q65" s="268"/>
      <c r="R65" s="268" t="s">
        <v>0</v>
      </c>
      <c r="S65" s="268"/>
      <c r="T65" s="268"/>
      <c r="U65" s="268"/>
      <c r="V65" s="268"/>
      <c r="W65" s="268"/>
      <c r="X65" s="268"/>
      <c r="Y65" s="268"/>
      <c r="Z65" s="268"/>
      <c r="AA65" s="268"/>
      <c r="AB65" s="268"/>
      <c r="AC65" s="268"/>
      <c r="AD65" s="274"/>
    </row>
    <row r="66" spans="2:30" ht="15">
      <c r="B66" s="290" t="s">
        <v>121</v>
      </c>
      <c r="C66" s="215">
        <v>1586</v>
      </c>
      <c r="D66" s="213">
        <f t="shared" si="0"/>
        <v>1268.8000000000002</v>
      </c>
      <c r="E66" s="268"/>
      <c r="F66" s="268"/>
      <c r="G66" s="268"/>
      <c r="H66" s="268"/>
      <c r="J66" s="269">
        <f>D66</f>
        <v>1268.8000000000002</v>
      </c>
      <c r="K66" s="268"/>
      <c r="L66" s="268"/>
      <c r="M66" s="268"/>
      <c r="N66" s="344"/>
      <c r="O66" s="268"/>
      <c r="P66" s="268"/>
      <c r="Q66" s="268"/>
      <c r="R66" s="268"/>
      <c r="S66" s="268"/>
      <c r="T66" s="268"/>
      <c r="U66" s="268"/>
      <c r="V66" s="268"/>
      <c r="W66" s="268"/>
      <c r="X66" s="268"/>
      <c r="Y66" s="268"/>
      <c r="Z66" s="268"/>
      <c r="AA66" s="268"/>
      <c r="AB66" s="268"/>
      <c r="AC66" s="268"/>
      <c r="AD66" s="274"/>
    </row>
    <row r="67" spans="2:30" s="211" customFormat="1" ht="15">
      <c r="B67" s="288" t="s">
        <v>122</v>
      </c>
      <c r="C67" s="213">
        <v>42000</v>
      </c>
      <c r="D67" s="213">
        <f t="shared" si="0"/>
        <v>33600</v>
      </c>
      <c r="E67" s="269">
        <v>31545</v>
      </c>
      <c r="F67" s="269">
        <f>2772*0.8</f>
        <v>2217.6</v>
      </c>
      <c r="G67" s="268"/>
      <c r="H67" s="268"/>
      <c r="I67" s="268"/>
      <c r="J67" s="268"/>
      <c r="K67" s="268"/>
      <c r="L67" s="268"/>
      <c r="M67" s="268"/>
      <c r="N67" s="344"/>
      <c r="O67" s="268"/>
      <c r="P67" s="268"/>
      <c r="Q67" s="268"/>
      <c r="R67" s="268"/>
      <c r="S67" s="268"/>
      <c r="T67" s="268"/>
      <c r="U67" s="268"/>
      <c r="V67" s="268"/>
      <c r="W67" s="268"/>
      <c r="X67" s="268"/>
      <c r="Y67" s="268"/>
      <c r="Z67" s="268"/>
      <c r="AA67" s="268"/>
      <c r="AB67" s="268"/>
      <c r="AC67" s="268"/>
      <c r="AD67" s="274"/>
    </row>
    <row r="68" spans="2:30" ht="15">
      <c r="B68" s="290" t="s">
        <v>123</v>
      </c>
      <c r="C68" s="215">
        <f>27500*0.97</f>
        <v>26675</v>
      </c>
      <c r="D68" s="213">
        <f t="shared" si="0"/>
        <v>21340</v>
      </c>
      <c r="E68" s="268"/>
      <c r="F68" s="268"/>
      <c r="G68" s="268"/>
      <c r="H68" s="269">
        <f>D68</f>
        <v>21340</v>
      </c>
      <c r="I68" s="268"/>
      <c r="J68" s="268"/>
      <c r="K68" s="268"/>
      <c r="L68" s="268"/>
      <c r="M68" s="268"/>
      <c r="N68" s="344"/>
      <c r="O68" s="268"/>
      <c r="P68" s="268"/>
      <c r="Q68" s="268"/>
      <c r="R68" s="268"/>
      <c r="S68" s="268"/>
      <c r="T68" s="268"/>
      <c r="U68" s="268"/>
      <c r="V68" s="268"/>
      <c r="W68" s="268"/>
      <c r="X68" s="268"/>
      <c r="Y68" s="268"/>
      <c r="Z68" s="268"/>
      <c r="AA68" s="268"/>
      <c r="AB68" s="268"/>
      <c r="AC68" s="268"/>
      <c r="AD68" s="274"/>
    </row>
    <row r="69" spans="2:30" ht="15">
      <c r="B69" s="290" t="s">
        <v>123</v>
      </c>
      <c r="C69" s="215">
        <v>30000</v>
      </c>
      <c r="D69" s="213">
        <v>30000</v>
      </c>
      <c r="E69" s="268"/>
      <c r="F69" s="268"/>
      <c r="G69" s="268"/>
      <c r="H69" s="268"/>
      <c r="I69" s="268" t="s">
        <v>0</v>
      </c>
      <c r="J69" s="269">
        <f>(D69*0.97)*0.8</f>
        <v>23280</v>
      </c>
      <c r="K69" s="268"/>
      <c r="L69" s="268"/>
      <c r="M69" s="268"/>
      <c r="N69" s="344"/>
      <c r="O69" s="268"/>
      <c r="P69" s="268"/>
      <c r="Q69" s="268"/>
      <c r="R69" s="268"/>
      <c r="S69" s="268"/>
      <c r="T69" s="268"/>
      <c r="U69" s="268"/>
      <c r="V69" s="268"/>
      <c r="W69" s="268"/>
      <c r="X69" s="268"/>
      <c r="Y69" s="268"/>
      <c r="Z69" s="268"/>
      <c r="AA69" s="268"/>
      <c r="AB69" s="268"/>
      <c r="AC69" s="268"/>
      <c r="AD69" s="274"/>
    </row>
    <row r="70" spans="2:30" ht="15" thickBot="1">
      <c r="B70" s="290"/>
      <c r="C70" s="215"/>
      <c r="D70" s="213"/>
      <c r="E70" s="268"/>
      <c r="F70" s="268"/>
      <c r="G70" s="268"/>
      <c r="H70" s="268"/>
      <c r="I70" s="268"/>
      <c r="J70" s="268"/>
      <c r="K70" s="268"/>
      <c r="L70" s="268"/>
      <c r="M70" s="268"/>
      <c r="N70" s="344"/>
      <c r="O70" s="268"/>
      <c r="P70" s="268"/>
      <c r="Q70" s="268"/>
      <c r="R70" s="268"/>
      <c r="S70" s="268"/>
      <c r="T70" s="268"/>
      <c r="U70" s="268"/>
      <c r="V70" s="268"/>
      <c r="W70" s="268"/>
      <c r="X70" s="268"/>
      <c r="Y70" s="268"/>
      <c r="Z70" s="268"/>
      <c r="AA70" s="268"/>
      <c r="AB70" s="268"/>
      <c r="AC70" s="268"/>
      <c r="AD70" s="274"/>
    </row>
    <row r="71" spans="2:30" ht="16" thickBot="1">
      <c r="B71" s="291" t="s">
        <v>137</v>
      </c>
      <c r="C71" s="218"/>
      <c r="D71" s="213">
        <v>0</v>
      </c>
      <c r="E71" s="268"/>
      <c r="F71" s="268"/>
      <c r="G71" s="268"/>
      <c r="H71" s="268"/>
      <c r="I71" s="268"/>
      <c r="J71" s="268"/>
      <c r="K71" s="268"/>
      <c r="L71" s="268"/>
      <c r="M71" s="268"/>
      <c r="N71" s="344"/>
      <c r="O71" s="268"/>
      <c r="P71" s="268"/>
      <c r="Q71" s="268"/>
      <c r="R71" s="268"/>
      <c r="S71" s="268"/>
      <c r="T71" s="268"/>
      <c r="U71" s="268"/>
      <c r="V71" s="268"/>
      <c r="W71" s="268"/>
      <c r="X71" s="268"/>
      <c r="Y71" s="268"/>
      <c r="Z71" s="268"/>
      <c r="AA71" s="268"/>
      <c r="AB71" s="268"/>
      <c r="AC71" s="268"/>
      <c r="AD71" s="274"/>
    </row>
    <row r="72" spans="2:30" ht="15">
      <c r="B72" s="290" t="s">
        <v>138</v>
      </c>
      <c r="C72" s="215"/>
      <c r="D72" s="213">
        <v>0</v>
      </c>
      <c r="E72" s="268"/>
      <c r="F72" s="268"/>
      <c r="G72" s="268"/>
      <c r="H72" s="268"/>
      <c r="I72" s="268"/>
      <c r="J72" s="268"/>
      <c r="K72" s="268"/>
      <c r="L72" s="268"/>
      <c r="M72" s="268"/>
      <c r="N72" s="344"/>
      <c r="O72" s="268"/>
      <c r="P72" s="268"/>
      <c r="Q72" s="268"/>
      <c r="R72" s="268"/>
      <c r="S72" s="268"/>
      <c r="T72" s="268"/>
      <c r="U72" s="268">
        <v>0</v>
      </c>
      <c r="V72" s="268">
        <v>0</v>
      </c>
      <c r="W72" s="268">
        <v>0</v>
      </c>
      <c r="X72" s="268">
        <v>0</v>
      </c>
      <c r="Y72" s="268">
        <v>0</v>
      </c>
      <c r="Z72" s="268">
        <v>0</v>
      </c>
      <c r="AA72" s="268">
        <v>0</v>
      </c>
      <c r="AB72" s="268">
        <v>0</v>
      </c>
      <c r="AC72" s="268">
        <v>0</v>
      </c>
      <c r="AD72" s="274">
        <v>0</v>
      </c>
    </row>
    <row r="73" spans="2:30" ht="15">
      <c r="B73" s="290" t="s">
        <v>139</v>
      </c>
      <c r="C73" s="215"/>
      <c r="D73" s="213">
        <v>0</v>
      </c>
      <c r="E73" s="268"/>
      <c r="F73" s="268"/>
      <c r="G73" s="268"/>
      <c r="H73" s="268"/>
      <c r="I73" s="268"/>
      <c r="J73" s="268"/>
      <c r="K73" s="268"/>
      <c r="L73" s="268"/>
      <c r="M73" s="268"/>
      <c r="N73" s="344"/>
      <c r="O73" s="268"/>
      <c r="P73" s="268"/>
      <c r="Q73" s="268"/>
      <c r="R73" s="268"/>
      <c r="S73" s="268"/>
      <c r="T73" s="268"/>
      <c r="U73" s="268">
        <v>0</v>
      </c>
      <c r="V73" s="268">
        <v>0</v>
      </c>
      <c r="W73" s="268">
        <v>0</v>
      </c>
      <c r="X73" s="268">
        <v>0</v>
      </c>
      <c r="Y73" s="268">
        <v>10000</v>
      </c>
      <c r="Z73" s="268">
        <v>10000</v>
      </c>
      <c r="AA73" s="268">
        <v>10000</v>
      </c>
      <c r="AB73" s="268">
        <v>10000</v>
      </c>
      <c r="AC73" s="268">
        <v>10000</v>
      </c>
      <c r="AD73" s="274">
        <v>10000</v>
      </c>
    </row>
    <row r="74" spans="2:30" ht="15">
      <c r="B74" s="285" t="s">
        <v>140</v>
      </c>
      <c r="C74" s="212"/>
      <c r="D74" s="213">
        <v>0</v>
      </c>
      <c r="E74" s="268"/>
      <c r="F74" s="268"/>
      <c r="G74" s="268"/>
      <c r="H74" s="268"/>
      <c r="I74" s="268"/>
      <c r="J74" s="268"/>
      <c r="K74" s="268"/>
      <c r="L74" s="268"/>
      <c r="M74" s="268"/>
      <c r="N74" s="344" t="s">
        <v>0</v>
      </c>
      <c r="O74" s="268"/>
      <c r="P74" s="268"/>
      <c r="Q74" s="268"/>
      <c r="R74" s="268" t="s">
        <v>0</v>
      </c>
      <c r="S74" s="268"/>
      <c r="T74" s="268"/>
      <c r="U74" s="268">
        <v>0</v>
      </c>
      <c r="V74" s="268">
        <v>0</v>
      </c>
      <c r="W74" s="268">
        <v>0</v>
      </c>
      <c r="X74" s="268">
        <v>0</v>
      </c>
      <c r="Y74" s="268">
        <v>7500</v>
      </c>
      <c r="Z74" s="268">
        <v>7500</v>
      </c>
      <c r="AA74" s="268">
        <v>7500</v>
      </c>
      <c r="AB74" s="268">
        <v>7500</v>
      </c>
      <c r="AC74" s="268">
        <v>7500</v>
      </c>
      <c r="AD74" s="274">
        <v>7500</v>
      </c>
    </row>
    <row r="75" spans="2:30" ht="15" thickBot="1">
      <c r="B75" s="285"/>
      <c r="C75" s="205"/>
      <c r="D75" s="206"/>
      <c r="E75" s="268"/>
      <c r="F75" s="268"/>
      <c r="G75" s="268"/>
      <c r="H75" s="268"/>
      <c r="I75" s="268"/>
      <c r="J75" s="268"/>
      <c r="K75" s="268"/>
      <c r="L75" s="268"/>
      <c r="M75" s="268"/>
      <c r="N75" s="344"/>
      <c r="O75" s="268"/>
      <c r="P75" s="268"/>
      <c r="Q75" s="268"/>
      <c r="R75" s="268"/>
      <c r="S75" s="268"/>
      <c r="T75" s="268"/>
      <c r="U75" s="268"/>
      <c r="V75" s="268"/>
      <c r="W75" s="268"/>
      <c r="X75" s="268"/>
      <c r="Y75" s="268"/>
      <c r="Z75" s="268"/>
      <c r="AA75" s="268"/>
      <c r="AB75" s="268"/>
      <c r="AC75" s="268"/>
      <c r="AD75" s="274"/>
    </row>
    <row r="76" spans="2:30" ht="25.5" customHeight="1" thickBot="1">
      <c r="B76" s="292" t="s">
        <v>141</v>
      </c>
      <c r="C76" s="212"/>
      <c r="D76" s="206"/>
      <c r="E76" s="268" t="s">
        <v>0</v>
      </c>
      <c r="F76" s="268"/>
      <c r="G76" s="268"/>
      <c r="H76" s="268"/>
      <c r="I76" s="268"/>
      <c r="J76" s="268"/>
      <c r="K76" s="268"/>
      <c r="L76" s="268"/>
      <c r="M76" s="268"/>
      <c r="N76" s="344" t="s">
        <v>0</v>
      </c>
      <c r="O76" s="268"/>
      <c r="P76" s="268"/>
      <c r="Q76" s="268"/>
      <c r="R76" s="268" t="s">
        <v>0</v>
      </c>
      <c r="S76" s="268"/>
      <c r="T76" s="268"/>
      <c r="U76" s="268"/>
      <c r="V76" s="268" t="s">
        <v>0</v>
      </c>
      <c r="W76" s="268" t="s">
        <v>0</v>
      </c>
      <c r="X76" s="268" t="s">
        <v>0</v>
      </c>
      <c r="Y76" s="268" t="s">
        <v>0</v>
      </c>
      <c r="Z76" s="268" t="s">
        <v>0</v>
      </c>
      <c r="AA76" s="268" t="s">
        <v>0</v>
      </c>
      <c r="AB76" s="268" t="s">
        <v>0</v>
      </c>
      <c r="AC76" s="268" t="s">
        <v>0</v>
      </c>
      <c r="AD76" s="274" t="s">
        <v>0</v>
      </c>
    </row>
    <row r="77" spans="2:30" ht="15">
      <c r="B77" s="285" t="s">
        <v>142</v>
      </c>
      <c r="C77" s="212"/>
      <c r="D77" s="206"/>
      <c r="E77" s="268">
        <v>-774</v>
      </c>
      <c r="F77" s="269">
        <v>-774</v>
      </c>
      <c r="G77" s="269">
        <v>-774</v>
      </c>
      <c r="H77" s="269">
        <v>-774</v>
      </c>
      <c r="I77" s="269">
        <v>-774</v>
      </c>
      <c r="J77" s="269">
        <v>-774</v>
      </c>
      <c r="K77" s="269">
        <v>-774</v>
      </c>
      <c r="L77" s="269">
        <v>-774</v>
      </c>
      <c r="M77" s="269">
        <v>-673</v>
      </c>
      <c r="N77" s="344">
        <v>-774</v>
      </c>
      <c r="O77" s="268">
        <f t="shared" ref="N77:U79" si="1">(N77*52)/52</f>
        <v>-774</v>
      </c>
      <c r="P77" s="268">
        <f t="shared" si="1"/>
        <v>-774</v>
      </c>
      <c r="Q77" s="268">
        <f t="shared" si="1"/>
        <v>-774</v>
      </c>
      <c r="R77" s="268">
        <f t="shared" ref="R77:U78" si="2">N77</f>
        <v>-774</v>
      </c>
      <c r="S77" s="268">
        <f t="shared" si="2"/>
        <v>-774</v>
      </c>
      <c r="T77" s="268">
        <f t="shared" si="2"/>
        <v>-774</v>
      </c>
      <c r="U77" s="268">
        <f t="shared" si="2"/>
        <v>-774</v>
      </c>
      <c r="V77" s="268">
        <f>-774*52/12</f>
        <v>-3354</v>
      </c>
      <c r="W77" s="268">
        <f>V77</f>
        <v>-3354</v>
      </c>
      <c r="X77" s="268">
        <f t="shared" ref="X77:AD79" si="3">W77</f>
        <v>-3354</v>
      </c>
      <c r="Y77" s="268">
        <f t="shared" si="3"/>
        <v>-3354</v>
      </c>
      <c r="Z77" s="268">
        <f t="shared" si="3"/>
        <v>-3354</v>
      </c>
      <c r="AA77" s="268">
        <f t="shared" si="3"/>
        <v>-3354</v>
      </c>
      <c r="AB77" s="268">
        <f t="shared" si="3"/>
        <v>-3354</v>
      </c>
      <c r="AC77" s="268">
        <f t="shared" si="3"/>
        <v>-3354</v>
      </c>
      <c r="AD77" s="274">
        <f t="shared" si="3"/>
        <v>-3354</v>
      </c>
    </row>
    <row r="78" spans="2:30" ht="15">
      <c r="B78" s="285" t="s">
        <v>143</v>
      </c>
      <c r="C78" s="212"/>
      <c r="D78" s="206"/>
      <c r="E78" s="268">
        <v>-905</v>
      </c>
      <c r="F78" s="269">
        <v>-905</v>
      </c>
      <c r="G78" s="269">
        <v>-905</v>
      </c>
      <c r="H78" s="269">
        <v>-905</v>
      </c>
      <c r="I78" s="269">
        <v>-905</v>
      </c>
      <c r="J78" s="269">
        <v>-905</v>
      </c>
      <c r="K78" s="269">
        <v>-905</v>
      </c>
      <c r="L78" s="269">
        <v>-905</v>
      </c>
      <c r="M78" s="269">
        <v>-905</v>
      </c>
      <c r="N78" s="344">
        <f t="shared" si="1"/>
        <v>-905</v>
      </c>
      <c r="O78" s="268">
        <f t="shared" si="1"/>
        <v>-905</v>
      </c>
      <c r="P78" s="268">
        <f t="shared" si="1"/>
        <v>-905</v>
      </c>
      <c r="Q78" s="268">
        <f t="shared" si="1"/>
        <v>-905</v>
      </c>
      <c r="R78" s="268">
        <f t="shared" si="2"/>
        <v>-905</v>
      </c>
      <c r="S78" s="268">
        <f t="shared" si="2"/>
        <v>-905</v>
      </c>
      <c r="T78" s="268">
        <f t="shared" si="2"/>
        <v>-905</v>
      </c>
      <c r="U78" s="268">
        <f t="shared" si="2"/>
        <v>-905</v>
      </c>
      <c r="V78" s="268">
        <f>-905*52/12</f>
        <v>-3921.6666666666665</v>
      </c>
      <c r="W78" s="268">
        <f>V78</f>
        <v>-3921.6666666666665</v>
      </c>
      <c r="X78" s="268">
        <f t="shared" si="3"/>
        <v>-3921.6666666666665</v>
      </c>
      <c r="Y78" s="268">
        <f t="shared" si="3"/>
        <v>-3921.6666666666665</v>
      </c>
      <c r="Z78" s="268">
        <f t="shared" si="3"/>
        <v>-3921.6666666666665</v>
      </c>
      <c r="AA78" s="268">
        <f t="shared" si="3"/>
        <v>-3921.6666666666665</v>
      </c>
      <c r="AB78" s="268">
        <f t="shared" si="3"/>
        <v>-3921.6666666666665</v>
      </c>
      <c r="AC78" s="268">
        <f t="shared" si="3"/>
        <v>-3921.6666666666665</v>
      </c>
      <c r="AD78" s="274">
        <f t="shared" si="3"/>
        <v>-3921.6666666666665</v>
      </c>
    </row>
    <row r="79" spans="2:30" ht="15">
      <c r="B79" s="285" t="s">
        <v>682</v>
      </c>
      <c r="C79" s="212"/>
      <c r="D79" s="206"/>
      <c r="E79" s="268">
        <v>-7173</v>
      </c>
      <c r="F79" s="269">
        <v>-7885</v>
      </c>
      <c r="G79" s="269">
        <v>-8934</v>
      </c>
      <c r="H79" s="269">
        <v>-8315</v>
      </c>
      <c r="I79" s="269">
        <v>-8162</v>
      </c>
      <c r="J79" s="269">
        <v>-7964.08</v>
      </c>
      <c r="K79" s="269">
        <v>-7914</v>
      </c>
      <c r="L79" s="269">
        <v>-8199.5</v>
      </c>
      <c r="M79" s="269">
        <v>-7601</v>
      </c>
      <c r="N79" s="344">
        <v>-8200</v>
      </c>
      <c r="O79" s="268">
        <f t="shared" si="1"/>
        <v>-8200</v>
      </c>
      <c r="P79" s="268">
        <f t="shared" si="1"/>
        <v>-8200</v>
      </c>
      <c r="Q79" s="268">
        <f t="shared" si="1"/>
        <v>-8200</v>
      </c>
      <c r="R79" s="268">
        <f t="shared" si="1"/>
        <v>-8200</v>
      </c>
      <c r="S79" s="268">
        <f t="shared" si="1"/>
        <v>-8200</v>
      </c>
      <c r="T79" s="268">
        <f t="shared" si="1"/>
        <v>-8200</v>
      </c>
      <c r="U79" s="268">
        <f t="shared" si="1"/>
        <v>-8200</v>
      </c>
      <c r="V79" s="268">
        <f>U79*52/12</f>
        <v>-35533.333333333336</v>
      </c>
      <c r="W79" s="268">
        <f>V79</f>
        <v>-35533.333333333336</v>
      </c>
      <c r="X79" s="268">
        <f t="shared" si="3"/>
        <v>-35533.333333333336</v>
      </c>
      <c r="Y79" s="268">
        <f t="shared" si="3"/>
        <v>-35533.333333333336</v>
      </c>
      <c r="Z79" s="268">
        <f t="shared" si="3"/>
        <v>-35533.333333333336</v>
      </c>
      <c r="AA79" s="268">
        <f t="shared" si="3"/>
        <v>-35533.333333333336</v>
      </c>
      <c r="AB79" s="268">
        <f t="shared" si="3"/>
        <v>-35533.333333333336</v>
      </c>
      <c r="AC79" s="268">
        <f t="shared" si="3"/>
        <v>-35533.333333333336</v>
      </c>
      <c r="AD79" s="274">
        <f>AC79</f>
        <v>-35533.333333333336</v>
      </c>
    </row>
    <row r="80" spans="2:30" ht="15">
      <c r="B80" s="285" t="s">
        <v>145</v>
      </c>
      <c r="C80" s="212"/>
      <c r="D80" s="206"/>
      <c r="E80" s="268"/>
      <c r="F80" s="269"/>
      <c r="G80" s="269">
        <v>-8409</v>
      </c>
      <c r="H80" s="268" t="s">
        <v>0</v>
      </c>
      <c r="I80" s="268"/>
      <c r="J80" s="268"/>
      <c r="K80" s="269">
        <f>G80</f>
        <v>-8409</v>
      </c>
      <c r="L80" s="268"/>
      <c r="M80" s="268"/>
      <c r="N80" s="345"/>
      <c r="O80" s="268">
        <f>K80</f>
        <v>-8409</v>
      </c>
      <c r="P80" s="268" t="s">
        <v>0</v>
      </c>
      <c r="Q80" s="268" t="s">
        <v>0</v>
      </c>
      <c r="S80" s="268">
        <f>O80</f>
        <v>-8409</v>
      </c>
      <c r="T80" s="268" t="s">
        <v>0</v>
      </c>
      <c r="U80" s="268" t="s">
        <v>0</v>
      </c>
      <c r="V80" s="268">
        <f>S80</f>
        <v>-8409</v>
      </c>
      <c r="W80" s="268">
        <f>V80</f>
        <v>-8409</v>
      </c>
      <c r="X80" s="268">
        <f>O80</f>
        <v>-8409</v>
      </c>
      <c r="Y80" s="268">
        <f>S80</f>
        <v>-8409</v>
      </c>
      <c r="Z80" s="268">
        <f>V80</f>
        <v>-8409</v>
      </c>
      <c r="AA80" s="268">
        <f>W80</f>
        <v>-8409</v>
      </c>
      <c r="AB80" s="268">
        <f>X80</f>
        <v>-8409</v>
      </c>
      <c r="AC80" s="268">
        <f>Y80</f>
        <v>-8409</v>
      </c>
      <c r="AD80" s="274">
        <f>Z80</f>
        <v>-8409</v>
      </c>
    </row>
    <row r="81" spans="2:31" ht="15">
      <c r="B81" s="285" t="s">
        <v>683</v>
      </c>
      <c r="C81" s="212"/>
      <c r="D81" s="206"/>
      <c r="E81" s="268">
        <v>-3125</v>
      </c>
      <c r="F81" s="269">
        <v>-3175</v>
      </c>
      <c r="G81" s="269">
        <v>-3005</v>
      </c>
      <c r="H81" s="269">
        <v>-2325</v>
      </c>
      <c r="I81" s="269">
        <v>-3175</v>
      </c>
      <c r="J81" s="269">
        <v>-3175</v>
      </c>
      <c r="K81" s="269">
        <v>-4583</v>
      </c>
      <c r="L81" s="269">
        <v>-4563</v>
      </c>
      <c r="M81" s="269">
        <v>-3512</v>
      </c>
      <c r="N81" s="344">
        <v>-4563</v>
      </c>
      <c r="O81" s="268">
        <f t="shared" ref="O81:T81" si="4">N81</f>
        <v>-4563</v>
      </c>
      <c r="P81" s="268">
        <f t="shared" si="4"/>
        <v>-4563</v>
      </c>
      <c r="Q81" s="268">
        <f t="shared" si="4"/>
        <v>-4563</v>
      </c>
      <c r="R81" s="268">
        <f t="shared" si="4"/>
        <v>-4563</v>
      </c>
      <c r="S81" s="268">
        <f t="shared" si="4"/>
        <v>-4563</v>
      </c>
      <c r="T81" s="268">
        <f t="shared" si="4"/>
        <v>-4563</v>
      </c>
      <c r="U81" s="268">
        <v>0</v>
      </c>
      <c r="V81" s="268">
        <v>-10867</v>
      </c>
      <c r="W81" s="268">
        <v>-13867</v>
      </c>
      <c r="X81" s="268">
        <v>-13867</v>
      </c>
      <c r="Y81" s="268">
        <v>-13867</v>
      </c>
      <c r="Z81" s="268">
        <f t="shared" ref="Z81:AD82" si="5">Y81</f>
        <v>-13867</v>
      </c>
      <c r="AA81" s="268">
        <f t="shared" si="5"/>
        <v>-13867</v>
      </c>
      <c r="AB81" s="268">
        <f t="shared" si="5"/>
        <v>-13867</v>
      </c>
      <c r="AC81" s="268">
        <f t="shared" si="5"/>
        <v>-13867</v>
      </c>
      <c r="AD81" s="274">
        <f t="shared" si="5"/>
        <v>-13867</v>
      </c>
    </row>
    <row r="82" spans="2:31" ht="15">
      <c r="B82" s="285" t="s">
        <v>684</v>
      </c>
      <c r="C82" s="212"/>
      <c r="D82" s="206"/>
      <c r="E82" s="268">
        <v>0</v>
      </c>
      <c r="F82" s="269">
        <v>-24491</v>
      </c>
      <c r="G82" s="268">
        <v>0</v>
      </c>
      <c r="H82" s="269">
        <v>-23986</v>
      </c>
      <c r="I82" s="268">
        <v>0</v>
      </c>
      <c r="J82" s="269">
        <v>-25055</v>
      </c>
      <c r="K82" s="268">
        <v>0</v>
      </c>
      <c r="L82" s="269">
        <v>-31313</v>
      </c>
      <c r="M82" s="268">
        <v>0</v>
      </c>
      <c r="N82" s="344">
        <v>-37000</v>
      </c>
      <c r="O82" s="268" t="s">
        <v>0</v>
      </c>
      <c r="P82" s="268">
        <v>-9000</v>
      </c>
      <c r="Q82" s="268" t="s">
        <v>0</v>
      </c>
      <c r="R82" s="268">
        <v>-9000</v>
      </c>
      <c r="S82" s="268" t="s">
        <v>0</v>
      </c>
      <c r="T82" s="268">
        <v>-9000</v>
      </c>
      <c r="U82" s="268" t="s">
        <v>0</v>
      </c>
      <c r="V82" s="268">
        <f>T82*1.5</f>
        <v>-13500</v>
      </c>
      <c r="W82" s="268">
        <f>T82*2</f>
        <v>-18000</v>
      </c>
      <c r="X82" s="268">
        <v>-35000</v>
      </c>
      <c r="Y82" s="268">
        <f>X82</f>
        <v>-35000</v>
      </c>
      <c r="Z82" s="268">
        <f t="shared" si="5"/>
        <v>-35000</v>
      </c>
      <c r="AA82" s="268">
        <f t="shared" si="5"/>
        <v>-35000</v>
      </c>
      <c r="AB82" s="268">
        <f t="shared" si="5"/>
        <v>-35000</v>
      </c>
      <c r="AC82" s="268">
        <f t="shared" si="5"/>
        <v>-35000</v>
      </c>
      <c r="AD82" s="274">
        <f t="shared" si="5"/>
        <v>-35000</v>
      </c>
    </row>
    <row r="83" spans="2:31" ht="15">
      <c r="B83" s="309" t="s">
        <v>195</v>
      </c>
      <c r="C83" s="212">
        <v>8794</v>
      </c>
      <c r="D83" s="206"/>
      <c r="E83" s="269">
        <v>-3800</v>
      </c>
      <c r="F83" s="269">
        <f>-2000*0.8</f>
        <v>-1600</v>
      </c>
      <c r="G83" s="269">
        <v>-2000</v>
      </c>
      <c r="H83" s="268">
        <v>0</v>
      </c>
      <c r="I83" s="269">
        <f>-800-594</f>
        <v>-1394</v>
      </c>
      <c r="J83" s="268">
        <v>0</v>
      </c>
      <c r="K83" s="268" t="s">
        <v>0</v>
      </c>
      <c r="L83" s="268" t="s">
        <v>0</v>
      </c>
      <c r="M83" s="268" t="s">
        <v>0</v>
      </c>
      <c r="N83" s="344" t="s">
        <v>0</v>
      </c>
      <c r="O83" s="268" t="s">
        <v>0</v>
      </c>
      <c r="P83" s="268" t="s">
        <v>0</v>
      </c>
      <c r="Q83" s="268" t="s">
        <v>0</v>
      </c>
      <c r="R83" s="268" t="s">
        <v>0</v>
      </c>
      <c r="S83" s="268" t="s">
        <v>0</v>
      </c>
      <c r="T83" s="268" t="s">
        <v>0</v>
      </c>
      <c r="U83" s="268" t="s">
        <v>0</v>
      </c>
      <c r="V83" s="268" t="s">
        <v>0</v>
      </c>
      <c r="W83" s="268" t="s">
        <v>0</v>
      </c>
      <c r="X83" s="268" t="s">
        <v>0</v>
      </c>
      <c r="Y83" s="268" t="s">
        <v>0</v>
      </c>
      <c r="Z83" s="268" t="s">
        <v>0</v>
      </c>
      <c r="AA83" s="268" t="s">
        <v>0</v>
      </c>
      <c r="AB83" s="268" t="s">
        <v>0</v>
      </c>
      <c r="AC83" s="268" t="s">
        <v>0</v>
      </c>
      <c r="AD83" s="274" t="s">
        <v>0</v>
      </c>
    </row>
    <row r="84" spans="2:31" ht="15">
      <c r="B84" s="309" t="s">
        <v>196</v>
      </c>
      <c r="C84" s="212">
        <f>-10315-12625</f>
        <v>-22940</v>
      </c>
      <c r="D84" s="206"/>
      <c r="E84" s="269">
        <v>-4000</v>
      </c>
      <c r="F84" s="269">
        <v>-2000</v>
      </c>
      <c r="G84" s="269">
        <v>-2000</v>
      </c>
      <c r="H84" s="269">
        <v>-2000</v>
      </c>
      <c r="I84" s="269">
        <v>-2000</v>
      </c>
      <c r="J84" s="269">
        <v>-2000</v>
      </c>
      <c r="K84" s="269">
        <v>-2000</v>
      </c>
      <c r="L84" s="269">
        <v>-2000</v>
      </c>
      <c r="N84" s="344">
        <v>-2000</v>
      </c>
      <c r="O84" s="268">
        <v>-2940</v>
      </c>
      <c r="P84" s="268" t="s">
        <v>0</v>
      </c>
      <c r="Q84" s="268" t="s">
        <v>0</v>
      </c>
      <c r="R84" s="268" t="s">
        <v>0</v>
      </c>
      <c r="S84" s="268" t="s">
        <v>0</v>
      </c>
      <c r="T84" s="268" t="s">
        <v>0</v>
      </c>
      <c r="U84" s="268" t="s">
        <v>0</v>
      </c>
      <c r="V84" s="268" t="s">
        <v>0</v>
      </c>
      <c r="W84" s="268" t="s">
        <v>0</v>
      </c>
      <c r="X84" s="268" t="s">
        <v>0</v>
      </c>
      <c r="Y84" s="268" t="s">
        <v>0</v>
      </c>
      <c r="Z84" s="268" t="s">
        <v>0</v>
      </c>
      <c r="AA84" s="268" t="s">
        <v>0</v>
      </c>
      <c r="AB84" s="268" t="s">
        <v>0</v>
      </c>
      <c r="AC84" s="268" t="s">
        <v>0</v>
      </c>
      <c r="AD84" s="274" t="s">
        <v>0</v>
      </c>
    </row>
    <row r="85" spans="2:31" ht="15">
      <c r="B85" s="309" t="s">
        <v>685</v>
      </c>
      <c r="C85" s="212"/>
      <c r="D85" s="206"/>
      <c r="E85" s="268"/>
      <c r="F85" s="268"/>
      <c r="G85" s="268"/>
      <c r="H85" s="268"/>
      <c r="I85" s="268"/>
      <c r="J85" s="268"/>
      <c r="K85" s="268"/>
      <c r="L85" s="268"/>
      <c r="M85" s="268"/>
      <c r="N85" s="344"/>
      <c r="O85" s="268"/>
      <c r="P85" s="268"/>
      <c r="R85" s="268" t="s">
        <v>0</v>
      </c>
      <c r="S85" s="268">
        <v>-2500</v>
      </c>
      <c r="T85" s="268">
        <v>-2500</v>
      </c>
      <c r="V85" s="268">
        <v>-30000</v>
      </c>
      <c r="W85" s="268">
        <v>-30000</v>
      </c>
      <c r="X85" s="268">
        <v>-30000</v>
      </c>
      <c r="Y85" s="268">
        <v>-27500</v>
      </c>
      <c r="Z85" s="268"/>
      <c r="AA85" s="268"/>
      <c r="AB85" s="268"/>
      <c r="AC85" s="268"/>
      <c r="AD85" s="274"/>
    </row>
    <row r="86" spans="2:31" ht="15">
      <c r="B86" s="285" t="s">
        <v>686</v>
      </c>
      <c r="C86" s="212"/>
      <c r="D86" s="206"/>
      <c r="E86" s="268"/>
      <c r="F86" s="268"/>
      <c r="G86" s="268"/>
      <c r="H86" s="268"/>
      <c r="I86" s="269">
        <v>-4920</v>
      </c>
      <c r="J86" s="268"/>
      <c r="K86" s="268"/>
      <c r="L86" s="268" t="s">
        <v>0</v>
      </c>
      <c r="M86" s="268" t="s">
        <v>0</v>
      </c>
      <c r="N86" s="346" t="s">
        <v>0</v>
      </c>
      <c r="O86" s="275"/>
      <c r="P86" s="275"/>
      <c r="Q86" s="275"/>
      <c r="R86" s="275" t="str">
        <f>N86</f>
        <v xml:space="preserve"> </v>
      </c>
      <c r="S86" s="275" t="s">
        <v>163</v>
      </c>
      <c r="T86" s="275" t="s">
        <v>0</v>
      </c>
      <c r="U86" s="275" t="s">
        <v>0</v>
      </c>
      <c r="V86" s="275">
        <f>-4920*4</f>
        <v>-19680</v>
      </c>
      <c r="W86" s="275">
        <v>4920</v>
      </c>
      <c r="X86" s="275">
        <v>4920</v>
      </c>
      <c r="Y86" s="275">
        <f t="shared" ref="Y86:AD86" si="6">W86</f>
        <v>4920</v>
      </c>
      <c r="Z86" s="275">
        <f t="shared" si="6"/>
        <v>4920</v>
      </c>
      <c r="AA86" s="275">
        <f t="shared" si="6"/>
        <v>4920</v>
      </c>
      <c r="AB86" s="275">
        <f t="shared" si="6"/>
        <v>4920</v>
      </c>
      <c r="AC86" s="275">
        <f t="shared" si="6"/>
        <v>4920</v>
      </c>
      <c r="AD86" s="311">
        <f t="shared" si="6"/>
        <v>4920</v>
      </c>
    </row>
    <row r="87" spans="2:31" s="211" customFormat="1" ht="15">
      <c r="B87" s="288" t="s">
        <v>664</v>
      </c>
      <c r="C87" s="212"/>
      <c r="D87" s="213"/>
      <c r="E87" s="268">
        <v>-1752</v>
      </c>
      <c r="F87" s="268"/>
      <c r="G87" s="268"/>
      <c r="H87" s="268"/>
      <c r="I87" s="269">
        <v>-1752</v>
      </c>
      <c r="J87" s="268"/>
      <c r="K87" s="268"/>
      <c r="L87" s="268"/>
      <c r="M87" s="269">
        <v>-1752</v>
      </c>
      <c r="N87" s="343"/>
      <c r="O87" s="275"/>
      <c r="P87" s="275"/>
      <c r="Q87" s="275"/>
      <c r="R87" s="275">
        <f t="shared" ref="R87:AD87" si="7">$I87</f>
        <v>-1752</v>
      </c>
      <c r="S87" s="275"/>
      <c r="T87" s="275"/>
      <c r="U87" s="275"/>
      <c r="V87" s="275">
        <f t="shared" si="7"/>
        <v>-1752</v>
      </c>
      <c r="W87" s="275">
        <f t="shared" si="7"/>
        <v>-1752</v>
      </c>
      <c r="X87" s="275">
        <f t="shared" si="7"/>
        <v>-1752</v>
      </c>
      <c r="Y87" s="275">
        <f t="shared" si="7"/>
        <v>-1752</v>
      </c>
      <c r="Z87" s="275">
        <f t="shared" si="7"/>
        <v>-1752</v>
      </c>
      <c r="AA87" s="275">
        <f t="shared" si="7"/>
        <v>-1752</v>
      </c>
      <c r="AB87" s="275">
        <f t="shared" si="7"/>
        <v>-1752</v>
      </c>
      <c r="AC87" s="275">
        <f t="shared" si="7"/>
        <v>-1752</v>
      </c>
      <c r="AD87" s="311">
        <f t="shared" si="7"/>
        <v>-1752</v>
      </c>
    </row>
    <row r="88" spans="2:31" s="211" customFormat="1" ht="15">
      <c r="B88" s="288" t="s">
        <v>665</v>
      </c>
      <c r="C88" s="212"/>
      <c r="D88" s="213"/>
      <c r="E88" s="268"/>
      <c r="F88" s="268"/>
      <c r="G88" s="269">
        <f>-719.85-798.2</f>
        <v>-1518.0500000000002</v>
      </c>
      <c r="H88" s="268" t="s">
        <v>0</v>
      </c>
      <c r="I88" s="268"/>
      <c r="J88" s="268"/>
      <c r="K88" s="269">
        <f>G88</f>
        <v>-1518.0500000000002</v>
      </c>
      <c r="L88" s="268"/>
      <c r="M88" s="268"/>
      <c r="N88" s="344">
        <v>-1518</v>
      </c>
      <c r="O88" s="275"/>
      <c r="P88" s="275"/>
      <c r="Q88" s="275"/>
      <c r="R88" s="275">
        <v>-1518</v>
      </c>
      <c r="S88" s="275"/>
      <c r="T88" s="275"/>
      <c r="U88" s="275"/>
      <c r="V88" s="275">
        <v>-1518</v>
      </c>
      <c r="W88" s="275">
        <v>-2500</v>
      </c>
      <c r="X88" s="275">
        <v>-2500</v>
      </c>
      <c r="Y88" s="275">
        <v>-2500</v>
      </c>
      <c r="Z88" s="275">
        <v>-2500</v>
      </c>
      <c r="AA88" s="275">
        <v>-2500</v>
      </c>
      <c r="AB88" s="275">
        <v>-2500</v>
      </c>
      <c r="AC88" s="275">
        <v>-2500</v>
      </c>
      <c r="AD88" s="275">
        <v>-2500</v>
      </c>
      <c r="AE88" s="275">
        <v>-2500</v>
      </c>
    </row>
    <row r="89" spans="2:31" s="211" customFormat="1" ht="15">
      <c r="B89" s="288" t="s">
        <v>166</v>
      </c>
      <c r="C89" s="212"/>
      <c r="D89" s="213"/>
      <c r="E89" s="269">
        <v>-866</v>
      </c>
      <c r="F89" s="269">
        <v>-543</v>
      </c>
      <c r="G89" s="269">
        <f>-(778.37+24.6+17.71)</f>
        <v>-820.68000000000006</v>
      </c>
      <c r="H89" s="269">
        <f>-470-200-803</f>
        <v>-1473</v>
      </c>
      <c r="I89" s="269">
        <v>-803.12</v>
      </c>
      <c r="J89" s="269">
        <f>-713</f>
        <v>-713</v>
      </c>
      <c r="K89" s="269">
        <f>-812.29-17.71-24.6</f>
        <v>-854.6</v>
      </c>
      <c r="L89" s="269">
        <v>-708.95</v>
      </c>
      <c r="M89" s="269">
        <v>-1075</v>
      </c>
      <c r="N89" s="344">
        <v>-576</v>
      </c>
      <c r="O89" s="268">
        <v>-1000</v>
      </c>
      <c r="P89" s="268">
        <f>O89</f>
        <v>-1000</v>
      </c>
      <c r="Q89" s="268">
        <f>P89</f>
        <v>-1000</v>
      </c>
      <c r="R89" s="275">
        <f>O89</f>
        <v>-1000</v>
      </c>
      <c r="S89" s="275">
        <f>P89</f>
        <v>-1000</v>
      </c>
      <c r="T89" s="275">
        <f>Q89</f>
        <v>-1000</v>
      </c>
      <c r="U89" s="275">
        <f>R89</f>
        <v>-1000</v>
      </c>
      <c r="V89" s="275">
        <v>-3000</v>
      </c>
      <c r="W89" s="275">
        <v>-3000</v>
      </c>
      <c r="X89" s="275">
        <v>-3000</v>
      </c>
      <c r="Y89" s="275">
        <v>-3000</v>
      </c>
      <c r="Z89" s="275">
        <v>-3000</v>
      </c>
      <c r="AA89" s="275">
        <v>-3000</v>
      </c>
      <c r="AB89" s="275">
        <v>-3000</v>
      </c>
      <c r="AC89" s="275">
        <v>-3000</v>
      </c>
      <c r="AD89" s="311">
        <v>-3000</v>
      </c>
    </row>
    <row r="90" spans="2:31" s="211" customFormat="1" ht="15">
      <c r="B90" s="288" t="s">
        <v>167</v>
      </c>
      <c r="C90" s="212"/>
      <c r="D90" s="213"/>
      <c r="E90" s="268"/>
      <c r="F90" s="268"/>
      <c r="G90" s="268"/>
      <c r="H90" s="268"/>
      <c r="I90" s="269">
        <v>-200</v>
      </c>
      <c r="J90" s="268"/>
      <c r="K90" s="269">
        <v>-200</v>
      </c>
      <c r="L90" s="269">
        <v>-200</v>
      </c>
      <c r="M90" s="268"/>
      <c r="N90" s="355">
        <v>-200</v>
      </c>
      <c r="O90" s="275"/>
      <c r="P90" s="275"/>
      <c r="Q90" s="275"/>
      <c r="R90" s="275"/>
      <c r="S90" s="275"/>
      <c r="T90" s="275"/>
      <c r="U90" s="275"/>
      <c r="V90" s="275"/>
      <c r="W90" s="275"/>
      <c r="X90" s="275"/>
      <c r="Y90" s="275"/>
      <c r="Z90" s="275"/>
      <c r="AA90" s="275"/>
      <c r="AB90" s="275"/>
      <c r="AC90" s="275"/>
      <c r="AD90" s="311"/>
    </row>
    <row r="91" spans="2:31" s="211" customFormat="1" ht="15">
      <c r="B91" s="288" t="s">
        <v>168</v>
      </c>
      <c r="C91" s="212"/>
      <c r="D91" s="213"/>
      <c r="E91" s="268"/>
      <c r="F91" s="269">
        <v>-240</v>
      </c>
      <c r="G91" s="268"/>
      <c r="H91" s="268"/>
      <c r="I91" s="269">
        <v>-240</v>
      </c>
      <c r="K91" s="268"/>
      <c r="L91" s="268"/>
      <c r="M91" s="268"/>
      <c r="N91" s="344">
        <v>-240</v>
      </c>
      <c r="O91" s="275"/>
      <c r="P91" s="275"/>
      <c r="Q91" s="275"/>
      <c r="R91" s="275">
        <v>-240</v>
      </c>
      <c r="S91" s="275"/>
      <c r="T91" s="275"/>
      <c r="U91" s="275"/>
      <c r="V91" s="275">
        <v>-240</v>
      </c>
      <c r="W91" s="275">
        <v>-240</v>
      </c>
      <c r="X91" s="275">
        <v>-240</v>
      </c>
      <c r="Y91" s="275">
        <v>-240</v>
      </c>
      <c r="Z91" s="275">
        <v>-240</v>
      </c>
      <c r="AA91" s="275">
        <v>-240</v>
      </c>
      <c r="AB91" s="275">
        <v>-240</v>
      </c>
      <c r="AC91" s="275">
        <v>-240</v>
      </c>
      <c r="AD91" s="311">
        <v>-240</v>
      </c>
    </row>
    <row r="92" spans="2:31" s="211" customFormat="1" ht="15">
      <c r="B92" s="288" t="s">
        <v>169</v>
      </c>
      <c r="C92" s="212"/>
      <c r="D92" s="213"/>
      <c r="E92" s="268"/>
      <c r="F92" s="268"/>
      <c r="G92" s="268"/>
      <c r="H92" s="268"/>
      <c r="I92" s="268"/>
      <c r="J92" s="268"/>
      <c r="K92" s="268"/>
      <c r="L92" s="268"/>
      <c r="M92" s="268"/>
      <c r="N92" s="344"/>
      <c r="O92" s="275"/>
      <c r="P92" s="275"/>
      <c r="Q92" s="275"/>
      <c r="R92" s="275"/>
      <c r="S92" s="275"/>
      <c r="T92" s="275"/>
      <c r="U92" s="275"/>
      <c r="V92" s="275"/>
      <c r="W92" s="275"/>
      <c r="X92" s="275"/>
      <c r="Y92" s="275"/>
      <c r="Z92" s="275"/>
      <c r="AA92" s="275"/>
      <c r="AB92" s="275"/>
      <c r="AC92" s="275"/>
      <c r="AD92" s="311"/>
    </row>
    <row r="93" spans="2:31" s="211" customFormat="1" ht="15">
      <c r="B93" s="288" t="s">
        <v>170</v>
      </c>
      <c r="C93" s="212"/>
      <c r="D93" s="213"/>
      <c r="E93" s="268"/>
      <c r="F93" s="268"/>
      <c r="G93" s="269">
        <v>-513</v>
      </c>
      <c r="H93" s="268"/>
      <c r="I93" s="268"/>
      <c r="J93" s="268"/>
      <c r="K93" s="269">
        <v>-513</v>
      </c>
      <c r="L93" s="268"/>
      <c r="M93" s="268"/>
      <c r="N93" s="355">
        <v>-513</v>
      </c>
      <c r="O93" s="275"/>
      <c r="P93" s="275"/>
      <c r="Q93" s="275"/>
      <c r="R93" s="275">
        <v>-513</v>
      </c>
      <c r="S93" s="275"/>
      <c r="T93" s="275"/>
      <c r="U93" s="275"/>
      <c r="V93" s="275">
        <v>-513</v>
      </c>
      <c r="W93" s="275">
        <v>-513</v>
      </c>
      <c r="X93" s="275">
        <v>-513</v>
      </c>
      <c r="Y93" s="275">
        <v>-513</v>
      </c>
      <c r="Z93" s="275">
        <v>-513</v>
      </c>
      <c r="AA93" s="275">
        <v>-513</v>
      </c>
      <c r="AB93" s="275">
        <v>-513</v>
      </c>
      <c r="AC93" s="275">
        <v>-513</v>
      </c>
      <c r="AD93" s="311">
        <v>-513</v>
      </c>
    </row>
    <row r="94" spans="2:31" s="211" customFormat="1" ht="15">
      <c r="B94" s="288" t="s">
        <v>549</v>
      </c>
      <c r="C94" s="212"/>
      <c r="D94" s="213"/>
      <c r="E94" s="268"/>
      <c r="F94" s="268"/>
      <c r="G94" s="269">
        <v>-2194</v>
      </c>
      <c r="H94" s="268"/>
      <c r="I94" s="268"/>
      <c r="J94" s="268"/>
      <c r="K94" s="269">
        <f>G94</f>
        <v>-2194</v>
      </c>
      <c r="L94" s="268"/>
      <c r="M94" s="268"/>
      <c r="N94" s="343"/>
      <c r="O94" s="269">
        <f>K94</f>
        <v>-2194</v>
      </c>
      <c r="P94" s="275"/>
      <c r="Q94" s="275"/>
      <c r="T94" s="310">
        <f>O94</f>
        <v>-2194</v>
      </c>
      <c r="U94" s="275"/>
      <c r="V94" s="310">
        <f>O94</f>
        <v>-2194</v>
      </c>
      <c r="W94" s="310">
        <f>O94</f>
        <v>-2194</v>
      </c>
      <c r="X94" s="310">
        <f>O94</f>
        <v>-2194</v>
      </c>
      <c r="Y94" s="310">
        <f>T94</f>
        <v>-2194</v>
      </c>
      <c r="Z94" s="310">
        <f>V94</f>
        <v>-2194</v>
      </c>
      <c r="AA94" s="310">
        <f>W94</f>
        <v>-2194</v>
      </c>
      <c r="AB94" s="310">
        <f>X94</f>
        <v>-2194</v>
      </c>
      <c r="AC94" s="310">
        <f>Y94</f>
        <v>-2194</v>
      </c>
      <c r="AD94" s="312">
        <f>Z94</f>
        <v>-2194</v>
      </c>
    </row>
    <row r="95" spans="2:31" ht="15">
      <c r="B95" s="285" t="s">
        <v>550</v>
      </c>
      <c r="C95" s="212"/>
      <c r="D95" s="206"/>
      <c r="E95" s="268">
        <v>-2600</v>
      </c>
      <c r="F95" s="268"/>
      <c r="G95" s="269">
        <v>-2287.56</v>
      </c>
      <c r="H95" s="268" t="s">
        <v>0</v>
      </c>
      <c r="I95" s="269">
        <v>-2807.46</v>
      </c>
      <c r="J95" s="268"/>
      <c r="K95" s="268"/>
      <c r="N95" s="344">
        <v>0</v>
      </c>
      <c r="O95" s="275">
        <v>-2600</v>
      </c>
      <c r="P95" s="268">
        <v>-2600</v>
      </c>
      <c r="Q95" s="275"/>
      <c r="R95" s="275">
        <v>-2600</v>
      </c>
      <c r="S95" s="275"/>
      <c r="T95" s="275"/>
      <c r="U95" s="275"/>
      <c r="V95" s="275">
        <v>-2600</v>
      </c>
      <c r="W95" s="275">
        <v>-2600</v>
      </c>
      <c r="X95" s="275">
        <v>-2600</v>
      </c>
      <c r="Y95" s="275">
        <v>-2600</v>
      </c>
      <c r="Z95" s="275">
        <v>-2600</v>
      </c>
      <c r="AA95" s="275">
        <v>-2600</v>
      </c>
      <c r="AB95" s="275">
        <v>-2600</v>
      </c>
      <c r="AC95" s="275">
        <v>-2600</v>
      </c>
      <c r="AD95" s="311">
        <v>-2600</v>
      </c>
    </row>
    <row r="96" spans="2:31" s="211" customFormat="1" ht="15">
      <c r="B96" s="288" t="s">
        <v>173</v>
      </c>
      <c r="C96" s="212">
        <f>-8659-(1082*3)</f>
        <v>-11905</v>
      </c>
      <c r="D96" s="213"/>
      <c r="E96" s="268"/>
      <c r="F96" s="268"/>
      <c r="G96" s="268"/>
      <c r="H96" s="268"/>
      <c r="I96" s="269">
        <f>-1082.4*2</f>
        <v>-2164.8000000000002</v>
      </c>
      <c r="J96" s="268"/>
      <c r="K96" s="268"/>
      <c r="L96" s="268"/>
      <c r="M96" s="269">
        <f>I96</f>
        <v>-2164.8000000000002</v>
      </c>
      <c r="N96" s="343"/>
      <c r="O96" s="275"/>
      <c r="P96" s="275"/>
      <c r="Q96" s="268">
        <f>M96</f>
        <v>-2164.8000000000002</v>
      </c>
      <c r="R96" s="275">
        <f>M96</f>
        <v>-2164.8000000000002</v>
      </c>
      <c r="S96" s="275"/>
      <c r="T96" s="275"/>
      <c r="U96" s="275"/>
      <c r="V96" s="275">
        <f>M96</f>
        <v>-2164.8000000000002</v>
      </c>
      <c r="W96" s="275">
        <f>M96</f>
        <v>-2164.8000000000002</v>
      </c>
      <c r="X96" s="275">
        <f>Q96</f>
        <v>-2164.8000000000002</v>
      </c>
      <c r="Y96" s="275">
        <f>R96</f>
        <v>-2164.8000000000002</v>
      </c>
      <c r="Z96" s="275">
        <f>V96</f>
        <v>-2164.8000000000002</v>
      </c>
      <c r="AA96" s="275">
        <f>W96</f>
        <v>-2164.8000000000002</v>
      </c>
      <c r="AB96" s="275">
        <f>X96</f>
        <v>-2164.8000000000002</v>
      </c>
      <c r="AC96" s="275">
        <v>-1082.4000000000001</v>
      </c>
      <c r="AD96" s="311">
        <v>-1082.4000000000001</v>
      </c>
    </row>
    <row r="97" spans="1:33" s="211" customFormat="1" ht="15">
      <c r="B97" s="288" t="s">
        <v>553</v>
      </c>
      <c r="C97" s="212"/>
      <c r="D97" s="213"/>
      <c r="E97" s="268"/>
      <c r="F97" s="269">
        <v>-500</v>
      </c>
      <c r="G97" s="268" t="s">
        <v>0</v>
      </c>
      <c r="H97" s="268" t="s">
        <v>0</v>
      </c>
      <c r="I97" s="268"/>
      <c r="J97" s="268"/>
      <c r="K97" s="268"/>
      <c r="L97" s="268"/>
      <c r="M97" s="268">
        <v>0</v>
      </c>
      <c r="N97" s="344">
        <f>-250*2</f>
        <v>-500</v>
      </c>
      <c r="O97" s="275"/>
      <c r="P97" s="275"/>
      <c r="Q97" s="275"/>
      <c r="R97" s="275">
        <v>-250</v>
      </c>
      <c r="S97" s="275"/>
      <c r="T97" s="275"/>
      <c r="U97" s="275"/>
      <c r="V97" s="275">
        <v>-250</v>
      </c>
      <c r="W97" s="275">
        <v>-250</v>
      </c>
      <c r="X97" s="275">
        <v>-250</v>
      </c>
      <c r="Y97" s="275">
        <v>-250</v>
      </c>
      <c r="Z97" s="275">
        <v>-250</v>
      </c>
      <c r="AA97" s="275">
        <v>-250</v>
      </c>
      <c r="AB97" s="275">
        <v>-250</v>
      </c>
      <c r="AC97" s="275">
        <v>-250</v>
      </c>
      <c r="AD97" s="311">
        <v>-250</v>
      </c>
    </row>
    <row r="98" spans="1:33" s="211" customFormat="1" ht="15">
      <c r="B98" s="288" t="s">
        <v>687</v>
      </c>
      <c r="C98" s="212"/>
      <c r="D98" s="213"/>
      <c r="E98" s="268"/>
      <c r="F98" s="268">
        <v>-3550</v>
      </c>
      <c r="G98" s="268"/>
      <c r="H98" s="268"/>
      <c r="I98" s="268"/>
      <c r="J98" s="268">
        <v>-2706.99</v>
      </c>
      <c r="K98" s="268"/>
      <c r="L98" s="268"/>
      <c r="M98" s="268"/>
      <c r="N98" s="344">
        <v>-3000</v>
      </c>
      <c r="O98" s="275"/>
      <c r="P98" s="275"/>
      <c r="Q98" s="275"/>
      <c r="R98" s="275"/>
      <c r="S98" s="275">
        <v>-3000</v>
      </c>
      <c r="T98" s="275"/>
      <c r="U98" s="275"/>
      <c r="V98" s="275">
        <v>-3000</v>
      </c>
      <c r="W98" s="275">
        <v>-3000</v>
      </c>
      <c r="X98" s="275">
        <v>-3000</v>
      </c>
      <c r="Y98" s="275">
        <v>-3000</v>
      </c>
      <c r="Z98" s="275">
        <v>-3000</v>
      </c>
      <c r="AA98" s="275">
        <v>-3000</v>
      </c>
      <c r="AB98" s="275">
        <v>-3000</v>
      </c>
      <c r="AC98" s="275">
        <v>-3000</v>
      </c>
      <c r="AD98" s="311">
        <v>-3000</v>
      </c>
      <c r="AE98" s="275">
        <v>-3000</v>
      </c>
    </row>
    <row r="99" spans="1:33" s="211" customFormat="1" ht="15">
      <c r="B99" s="288" t="s">
        <v>177</v>
      </c>
      <c r="C99" s="212"/>
      <c r="D99" s="213"/>
      <c r="E99" s="268"/>
      <c r="F99" s="268"/>
      <c r="G99" s="268">
        <v>-2563</v>
      </c>
      <c r="H99" s="268"/>
      <c r="I99" s="268"/>
      <c r="J99" s="268"/>
      <c r="K99" s="268"/>
      <c r="L99" s="268"/>
      <c r="M99" s="268"/>
      <c r="N99" s="344"/>
      <c r="O99" s="275"/>
      <c r="P99" s="275"/>
      <c r="Q99" s="275"/>
      <c r="R99" s="275"/>
      <c r="S99" s="275">
        <v>-3000</v>
      </c>
      <c r="T99" s="275"/>
      <c r="U99" s="275"/>
      <c r="V99" s="275"/>
      <c r="W99" s="275"/>
      <c r="X99" s="275"/>
      <c r="Y99" s="275"/>
      <c r="Z99" s="275"/>
      <c r="AA99" s="275"/>
      <c r="AB99" s="275"/>
      <c r="AC99" s="275"/>
      <c r="AD99" s="311"/>
    </row>
    <row r="100" spans="1:33" s="211" customFormat="1" ht="15">
      <c r="B100" s="288" t="s">
        <v>178</v>
      </c>
      <c r="C100" s="212"/>
      <c r="D100" s="213"/>
      <c r="E100" s="268"/>
      <c r="F100" s="268"/>
      <c r="G100" s="268"/>
      <c r="H100" s="268"/>
      <c r="I100" s="269">
        <f>-62.5-33.26</f>
        <v>-95.759999999999991</v>
      </c>
      <c r="J100" s="268"/>
      <c r="K100" s="268"/>
      <c r="L100" s="268"/>
      <c r="M100" s="269">
        <v>-32.32</v>
      </c>
      <c r="N100" s="344"/>
      <c r="O100" s="275"/>
      <c r="P100" s="275"/>
      <c r="Q100" s="275"/>
      <c r="R100" s="275"/>
      <c r="S100" s="275"/>
      <c r="T100" s="275"/>
      <c r="U100" s="275"/>
      <c r="V100" s="275"/>
      <c r="W100" s="275"/>
      <c r="X100" s="275"/>
      <c r="Y100" s="275"/>
      <c r="Z100" s="275"/>
      <c r="AA100" s="275"/>
      <c r="AB100" s="275"/>
      <c r="AC100" s="275"/>
      <c r="AD100" s="311"/>
    </row>
    <row r="101" spans="1:33" s="211" customFormat="1" ht="15">
      <c r="B101" s="288" t="s">
        <v>179</v>
      </c>
      <c r="C101" s="212"/>
      <c r="D101" s="213"/>
      <c r="E101" s="268"/>
      <c r="F101" s="268"/>
      <c r="G101" s="269">
        <v>-186</v>
      </c>
      <c r="H101" s="268"/>
      <c r="I101" s="268"/>
      <c r="J101" s="268"/>
      <c r="K101" s="269">
        <f>G101</f>
        <v>-186</v>
      </c>
      <c r="L101" s="268"/>
      <c r="M101" s="268"/>
      <c r="N101" s="344">
        <f>K101</f>
        <v>-186</v>
      </c>
      <c r="O101" s="275"/>
      <c r="P101" s="275"/>
      <c r="Q101" s="275"/>
      <c r="R101" s="275">
        <f>N101</f>
        <v>-186</v>
      </c>
      <c r="S101" s="275"/>
      <c r="T101" s="275"/>
      <c r="U101" s="275"/>
      <c r="V101" s="275">
        <f>R101</f>
        <v>-186</v>
      </c>
      <c r="W101" s="275">
        <f>N101</f>
        <v>-186</v>
      </c>
      <c r="X101" s="275">
        <f>R101</f>
        <v>-186</v>
      </c>
      <c r="Y101" s="275">
        <f t="shared" ref="Y101:AD101" si="8">V101</f>
        <v>-186</v>
      </c>
      <c r="Z101" s="275">
        <f t="shared" si="8"/>
        <v>-186</v>
      </c>
      <c r="AA101" s="275">
        <f t="shared" si="8"/>
        <v>-186</v>
      </c>
      <c r="AB101" s="275">
        <f t="shared" si="8"/>
        <v>-186</v>
      </c>
      <c r="AC101" s="275">
        <f t="shared" si="8"/>
        <v>-186</v>
      </c>
      <c r="AD101" s="311">
        <f t="shared" si="8"/>
        <v>-186</v>
      </c>
    </row>
    <row r="102" spans="1:33" s="211" customFormat="1" ht="15">
      <c r="B102" s="288" t="s">
        <v>180</v>
      </c>
      <c r="C102" s="212"/>
      <c r="D102" s="213"/>
      <c r="E102" s="268"/>
      <c r="F102" s="268"/>
      <c r="G102" s="268"/>
      <c r="H102" s="268"/>
      <c r="I102" s="268"/>
      <c r="J102" s="268"/>
      <c r="K102" s="269">
        <v>-35.67</v>
      </c>
      <c r="L102" s="268"/>
      <c r="M102" s="268"/>
      <c r="N102" s="344"/>
      <c r="O102" s="275"/>
      <c r="P102" s="275"/>
      <c r="Q102" s="275"/>
      <c r="R102" s="275"/>
      <c r="S102" s="275"/>
      <c r="T102" s="275"/>
      <c r="U102" s="275"/>
      <c r="V102" s="275"/>
      <c r="W102" s="275"/>
      <c r="X102" s="275"/>
      <c r="Y102" s="275"/>
      <c r="Z102" s="275"/>
      <c r="AA102" s="275"/>
      <c r="AB102" s="275"/>
      <c r="AC102" s="275"/>
      <c r="AD102" s="311"/>
    </row>
    <row r="103" spans="1:33" s="211" customFormat="1" ht="15">
      <c r="A103" s="211" t="s">
        <v>688</v>
      </c>
      <c r="B103" s="288" t="s">
        <v>181</v>
      </c>
      <c r="C103" s="212"/>
      <c r="D103" s="213"/>
      <c r="E103" s="268"/>
      <c r="F103" s="268"/>
      <c r="G103" s="268"/>
      <c r="H103" s="268"/>
      <c r="I103" s="268"/>
      <c r="J103" s="268"/>
      <c r="K103" s="268"/>
      <c r="L103" s="269">
        <v>-20</v>
      </c>
      <c r="M103" s="268"/>
      <c r="N103" s="344"/>
      <c r="O103" s="275"/>
      <c r="P103" s="275"/>
      <c r="Q103" s="275"/>
      <c r="R103" s="275"/>
      <c r="S103" s="275"/>
      <c r="T103" s="275"/>
      <c r="U103" s="275"/>
      <c r="V103" s="275"/>
      <c r="W103" s="275"/>
      <c r="X103" s="275"/>
      <c r="Y103" s="275"/>
      <c r="Z103" s="275"/>
      <c r="AA103" s="275"/>
      <c r="AB103" s="275"/>
      <c r="AC103" s="275"/>
      <c r="AD103" s="311"/>
    </row>
    <row r="104" spans="1:33" s="211" customFormat="1" ht="15">
      <c r="B104" s="288" t="s">
        <v>182</v>
      </c>
      <c r="C104" s="212"/>
      <c r="D104" s="213"/>
      <c r="E104" s="268"/>
      <c r="F104" s="268"/>
      <c r="G104" s="268"/>
      <c r="H104" s="268"/>
      <c r="I104" s="268"/>
      <c r="J104" s="268"/>
      <c r="K104" s="268"/>
      <c r="L104" s="268"/>
      <c r="M104" s="269">
        <v>-28</v>
      </c>
      <c r="N104" s="355">
        <v>-30.05</v>
      </c>
      <c r="O104" s="275"/>
      <c r="P104" s="275"/>
      <c r="Q104" s="275"/>
      <c r="R104" s="275"/>
      <c r="S104" s="275"/>
      <c r="T104" s="275"/>
      <c r="U104" s="275"/>
      <c r="V104" s="275"/>
      <c r="W104" s="275"/>
      <c r="X104" s="275"/>
      <c r="Y104" s="275"/>
      <c r="Z104" s="275"/>
      <c r="AA104" s="275"/>
      <c r="AB104" s="275"/>
      <c r="AC104" s="275"/>
      <c r="AD104" s="311"/>
    </row>
    <row r="105" spans="1:33" s="211" customFormat="1" ht="16" thickBot="1">
      <c r="B105" s="288" t="s">
        <v>183</v>
      </c>
      <c r="C105" s="212"/>
      <c r="D105" s="213"/>
      <c r="E105" s="268"/>
      <c r="F105" s="268"/>
      <c r="G105" s="268"/>
      <c r="H105" s="268"/>
      <c r="I105" s="268"/>
      <c r="J105" s="268"/>
      <c r="K105" s="268"/>
      <c r="L105" s="268"/>
      <c r="M105" s="269">
        <v>-425</v>
      </c>
      <c r="N105" s="344"/>
      <c r="O105" s="275"/>
      <c r="P105" s="275"/>
      <c r="Q105" s="275"/>
      <c r="R105" s="275"/>
      <c r="S105" s="275"/>
      <c r="T105" s="275"/>
      <c r="U105" s="275"/>
      <c r="V105" s="275"/>
      <c r="W105" s="275"/>
      <c r="X105" s="275"/>
      <c r="Y105" s="275"/>
      <c r="Z105" s="275"/>
      <c r="AA105" s="275"/>
      <c r="AB105" s="275"/>
      <c r="AC105" s="275"/>
      <c r="AD105" s="311"/>
    </row>
    <row r="106" spans="1:33" s="211" customFormat="1" ht="12.75" customHeight="1" thickBot="1">
      <c r="B106" s="294" t="s">
        <v>197</v>
      </c>
      <c r="C106" s="212"/>
      <c r="D106" s="213"/>
      <c r="E106" s="268"/>
      <c r="F106" s="268"/>
      <c r="G106" s="268"/>
      <c r="H106" s="268"/>
      <c r="I106" s="268"/>
      <c r="J106" s="268"/>
      <c r="K106" s="268"/>
      <c r="L106" s="268"/>
      <c r="M106" s="268"/>
      <c r="N106" s="344"/>
      <c r="O106" s="275" t="s">
        <v>0</v>
      </c>
      <c r="P106" s="275"/>
      <c r="Q106" s="275"/>
      <c r="R106" s="275"/>
      <c r="S106" s="275"/>
      <c r="T106" s="275"/>
      <c r="U106" s="275"/>
      <c r="V106" s="275"/>
      <c r="W106" s="275"/>
      <c r="X106" s="275"/>
      <c r="Y106" s="275"/>
      <c r="Z106" s="275"/>
      <c r="AA106" s="275"/>
      <c r="AB106" s="275"/>
      <c r="AC106" s="275"/>
      <c r="AD106" s="311"/>
    </row>
    <row r="107" spans="1:33" s="211" customFormat="1" ht="15">
      <c r="B107" s="285" t="s">
        <v>199</v>
      </c>
      <c r="C107" s="212"/>
      <c r="D107" s="213"/>
      <c r="E107" s="268"/>
      <c r="F107" s="268"/>
      <c r="G107" s="268"/>
      <c r="H107" s="268"/>
      <c r="I107" s="269">
        <v>-1658</v>
      </c>
      <c r="J107" s="268"/>
      <c r="K107" s="268"/>
      <c r="L107" s="268"/>
      <c r="M107" s="269">
        <f>I107</f>
        <v>-1658</v>
      </c>
      <c r="N107" s="344" t="s">
        <v>0</v>
      </c>
      <c r="O107" s="275"/>
      <c r="P107" s="275"/>
      <c r="Q107" s="275">
        <v>-1658</v>
      </c>
      <c r="S107" s="275"/>
      <c r="T107" s="275"/>
      <c r="U107" s="275">
        <v>-1658</v>
      </c>
      <c r="V107" s="268">
        <v>-1658</v>
      </c>
      <c r="W107" s="275">
        <v>-1658</v>
      </c>
      <c r="X107" s="275">
        <v>-1658</v>
      </c>
      <c r="Y107" s="275">
        <v>-1658</v>
      </c>
      <c r="Z107" s="275">
        <v>-1658</v>
      </c>
      <c r="AA107" s="275">
        <v>-1658</v>
      </c>
      <c r="AB107" s="275">
        <v>-1658</v>
      </c>
      <c r="AC107" s="275">
        <v>-1658</v>
      </c>
      <c r="AD107" s="311">
        <v>-1658</v>
      </c>
    </row>
    <row r="108" spans="1:33" s="211" customFormat="1" ht="15">
      <c r="B108" s="285" t="s">
        <v>200</v>
      </c>
      <c r="C108" s="212"/>
      <c r="D108" s="213"/>
      <c r="E108" s="268"/>
      <c r="F108" s="268"/>
      <c r="G108" s="268"/>
      <c r="H108" s="269">
        <v>-7004</v>
      </c>
      <c r="I108" s="268"/>
      <c r="J108" s="268"/>
      <c r="K108" s="268"/>
      <c r="L108" s="268"/>
      <c r="M108" s="269">
        <f>H108</f>
        <v>-7004</v>
      </c>
      <c r="N108" s="344" t="s">
        <v>0</v>
      </c>
      <c r="O108" s="275"/>
      <c r="P108" s="275"/>
      <c r="Q108" s="275">
        <v>-7004</v>
      </c>
      <c r="S108" s="275"/>
      <c r="T108" s="275"/>
      <c r="U108" s="275">
        <v>-7004</v>
      </c>
      <c r="V108" s="268">
        <v>-7004</v>
      </c>
      <c r="W108" s="275">
        <v>-7004</v>
      </c>
      <c r="X108" s="275">
        <v>-7004</v>
      </c>
      <c r="Y108" s="275">
        <v>-7004</v>
      </c>
      <c r="Z108" s="275">
        <v>-7004</v>
      </c>
      <c r="AA108" s="275">
        <v>-7004</v>
      </c>
      <c r="AB108" s="275" t="s">
        <v>0</v>
      </c>
      <c r="AC108" s="275" t="s">
        <v>0</v>
      </c>
      <c r="AD108" s="311" t="s">
        <v>0</v>
      </c>
    </row>
    <row r="109" spans="1:33" s="211" customFormat="1" ht="15">
      <c r="B109" s="285" t="s">
        <v>201</v>
      </c>
      <c r="C109" s="212"/>
      <c r="D109" s="213"/>
      <c r="E109" s="268"/>
      <c r="F109" s="268"/>
      <c r="G109" s="269">
        <v>-4371</v>
      </c>
      <c r="H109" s="268" t="s">
        <v>0</v>
      </c>
      <c r="I109" s="268"/>
      <c r="J109" s="268"/>
      <c r="K109" s="269">
        <v>-4371</v>
      </c>
      <c r="L109" s="268"/>
      <c r="N109" s="343"/>
      <c r="O109" s="268">
        <v>-4371</v>
      </c>
      <c r="P109" s="275"/>
      <c r="Q109" s="275"/>
      <c r="R109" s="275" t="s">
        <v>0</v>
      </c>
      <c r="S109" s="275">
        <v>-4371</v>
      </c>
      <c r="T109" s="275"/>
      <c r="U109" s="275"/>
      <c r="V109" s="275" t="s">
        <v>0</v>
      </c>
      <c r="W109" s="275">
        <v>-4371</v>
      </c>
      <c r="X109" s="275"/>
      <c r="Y109" s="275"/>
      <c r="Z109" s="275"/>
      <c r="AA109" s="275"/>
      <c r="AB109" s="275"/>
      <c r="AC109" s="275"/>
      <c r="AD109" s="311"/>
    </row>
    <row r="110" spans="1:33" s="211" customFormat="1" ht="15">
      <c r="B110" s="285" t="s">
        <v>689</v>
      </c>
      <c r="C110" s="212"/>
      <c r="D110" s="213"/>
      <c r="E110" s="268"/>
      <c r="F110" s="268"/>
      <c r="G110" s="268"/>
      <c r="H110" s="268"/>
      <c r="I110" s="268"/>
      <c r="J110" s="268"/>
      <c r="K110" s="268"/>
      <c r="L110" s="268"/>
      <c r="N110" s="343"/>
      <c r="O110" s="268"/>
      <c r="P110" s="275"/>
      <c r="Q110" s="275"/>
      <c r="R110" s="275"/>
      <c r="S110" s="275"/>
      <c r="T110" s="275"/>
      <c r="U110" s="275"/>
      <c r="V110" s="275"/>
      <c r="W110" s="275">
        <v>0</v>
      </c>
      <c r="X110" s="211">
        <v>0</v>
      </c>
      <c r="Y110" s="275"/>
      <c r="Z110" s="275">
        <v>0</v>
      </c>
      <c r="AB110" s="275"/>
      <c r="AC110" s="275">
        <v>0</v>
      </c>
      <c r="AD110" s="351"/>
      <c r="AF110" s="268">
        <v>-120000</v>
      </c>
      <c r="AG110" s="268" t="s">
        <v>0</v>
      </c>
    </row>
    <row r="111" spans="1:33" s="211" customFormat="1" ht="15" thickBot="1">
      <c r="B111" s="285"/>
      <c r="C111" s="212"/>
      <c r="D111" s="213"/>
      <c r="E111" s="268"/>
      <c r="F111" s="268"/>
      <c r="G111" s="268"/>
      <c r="H111" s="268"/>
      <c r="I111" s="268"/>
      <c r="J111" s="268"/>
      <c r="K111" s="268"/>
      <c r="L111" s="268"/>
      <c r="N111" s="343"/>
      <c r="O111" s="268"/>
      <c r="P111" s="275"/>
      <c r="Q111" s="275"/>
      <c r="R111" s="275"/>
      <c r="S111" s="275"/>
      <c r="T111" s="275"/>
      <c r="U111" s="275"/>
      <c r="V111" s="275"/>
      <c r="W111" s="275"/>
      <c r="X111" s="275"/>
      <c r="Y111" s="275"/>
      <c r="Z111" s="275"/>
      <c r="AA111" s="275"/>
      <c r="AB111" s="275"/>
      <c r="AC111" s="275"/>
      <c r="AD111" s="311"/>
    </row>
    <row r="112" spans="1:33" ht="16" thickBot="1">
      <c r="B112" s="292" t="s">
        <v>205</v>
      </c>
      <c r="C112" s="212"/>
      <c r="D112" s="206"/>
      <c r="E112" s="268"/>
      <c r="F112" s="268"/>
      <c r="G112" s="268"/>
      <c r="H112" s="268"/>
      <c r="I112" s="268"/>
      <c r="J112" s="268"/>
      <c r="K112" s="268"/>
      <c r="L112" s="268"/>
      <c r="M112" s="268"/>
      <c r="N112" s="347"/>
      <c r="O112" s="275"/>
      <c r="P112" s="275"/>
      <c r="Q112" s="275"/>
      <c r="R112" s="275"/>
      <c r="S112" s="275"/>
      <c r="T112" s="275"/>
      <c r="U112" s="275"/>
      <c r="V112" s="275"/>
      <c r="W112" s="275"/>
      <c r="X112" s="275"/>
      <c r="Y112" s="275"/>
      <c r="Z112" s="275"/>
      <c r="AA112" s="275"/>
      <c r="AB112" s="275"/>
      <c r="AC112" s="275"/>
      <c r="AD112" s="311"/>
    </row>
    <row r="113" spans="2:31" ht="15">
      <c r="B113" s="285" t="s">
        <v>647</v>
      </c>
      <c r="C113" s="212"/>
      <c r="D113" s="206"/>
      <c r="E113" s="269">
        <v>-4140</v>
      </c>
      <c r="F113" s="268"/>
      <c r="G113" s="268"/>
      <c r="H113" s="268" t="s">
        <v>0</v>
      </c>
      <c r="I113" s="269">
        <v>-4140</v>
      </c>
      <c r="J113" s="268" t="s">
        <v>0</v>
      </c>
      <c r="K113" s="268"/>
      <c r="L113" s="268"/>
      <c r="M113" s="268" t="s">
        <v>0</v>
      </c>
      <c r="N113" s="345"/>
      <c r="P113" s="275"/>
      <c r="Q113" s="275"/>
      <c r="S113" s="275">
        <v>0</v>
      </c>
      <c r="T113" s="269">
        <f>-8280*2</f>
        <v>-16560</v>
      </c>
      <c r="U113" s="275"/>
      <c r="V113" s="310">
        <v>-8613</v>
      </c>
      <c r="W113" s="275"/>
      <c r="X113" s="275"/>
      <c r="Y113" s="275"/>
      <c r="Z113" s="275"/>
      <c r="AA113" s="275"/>
      <c r="AB113" s="275"/>
      <c r="AC113" s="275"/>
      <c r="AD113" s="311"/>
    </row>
    <row r="114" spans="2:31" ht="15">
      <c r="B114" s="285" t="s">
        <v>206</v>
      </c>
      <c r="C114" s="212">
        <v>189000</v>
      </c>
      <c r="D114" s="206"/>
      <c r="E114" s="268"/>
      <c r="F114" s="268"/>
      <c r="G114" s="268"/>
      <c r="H114" s="268"/>
      <c r="I114" s="268"/>
      <c r="J114" s="268"/>
      <c r="K114" s="268"/>
      <c r="L114" s="269">
        <v>-15000</v>
      </c>
      <c r="M114" s="268"/>
      <c r="N114" s="345"/>
      <c r="O114" s="268"/>
      <c r="P114" s="269">
        <v>-15000</v>
      </c>
      <c r="Q114" s="268"/>
      <c r="S114" s="275"/>
      <c r="T114" s="310">
        <v>-15000</v>
      </c>
      <c r="U114" s="275"/>
      <c r="V114" s="310">
        <v>-15000</v>
      </c>
      <c r="W114" s="310">
        <v>-15000</v>
      </c>
      <c r="X114" s="310">
        <v>-15000</v>
      </c>
      <c r="Y114" s="310">
        <v>-15000</v>
      </c>
      <c r="Z114" s="310">
        <v>-15000</v>
      </c>
      <c r="AA114" s="310">
        <v>-15000</v>
      </c>
      <c r="AB114" s="310">
        <v>-15000</v>
      </c>
      <c r="AC114" s="310">
        <v>-15000</v>
      </c>
      <c r="AD114" s="312">
        <v>-15000</v>
      </c>
      <c r="AE114" s="312">
        <v>-9000</v>
      </c>
    </row>
    <row r="115" spans="2:31" ht="15">
      <c r="B115" s="285" t="s">
        <v>690</v>
      </c>
      <c r="C115" s="212">
        <v>201000</v>
      </c>
      <c r="D115" s="206"/>
      <c r="E115" s="268" t="s">
        <v>0</v>
      </c>
      <c r="F115" s="268"/>
      <c r="G115" s="268"/>
      <c r="H115" s="268"/>
      <c r="I115" s="268"/>
      <c r="J115" s="268"/>
      <c r="K115" s="268" t="s">
        <v>0</v>
      </c>
      <c r="L115" s="268"/>
      <c r="M115" s="269">
        <v>-10000</v>
      </c>
      <c r="N115" s="345"/>
      <c r="O115" s="277"/>
      <c r="P115" s="277"/>
      <c r="Q115" s="310">
        <v>-10000</v>
      </c>
      <c r="S115" s="275"/>
      <c r="T115" s="275"/>
      <c r="U115" s="310">
        <v>-10000</v>
      </c>
      <c r="V115" s="310">
        <v>-15000</v>
      </c>
      <c r="W115" s="310">
        <v>-15000</v>
      </c>
      <c r="X115" s="310">
        <v>-15000</v>
      </c>
      <c r="Y115" s="310">
        <v>-20000</v>
      </c>
      <c r="Z115" s="310">
        <v>-20000</v>
      </c>
      <c r="AA115" s="310">
        <v>-20000</v>
      </c>
      <c r="AB115" s="310">
        <v>-20000</v>
      </c>
      <c r="AC115" s="310">
        <v>-20000</v>
      </c>
      <c r="AD115" s="312">
        <v>-20000</v>
      </c>
      <c r="AE115" s="312">
        <v>-6000</v>
      </c>
    </row>
    <row r="116" spans="2:31" ht="15">
      <c r="B116" s="285" t="s">
        <v>208</v>
      </c>
      <c r="C116" s="212"/>
      <c r="D116" s="206"/>
      <c r="E116" s="268"/>
      <c r="F116" s="268"/>
      <c r="G116" s="268"/>
      <c r="H116" s="268"/>
      <c r="I116" s="268"/>
      <c r="J116" s="268"/>
      <c r="K116" s="269">
        <v>-30000</v>
      </c>
      <c r="L116" s="310">
        <f>-44439-K116</f>
        <v>-14439</v>
      </c>
      <c r="M116" s="268"/>
      <c r="N116" s="345"/>
      <c r="O116" s="277"/>
      <c r="P116" s="277"/>
      <c r="Q116" s="277"/>
      <c r="R116" s="275">
        <v>-78782</v>
      </c>
      <c r="S116" s="275"/>
      <c r="T116" s="275"/>
      <c r="U116" s="275">
        <f>-84180-R116</f>
        <v>-5398</v>
      </c>
      <c r="V116" s="275"/>
      <c r="W116" s="275"/>
      <c r="X116" s="275"/>
      <c r="Y116" s="275"/>
      <c r="Z116" s="275"/>
      <c r="AA116" s="275"/>
      <c r="AB116" s="275"/>
      <c r="AC116" s="275"/>
      <c r="AD116" s="311"/>
    </row>
    <row r="117" spans="2:31" ht="15">
      <c r="B117" s="285" t="s">
        <v>667</v>
      </c>
      <c r="C117" s="212"/>
      <c r="D117" s="206"/>
      <c r="E117" s="268"/>
      <c r="F117" s="268"/>
      <c r="G117" s="268"/>
      <c r="H117" s="268"/>
      <c r="I117" s="268"/>
      <c r="J117" s="268"/>
      <c r="K117" s="268"/>
      <c r="L117" s="268"/>
      <c r="M117" s="268"/>
      <c r="N117" s="346"/>
      <c r="O117" s="277"/>
      <c r="P117" s="277"/>
      <c r="Q117" s="277"/>
      <c r="R117" s="275">
        <v>0</v>
      </c>
      <c r="S117" s="275"/>
      <c r="T117" s="275"/>
      <c r="U117" s="275"/>
      <c r="V117" s="275">
        <v>0</v>
      </c>
      <c r="W117" s="275">
        <v>0</v>
      </c>
      <c r="X117" s="275">
        <v>0</v>
      </c>
      <c r="Y117" s="275">
        <v>0</v>
      </c>
      <c r="Z117" s="275"/>
      <c r="AA117" s="275"/>
      <c r="AB117" s="275"/>
      <c r="AC117" s="275"/>
      <c r="AD117" s="311"/>
    </row>
    <row r="118" spans="2:31" ht="15">
      <c r="B118" s="285" t="s">
        <v>691</v>
      </c>
      <c r="C118" s="212"/>
      <c r="D118" s="206"/>
      <c r="E118" s="269">
        <v>-48000</v>
      </c>
      <c r="F118" s="268"/>
      <c r="G118" s="268"/>
      <c r="H118" s="268"/>
      <c r="I118" s="268"/>
      <c r="J118" s="268"/>
      <c r="K118" s="269">
        <v>-10000</v>
      </c>
      <c r="L118" s="268"/>
      <c r="M118" s="268"/>
      <c r="N118" s="345"/>
      <c r="O118" s="277"/>
      <c r="P118" s="310">
        <v>-10000</v>
      </c>
      <c r="Q118" s="277"/>
      <c r="S118" s="275"/>
      <c r="T118" s="310">
        <v>-10000</v>
      </c>
      <c r="U118" s="275"/>
      <c r="V118" s="310">
        <f>T118</f>
        <v>-10000</v>
      </c>
      <c r="W118" s="310">
        <v>-10000</v>
      </c>
      <c r="X118" s="310">
        <f>V118</f>
        <v>-10000</v>
      </c>
      <c r="Y118" s="275"/>
      <c r="Z118" s="275"/>
      <c r="AA118" s="275"/>
      <c r="AB118" s="275"/>
      <c r="AC118" s="275"/>
      <c r="AD118" s="311"/>
    </row>
    <row r="119" spans="2:31" ht="15">
      <c r="B119" s="285" t="s">
        <v>211</v>
      </c>
      <c r="C119" s="212"/>
      <c r="D119" s="206"/>
      <c r="E119" s="269">
        <v>-5285</v>
      </c>
      <c r="F119" s="269">
        <v>-5379</v>
      </c>
      <c r="G119" s="268"/>
      <c r="H119" s="268"/>
      <c r="I119" s="269">
        <v>-6700</v>
      </c>
      <c r="J119" s="269">
        <f>-7200-F119</f>
        <v>-1821</v>
      </c>
      <c r="K119" s="268"/>
      <c r="L119" s="268"/>
      <c r="M119" s="268"/>
      <c r="N119" s="346" t="s">
        <v>0</v>
      </c>
      <c r="O119" s="357">
        <v>-7200</v>
      </c>
      <c r="P119" s="277"/>
      <c r="Q119" s="277"/>
      <c r="R119" s="275">
        <v>-7200</v>
      </c>
      <c r="S119" s="275"/>
      <c r="T119" s="275"/>
      <c r="U119" s="275"/>
      <c r="V119" s="275"/>
      <c r="W119" s="275"/>
      <c r="X119" s="275"/>
      <c r="Y119" s="275"/>
      <c r="Z119" s="275"/>
      <c r="AA119" s="275"/>
      <c r="AB119" s="275"/>
      <c r="AC119" s="275"/>
      <c r="AD119" s="311"/>
    </row>
    <row r="120" spans="2:31" ht="15">
      <c r="B120" s="285" t="s">
        <v>668</v>
      </c>
      <c r="C120" s="212">
        <v>-5385</v>
      </c>
      <c r="D120" s="206"/>
      <c r="E120" s="268"/>
      <c r="F120" s="268"/>
      <c r="G120" s="268"/>
      <c r="H120" s="269">
        <f>(-4678-707)/2</f>
        <v>-2692.5</v>
      </c>
      <c r="I120" s="268" t="s">
        <v>0</v>
      </c>
      <c r="J120" s="268"/>
      <c r="K120" s="268"/>
      <c r="L120" s="269">
        <f>(-4678-707)/2</f>
        <v>-2692.5</v>
      </c>
      <c r="M120" s="268"/>
      <c r="N120" s="346"/>
      <c r="O120" s="277"/>
      <c r="P120" s="277"/>
      <c r="Q120" s="277"/>
      <c r="R120" s="275"/>
      <c r="S120" s="275"/>
      <c r="T120" s="275"/>
      <c r="U120" s="275"/>
      <c r="V120" s="275"/>
      <c r="W120" s="275"/>
      <c r="X120" s="275"/>
      <c r="Y120" s="275"/>
      <c r="Z120" s="275"/>
      <c r="AA120" s="275"/>
      <c r="AB120" s="275"/>
      <c r="AC120" s="275"/>
      <c r="AD120" s="311"/>
    </row>
    <row r="121" spans="2:31" ht="15">
      <c r="B121" s="285" t="s">
        <v>213</v>
      </c>
      <c r="C121" s="213">
        <v>-15449</v>
      </c>
      <c r="D121" s="206"/>
      <c r="E121" s="268"/>
      <c r="F121" s="310">
        <v>-2600</v>
      </c>
      <c r="G121" s="268"/>
      <c r="H121" s="268"/>
      <c r="I121" s="269">
        <f>-(10383+387)-F121</f>
        <v>-8170</v>
      </c>
      <c r="J121" s="268"/>
      <c r="K121" s="268"/>
      <c r="L121" s="268"/>
      <c r="N121" s="344">
        <v>0</v>
      </c>
      <c r="O121" s="277"/>
      <c r="P121" s="277"/>
      <c r="Q121" s="275">
        <v>-7079</v>
      </c>
      <c r="R121" s="275"/>
      <c r="S121" s="275"/>
      <c r="T121" s="275"/>
      <c r="U121" s="275">
        <v>-3456</v>
      </c>
      <c r="V121" s="275">
        <v>-1181</v>
      </c>
      <c r="W121" s="275"/>
      <c r="X121" s="275"/>
      <c r="Y121" s="275"/>
      <c r="Z121" s="275"/>
      <c r="AA121" s="275"/>
      <c r="AB121" s="275"/>
      <c r="AC121" s="275"/>
      <c r="AD121" s="311"/>
    </row>
    <row r="122" spans="2:31" ht="15">
      <c r="B122" s="285" t="s">
        <v>692</v>
      </c>
      <c r="C122" s="213">
        <v>-14884</v>
      </c>
      <c r="D122" s="206"/>
      <c r="E122" s="268"/>
      <c r="F122" s="269">
        <v>-1576</v>
      </c>
      <c r="G122" s="268"/>
      <c r="H122" s="268"/>
      <c r="I122" s="269">
        <f>(C122-F122)/2</f>
        <v>-6654</v>
      </c>
      <c r="J122" s="268"/>
      <c r="K122" s="269">
        <f>I122</f>
        <v>-6654</v>
      </c>
      <c r="L122" s="268"/>
      <c r="M122" s="269">
        <v>-2300</v>
      </c>
      <c r="N122" s="343"/>
      <c r="O122" s="277"/>
      <c r="P122" s="275">
        <v>-8443</v>
      </c>
      <c r="Q122" s="275">
        <f>-5000-900</f>
        <v>-5900</v>
      </c>
      <c r="R122" s="275"/>
      <c r="S122" s="275"/>
      <c r="T122" s="275"/>
      <c r="U122" s="275"/>
      <c r="V122" s="275"/>
      <c r="W122" s="275"/>
      <c r="X122" s="275"/>
      <c r="Y122" s="275"/>
      <c r="Z122" s="275"/>
      <c r="AA122" s="275"/>
      <c r="AB122" s="275"/>
      <c r="AC122" s="275"/>
      <c r="AD122" s="311"/>
    </row>
    <row r="123" spans="2:31" ht="15">
      <c r="B123" s="285" t="s">
        <v>447</v>
      </c>
      <c r="C123" s="213"/>
      <c r="D123" s="206"/>
      <c r="E123" s="268"/>
      <c r="F123" s="269">
        <f>-1049.87-225.19</f>
        <v>-1275.06</v>
      </c>
      <c r="G123" s="268"/>
      <c r="H123" s="268"/>
      <c r="I123" s="269">
        <f>-(3413.12-1049.87-225.19)</f>
        <v>-2138.06</v>
      </c>
      <c r="J123" s="268"/>
      <c r="K123" s="268"/>
      <c r="L123" s="268"/>
      <c r="M123" s="268"/>
      <c r="N123" s="346"/>
      <c r="O123" s="277"/>
      <c r="P123" s="277"/>
      <c r="Q123" s="277"/>
      <c r="R123" s="275"/>
      <c r="S123" s="275"/>
      <c r="T123" s="275"/>
      <c r="U123" s="275"/>
      <c r="V123" s="275"/>
      <c r="W123" s="275"/>
      <c r="X123" s="275"/>
      <c r="Y123" s="275"/>
      <c r="Z123" s="275"/>
      <c r="AA123" s="275"/>
      <c r="AB123" s="275"/>
      <c r="AC123" s="275"/>
      <c r="AD123" s="311"/>
    </row>
    <row r="124" spans="2:31" ht="16" thickBot="1">
      <c r="B124" s="285" t="s">
        <v>216</v>
      </c>
      <c r="C124" s="206"/>
      <c r="D124" s="206"/>
      <c r="E124" s="268"/>
      <c r="F124" s="269"/>
      <c r="G124" s="268"/>
      <c r="H124" s="268"/>
      <c r="I124" s="269"/>
      <c r="J124" s="268"/>
      <c r="K124" s="268"/>
      <c r="L124" s="268"/>
      <c r="M124" s="268"/>
      <c r="N124" s="346"/>
      <c r="O124" s="277"/>
      <c r="P124" s="277"/>
      <c r="Q124" s="277"/>
      <c r="R124" s="275"/>
      <c r="S124" s="275"/>
      <c r="T124" s="275"/>
      <c r="V124" s="275">
        <f>-2000*2.5</f>
        <v>-5000</v>
      </c>
      <c r="W124" s="275">
        <v>-6000</v>
      </c>
      <c r="X124" s="275">
        <v>-6500</v>
      </c>
      <c r="Y124" s="275"/>
      <c r="Z124" s="275"/>
      <c r="AA124" s="275"/>
      <c r="AB124" s="275"/>
      <c r="AC124" s="275"/>
      <c r="AD124" s="311"/>
    </row>
    <row r="125" spans="2:31" ht="15" thickBot="1">
      <c r="B125" s="295"/>
      <c r="C125" s="211"/>
      <c r="D125" s="206"/>
      <c r="E125" s="268"/>
      <c r="F125" s="268"/>
      <c r="G125" s="268"/>
      <c r="H125" s="268"/>
      <c r="I125" s="268"/>
      <c r="J125" s="268"/>
      <c r="K125" s="268"/>
      <c r="L125" s="268"/>
      <c r="M125" s="268"/>
      <c r="N125" s="346"/>
      <c r="O125" s="277"/>
      <c r="P125" s="277"/>
      <c r="Q125" s="277"/>
      <c r="R125" s="275"/>
      <c r="S125" s="275"/>
      <c r="T125" s="275"/>
      <c r="U125" s="275"/>
      <c r="V125" s="275"/>
      <c r="W125" s="275"/>
      <c r="X125" s="275"/>
      <c r="Y125" s="275"/>
      <c r="Z125" s="275"/>
      <c r="AA125" s="275"/>
      <c r="AB125" s="275"/>
      <c r="AC125" s="275"/>
      <c r="AD125" s="311"/>
    </row>
    <row r="126" spans="2:31" ht="15">
      <c r="B126" s="285" t="s">
        <v>221</v>
      </c>
      <c r="C126" s="212">
        <v>-12500</v>
      </c>
      <c r="D126" s="206"/>
      <c r="E126" s="268"/>
      <c r="F126" s="268"/>
      <c r="G126" s="268"/>
      <c r="H126" s="268"/>
      <c r="I126" s="269">
        <v>-3000</v>
      </c>
      <c r="J126" s="268"/>
      <c r="K126" s="336"/>
      <c r="N126" s="345"/>
      <c r="O126" s="277"/>
      <c r="P126" s="277"/>
      <c r="S126" s="275"/>
      <c r="T126" s="275">
        <v>-2000</v>
      </c>
      <c r="V126" s="268">
        <v>-3000</v>
      </c>
      <c r="W126" s="275">
        <v>-4000</v>
      </c>
      <c r="X126" s="275"/>
      <c r="Y126" s="275"/>
      <c r="Z126" s="275"/>
      <c r="AA126" s="275"/>
      <c r="AB126" s="275"/>
      <c r="AC126" s="275"/>
      <c r="AD126" s="311"/>
    </row>
    <row r="127" spans="2:31" ht="15">
      <c r="B127" s="285" t="s">
        <v>222</v>
      </c>
      <c r="C127" s="212">
        <v>-25000</v>
      </c>
      <c r="D127" s="206"/>
      <c r="E127" s="268"/>
      <c r="F127" s="268"/>
      <c r="G127" s="268"/>
      <c r="H127" s="268"/>
      <c r="I127" s="269">
        <v>-5000</v>
      </c>
      <c r="J127" s="268"/>
      <c r="K127" s="268"/>
      <c r="N127" s="345"/>
      <c r="O127" s="277"/>
      <c r="P127" s="277"/>
      <c r="S127" s="275"/>
      <c r="T127" s="275">
        <v>-7500</v>
      </c>
      <c r="V127" s="268">
        <v>-5000</v>
      </c>
      <c r="W127" s="275">
        <v>-7500</v>
      </c>
      <c r="X127" s="275"/>
      <c r="Y127" s="275"/>
      <c r="Z127" s="275"/>
      <c r="AA127" s="275"/>
      <c r="AB127" s="275"/>
      <c r="AC127" s="275"/>
      <c r="AD127" s="311"/>
    </row>
    <row r="128" spans="2:31">
      <c r="B128" s="285"/>
      <c r="C128" s="212"/>
      <c r="D128" s="206"/>
      <c r="E128" s="268"/>
      <c r="F128" s="268"/>
      <c r="G128" s="268"/>
      <c r="H128" s="268"/>
      <c r="I128" s="269"/>
      <c r="J128" s="268"/>
      <c r="K128" s="268"/>
      <c r="N128" s="345"/>
      <c r="O128" s="277"/>
      <c r="P128" s="277"/>
      <c r="S128" s="275"/>
      <c r="T128" s="275"/>
      <c r="V128" s="268"/>
      <c r="W128" s="275"/>
      <c r="X128" s="275"/>
      <c r="Y128" s="275"/>
      <c r="Z128" s="275"/>
      <c r="AA128" s="275"/>
      <c r="AB128" s="275"/>
      <c r="AC128" s="275"/>
      <c r="AD128" s="311"/>
    </row>
    <row r="129" spans="2:32">
      <c r="B129" s="285"/>
      <c r="C129" s="212"/>
      <c r="D129" s="206"/>
      <c r="E129" s="268"/>
      <c r="F129" s="268"/>
      <c r="G129" s="268"/>
      <c r="H129" s="268"/>
      <c r="I129" s="268"/>
      <c r="J129" s="268"/>
      <c r="K129" s="332"/>
      <c r="L129" s="268"/>
      <c r="M129" s="332"/>
      <c r="N129" s="347"/>
      <c r="O129" s="277"/>
      <c r="P129" s="277"/>
      <c r="Q129" s="277"/>
      <c r="R129" s="275"/>
      <c r="S129" s="275"/>
      <c r="T129" s="275"/>
      <c r="U129" s="275"/>
      <c r="V129" s="275"/>
      <c r="W129" s="275"/>
      <c r="X129" s="275"/>
      <c r="Y129" s="275"/>
      <c r="Z129" s="275"/>
      <c r="AA129" s="275"/>
      <c r="AB129" s="275"/>
      <c r="AC129" s="275"/>
      <c r="AD129" s="311"/>
    </row>
    <row r="130" spans="2:32" ht="16" thickBot="1">
      <c r="B130" s="296" t="s">
        <v>224</v>
      </c>
      <c r="C130" s="352"/>
      <c r="D130" s="353"/>
      <c r="E130" s="279">
        <f t="shared" ref="E130:AD130" si="9">SUM(E7:E129)</f>
        <v>45589</v>
      </c>
      <c r="F130" s="279">
        <f t="shared" si="9"/>
        <v>-4627.4600000000009</v>
      </c>
      <c r="G130" s="279">
        <f t="shared" si="9"/>
        <v>154.1100000000024</v>
      </c>
      <c r="H130" s="279">
        <f t="shared" si="9"/>
        <v>69108.7</v>
      </c>
      <c r="I130" s="279">
        <f t="shared" si="9"/>
        <v>-14001.199999999995</v>
      </c>
      <c r="J130" s="279">
        <f t="shared" si="9"/>
        <v>18765.130000000005</v>
      </c>
      <c r="K130" s="279">
        <f t="shared" si="9"/>
        <v>-29496.839999999986</v>
      </c>
      <c r="L130" s="279">
        <f t="shared" si="9"/>
        <v>-67716.532399999996</v>
      </c>
      <c r="M130" s="279">
        <f t="shared" si="9"/>
        <v>33252.279999999992</v>
      </c>
      <c r="N130" s="348">
        <f t="shared" si="9"/>
        <v>-35690.65</v>
      </c>
      <c r="O130" s="279">
        <f t="shared" si="9"/>
        <v>129694</v>
      </c>
      <c r="P130" s="279">
        <f t="shared" si="9"/>
        <v>8392.4637333333376</v>
      </c>
      <c r="Q130" s="279">
        <f t="shared" si="9"/>
        <v>42753.8</v>
      </c>
      <c r="R130" s="313">
        <f t="shared" si="9"/>
        <v>-85464.351999999999</v>
      </c>
      <c r="S130" s="313">
        <f t="shared" si="9"/>
        <v>-12122</v>
      </c>
      <c r="T130" s="313">
        <f t="shared" si="9"/>
        <v>-32948</v>
      </c>
      <c r="U130" s="313">
        <f t="shared" si="9"/>
        <v>37105</v>
      </c>
      <c r="V130" s="313">
        <f t="shared" si="9"/>
        <v>-61965.959999999977</v>
      </c>
      <c r="W130" s="313" t="e">
        <f t="shared" si="9"/>
        <v>#VALUE!</v>
      </c>
      <c r="X130" s="313" t="e">
        <f t="shared" si="9"/>
        <v>#VALUE!</v>
      </c>
      <c r="Y130" s="313" t="e">
        <f t="shared" si="9"/>
        <v>#VALUE!</v>
      </c>
      <c r="Z130" s="313" t="e">
        <f t="shared" si="9"/>
        <v>#VALUE!</v>
      </c>
      <c r="AA130" s="313" t="e">
        <f t="shared" si="9"/>
        <v>#VALUE!</v>
      </c>
      <c r="AB130" s="313" t="e">
        <f t="shared" si="9"/>
        <v>#VALUE!</v>
      </c>
      <c r="AC130" s="313" t="e">
        <f t="shared" si="9"/>
        <v>#VALUE!</v>
      </c>
      <c r="AD130" s="314" t="e">
        <f t="shared" si="9"/>
        <v>#VALUE!</v>
      </c>
    </row>
    <row r="131" spans="2:32" ht="16" thickTop="1">
      <c r="B131" s="297" t="s">
        <v>225</v>
      </c>
      <c r="C131" s="221"/>
      <c r="D131" s="222"/>
      <c r="E131" s="269">
        <f>E130</f>
        <v>45589</v>
      </c>
      <c r="F131" s="269">
        <v>48154</v>
      </c>
      <c r="G131" s="269">
        <f>F131+G130</f>
        <v>48308.11</v>
      </c>
      <c r="H131" s="269">
        <v>112921.45</v>
      </c>
      <c r="I131" s="269">
        <v>103166</v>
      </c>
      <c r="J131" s="269">
        <f>I131+J130</f>
        <v>121931.13</v>
      </c>
      <c r="K131" s="269">
        <f>J131+K130</f>
        <v>92434.290000000023</v>
      </c>
      <c r="L131" s="269">
        <f>K131+L130</f>
        <v>24717.757600000026</v>
      </c>
      <c r="M131" s="269">
        <f>L131+M130</f>
        <v>57970.037600000018</v>
      </c>
      <c r="N131" s="349">
        <f t="shared" ref="N131:AD131" si="10">M131+N130</f>
        <v>22279.387600000016</v>
      </c>
      <c r="O131" s="269">
        <f t="shared" si="10"/>
        <v>151973.38760000002</v>
      </c>
      <c r="P131" s="269">
        <f t="shared" si="10"/>
        <v>160365.85133333335</v>
      </c>
      <c r="Q131" s="269">
        <f t="shared" si="10"/>
        <v>203119.65133333334</v>
      </c>
      <c r="R131" s="269">
        <f t="shared" si="10"/>
        <v>117655.29933333334</v>
      </c>
      <c r="S131" s="269">
        <f t="shared" si="10"/>
        <v>105533.29933333334</v>
      </c>
      <c r="T131" s="269">
        <f t="shared" si="10"/>
        <v>72585.299333333343</v>
      </c>
      <c r="U131" s="269">
        <f t="shared" si="10"/>
        <v>109690.29933333334</v>
      </c>
      <c r="V131" s="269">
        <f t="shared" si="10"/>
        <v>47724.339333333366</v>
      </c>
      <c r="W131" s="269" t="e">
        <f t="shared" si="10"/>
        <v>#VALUE!</v>
      </c>
      <c r="X131" s="269" t="e">
        <f t="shared" si="10"/>
        <v>#VALUE!</v>
      </c>
      <c r="Y131" s="269" t="e">
        <f t="shared" si="10"/>
        <v>#VALUE!</v>
      </c>
      <c r="Z131" s="269" t="e">
        <f t="shared" si="10"/>
        <v>#VALUE!</v>
      </c>
      <c r="AA131" s="269" t="e">
        <f t="shared" si="10"/>
        <v>#VALUE!</v>
      </c>
      <c r="AB131" s="269" t="e">
        <f t="shared" si="10"/>
        <v>#VALUE!</v>
      </c>
      <c r="AC131" s="269" t="e">
        <f t="shared" si="10"/>
        <v>#VALUE!</v>
      </c>
      <c r="AD131" s="281" t="e">
        <f t="shared" si="10"/>
        <v>#VALUE!</v>
      </c>
    </row>
    <row r="132" spans="2:32" ht="15" thickBot="1">
      <c r="B132" s="298"/>
      <c r="C132" s="212"/>
      <c r="D132" s="206"/>
      <c r="E132" s="225"/>
      <c r="F132" s="225"/>
      <c r="G132" s="225"/>
      <c r="H132" s="225"/>
      <c r="I132" s="225"/>
      <c r="J132" s="225"/>
      <c r="K132" s="333"/>
      <c r="L132" s="225"/>
      <c r="M132" s="225"/>
      <c r="N132" s="350"/>
      <c r="O132" s="225"/>
      <c r="P132" s="225"/>
      <c r="Q132" s="225"/>
      <c r="R132" s="225"/>
      <c r="S132" s="225"/>
      <c r="T132" s="225"/>
      <c r="U132" s="225"/>
      <c r="V132" s="225"/>
      <c r="W132" s="225"/>
      <c r="X132" s="225"/>
      <c r="Y132" s="225"/>
      <c r="Z132" s="225"/>
      <c r="AA132" s="225"/>
      <c r="AB132" s="225"/>
      <c r="AC132" s="225"/>
      <c r="AD132" s="306"/>
    </row>
    <row r="133" spans="2:32">
      <c r="B133" s="285"/>
      <c r="C133" s="330"/>
      <c r="D133" s="331"/>
      <c r="E133" s="211"/>
      <c r="F133" s="211" t="s">
        <v>0</v>
      </c>
      <c r="G133" s="211"/>
      <c r="H133" s="211"/>
      <c r="I133" s="211"/>
      <c r="J133" s="211"/>
      <c r="K133" s="302">
        <v>45200</v>
      </c>
      <c r="L133" s="317">
        <v>45200</v>
      </c>
      <c r="M133" s="208">
        <v>45200</v>
      </c>
      <c r="N133" s="338">
        <v>45231</v>
      </c>
      <c r="O133" s="209">
        <v>45231</v>
      </c>
      <c r="P133" s="209">
        <v>45231</v>
      </c>
      <c r="Q133" s="209">
        <v>45231</v>
      </c>
      <c r="R133" s="209">
        <v>45261</v>
      </c>
      <c r="S133" s="209">
        <v>45261</v>
      </c>
      <c r="T133" s="209">
        <v>45261</v>
      </c>
      <c r="U133" s="209">
        <v>45261</v>
      </c>
      <c r="V133" s="209">
        <v>45292</v>
      </c>
      <c r="W133" s="209">
        <v>45323</v>
      </c>
      <c r="X133" s="209">
        <v>45352</v>
      </c>
      <c r="Y133" s="209">
        <v>45383</v>
      </c>
      <c r="Z133" s="209">
        <v>45413</v>
      </c>
      <c r="AA133" s="209">
        <v>45444</v>
      </c>
      <c r="AB133" s="209">
        <v>45474</v>
      </c>
      <c r="AC133" s="271">
        <v>45505</v>
      </c>
      <c r="AD133" s="303">
        <v>45536</v>
      </c>
    </row>
    <row r="134" spans="2:32" ht="15" thickBot="1">
      <c r="B134" s="298"/>
      <c r="C134" s="225">
        <f>(2*900)+(1*650)</f>
        <v>2450</v>
      </c>
      <c r="D134" s="225"/>
      <c r="E134" s="225"/>
      <c r="F134" s="225"/>
      <c r="G134" s="225"/>
      <c r="H134" s="225"/>
      <c r="I134" s="225"/>
      <c r="J134" s="225"/>
      <c r="K134" s="328" t="s">
        <v>9</v>
      </c>
      <c r="L134" s="335" t="s">
        <v>10</v>
      </c>
      <c r="M134" s="328" t="s">
        <v>11</v>
      </c>
      <c r="N134" s="328" t="s">
        <v>12</v>
      </c>
      <c r="O134" s="328" t="s">
        <v>13</v>
      </c>
      <c r="P134" s="328" t="s">
        <v>14</v>
      </c>
      <c r="Q134" s="328" t="s">
        <v>15</v>
      </c>
      <c r="R134" s="328" t="s">
        <v>16</v>
      </c>
      <c r="S134" s="328" t="s">
        <v>17</v>
      </c>
      <c r="T134" s="328" t="s">
        <v>18</v>
      </c>
      <c r="U134" s="328" t="s">
        <v>19</v>
      </c>
      <c r="V134" s="328"/>
      <c r="W134" s="328"/>
      <c r="X134" s="328"/>
      <c r="Y134" s="328"/>
      <c r="Z134" s="328"/>
      <c r="AA134" s="328"/>
      <c r="AB134" s="328"/>
      <c r="AC134" s="328"/>
      <c r="AD134" s="329"/>
    </row>
    <row r="135" spans="2:32">
      <c r="C135" s="211"/>
      <c r="D135" s="211"/>
      <c r="E135" s="211"/>
      <c r="F135" s="211"/>
      <c r="G135" s="211"/>
      <c r="H135" s="211"/>
      <c r="I135" s="211"/>
      <c r="J135" s="211"/>
      <c r="K135" s="211"/>
      <c r="L135" s="211"/>
      <c r="M135" s="267"/>
      <c r="N135" s="267"/>
      <c r="O135" s="267"/>
      <c r="P135" s="267"/>
      <c r="Q135" s="267"/>
      <c r="R135" s="267"/>
      <c r="S135" s="267"/>
      <c r="T135" s="267"/>
      <c r="U135" s="267"/>
      <c r="V135" s="267"/>
      <c r="W135" s="267"/>
      <c r="X135" s="267"/>
      <c r="Y135" s="267"/>
      <c r="Z135" s="267"/>
      <c r="AA135" s="267"/>
      <c r="AB135" s="267"/>
      <c r="AC135" s="267"/>
      <c r="AD135" s="267"/>
    </row>
    <row r="136" spans="2:32" ht="16" thickBot="1">
      <c r="B136" s="327" t="s">
        <v>229</v>
      </c>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row>
    <row r="137" spans="2:32" ht="15">
      <c r="B137" s="282" t="s">
        <v>670</v>
      </c>
      <c r="C137" s="211"/>
      <c r="D137" s="211"/>
      <c r="E137" s="211"/>
      <c r="F137" s="211"/>
      <c r="G137" s="211"/>
      <c r="H137" s="211" t="s">
        <v>0</v>
      </c>
      <c r="I137" s="211"/>
      <c r="J137" s="211"/>
      <c r="K137" s="211"/>
      <c r="L137" s="211"/>
      <c r="M137" s="211"/>
      <c r="N137" s="211"/>
      <c r="O137" s="211"/>
      <c r="P137" s="211"/>
      <c r="Q137" s="211"/>
      <c r="R137" s="211"/>
      <c r="S137" s="211"/>
      <c r="T137" s="211"/>
      <c r="U137" s="211"/>
      <c r="V137" s="268" t="s">
        <v>0</v>
      </c>
      <c r="W137" s="211" t="s">
        <v>0</v>
      </c>
      <c r="X137" s="211"/>
      <c r="Y137" s="211"/>
      <c r="Z137" s="211"/>
      <c r="AA137" s="211"/>
      <c r="AB137" s="211"/>
      <c r="AC137" s="211"/>
    </row>
    <row r="138" spans="2:32" ht="15">
      <c r="B138" s="282" t="s">
        <v>671</v>
      </c>
      <c r="C138" s="211"/>
      <c r="D138" s="211"/>
      <c r="E138" s="211"/>
      <c r="F138" s="211"/>
      <c r="G138" s="211"/>
      <c r="H138" s="211"/>
      <c r="I138" s="211"/>
      <c r="J138" s="211"/>
      <c r="K138" s="211"/>
      <c r="L138" s="211"/>
      <c r="M138" s="211"/>
      <c r="N138" s="211"/>
      <c r="O138" s="211"/>
      <c r="P138" s="211"/>
      <c r="Q138" s="211"/>
      <c r="R138" s="211"/>
      <c r="S138" s="211"/>
      <c r="T138" s="211"/>
      <c r="U138" s="211"/>
      <c r="V138" s="211" t="s">
        <v>0</v>
      </c>
      <c r="W138" s="211"/>
      <c r="X138" s="211"/>
      <c r="Y138" s="211"/>
      <c r="Z138" s="211"/>
      <c r="AA138" s="211"/>
      <c r="AB138" s="211"/>
      <c r="AC138" s="211"/>
    </row>
    <row r="139" spans="2:32" ht="15">
      <c r="B139" s="282" t="s">
        <v>672</v>
      </c>
      <c r="C139" s="211">
        <v>471000</v>
      </c>
      <c r="D139" s="211"/>
      <c r="E139" s="211"/>
      <c r="F139" s="211"/>
      <c r="G139" s="211"/>
      <c r="H139" s="211"/>
      <c r="I139" s="211"/>
      <c r="J139" s="211"/>
      <c r="K139" s="211"/>
      <c r="L139" s="211"/>
      <c r="M139" s="211"/>
      <c r="N139" s="211"/>
      <c r="O139" s="211"/>
      <c r="P139" s="211"/>
      <c r="Q139" s="211"/>
      <c r="R139" s="213"/>
      <c r="S139" s="211"/>
      <c r="T139" s="211"/>
      <c r="U139" s="211"/>
      <c r="V139" s="211" t="s">
        <v>0</v>
      </c>
      <c r="W139" s="211"/>
      <c r="X139" s="211"/>
      <c r="Y139" s="211"/>
      <c r="Z139" s="211"/>
      <c r="AA139" s="211"/>
      <c r="AB139" s="211"/>
      <c r="AC139" s="211"/>
    </row>
    <row r="140" spans="2:32" ht="15">
      <c r="B140" s="299" t="s">
        <v>571</v>
      </c>
      <c r="C140" s="263">
        <v>250000</v>
      </c>
      <c r="D140" s="211">
        <v>59750</v>
      </c>
      <c r="E140" s="211"/>
      <c r="F140" s="211"/>
      <c r="G140" s="211"/>
      <c r="H140" s="211"/>
      <c r="I140" s="211"/>
      <c r="J140" s="211"/>
      <c r="K140" s="211"/>
      <c r="L140" s="211"/>
      <c r="M140" s="211"/>
      <c r="N140" s="211"/>
      <c r="O140" s="211"/>
      <c r="P140" s="211"/>
      <c r="Q140" s="211"/>
      <c r="R140" s="211" t="s">
        <v>0</v>
      </c>
      <c r="S140" s="211"/>
      <c r="T140" s="211"/>
      <c r="U140" s="211"/>
      <c r="V140" s="211" t="s">
        <v>0</v>
      </c>
      <c r="W140" s="211" t="s">
        <v>0</v>
      </c>
      <c r="X140" s="211" t="s">
        <v>0</v>
      </c>
      <c r="Y140" s="211"/>
      <c r="Z140" s="211"/>
      <c r="AA140" s="211"/>
      <c r="AB140" s="211"/>
      <c r="AC140" s="211"/>
      <c r="AD140" s="211"/>
    </row>
    <row r="141" spans="2:32" ht="15">
      <c r="B141" s="299" t="s">
        <v>673</v>
      </c>
      <c r="C141" s="263"/>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D141" s="211"/>
      <c r="AE141" s="211"/>
      <c r="AF141" s="211"/>
    </row>
    <row r="142" spans="2:32" ht="15">
      <c r="B142" s="282" t="s">
        <v>672</v>
      </c>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D142" s="211"/>
      <c r="AE142" s="211"/>
      <c r="AF142" s="211"/>
    </row>
    <row r="143" spans="2:32" ht="15">
      <c r="B143" s="282" t="s">
        <v>674</v>
      </c>
      <c r="C143" s="263"/>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D143" s="211"/>
      <c r="AE143" s="211"/>
      <c r="AF143" s="211"/>
    </row>
    <row r="144" spans="2:32" ht="15">
      <c r="B144" s="282" t="s">
        <v>675</v>
      </c>
      <c r="C144" s="211">
        <v>600000</v>
      </c>
      <c r="D144" s="211">
        <f>'Job Calculations'!E113</f>
        <v>492100</v>
      </c>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D144" s="211"/>
    </row>
    <row r="145" spans="2:30" ht="15">
      <c r="B145" s="299" t="s">
        <v>367</v>
      </c>
      <c r="C145" s="264">
        <v>50000</v>
      </c>
      <c r="D145" s="211">
        <f>C145*0.8</f>
        <v>40000</v>
      </c>
      <c r="E145" s="211"/>
      <c r="F145" s="211"/>
      <c r="G145" s="211"/>
      <c r="H145" s="211">
        <v>0</v>
      </c>
      <c r="I145" s="211"/>
      <c r="J145" s="211"/>
      <c r="K145" s="211"/>
      <c r="L145" s="211">
        <v>0</v>
      </c>
      <c r="M145" s="211">
        <v>0</v>
      </c>
      <c r="N145" s="211">
        <v>0</v>
      </c>
      <c r="O145" s="211"/>
      <c r="P145" s="211"/>
      <c r="Q145" s="211"/>
      <c r="R145" s="211"/>
      <c r="S145" s="211"/>
      <c r="T145" s="211"/>
      <c r="U145" s="211"/>
      <c r="V145" s="211"/>
      <c r="W145" s="211"/>
      <c r="X145" s="211"/>
      <c r="Y145" s="211"/>
      <c r="Z145" s="211"/>
      <c r="AA145" s="211"/>
      <c r="AB145" s="211"/>
      <c r="AC145" s="211"/>
      <c r="AD145" s="211"/>
    </row>
    <row r="146" spans="2:30" ht="15">
      <c r="B146" s="282" t="s">
        <v>693</v>
      </c>
      <c r="D146" s="211">
        <v>150000</v>
      </c>
    </row>
    <row r="147" spans="2:30" ht="15">
      <c r="B147" s="282" t="s">
        <v>694</v>
      </c>
    </row>
    <row r="148" spans="2:30" ht="15">
      <c r="B148" s="282" t="s">
        <v>695</v>
      </c>
    </row>
    <row r="149" spans="2:30" ht="15">
      <c r="B149" s="282" t="s">
        <v>97</v>
      </c>
      <c r="C149" s="3" t="s">
        <v>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30F7A-64C6-46D7-A26B-0D37E49313AB}">
  <dimension ref="A1"/>
  <sheetViews>
    <sheetView workbookViewId="0"/>
  </sheetViews>
  <sheetFormatPr baseColWidth="10" defaultColWidth="8.83203125" defaultRowHeight="1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E60F-B3E1-4245-B354-E6A881103CE3}">
  <sheetPr>
    <pageSetUpPr fitToPage="1"/>
  </sheetPr>
  <dimension ref="A1:AG149"/>
  <sheetViews>
    <sheetView topLeftCell="A2" zoomScale="80" zoomScaleNormal="80" workbookViewId="0">
      <pane xSplit="4" topLeftCell="Q1" activePane="topRight" state="frozen"/>
      <selection pane="topRight" activeCell="AD131" sqref="AD131"/>
    </sheetView>
  </sheetViews>
  <sheetFormatPr baseColWidth="10" defaultColWidth="8.83203125" defaultRowHeight="14" outlineLevelCol="1"/>
  <cols>
    <col min="1" max="1" width="2.5" style="3" customWidth="1"/>
    <col min="2" max="2" width="48.5" style="282" customWidth="1"/>
    <col min="3" max="3" width="16.1640625" style="3" customWidth="1"/>
    <col min="4" max="4" width="13.5" style="3" customWidth="1"/>
    <col min="5" max="5" width="12.83203125" style="3" hidden="1" customWidth="1" outlineLevel="1"/>
    <col min="6" max="7" width="11.83203125" style="3" hidden="1" customWidth="1" outlineLevel="1"/>
    <col min="8" max="8" width="13.5" style="3" hidden="1" customWidth="1" outlineLevel="1"/>
    <col min="9" max="9" width="12.83203125" style="3" hidden="1" customWidth="1" outlineLevel="1"/>
    <col min="10" max="10" width="16.83203125" style="3" hidden="1" customWidth="1" outlineLevel="1"/>
    <col min="11" max="11" width="18.5" style="3" customWidth="1" collapsed="1"/>
    <col min="12" max="12" width="16.1640625" style="3" bestFit="1" customWidth="1"/>
    <col min="13" max="13" width="19.83203125" style="3" customWidth="1"/>
    <col min="14" max="14" width="20.1640625" style="3" customWidth="1"/>
    <col min="15" max="15" width="19.83203125" style="3" customWidth="1"/>
    <col min="16" max="16" width="20.1640625" style="3" customWidth="1"/>
    <col min="17" max="17" width="20.83203125" style="3" customWidth="1"/>
    <col min="18" max="21" width="19.1640625" style="3" customWidth="1"/>
    <col min="22" max="22" width="12.5" style="3" customWidth="1" outlineLevel="1"/>
    <col min="23" max="23" width="17.83203125" style="3" customWidth="1" outlineLevel="1"/>
    <col min="24" max="24" width="13.1640625" style="3" customWidth="1" outlineLevel="1"/>
    <col min="25" max="29" width="11.83203125" style="3" customWidth="1" outlineLevel="1"/>
    <col min="30" max="30" width="11.5" style="3" customWidth="1"/>
    <col min="31" max="32" width="8.83203125" style="3"/>
    <col min="33" max="33" width="11.5" style="3" bestFit="1" customWidth="1"/>
    <col min="34" max="16384" width="8.83203125" style="3"/>
  </cols>
  <sheetData>
    <row r="1" spans="1:30">
      <c r="Z1" s="3" t="s">
        <v>0</v>
      </c>
    </row>
    <row r="2" spans="1:30" ht="15" thickBot="1">
      <c r="L2" s="334"/>
    </row>
    <row r="3" spans="1:30" s="201" customFormat="1" ht="16" thickBot="1">
      <c r="B3" s="283" t="s">
        <v>1</v>
      </c>
      <c r="C3" s="265"/>
      <c r="D3" s="266"/>
      <c r="E3" s="203"/>
      <c r="F3" s="203"/>
      <c r="G3" s="203"/>
      <c r="H3" s="203"/>
      <c r="I3" s="203"/>
      <c r="J3" s="203"/>
      <c r="K3" s="203"/>
      <c r="L3" s="203"/>
      <c r="M3" s="203"/>
      <c r="N3" s="203"/>
      <c r="O3" s="203"/>
      <c r="P3" s="203"/>
      <c r="Q3" s="203"/>
      <c r="R3" s="203"/>
      <c r="S3" s="203"/>
      <c r="T3" s="203"/>
      <c r="U3" s="203"/>
      <c r="V3" s="203"/>
      <c r="W3" s="203"/>
      <c r="X3" s="203"/>
      <c r="Y3" s="203"/>
      <c r="Z3" s="203"/>
      <c r="AA3" s="203"/>
      <c r="AB3" s="203"/>
      <c r="AC3" s="203"/>
      <c r="AD3" s="204"/>
    </row>
    <row r="4" spans="1:30" ht="16" thickTop="1">
      <c r="B4" s="284" t="s">
        <v>2</v>
      </c>
      <c r="C4" s="205"/>
      <c r="D4" s="206"/>
      <c r="N4" s="339"/>
      <c r="AD4" s="207"/>
    </row>
    <row r="5" spans="1:30">
      <c r="A5" s="3" t="s">
        <v>0</v>
      </c>
      <c r="B5" s="285"/>
      <c r="C5" s="205"/>
      <c r="D5" s="206"/>
      <c r="E5" s="208">
        <v>45170</v>
      </c>
      <c r="F5" s="209">
        <v>45170</v>
      </c>
      <c r="G5" s="209">
        <v>45170</v>
      </c>
      <c r="H5" s="209">
        <v>45170</v>
      </c>
      <c r="I5" s="209">
        <v>45200</v>
      </c>
      <c r="J5" s="271">
        <v>45200</v>
      </c>
      <c r="K5" s="302">
        <v>45200</v>
      </c>
      <c r="L5" s="302">
        <v>45200</v>
      </c>
      <c r="M5" s="302">
        <v>45200</v>
      </c>
      <c r="N5" s="340">
        <v>45231</v>
      </c>
      <c r="O5" s="208">
        <v>45231</v>
      </c>
      <c r="P5" s="209">
        <v>45231</v>
      </c>
      <c r="Q5" s="209">
        <v>45231</v>
      </c>
      <c r="R5" s="209">
        <v>45261</v>
      </c>
      <c r="S5" s="209">
        <v>45261</v>
      </c>
      <c r="T5" s="209">
        <v>45261</v>
      </c>
      <c r="U5" s="209">
        <v>45261</v>
      </c>
      <c r="V5" s="209">
        <v>45292</v>
      </c>
      <c r="W5" s="209">
        <v>45323</v>
      </c>
      <c r="X5" s="209">
        <v>45352</v>
      </c>
      <c r="Y5" s="209">
        <v>45383</v>
      </c>
      <c r="Z5" s="209">
        <v>45413</v>
      </c>
      <c r="AA5" s="209">
        <v>45444</v>
      </c>
      <c r="AB5" s="209">
        <v>45474</v>
      </c>
      <c r="AC5" s="271">
        <v>45505</v>
      </c>
      <c r="AD5" s="303">
        <v>45536</v>
      </c>
    </row>
    <row r="6" spans="1:30">
      <c r="B6" s="285"/>
      <c r="C6" s="210"/>
      <c r="D6" s="206"/>
      <c r="E6" s="267" t="s">
        <v>3</v>
      </c>
      <c r="F6" s="267" t="s">
        <v>4</v>
      </c>
      <c r="G6" s="267" t="s">
        <v>5</v>
      </c>
      <c r="H6" s="267" t="s">
        <v>6</v>
      </c>
      <c r="I6" s="267" t="s">
        <v>7</v>
      </c>
      <c r="J6" s="267" t="s">
        <v>8</v>
      </c>
      <c r="K6" s="267" t="s">
        <v>9</v>
      </c>
      <c r="L6" s="267" t="s">
        <v>10</v>
      </c>
      <c r="M6" s="267" t="s">
        <v>11</v>
      </c>
      <c r="N6" s="341" t="s">
        <v>12</v>
      </c>
      <c r="O6" s="267" t="s">
        <v>13</v>
      </c>
      <c r="P6" s="267" t="s">
        <v>14</v>
      </c>
      <c r="Q6" s="267" t="s">
        <v>15</v>
      </c>
      <c r="R6" s="267" t="s">
        <v>16</v>
      </c>
      <c r="S6" s="267" t="s">
        <v>17</v>
      </c>
      <c r="T6" s="267" t="s">
        <v>18</v>
      </c>
      <c r="U6" s="267" t="s">
        <v>19</v>
      </c>
      <c r="V6" s="267"/>
      <c r="W6" s="267"/>
      <c r="X6" s="267"/>
      <c r="Y6" s="267"/>
      <c r="Z6" s="267"/>
      <c r="AA6" s="267"/>
      <c r="AB6" s="267"/>
      <c r="AC6" s="267"/>
      <c r="AD6" s="305"/>
    </row>
    <row r="7" spans="1:30" s="211" customFormat="1" ht="15">
      <c r="B7" s="286" t="s">
        <v>46</v>
      </c>
      <c r="C7" s="212"/>
      <c r="D7" s="213"/>
      <c r="E7" s="272">
        <v>90280</v>
      </c>
      <c r="F7" s="273"/>
      <c r="G7" s="273" t="s">
        <v>0</v>
      </c>
      <c r="H7" s="273"/>
      <c r="I7" s="273"/>
      <c r="J7" s="273"/>
      <c r="K7" s="273"/>
      <c r="L7" s="273"/>
      <c r="M7" s="273"/>
      <c r="N7" s="342"/>
      <c r="O7" s="273"/>
      <c r="P7" s="273"/>
      <c r="Q7" s="273"/>
      <c r="R7" s="273"/>
      <c r="S7" s="273"/>
      <c r="T7" s="273"/>
      <c r="U7" s="273"/>
      <c r="V7" s="273"/>
      <c r="W7" s="273"/>
      <c r="X7" s="273"/>
      <c r="Y7" s="273"/>
      <c r="Z7" s="268"/>
      <c r="AA7" s="268"/>
      <c r="AB7" s="268"/>
      <c r="AC7" s="268"/>
      <c r="AD7" s="274"/>
    </row>
    <row r="8" spans="1:30" s="211" customFormat="1" ht="15">
      <c r="B8" s="286" t="s">
        <v>47</v>
      </c>
      <c r="C8" s="212"/>
      <c r="D8" s="213"/>
      <c r="E8" s="273"/>
      <c r="F8" s="272">
        <v>46684</v>
      </c>
      <c r="G8" s="273"/>
      <c r="H8" s="273"/>
      <c r="I8" s="273"/>
      <c r="J8" s="273"/>
      <c r="K8" s="273"/>
      <c r="L8" s="273"/>
      <c r="M8" s="273"/>
      <c r="N8" s="343"/>
      <c r="P8" s="273">
        <v>25000</v>
      </c>
      <c r="Q8" s="273"/>
      <c r="R8" s="273"/>
      <c r="S8" s="273"/>
      <c r="T8" s="273"/>
      <c r="U8" s="273"/>
      <c r="V8" s="273">
        <v>25000</v>
      </c>
      <c r="W8" s="273"/>
      <c r="X8" s="273"/>
      <c r="Y8" s="273"/>
      <c r="Z8" s="268"/>
      <c r="AA8" s="268"/>
      <c r="AB8" s="268"/>
      <c r="AC8" s="268"/>
      <c r="AD8" s="274"/>
    </row>
    <row r="9" spans="1:30" s="211" customFormat="1" ht="15">
      <c r="B9" s="286" t="s">
        <v>49</v>
      </c>
      <c r="C9" s="212"/>
      <c r="D9" s="213"/>
      <c r="E9" s="273"/>
      <c r="F9" s="273"/>
      <c r="G9" s="273"/>
      <c r="H9" s="273"/>
      <c r="I9" s="273"/>
      <c r="J9" s="273"/>
      <c r="K9" s="273"/>
      <c r="L9" s="273"/>
      <c r="M9" s="273"/>
      <c r="N9" s="342"/>
      <c r="O9" s="273"/>
      <c r="P9" s="273"/>
      <c r="Q9" s="273"/>
      <c r="R9" s="273"/>
      <c r="S9" s="273"/>
      <c r="T9" s="273"/>
      <c r="U9" s="273"/>
      <c r="V9" s="273"/>
      <c r="W9" s="273"/>
      <c r="X9" s="273"/>
      <c r="Y9" s="273"/>
      <c r="Z9" s="268"/>
      <c r="AA9" s="268"/>
      <c r="AB9" s="268"/>
      <c r="AC9" s="268"/>
      <c r="AD9" s="274"/>
    </row>
    <row r="10" spans="1:30" s="211" customFormat="1" ht="15" thickBot="1">
      <c r="B10" s="286"/>
      <c r="C10" s="212"/>
      <c r="D10" s="213"/>
      <c r="E10" s="273"/>
      <c r="F10" s="273"/>
      <c r="G10" s="273"/>
      <c r="H10" s="273"/>
      <c r="I10" s="273"/>
      <c r="J10" s="273"/>
      <c r="K10" s="273"/>
      <c r="L10" s="273"/>
      <c r="M10" s="273"/>
      <c r="N10" s="342"/>
      <c r="O10" s="273"/>
      <c r="P10" s="273"/>
      <c r="Q10" s="273"/>
      <c r="R10" s="273"/>
      <c r="S10" s="273"/>
      <c r="T10" s="273"/>
      <c r="U10" s="273"/>
      <c r="V10" s="273"/>
      <c r="W10" s="273"/>
      <c r="X10" s="273"/>
      <c r="Y10" s="273"/>
      <c r="Z10" s="268"/>
      <c r="AA10" s="268"/>
      <c r="AB10" s="268"/>
      <c r="AC10" s="268"/>
      <c r="AD10" s="274"/>
    </row>
    <row r="11" spans="1:30" s="211" customFormat="1" ht="16" thickBot="1">
      <c r="B11" s="287" t="s">
        <v>50</v>
      </c>
      <c r="C11" s="212"/>
      <c r="D11" s="213"/>
      <c r="E11" s="273"/>
      <c r="F11" s="273"/>
      <c r="G11" s="273"/>
      <c r="H11" s="273"/>
      <c r="I11" s="273"/>
      <c r="J11" s="273"/>
      <c r="K11" s="273"/>
      <c r="L11" s="273"/>
      <c r="M11" s="273"/>
      <c r="N11" s="342"/>
      <c r="O11" s="273"/>
      <c r="P11" s="273"/>
      <c r="Q11" s="273"/>
      <c r="R11" s="273"/>
      <c r="S11" s="273"/>
      <c r="T11" s="273"/>
      <c r="U11" s="273"/>
      <c r="V11" s="273"/>
      <c r="W11" s="273"/>
      <c r="X11" s="273"/>
      <c r="Y11" s="273"/>
      <c r="Z11" s="268"/>
      <c r="AA11" s="268"/>
      <c r="AB11" s="268"/>
      <c r="AC11" s="268"/>
      <c r="AD11" s="274"/>
    </row>
    <row r="12" spans="1:30" s="211" customFormat="1" ht="15">
      <c r="B12" s="288" t="s">
        <v>313</v>
      </c>
      <c r="C12" s="212"/>
      <c r="D12" s="213"/>
      <c r="E12" s="268"/>
      <c r="F12" s="268"/>
      <c r="G12" s="268"/>
      <c r="H12" s="268"/>
      <c r="I12" s="268"/>
      <c r="J12" s="268"/>
      <c r="K12" s="268"/>
      <c r="L12" s="268"/>
      <c r="M12" s="268"/>
      <c r="N12" s="343"/>
      <c r="O12" s="275"/>
      <c r="P12" s="275"/>
      <c r="Q12" s="275"/>
      <c r="R12" s="268"/>
      <c r="S12" s="275">
        <f>Retention!F4</f>
        <v>14400</v>
      </c>
      <c r="T12" s="268"/>
      <c r="U12" s="268"/>
      <c r="V12" s="268"/>
      <c r="W12" s="268"/>
      <c r="X12" s="268"/>
      <c r="Y12" s="268"/>
      <c r="Z12" s="268"/>
      <c r="AA12" s="268"/>
      <c r="AB12" s="268"/>
      <c r="AC12" s="268"/>
      <c r="AD12" s="274"/>
    </row>
    <row r="13" spans="1:30" s="211" customFormat="1" ht="15">
      <c r="B13" s="288" t="s">
        <v>62</v>
      </c>
      <c r="C13" s="212"/>
      <c r="D13" s="213"/>
      <c r="E13" s="268"/>
      <c r="F13" s="268"/>
      <c r="G13" s="269">
        <f>18250*0.8</f>
        <v>14600</v>
      </c>
      <c r="H13" s="268"/>
      <c r="I13" s="268"/>
      <c r="J13" s="268"/>
      <c r="K13" s="268"/>
      <c r="L13" s="268"/>
      <c r="M13" s="268"/>
      <c r="N13" s="344"/>
      <c r="O13" s="268"/>
      <c r="P13" s="268"/>
      <c r="Q13" s="268"/>
      <c r="R13" s="268"/>
      <c r="S13" s="268"/>
      <c r="T13" s="268"/>
      <c r="U13" s="268"/>
      <c r="V13" s="268"/>
      <c r="W13" s="268"/>
      <c r="X13" s="268"/>
      <c r="Y13" s="268"/>
      <c r="Z13" s="268"/>
      <c r="AA13" s="268"/>
      <c r="AB13" s="268"/>
      <c r="AC13" s="268"/>
      <c r="AD13" s="274"/>
    </row>
    <row r="14" spans="1:30" s="211" customFormat="1" ht="15">
      <c r="B14" s="288" t="s">
        <v>656</v>
      </c>
      <c r="C14" s="212"/>
      <c r="D14" s="213"/>
      <c r="E14" s="268"/>
      <c r="F14" s="268"/>
      <c r="G14" s="268"/>
      <c r="H14" s="268"/>
      <c r="I14" s="268"/>
      <c r="J14" s="268"/>
      <c r="K14" s="268"/>
      <c r="M14" s="268"/>
      <c r="N14" s="343"/>
      <c r="V14" s="268">
        <f>Retention!F28</f>
        <v>44384.040000000008</v>
      </c>
      <c r="W14" s="268"/>
      <c r="X14" s="268"/>
      <c r="Y14" s="268"/>
      <c r="Z14" s="268"/>
      <c r="AA14" s="268"/>
      <c r="AB14" s="268"/>
      <c r="AC14" s="268"/>
      <c r="AD14" s="274"/>
    </row>
    <row r="15" spans="1:30" s="211" customFormat="1" ht="15">
      <c r="B15" s="288" t="s">
        <v>657</v>
      </c>
      <c r="C15" s="212"/>
      <c r="D15" s="213"/>
      <c r="E15" s="268"/>
      <c r="F15" s="268"/>
      <c r="G15" s="268"/>
      <c r="H15" s="268"/>
      <c r="I15" s="268"/>
      <c r="J15" s="268"/>
      <c r="K15" s="268"/>
      <c r="L15" s="268"/>
      <c r="N15" s="344"/>
      <c r="O15" s="268"/>
      <c r="P15" s="268"/>
      <c r="Q15" s="268"/>
      <c r="R15" s="268"/>
      <c r="S15" s="268"/>
      <c r="T15" s="268"/>
      <c r="U15" s="268"/>
      <c r="V15" s="268"/>
      <c r="W15" s="268"/>
      <c r="X15" s="268">
        <f>Retention!F10</f>
        <v>13560</v>
      </c>
      <c r="Y15" s="268"/>
      <c r="Z15" s="268"/>
      <c r="AA15" s="268"/>
      <c r="AB15" s="268"/>
      <c r="AC15" s="268"/>
      <c r="AD15" s="274"/>
    </row>
    <row r="16" spans="1:30" s="211" customFormat="1" ht="15">
      <c r="B16" s="288" t="s">
        <v>54</v>
      </c>
      <c r="C16" s="212"/>
      <c r="D16" s="213"/>
      <c r="E16" s="268"/>
      <c r="F16" s="268"/>
      <c r="G16" s="268"/>
      <c r="H16" s="268"/>
      <c r="I16" s="268" t="s">
        <v>0</v>
      </c>
      <c r="J16" s="268"/>
      <c r="K16" s="268"/>
      <c r="L16" s="268"/>
      <c r="N16" s="344"/>
      <c r="O16" s="268">
        <f>Retention!F8</f>
        <v>4650</v>
      </c>
      <c r="P16" s="268"/>
      <c r="Q16" s="268"/>
      <c r="R16" s="268"/>
      <c r="S16" s="268"/>
      <c r="T16" s="268"/>
      <c r="U16" s="268"/>
      <c r="V16" s="268"/>
      <c r="W16" s="268"/>
      <c r="X16" s="268"/>
      <c r="Y16" s="268"/>
      <c r="Z16" s="268"/>
      <c r="AA16" s="268"/>
      <c r="AB16" s="268"/>
      <c r="AC16" s="268"/>
      <c r="AD16" s="274"/>
    </row>
    <row r="17" spans="1:31" s="211" customFormat="1" ht="15">
      <c r="B17" s="288" t="s">
        <v>55</v>
      </c>
      <c r="C17" s="212"/>
      <c r="D17" s="213"/>
      <c r="E17" s="268"/>
      <c r="F17" s="268"/>
      <c r="G17" s="268"/>
      <c r="H17" s="268"/>
      <c r="I17" s="268"/>
      <c r="J17" s="268"/>
      <c r="K17" s="268"/>
      <c r="L17" s="268"/>
      <c r="N17" s="343"/>
      <c r="O17" s="268"/>
      <c r="P17" s="268"/>
      <c r="Q17" s="268"/>
      <c r="R17" s="268">
        <f>Retention!F22</f>
        <v>4335.4480000000003</v>
      </c>
      <c r="S17" s="268"/>
      <c r="T17" s="268"/>
      <c r="U17" s="268"/>
      <c r="V17" s="268"/>
      <c r="W17" s="268"/>
      <c r="X17" s="268"/>
      <c r="Y17" s="268"/>
      <c r="Z17" s="268"/>
      <c r="AA17" s="268"/>
      <c r="AB17" s="268"/>
      <c r="AC17" s="268"/>
      <c r="AD17" s="274"/>
    </row>
    <row r="18" spans="1:31" s="211" customFormat="1" ht="15">
      <c r="B18" s="288" t="s">
        <v>56</v>
      </c>
      <c r="C18" s="212" t="s">
        <v>0</v>
      </c>
      <c r="D18" s="213"/>
      <c r="E18" s="268"/>
      <c r="F18" s="268"/>
      <c r="G18" s="268"/>
      <c r="H18" s="268"/>
      <c r="I18" s="268"/>
      <c r="J18" s="268"/>
      <c r="K18" s="268"/>
      <c r="L18" s="268"/>
      <c r="N18" s="344"/>
      <c r="O18" s="268"/>
      <c r="P18" s="268"/>
      <c r="Q18" s="268"/>
      <c r="R18" s="268"/>
      <c r="S18" s="268"/>
      <c r="T18" s="268"/>
      <c r="U18" s="268"/>
      <c r="V18" s="268"/>
      <c r="W18" s="268"/>
      <c r="X18" s="268"/>
      <c r="Y18" s="268"/>
      <c r="Z18" s="268"/>
      <c r="AA18" s="268"/>
      <c r="AB18" s="268"/>
      <c r="AC18" s="268"/>
      <c r="AD18" s="274"/>
    </row>
    <row r="19" spans="1:31" s="211" customFormat="1" ht="15">
      <c r="B19" s="288" t="s">
        <v>634</v>
      </c>
      <c r="C19" s="212" t="s">
        <v>0</v>
      </c>
      <c r="D19" s="213"/>
      <c r="E19" s="268"/>
      <c r="F19" s="268"/>
      <c r="G19" s="268"/>
      <c r="H19" s="268"/>
      <c r="I19" s="268"/>
      <c r="J19" s="268"/>
      <c r="K19" s="268"/>
      <c r="L19" s="268"/>
      <c r="M19" s="268"/>
      <c r="N19" s="344"/>
      <c r="O19" s="268"/>
      <c r="P19" s="268"/>
      <c r="Q19" s="268"/>
      <c r="R19" s="268"/>
      <c r="S19" s="268"/>
      <c r="T19" s="268"/>
      <c r="U19" s="268"/>
      <c r="V19" s="268"/>
      <c r="W19" s="268">
        <f>Retention!H56</f>
        <v>3200</v>
      </c>
      <c r="X19" s="268"/>
      <c r="Y19" s="268"/>
      <c r="Z19" s="268"/>
      <c r="AA19" s="268"/>
      <c r="AB19" s="268"/>
      <c r="AC19" s="268"/>
      <c r="AD19" s="274"/>
    </row>
    <row r="20" spans="1:31" s="211" customFormat="1" ht="15">
      <c r="B20" s="288" t="s">
        <v>635</v>
      </c>
      <c r="C20" s="212"/>
      <c r="D20" s="213"/>
      <c r="E20" s="268"/>
      <c r="F20" s="268"/>
      <c r="G20" s="268"/>
      <c r="H20" s="268"/>
      <c r="I20" s="268"/>
      <c r="J20" s="268"/>
      <c r="K20" s="268"/>
      <c r="L20" s="268"/>
      <c r="M20" s="268"/>
      <c r="N20" s="344"/>
      <c r="O20" s="268"/>
      <c r="P20" s="268"/>
      <c r="Q20" s="268"/>
      <c r="R20" s="268"/>
      <c r="S20" s="268"/>
      <c r="T20" s="268"/>
      <c r="U20" s="268"/>
      <c r="V20" s="268"/>
      <c r="W20" s="268"/>
      <c r="X20" s="268"/>
      <c r="Y20" s="268"/>
      <c r="Z20" s="268">
        <f>Retention!I56</f>
        <v>42000</v>
      </c>
      <c r="AA20" s="268"/>
      <c r="AB20" s="268"/>
      <c r="AC20" s="268"/>
      <c r="AD20" s="274"/>
    </row>
    <row r="21" spans="1:31" s="211" customFormat="1" ht="15">
      <c r="B21" s="288" t="s">
        <v>58</v>
      </c>
      <c r="C21" s="212"/>
      <c r="D21" s="213"/>
      <c r="E21" s="268"/>
      <c r="F21" s="268"/>
      <c r="G21" s="268"/>
      <c r="H21" s="268"/>
      <c r="I21" s="268"/>
      <c r="J21" s="268"/>
      <c r="K21" s="268"/>
      <c r="L21" s="268"/>
      <c r="M21" s="268"/>
      <c r="N21" s="344"/>
      <c r="O21" s="268"/>
      <c r="P21" s="268"/>
      <c r="Q21" s="268"/>
      <c r="R21" s="268"/>
      <c r="S21" s="268"/>
      <c r="T21" s="268"/>
      <c r="U21" s="268"/>
      <c r="V21" s="268"/>
      <c r="W21" s="268"/>
      <c r="X21" s="268"/>
      <c r="Y21" s="268"/>
      <c r="Z21" s="268"/>
      <c r="AA21" s="268"/>
      <c r="AB21" s="268"/>
      <c r="AC21" s="268">
        <f>Retention!J56</f>
        <v>11694.62</v>
      </c>
      <c r="AD21" s="274">
        <f>Retention!K56</f>
        <v>0</v>
      </c>
    </row>
    <row r="22" spans="1:31" s="211" customFormat="1" ht="15">
      <c r="B22" s="288" t="s">
        <v>59</v>
      </c>
      <c r="C22" s="212"/>
      <c r="D22" s="213"/>
      <c r="E22" s="268"/>
      <c r="F22" s="268"/>
      <c r="G22" s="268"/>
      <c r="H22" s="268"/>
      <c r="I22" s="268"/>
      <c r="J22" s="268"/>
      <c r="K22" s="268"/>
      <c r="L22" s="268"/>
      <c r="M22" s="268"/>
      <c r="N22" s="344"/>
      <c r="O22" s="268"/>
      <c r="P22" s="268"/>
      <c r="Q22" s="268"/>
      <c r="R22" s="268"/>
      <c r="S22" s="268"/>
      <c r="T22" s="268"/>
      <c r="U22" s="268"/>
      <c r="V22" s="268">
        <f>24391*0.8</f>
        <v>19512.8</v>
      </c>
      <c r="W22" s="268"/>
      <c r="X22" s="268"/>
      <c r="Y22" s="268"/>
      <c r="Z22" s="268"/>
      <c r="AA22" s="268"/>
      <c r="AB22" s="268"/>
      <c r="AC22" s="268"/>
      <c r="AD22" s="274"/>
    </row>
    <row r="23" spans="1:31" s="211" customFormat="1" ht="15">
      <c r="B23" s="288" t="s">
        <v>60</v>
      </c>
      <c r="C23" s="212"/>
      <c r="D23" s="213"/>
      <c r="E23" s="268"/>
      <c r="F23" s="268"/>
      <c r="G23" s="268"/>
      <c r="H23" s="268"/>
      <c r="I23" s="268"/>
      <c r="J23" s="268"/>
      <c r="K23" s="268"/>
      <c r="L23" s="268"/>
      <c r="M23" s="268"/>
      <c r="N23" s="344"/>
      <c r="O23" s="268"/>
      <c r="P23" s="268"/>
      <c r="Q23" s="268"/>
      <c r="R23" s="268"/>
      <c r="S23" s="268"/>
      <c r="T23" s="268"/>
      <c r="U23" s="268"/>
      <c r="V23" s="268"/>
      <c r="W23" s="268"/>
      <c r="X23" s="268"/>
      <c r="Y23" s="268"/>
      <c r="Z23" s="268"/>
      <c r="AA23" s="268"/>
      <c r="AB23" s="268"/>
      <c r="AC23" s="268"/>
      <c r="AD23" s="274"/>
    </row>
    <row r="24" spans="1:31" s="211" customFormat="1" ht="15" thickBot="1">
      <c r="B24" s="288"/>
      <c r="C24" s="212"/>
      <c r="D24" s="213"/>
      <c r="E24" s="268"/>
      <c r="F24" s="268"/>
      <c r="G24" s="268"/>
      <c r="H24" s="268"/>
      <c r="I24" s="268"/>
      <c r="J24" s="268"/>
      <c r="K24" s="268"/>
      <c r="L24" s="268"/>
      <c r="M24" s="268"/>
      <c r="N24" s="344"/>
      <c r="O24" s="268"/>
      <c r="P24" s="268"/>
      <c r="Q24" s="268"/>
      <c r="R24" s="268"/>
      <c r="S24" s="268"/>
      <c r="T24" s="268"/>
      <c r="U24" s="268"/>
      <c r="V24" s="268"/>
      <c r="W24" s="268"/>
      <c r="X24" s="268"/>
      <c r="Y24" s="268"/>
      <c r="Z24" s="268"/>
      <c r="AA24" s="268"/>
      <c r="AB24" s="268"/>
      <c r="AC24" s="268"/>
      <c r="AD24" s="274"/>
    </row>
    <row r="25" spans="1:31" ht="16" thickBot="1">
      <c r="A25" s="3" t="s">
        <v>0</v>
      </c>
      <c r="B25" s="289" t="s">
        <v>63</v>
      </c>
      <c r="C25" s="315" t="s">
        <v>64</v>
      </c>
      <c r="D25" s="316" t="s">
        <v>65</v>
      </c>
      <c r="E25" s="268"/>
      <c r="F25" s="268"/>
      <c r="G25" s="268"/>
      <c r="H25" s="268"/>
      <c r="I25" s="268"/>
      <c r="J25" s="268"/>
      <c r="K25" s="268"/>
      <c r="L25" s="268"/>
      <c r="M25" s="268"/>
      <c r="N25" s="344"/>
      <c r="O25" s="268"/>
      <c r="P25" s="268"/>
      <c r="Q25" s="268"/>
      <c r="R25" s="268"/>
      <c r="S25" s="268"/>
      <c r="T25" s="268"/>
      <c r="U25" s="268"/>
      <c r="V25" s="268"/>
      <c r="W25" s="268"/>
      <c r="X25" s="268"/>
      <c r="Y25" s="268"/>
      <c r="Z25" s="268"/>
      <c r="AA25" s="268"/>
      <c r="AB25" s="268"/>
      <c r="AC25" s="268"/>
      <c r="AD25" s="274"/>
    </row>
    <row r="26" spans="1:31" ht="15">
      <c r="A26" s="3" t="s">
        <v>0</v>
      </c>
      <c r="B26" s="290" t="s">
        <v>314</v>
      </c>
      <c r="C26" s="215">
        <v>340000</v>
      </c>
      <c r="D26" s="217">
        <v>200000</v>
      </c>
      <c r="E26" s="268"/>
      <c r="F26" s="268"/>
      <c r="G26" s="268"/>
      <c r="H26" s="268"/>
      <c r="I26" s="269">
        <f>50000*0.8</f>
        <v>40000</v>
      </c>
      <c r="J26" s="269">
        <f>40000*0.8</f>
        <v>32000</v>
      </c>
      <c r="L26" s="268" t="s">
        <v>0</v>
      </c>
      <c r="N26" s="344"/>
      <c r="O26" s="354">
        <v>35000</v>
      </c>
      <c r="P26" s="268">
        <v>0</v>
      </c>
      <c r="Q26" s="268">
        <v>35000</v>
      </c>
      <c r="R26" s="268">
        <v>0</v>
      </c>
      <c r="S26" s="268">
        <v>0</v>
      </c>
      <c r="T26" s="268">
        <v>0</v>
      </c>
      <c r="U26" s="268">
        <f>67000+8500</f>
        <v>75500</v>
      </c>
      <c r="V26" s="268" t="s">
        <v>0</v>
      </c>
      <c r="W26" s="268" t="s">
        <v>0</v>
      </c>
      <c r="X26" s="268"/>
      <c r="Y26" s="268"/>
      <c r="Z26" s="268"/>
      <c r="AA26" s="268"/>
      <c r="AB26" s="268"/>
      <c r="AC26" s="268"/>
      <c r="AD26" s="274"/>
    </row>
    <row r="27" spans="1:31" ht="15">
      <c r="B27" s="290" t="s">
        <v>68</v>
      </c>
      <c r="C27" s="215"/>
      <c r="D27" s="213">
        <v>5800</v>
      </c>
      <c r="E27" s="268"/>
      <c r="F27" s="268"/>
      <c r="G27" s="268"/>
      <c r="H27" s="268"/>
      <c r="I27" s="268"/>
      <c r="J27" s="268"/>
      <c r="L27" s="268"/>
      <c r="M27" s="268"/>
      <c r="N27" s="344"/>
      <c r="O27" s="268"/>
      <c r="P27" s="268"/>
      <c r="Q27" s="269">
        <f>D27*0.8</f>
        <v>4640</v>
      </c>
      <c r="R27" s="268"/>
      <c r="S27" s="268"/>
      <c r="T27" s="268"/>
      <c r="U27" s="268"/>
      <c r="V27" s="268"/>
      <c r="W27" s="268"/>
      <c r="X27" s="268"/>
      <c r="Y27" s="268"/>
      <c r="Z27" s="268"/>
      <c r="AA27" s="268"/>
      <c r="AB27" s="268"/>
      <c r="AC27" s="268"/>
      <c r="AD27" s="274"/>
    </row>
    <row r="28" spans="1:31" ht="15">
      <c r="B28" s="290" t="s">
        <v>135</v>
      </c>
      <c r="C28" s="215"/>
      <c r="D28" s="213">
        <v>7480</v>
      </c>
      <c r="E28" s="268"/>
      <c r="F28" s="268"/>
      <c r="G28" s="268"/>
      <c r="H28" s="268"/>
      <c r="I28" s="268"/>
      <c r="J28" s="268"/>
      <c r="L28" s="268"/>
      <c r="M28" s="268"/>
      <c r="N28" s="355">
        <f>7480*0.8</f>
        <v>5984</v>
      </c>
      <c r="P28" s="268"/>
      <c r="Q28" s="268"/>
      <c r="R28" s="268"/>
      <c r="S28" s="268"/>
      <c r="T28" s="268"/>
      <c r="U28" s="268"/>
      <c r="V28" s="268"/>
      <c r="W28" s="268"/>
      <c r="X28" s="268"/>
      <c r="Y28" s="268"/>
      <c r="Z28" s="268"/>
      <c r="AA28" s="268"/>
      <c r="AB28" s="268"/>
      <c r="AC28" s="268"/>
      <c r="AD28" s="274"/>
    </row>
    <row r="29" spans="1:31" ht="12.75" customHeight="1">
      <c r="B29" s="290" t="s">
        <v>72</v>
      </c>
      <c r="C29" s="215">
        <f>'Job Calculations'!C91</f>
        <v>793000</v>
      </c>
      <c r="D29" s="217">
        <f>'Job Calculations'!E91</f>
        <v>602680</v>
      </c>
      <c r="E29" s="268"/>
      <c r="F29" s="268"/>
      <c r="G29" s="268"/>
      <c r="H29" s="268"/>
      <c r="I29" s="268"/>
      <c r="J29" s="326" t="s">
        <v>71</v>
      </c>
      <c r="K29" s="268"/>
      <c r="L29" s="318">
        <f>(17515*0.984)*0.95*0.8</f>
        <v>13098.417599999999</v>
      </c>
      <c r="M29" s="269">
        <v>29352</v>
      </c>
      <c r="N29" s="345"/>
      <c r="O29" s="268">
        <v>32575</v>
      </c>
      <c r="P29" s="268">
        <f>(243000-L29-M30-M29-O29)/6</f>
        <v>23488.29706666667</v>
      </c>
      <c r="Q29" s="268">
        <f>P29</f>
        <v>23488.29706666667</v>
      </c>
      <c r="R29" s="268">
        <f>Q29+27000</f>
        <v>50488.297066666666</v>
      </c>
      <c r="S29" s="268">
        <f>Q29</f>
        <v>23488.29706666667</v>
      </c>
      <c r="T29" s="268">
        <f>R29</f>
        <v>50488.297066666666</v>
      </c>
      <c r="U29" s="268">
        <f>Q29</f>
        <v>23488.29706666667</v>
      </c>
      <c r="V29" s="268">
        <f>(D29-297000)*0.4</f>
        <v>122272</v>
      </c>
      <c r="W29" s="268">
        <f>(D29-297000)*0.4</f>
        <v>122272</v>
      </c>
      <c r="X29" s="268">
        <f>(D29-297000)*0.2</f>
        <v>61136</v>
      </c>
      <c r="Y29" s="268">
        <v>30000</v>
      </c>
      <c r="AA29" s="268"/>
      <c r="AB29" s="268"/>
      <c r="AC29" s="268"/>
      <c r="AD29" s="274"/>
      <c r="AE29" s="268"/>
    </row>
    <row r="30" spans="1:31" ht="12.75" customHeight="1">
      <c r="B30" s="290" t="s">
        <v>134</v>
      </c>
      <c r="C30" s="215"/>
      <c r="D30" s="213"/>
      <c r="E30" s="268"/>
      <c r="F30" s="268"/>
      <c r="G30" s="268"/>
      <c r="H30" s="268"/>
      <c r="I30" s="268"/>
      <c r="J30" s="326"/>
      <c r="K30" s="268"/>
      <c r="L30" s="337"/>
      <c r="M30" s="269">
        <f>33806*0.8</f>
        <v>27044.800000000003</v>
      </c>
      <c r="N30" s="345"/>
      <c r="O30" s="268"/>
      <c r="P30" s="268"/>
      <c r="Q30" s="268"/>
      <c r="R30" s="268"/>
      <c r="S30" s="268"/>
      <c r="T30" s="268"/>
      <c r="U30" s="268"/>
      <c r="V30" s="268"/>
      <c r="W30" s="268"/>
      <c r="X30" s="268"/>
      <c r="Y30" s="268"/>
      <c r="Z30" s="268"/>
      <c r="AA30" s="268"/>
      <c r="AB30" s="268"/>
      <c r="AC30" s="268"/>
      <c r="AD30" s="274"/>
      <c r="AE30" s="268"/>
    </row>
    <row r="31" spans="1:31" ht="15">
      <c r="B31" s="290" t="s">
        <v>75</v>
      </c>
      <c r="C31" s="215" t="s">
        <v>76</v>
      </c>
      <c r="D31" s="213">
        <f>'Job Calculations'!H103</f>
        <v>932640</v>
      </c>
      <c r="E31" s="268"/>
      <c r="F31" s="268"/>
      <c r="G31" s="268"/>
      <c r="H31" s="268"/>
      <c r="I31" s="268"/>
      <c r="J31" s="268"/>
      <c r="K31" s="273"/>
      <c r="L31" s="268"/>
      <c r="M31" s="268"/>
      <c r="N31" s="344"/>
      <c r="O31" s="268"/>
      <c r="P31" s="268"/>
      <c r="Q31" s="268"/>
      <c r="R31" s="268"/>
      <c r="S31" s="268"/>
      <c r="T31" s="268"/>
      <c r="U31" s="268"/>
      <c r="V31" s="268">
        <v>0</v>
      </c>
      <c r="W31" s="268">
        <f>$D$31*0.12</f>
        <v>111916.8</v>
      </c>
      <c r="X31" s="268">
        <f>$D$31*0.16</f>
        <v>149222.39999999999</v>
      </c>
      <c r="Y31" s="268">
        <f>$D$31*0.16</f>
        <v>149222.39999999999</v>
      </c>
      <c r="Z31" s="268">
        <f>$D$31*0.16</f>
        <v>149222.39999999999</v>
      </c>
      <c r="AA31" s="268">
        <f>$D$31*0.1</f>
        <v>93264</v>
      </c>
      <c r="AB31" s="268">
        <f>$D$31*0.1</f>
        <v>93264</v>
      </c>
      <c r="AC31" s="268">
        <f>$D$31*0.1</f>
        <v>93264</v>
      </c>
      <c r="AD31" s="274">
        <f>$D$31*0.1</f>
        <v>93264</v>
      </c>
    </row>
    <row r="32" spans="1:31" ht="15">
      <c r="B32" s="290" t="s">
        <v>636</v>
      </c>
      <c r="C32" s="215" t="s">
        <v>76</v>
      </c>
      <c r="D32" s="213">
        <v>60000</v>
      </c>
      <c r="E32" s="268"/>
      <c r="F32" s="268"/>
      <c r="G32" s="268"/>
      <c r="H32" s="268"/>
      <c r="I32" s="268"/>
      <c r="J32" s="268"/>
      <c r="K32" s="268"/>
      <c r="L32" s="268"/>
      <c r="M32" s="268"/>
      <c r="N32" s="344"/>
      <c r="O32" s="268"/>
      <c r="P32" s="268"/>
      <c r="Q32" s="268"/>
      <c r="R32" s="268"/>
      <c r="S32" s="268"/>
      <c r="T32" s="268"/>
      <c r="U32" s="268"/>
      <c r="V32" s="268">
        <v>0</v>
      </c>
      <c r="W32" s="268">
        <v>0</v>
      </c>
      <c r="X32" s="268">
        <v>0</v>
      </c>
      <c r="Y32" s="268">
        <v>0</v>
      </c>
      <c r="Z32" s="268">
        <v>0</v>
      </c>
      <c r="AA32" s="268">
        <v>0</v>
      </c>
      <c r="AB32" s="268">
        <v>0</v>
      </c>
      <c r="AC32" s="268">
        <v>0</v>
      </c>
      <c r="AD32" s="274">
        <f>X32</f>
        <v>0</v>
      </c>
    </row>
    <row r="33" spans="1:33" ht="15">
      <c r="B33" s="290" t="s">
        <v>77</v>
      </c>
      <c r="C33" s="215">
        <v>0</v>
      </c>
      <c r="D33" s="213">
        <v>0</v>
      </c>
      <c r="E33" s="268"/>
      <c r="F33" s="268"/>
      <c r="G33" s="268"/>
      <c r="H33" s="268"/>
      <c r="I33" s="268"/>
      <c r="J33" s="268"/>
      <c r="K33" s="268"/>
      <c r="L33" s="268"/>
      <c r="M33" s="268"/>
      <c r="N33" s="344"/>
      <c r="O33" s="268"/>
      <c r="P33" s="268"/>
      <c r="Q33" s="268"/>
      <c r="R33" s="268"/>
      <c r="S33" s="268"/>
      <c r="T33" s="268"/>
      <c r="U33" s="268"/>
      <c r="V33" s="308" t="s">
        <v>0</v>
      </c>
      <c r="W33" s="268">
        <v>0</v>
      </c>
      <c r="X33" s="268">
        <v>0</v>
      </c>
      <c r="Y33" s="268">
        <v>0</v>
      </c>
      <c r="Z33" s="268">
        <v>0</v>
      </c>
      <c r="AA33" s="268">
        <v>0</v>
      </c>
      <c r="AB33" s="268">
        <v>0</v>
      </c>
      <c r="AC33" s="268">
        <v>0</v>
      </c>
      <c r="AD33" s="274">
        <v>0</v>
      </c>
    </row>
    <row r="34" spans="1:33" ht="15">
      <c r="B34" s="290" t="s">
        <v>78</v>
      </c>
      <c r="C34" s="215">
        <v>0</v>
      </c>
      <c r="D34" s="213">
        <v>0</v>
      </c>
      <c r="E34" s="268"/>
      <c r="F34" s="268"/>
      <c r="G34" s="268"/>
      <c r="H34" s="268"/>
      <c r="I34" s="268"/>
      <c r="J34" s="268"/>
      <c r="K34" s="268"/>
      <c r="L34" s="268"/>
      <c r="M34" s="268"/>
      <c r="N34" s="344"/>
      <c r="O34" s="268"/>
      <c r="P34" s="268"/>
      <c r="Q34" s="268"/>
      <c r="R34" s="268"/>
      <c r="S34" s="268"/>
      <c r="T34" s="268"/>
      <c r="U34" s="268"/>
      <c r="V34" s="268" t="s">
        <v>0</v>
      </c>
      <c r="W34" s="268" t="s">
        <v>0</v>
      </c>
      <c r="X34" s="308" t="s">
        <v>0</v>
      </c>
      <c r="Y34" s="268">
        <v>0</v>
      </c>
      <c r="Z34" s="268">
        <v>0</v>
      </c>
      <c r="AA34" s="268">
        <v>0</v>
      </c>
      <c r="AB34" s="268">
        <v>0</v>
      </c>
      <c r="AC34" s="268">
        <v>0</v>
      </c>
      <c r="AD34" s="274">
        <v>0</v>
      </c>
    </row>
    <row r="35" spans="1:33" ht="15">
      <c r="B35" s="290" t="s">
        <v>126</v>
      </c>
      <c r="C35" s="215">
        <v>53300</v>
      </c>
      <c r="D35" s="213">
        <f>'Job Calculations'!J63</f>
        <v>41904</v>
      </c>
      <c r="E35" s="268"/>
      <c r="F35" s="268"/>
      <c r="G35" s="268"/>
      <c r="H35" s="269">
        <f>D35</f>
        <v>41904</v>
      </c>
      <c r="I35" s="268"/>
      <c r="J35" s="268"/>
      <c r="K35" s="268"/>
      <c r="L35" s="268"/>
      <c r="M35" s="268"/>
      <c r="N35" s="344"/>
      <c r="O35" s="268"/>
      <c r="P35" s="268"/>
      <c r="Q35" s="268"/>
      <c r="R35" s="268"/>
      <c r="S35" s="268"/>
      <c r="T35" s="268"/>
      <c r="U35" s="268"/>
      <c r="V35" s="268"/>
      <c r="W35" s="268"/>
      <c r="X35" s="268"/>
      <c r="Y35" s="268"/>
      <c r="Z35" s="268"/>
      <c r="AA35" s="268"/>
      <c r="AB35" s="268"/>
      <c r="AC35" s="268"/>
      <c r="AD35" s="274"/>
    </row>
    <row r="36" spans="1:33" ht="15">
      <c r="B36" s="290" t="s">
        <v>79</v>
      </c>
      <c r="C36" s="215"/>
      <c r="D36" s="213">
        <v>12500</v>
      </c>
      <c r="E36" s="268"/>
      <c r="F36" s="268"/>
      <c r="G36" s="268"/>
      <c r="H36" s="268"/>
      <c r="I36" s="268"/>
      <c r="J36" s="268"/>
      <c r="K36" s="268"/>
      <c r="L36" s="268"/>
      <c r="M36" s="268"/>
      <c r="N36" s="344"/>
      <c r="O36" s="268"/>
      <c r="P36" s="268"/>
      <c r="Q36" s="268">
        <f>12311*0.8</f>
        <v>9848.8000000000011</v>
      </c>
      <c r="R36" s="268"/>
      <c r="S36" s="268" t="s">
        <v>0</v>
      </c>
      <c r="T36" s="268" t="s">
        <v>0</v>
      </c>
      <c r="U36" s="268"/>
      <c r="V36" s="268"/>
      <c r="W36" s="268"/>
      <c r="X36" s="268"/>
      <c r="Y36" s="268"/>
      <c r="Z36" s="268"/>
      <c r="AA36" s="268"/>
      <c r="AB36" s="268"/>
      <c r="AC36" s="268"/>
      <c r="AD36" s="274"/>
    </row>
    <row r="37" spans="1:33" ht="15">
      <c r="B37" s="290" t="s">
        <v>128</v>
      </c>
      <c r="C37" s="215">
        <v>27700</v>
      </c>
      <c r="D37" s="213">
        <f>C37*0.8</f>
        <v>22160</v>
      </c>
      <c r="E37" s="268">
        <v>0</v>
      </c>
      <c r="F37" s="268"/>
      <c r="G37" s="268"/>
      <c r="H37" s="269">
        <f>D37*0.97</f>
        <v>21495.200000000001</v>
      </c>
      <c r="I37" s="268"/>
      <c r="J37" s="268"/>
      <c r="K37" s="268"/>
      <c r="L37" s="268"/>
      <c r="M37" s="268"/>
      <c r="N37" s="344"/>
      <c r="O37" s="268"/>
      <c r="P37" s="268"/>
      <c r="Q37" s="268"/>
      <c r="R37" s="268"/>
      <c r="S37" s="268"/>
      <c r="T37" s="268"/>
      <c r="U37" s="268"/>
      <c r="V37" s="268"/>
      <c r="W37" s="268"/>
      <c r="X37" s="268"/>
      <c r="Y37" s="268"/>
      <c r="Z37" s="268"/>
      <c r="AA37" s="268"/>
      <c r="AB37" s="268"/>
      <c r="AC37" s="268"/>
      <c r="AD37" s="274"/>
    </row>
    <row r="38" spans="1:33" ht="15">
      <c r="B38" s="290" t="s">
        <v>133</v>
      </c>
      <c r="C38" s="215">
        <v>10582</v>
      </c>
      <c r="D38" s="213">
        <f>C38*0.8</f>
        <v>8465.6</v>
      </c>
      <c r="E38" s="268"/>
      <c r="F38" s="268"/>
      <c r="G38" s="268"/>
      <c r="H38" s="268"/>
      <c r="I38" s="268"/>
      <c r="J38" s="268"/>
      <c r="K38" s="268"/>
      <c r="L38" s="268"/>
      <c r="M38" s="269">
        <f>D38</f>
        <v>8465.6</v>
      </c>
      <c r="N38" s="344"/>
      <c r="O38" s="268"/>
      <c r="P38" s="268"/>
      <c r="Q38" s="268">
        <f>8859*0.8</f>
        <v>7087.2000000000007</v>
      </c>
      <c r="R38" s="268">
        <v>2200</v>
      </c>
      <c r="S38" s="268"/>
      <c r="T38" s="268"/>
      <c r="U38" s="268"/>
      <c r="V38" s="268"/>
      <c r="W38" s="268"/>
      <c r="X38" s="268"/>
      <c r="Y38" s="268"/>
      <c r="Z38" s="268"/>
      <c r="AA38" s="268"/>
      <c r="AB38" s="268"/>
      <c r="AC38" s="268"/>
      <c r="AD38" s="274"/>
    </row>
    <row r="39" spans="1:33" ht="15">
      <c r="B39" s="290" t="s">
        <v>127</v>
      </c>
      <c r="C39" s="215"/>
      <c r="D39" s="213">
        <f>'Job Calculations'!I78</f>
        <v>24000</v>
      </c>
      <c r="E39" s="268">
        <v>0</v>
      </c>
      <c r="F39" s="268"/>
      <c r="G39" s="268"/>
      <c r="H39" s="269">
        <f>D39*0.97</f>
        <v>23280</v>
      </c>
      <c r="I39" s="268"/>
      <c r="J39" s="268"/>
      <c r="K39" s="268"/>
      <c r="L39" s="268"/>
      <c r="M39" s="268"/>
      <c r="N39" s="344"/>
      <c r="O39" s="268"/>
      <c r="P39" s="268"/>
      <c r="Q39" s="268"/>
      <c r="R39" s="268"/>
      <c r="S39" s="268"/>
      <c r="T39" s="268"/>
      <c r="U39" s="268"/>
      <c r="V39" s="268"/>
      <c r="W39" s="268"/>
      <c r="X39" s="268"/>
      <c r="Y39" s="268"/>
      <c r="Z39" s="268"/>
      <c r="AA39" s="268"/>
      <c r="AB39" s="268"/>
      <c r="AC39" s="268"/>
      <c r="AD39" s="274"/>
    </row>
    <row r="40" spans="1:33" ht="15">
      <c r="B40" s="290" t="s">
        <v>80</v>
      </c>
      <c r="C40" s="215">
        <v>22483</v>
      </c>
      <c r="D40" s="213">
        <f>C40*0.8</f>
        <v>17986.400000000001</v>
      </c>
      <c r="E40" s="268"/>
      <c r="F40" s="268"/>
      <c r="G40" s="268"/>
      <c r="H40" s="268"/>
      <c r="I40" s="268"/>
      <c r="J40" s="268"/>
      <c r="K40" s="268"/>
      <c r="L40" s="268"/>
      <c r="N40" s="355">
        <f>16493*0.8</f>
        <v>13194.400000000001</v>
      </c>
      <c r="O40" s="268"/>
      <c r="P40" s="268"/>
      <c r="Q40" s="268">
        <f>20047*0.8</f>
        <v>16037.6</v>
      </c>
      <c r="R40" s="268" t="s">
        <v>0</v>
      </c>
      <c r="S40" s="268"/>
      <c r="T40" s="268">
        <f>3500*0.8</f>
        <v>2800</v>
      </c>
      <c r="U40" s="268"/>
      <c r="V40" s="268"/>
      <c r="W40" s="268"/>
      <c r="X40" s="268"/>
      <c r="Y40" s="268"/>
      <c r="Z40" s="268"/>
      <c r="AA40" s="268"/>
      <c r="AB40" s="268"/>
      <c r="AC40" s="268"/>
      <c r="AD40" s="274"/>
    </row>
    <row r="41" spans="1:33" ht="15">
      <c r="A41" s="3" t="s">
        <v>0</v>
      </c>
      <c r="B41" s="290" t="s">
        <v>315</v>
      </c>
      <c r="C41" s="215">
        <v>100000</v>
      </c>
      <c r="D41" s="213">
        <f>'Job Calculations'!D70</f>
        <v>80000</v>
      </c>
      <c r="E41" s="268"/>
      <c r="F41" s="268"/>
      <c r="G41" s="268"/>
      <c r="H41" s="268"/>
      <c r="I41" s="268"/>
      <c r="J41" s="268"/>
      <c r="K41" s="268"/>
      <c r="L41" s="268"/>
      <c r="N41" s="355">
        <f>6670*0.8</f>
        <v>5336</v>
      </c>
      <c r="O41" s="268"/>
      <c r="P41" s="268"/>
      <c r="Q41" s="356">
        <f>24235*0.8</f>
        <v>19388</v>
      </c>
      <c r="S41" s="268"/>
      <c r="T41" s="268">
        <f>$D$41*0.4</f>
        <v>32000</v>
      </c>
      <c r="U41" s="268"/>
      <c r="V41" s="268">
        <f>D41-N41-Q41-T41</f>
        <v>23276</v>
      </c>
      <c r="W41" s="268"/>
      <c r="X41" s="268"/>
      <c r="Y41" s="268"/>
      <c r="Z41" s="268"/>
      <c r="AA41" s="268"/>
      <c r="AB41" s="268"/>
      <c r="AC41" s="268"/>
      <c r="AD41" s="274"/>
    </row>
    <row r="42" spans="1:33" ht="15">
      <c r="B42" s="290" t="s">
        <v>129</v>
      </c>
      <c r="C42" s="301">
        <v>16065</v>
      </c>
      <c r="D42" s="217">
        <f>C42*0.8</f>
        <v>12852</v>
      </c>
      <c r="E42" s="268"/>
      <c r="F42" s="268"/>
      <c r="G42" s="268"/>
      <c r="H42" s="268"/>
      <c r="I42" s="269">
        <f>D42</f>
        <v>12852</v>
      </c>
      <c r="K42" s="268"/>
      <c r="L42" s="268"/>
      <c r="M42" s="268" t="s">
        <v>0</v>
      </c>
      <c r="N42" s="344" t="s">
        <v>0</v>
      </c>
      <c r="O42" s="268"/>
      <c r="P42" s="268"/>
      <c r="Q42" s="268"/>
      <c r="R42" s="268"/>
      <c r="S42" s="268"/>
      <c r="T42" s="268"/>
      <c r="U42" s="268"/>
      <c r="V42" s="268"/>
      <c r="W42" s="268"/>
      <c r="X42" s="268"/>
      <c r="Y42" s="268"/>
      <c r="Z42" s="268"/>
      <c r="AA42" s="268"/>
      <c r="AB42" s="268"/>
      <c r="AC42" s="268"/>
      <c r="AD42" s="274"/>
    </row>
    <row r="43" spans="1:33" ht="15">
      <c r="B43" s="290" t="s">
        <v>82</v>
      </c>
      <c r="C43" s="301">
        <v>39500</v>
      </c>
      <c r="D43" s="213">
        <f>$C$43*0.8</f>
        <v>31600</v>
      </c>
      <c r="E43" s="268"/>
      <c r="F43" s="268"/>
      <c r="G43" s="268"/>
      <c r="H43" s="268"/>
      <c r="I43" s="268"/>
      <c r="J43" s="268"/>
      <c r="K43" s="268"/>
      <c r="L43" s="268"/>
      <c r="M43" s="268"/>
      <c r="N43" s="345"/>
      <c r="O43" s="268"/>
      <c r="P43" s="268">
        <f>D43*0.6</f>
        <v>18960</v>
      </c>
      <c r="Q43" s="268"/>
      <c r="R43" s="268">
        <f>D43-P43</f>
        <v>12640</v>
      </c>
      <c r="S43" s="268"/>
      <c r="T43" s="268"/>
      <c r="U43" s="268"/>
      <c r="V43" s="268"/>
      <c r="W43" s="268"/>
      <c r="X43" s="268"/>
      <c r="Y43" s="268"/>
      <c r="Z43" s="268"/>
      <c r="AA43" s="268"/>
      <c r="AB43" s="268"/>
      <c r="AC43" s="268"/>
      <c r="AD43" s="274"/>
    </row>
    <row r="44" spans="1:33" ht="15">
      <c r="B44" s="290" t="s">
        <v>676</v>
      </c>
      <c r="C44" s="301">
        <v>4250</v>
      </c>
      <c r="D44" s="213">
        <f>C44*0.8</f>
        <v>3400</v>
      </c>
      <c r="E44" s="268"/>
      <c r="F44" s="268"/>
      <c r="G44" s="268"/>
      <c r="H44" s="268"/>
      <c r="I44" s="268"/>
      <c r="J44" s="268"/>
      <c r="K44" s="268"/>
      <c r="L44" s="268"/>
      <c r="M44" s="268"/>
      <c r="N44" s="345"/>
      <c r="O44" s="268"/>
      <c r="P44" s="268"/>
      <c r="R44" s="268"/>
      <c r="S44" s="268">
        <f>D44</f>
        <v>3400</v>
      </c>
      <c r="T44" s="268"/>
      <c r="U44" s="268"/>
      <c r="V44" s="268"/>
      <c r="W44" s="268"/>
      <c r="X44" s="268"/>
      <c r="Y44" s="268"/>
      <c r="Z44" s="268"/>
      <c r="AA44" s="268"/>
      <c r="AB44" s="268"/>
      <c r="AC44" s="268"/>
      <c r="AD44" s="274"/>
    </row>
    <row r="45" spans="1:33" ht="15">
      <c r="B45" s="290" t="s">
        <v>677</v>
      </c>
      <c r="C45" s="301">
        <v>4250</v>
      </c>
      <c r="D45" s="213">
        <f>C45*0.8</f>
        <v>3400</v>
      </c>
      <c r="E45" s="268"/>
      <c r="F45" s="268"/>
      <c r="G45" s="268"/>
      <c r="H45" s="268"/>
      <c r="I45" s="268"/>
      <c r="J45" s="268"/>
      <c r="K45" s="268"/>
      <c r="L45" s="268"/>
      <c r="M45" s="268"/>
      <c r="N45" s="345"/>
      <c r="O45" s="268"/>
      <c r="P45" s="268"/>
      <c r="R45" s="268"/>
      <c r="S45" s="268">
        <f>D45</f>
        <v>3400</v>
      </c>
      <c r="T45" s="268"/>
      <c r="U45" s="268"/>
      <c r="V45" s="268"/>
      <c r="W45" s="268"/>
      <c r="X45" s="268"/>
      <c r="Y45" s="268"/>
      <c r="Z45" s="268"/>
      <c r="AA45" s="268"/>
      <c r="AB45" s="268"/>
      <c r="AC45" s="268"/>
      <c r="AD45" s="274"/>
    </row>
    <row r="46" spans="1:33" ht="15">
      <c r="B46" s="290" t="s">
        <v>84</v>
      </c>
      <c r="C46" s="301">
        <v>4250</v>
      </c>
      <c r="D46" s="213">
        <f>C46*0.8</f>
        <v>3400</v>
      </c>
      <c r="E46" s="268"/>
      <c r="F46" s="268"/>
      <c r="G46" s="268"/>
      <c r="H46" s="268"/>
      <c r="I46" s="268"/>
      <c r="J46" s="268"/>
      <c r="K46" s="268"/>
      <c r="L46" s="268"/>
      <c r="M46" s="268"/>
      <c r="N46" s="345"/>
      <c r="O46" s="268"/>
      <c r="P46" s="268"/>
      <c r="R46" s="268"/>
      <c r="S46" s="268">
        <f>D46</f>
        <v>3400</v>
      </c>
      <c r="T46" s="268"/>
      <c r="U46" s="268"/>
      <c r="V46" s="268"/>
      <c r="W46" s="268"/>
      <c r="X46" s="268"/>
      <c r="Y46" s="268"/>
      <c r="Z46" s="268"/>
      <c r="AA46" s="268"/>
      <c r="AB46" s="268"/>
      <c r="AC46" s="268"/>
      <c r="AD46" s="274"/>
    </row>
    <row r="47" spans="1:33" ht="15">
      <c r="B47" s="290" t="s">
        <v>87</v>
      </c>
      <c r="C47" s="206"/>
      <c r="D47" s="213">
        <v>33600</v>
      </c>
      <c r="E47" s="268"/>
      <c r="F47" s="268"/>
      <c r="G47" s="268"/>
      <c r="H47" s="268"/>
      <c r="I47" s="268"/>
      <c r="J47" s="268"/>
      <c r="K47" s="268"/>
      <c r="L47" s="268"/>
      <c r="M47" s="268"/>
      <c r="N47" s="344"/>
      <c r="O47" s="268"/>
      <c r="P47" s="268"/>
      <c r="Q47" s="268"/>
      <c r="R47" s="268"/>
      <c r="S47" s="268"/>
      <c r="T47" s="268"/>
      <c r="U47" s="268"/>
      <c r="V47" s="268"/>
      <c r="W47" s="268">
        <f>$D$47/3</f>
        <v>11200</v>
      </c>
      <c r="X47" s="268">
        <f>$D$47/3</f>
        <v>11200</v>
      </c>
      <c r="Y47" s="268">
        <f>$D$47/3</f>
        <v>11200</v>
      </c>
      <c r="Z47" s="268"/>
      <c r="AA47" s="268"/>
      <c r="AB47" s="268"/>
      <c r="AC47" s="268"/>
      <c r="AD47" s="274"/>
      <c r="AG47" s="268" t="s">
        <v>0</v>
      </c>
    </row>
    <row r="48" spans="1:33" ht="15">
      <c r="B48" s="290" t="s">
        <v>88</v>
      </c>
      <c r="C48" s="215">
        <v>45000</v>
      </c>
      <c r="D48" s="213">
        <f>C48</f>
        <v>45000</v>
      </c>
      <c r="E48" s="268"/>
      <c r="F48" s="268"/>
      <c r="G48" s="268"/>
      <c r="H48" s="268"/>
      <c r="I48" s="268"/>
      <c r="J48" s="268"/>
      <c r="K48" s="268"/>
      <c r="L48" s="268"/>
      <c r="M48" s="268"/>
      <c r="N48" s="344"/>
      <c r="O48" s="268"/>
      <c r="P48" s="268"/>
      <c r="Q48" s="268"/>
      <c r="R48" s="268"/>
      <c r="S48" s="268"/>
      <c r="T48" s="268"/>
      <c r="U48" s="268"/>
      <c r="V48" s="268"/>
      <c r="W48" s="268"/>
      <c r="X48" s="268"/>
      <c r="Y48" s="268"/>
      <c r="Z48" s="268"/>
      <c r="AA48" s="268"/>
      <c r="AB48" s="268">
        <f>D48*0.8</f>
        <v>36000</v>
      </c>
      <c r="AC48" s="268"/>
      <c r="AD48" s="274"/>
    </row>
    <row r="49" spans="2:30" ht="15">
      <c r="B49" s="290" t="s">
        <v>132</v>
      </c>
      <c r="C49" s="215">
        <f>(D49/80)*100</f>
        <v>76315</v>
      </c>
      <c r="D49" s="213">
        <f>G49+K49+R49</f>
        <v>61052</v>
      </c>
      <c r="E49" s="268">
        <v>0</v>
      </c>
      <c r="F49" s="268"/>
      <c r="G49" s="269">
        <f>32543*0.8</f>
        <v>26034.400000000001</v>
      </c>
      <c r="H49" s="268"/>
      <c r="I49" s="268"/>
      <c r="K49" s="269">
        <f>25012*0.8</f>
        <v>20009.600000000002</v>
      </c>
      <c r="L49" s="268"/>
      <c r="N49" s="344" t="s">
        <v>0</v>
      </c>
      <c r="O49" s="268"/>
      <c r="P49" s="268"/>
      <c r="Q49" s="268"/>
      <c r="R49" s="268">
        <f>18760*0.8</f>
        <v>15008</v>
      </c>
      <c r="S49" s="268"/>
      <c r="T49" s="268"/>
      <c r="U49" s="268"/>
      <c r="V49" s="268"/>
      <c r="W49" s="268"/>
      <c r="X49" s="268"/>
      <c r="Y49" s="268"/>
      <c r="Z49" s="268"/>
      <c r="AA49" s="268"/>
      <c r="AB49" s="268"/>
      <c r="AC49" s="268"/>
      <c r="AD49" s="274"/>
    </row>
    <row r="50" spans="2:30" ht="15">
      <c r="B50" s="290" t="s">
        <v>130</v>
      </c>
      <c r="C50" s="215">
        <v>18326</v>
      </c>
      <c r="D50" s="213">
        <f>C50*0.8</f>
        <v>14660.800000000001</v>
      </c>
      <c r="E50" s="268"/>
      <c r="F50" s="268"/>
      <c r="G50" s="268"/>
      <c r="H50" s="268"/>
      <c r="J50" s="269">
        <f>D50*0.5</f>
        <v>7330.4000000000005</v>
      </c>
      <c r="K50" s="269">
        <f>D50*0.5</f>
        <v>7330.4000000000005</v>
      </c>
      <c r="M50" s="268"/>
      <c r="N50" s="344"/>
      <c r="O50" s="268"/>
      <c r="P50" s="268"/>
      <c r="Q50" s="268"/>
      <c r="R50" s="268"/>
      <c r="S50" s="268"/>
      <c r="T50" s="268"/>
      <c r="U50" s="268"/>
      <c r="V50" s="268"/>
      <c r="W50" s="268"/>
      <c r="X50" s="268"/>
      <c r="Y50" s="268"/>
      <c r="Z50" s="268"/>
      <c r="AA50" s="268"/>
      <c r="AB50" s="268"/>
      <c r="AC50" s="268"/>
      <c r="AD50" s="274"/>
    </row>
    <row r="51" spans="2:30" ht="15">
      <c r="B51" s="290" t="s">
        <v>696</v>
      </c>
      <c r="C51" s="215"/>
      <c r="D51" s="213">
        <v>13821</v>
      </c>
      <c r="E51" s="268"/>
      <c r="F51" s="268"/>
      <c r="G51" s="268"/>
      <c r="H51" s="268"/>
      <c r="J51" s="268"/>
      <c r="K51" s="268"/>
      <c r="M51" s="268"/>
      <c r="N51" s="344"/>
      <c r="O51" s="269">
        <f>D51*0.8</f>
        <v>11056.800000000001</v>
      </c>
      <c r="P51" s="268"/>
      <c r="Q51" s="268"/>
      <c r="R51" s="268"/>
      <c r="S51" s="268"/>
      <c r="T51" s="268"/>
      <c r="U51" s="268"/>
      <c r="V51" s="268"/>
      <c r="W51" s="268"/>
      <c r="X51" s="268"/>
      <c r="Y51" s="268"/>
      <c r="Z51" s="268"/>
      <c r="AA51" s="268"/>
      <c r="AB51" s="268"/>
      <c r="AC51" s="268"/>
      <c r="AD51" s="274"/>
    </row>
    <row r="52" spans="2:30" ht="15">
      <c r="B52" s="290" t="s">
        <v>124</v>
      </c>
      <c r="C52" s="215">
        <v>3118</v>
      </c>
      <c r="D52" s="213">
        <f>C52*0.8</f>
        <v>2494.4</v>
      </c>
      <c r="E52" s="268"/>
      <c r="F52" s="268"/>
      <c r="G52" s="268"/>
      <c r="H52" s="268"/>
      <c r="K52" s="269">
        <f>D52</f>
        <v>2494.4</v>
      </c>
      <c r="M52" s="268"/>
      <c r="N52" s="344"/>
      <c r="O52" s="268"/>
      <c r="P52" s="268"/>
      <c r="Q52" s="268"/>
      <c r="R52" s="268"/>
      <c r="S52" s="268"/>
      <c r="T52" s="268"/>
      <c r="U52" s="268"/>
      <c r="V52" s="268"/>
      <c r="W52" s="268"/>
      <c r="X52" s="268"/>
      <c r="Y52" s="268"/>
      <c r="Z52" s="268"/>
      <c r="AA52" s="268"/>
      <c r="AB52" s="268"/>
      <c r="AC52" s="268"/>
      <c r="AD52" s="274"/>
    </row>
    <row r="53" spans="2:30" ht="15">
      <c r="B53" s="290" t="s">
        <v>125</v>
      </c>
      <c r="C53" s="215">
        <v>9400</v>
      </c>
      <c r="D53" s="213">
        <f>C53*0.8</f>
        <v>7520</v>
      </c>
      <c r="E53" s="268"/>
      <c r="F53" s="268"/>
      <c r="G53" s="268"/>
      <c r="H53" s="268"/>
      <c r="I53" s="268"/>
      <c r="J53" s="268"/>
      <c r="K53" s="268"/>
      <c r="L53" s="268"/>
      <c r="M53" s="269">
        <f>D53</f>
        <v>7520</v>
      </c>
      <c r="N53" s="344"/>
      <c r="O53" s="268"/>
      <c r="P53" s="268"/>
      <c r="Q53" s="268"/>
      <c r="R53" s="268"/>
      <c r="S53" s="268"/>
      <c r="T53" s="268"/>
      <c r="U53" s="268"/>
      <c r="V53" s="268"/>
      <c r="W53" s="268"/>
      <c r="X53" s="268"/>
      <c r="Y53" s="268"/>
      <c r="Z53" s="268"/>
      <c r="AA53" s="268"/>
      <c r="AB53" s="268"/>
      <c r="AC53" s="268"/>
      <c r="AD53" s="274"/>
    </row>
    <row r="54" spans="2:30" ht="15">
      <c r="B54" s="290" t="s">
        <v>104</v>
      </c>
      <c r="C54" s="215">
        <v>19553</v>
      </c>
      <c r="D54" s="213">
        <f>C54*0.8</f>
        <v>15642.400000000001</v>
      </c>
      <c r="E54" s="268"/>
      <c r="F54" s="268"/>
      <c r="G54" s="268"/>
      <c r="H54" s="268"/>
      <c r="I54" s="268"/>
      <c r="J54" s="268"/>
      <c r="K54" s="268"/>
      <c r="L54" s="268"/>
      <c r="M54" s="268"/>
      <c r="N54" s="344"/>
      <c r="O54" s="268"/>
      <c r="P54" s="268"/>
      <c r="Q54" s="268"/>
      <c r="S54" s="268"/>
      <c r="T54" s="268">
        <f>'Job Calculations'!E98</f>
        <v>12448.000000000002</v>
      </c>
      <c r="U54" s="268"/>
      <c r="V54" s="268"/>
      <c r="W54" s="268"/>
      <c r="X54" s="268"/>
      <c r="Y54" s="268"/>
      <c r="Z54" s="268"/>
      <c r="AA54" s="268"/>
      <c r="AB54" s="268"/>
      <c r="AC54" s="268"/>
      <c r="AD54" s="274"/>
    </row>
    <row r="55" spans="2:30" ht="13.5" customHeight="1">
      <c r="B55" s="290" t="s">
        <v>69</v>
      </c>
      <c r="C55" s="215">
        <v>28658</v>
      </c>
      <c r="D55" s="217">
        <f>'Job Calculations'!F85</f>
        <v>21780.080000000002</v>
      </c>
      <c r="E55" s="268"/>
      <c r="F55" s="268"/>
      <c r="G55" s="268"/>
      <c r="H55" s="268"/>
      <c r="I55" s="268"/>
      <c r="K55" s="269">
        <f>D55</f>
        <v>21780.080000000002</v>
      </c>
      <c r="L55" s="268"/>
      <c r="M55" s="268"/>
      <c r="N55" s="344"/>
      <c r="O55" s="268"/>
      <c r="P55" s="268"/>
      <c r="Q55" s="268"/>
      <c r="R55" s="268"/>
      <c r="S55" s="268"/>
      <c r="T55" s="268"/>
      <c r="U55" s="268"/>
      <c r="V55" s="268"/>
      <c r="W55" s="268"/>
      <c r="X55" s="268"/>
      <c r="Y55" s="268">
        <f>D55*0.3</f>
        <v>6534.0240000000003</v>
      </c>
      <c r="Z55" s="268"/>
      <c r="AA55" s="268"/>
      <c r="AB55" s="268"/>
      <c r="AC55" s="268"/>
      <c r="AD55" s="274"/>
    </row>
    <row r="56" spans="2:30" ht="15">
      <c r="B56" s="290" t="s">
        <v>659</v>
      </c>
      <c r="C56" s="215"/>
      <c r="D56" s="213"/>
      <c r="E56" s="268"/>
      <c r="F56" s="268"/>
      <c r="G56" s="268"/>
      <c r="H56" s="268"/>
      <c r="I56" s="268"/>
      <c r="J56" s="268"/>
      <c r="K56" s="268"/>
      <c r="L56" s="268"/>
      <c r="M56" s="268"/>
      <c r="N56" s="344"/>
      <c r="O56" s="268"/>
      <c r="P56" s="268"/>
      <c r="Q56" s="268"/>
      <c r="R56" s="268"/>
      <c r="S56" s="268"/>
      <c r="T56" s="268"/>
      <c r="U56" s="268"/>
      <c r="V56" s="268"/>
      <c r="W56" s="268"/>
      <c r="X56" s="268"/>
      <c r="Y56" s="268"/>
      <c r="Z56" s="268"/>
      <c r="AA56" s="268"/>
      <c r="AB56" s="268"/>
      <c r="AC56" s="268"/>
      <c r="AD56" s="274"/>
    </row>
    <row r="57" spans="2:30" ht="15">
      <c r="B57" s="285" t="s">
        <v>679</v>
      </c>
      <c r="C57" s="215"/>
      <c r="D57" s="213">
        <v>40000</v>
      </c>
      <c r="E57" s="268"/>
      <c r="F57" s="268"/>
      <c r="G57" s="268"/>
      <c r="H57" s="268"/>
      <c r="I57" s="268"/>
      <c r="J57" s="268"/>
      <c r="K57" s="268"/>
      <c r="L57" s="268"/>
      <c r="M57" s="268"/>
      <c r="N57" s="344"/>
      <c r="O57" s="268"/>
      <c r="P57" s="268"/>
      <c r="Q57" s="268"/>
      <c r="R57" s="268"/>
      <c r="S57" s="268"/>
      <c r="U57" s="268"/>
      <c r="V57" s="268">
        <f>D57</f>
        <v>40000</v>
      </c>
      <c r="W57" s="268"/>
      <c r="X57" s="268"/>
      <c r="Y57" s="268"/>
      <c r="Z57" s="268"/>
      <c r="AA57" s="268"/>
      <c r="AB57" s="268"/>
      <c r="AC57" s="268"/>
      <c r="AD57" s="274"/>
    </row>
    <row r="58" spans="2:30" ht="15">
      <c r="B58" s="285" t="s">
        <v>680</v>
      </c>
      <c r="C58" s="215"/>
      <c r="D58" s="213">
        <f>5000*20</f>
        <v>100000</v>
      </c>
      <c r="E58" s="268"/>
      <c r="F58" s="268"/>
      <c r="G58" s="268"/>
      <c r="H58" s="268"/>
      <c r="I58" s="268"/>
      <c r="J58" s="268"/>
      <c r="K58" s="268"/>
      <c r="L58" s="268"/>
      <c r="M58" s="268"/>
      <c r="N58" s="344"/>
      <c r="O58" s="268"/>
      <c r="P58" s="268"/>
      <c r="Q58" s="268"/>
      <c r="R58" s="268"/>
      <c r="S58" s="268"/>
      <c r="T58" s="268"/>
      <c r="U58" s="268"/>
      <c r="W58" s="268">
        <v>45000</v>
      </c>
      <c r="X58" s="268">
        <v>45000</v>
      </c>
      <c r="Y58" s="268">
        <v>32000</v>
      </c>
      <c r="Z58" s="268"/>
      <c r="AA58" s="268"/>
      <c r="AB58" s="268"/>
      <c r="AC58" s="268"/>
      <c r="AD58" s="274"/>
    </row>
    <row r="59" spans="2:30" ht="15">
      <c r="B59" s="285" t="s">
        <v>681</v>
      </c>
      <c r="C59" s="215">
        <f>'Job Calculations'!C113</f>
        <v>518000</v>
      </c>
      <c r="D59" s="213">
        <f>'Job Calculations'!E114</f>
        <v>362600</v>
      </c>
      <c r="E59" s="268"/>
      <c r="F59" s="268"/>
      <c r="G59" s="268"/>
      <c r="H59" s="268"/>
      <c r="I59" s="268"/>
      <c r="J59" s="268"/>
      <c r="K59" s="268"/>
      <c r="L59" s="268"/>
      <c r="M59" s="268"/>
      <c r="N59" s="344"/>
      <c r="O59" s="268"/>
      <c r="P59" s="268"/>
      <c r="Q59" s="268"/>
      <c r="R59" s="268"/>
      <c r="S59" s="268"/>
      <c r="T59" s="268"/>
      <c r="U59" s="268"/>
      <c r="V59" s="268"/>
      <c r="W59" s="268">
        <f>D59/6</f>
        <v>60433.333333333336</v>
      </c>
      <c r="X59" s="268">
        <f>W59</f>
        <v>60433.333333333336</v>
      </c>
      <c r="Y59" s="268">
        <f>X59</f>
        <v>60433.333333333336</v>
      </c>
      <c r="Z59" s="268">
        <f>Y59</f>
        <v>60433.333333333336</v>
      </c>
      <c r="AA59" s="268">
        <f>Z59</f>
        <v>60433.333333333336</v>
      </c>
      <c r="AB59" s="268">
        <f>AA59</f>
        <v>60433.333333333336</v>
      </c>
      <c r="AC59" s="268"/>
      <c r="AD59" s="274"/>
    </row>
    <row r="60" spans="2:30" ht="15">
      <c r="B60" s="285" t="s">
        <v>202</v>
      </c>
      <c r="C60" s="215"/>
      <c r="D60" s="213"/>
      <c r="E60" s="268"/>
      <c r="F60" s="268"/>
      <c r="G60" s="268"/>
      <c r="H60" s="268"/>
      <c r="I60" s="268"/>
      <c r="J60" s="268"/>
      <c r="K60" s="268"/>
      <c r="L60" s="268"/>
      <c r="M60" s="268"/>
      <c r="N60" s="344"/>
      <c r="O60" s="269">
        <v>100000</v>
      </c>
      <c r="Q60" s="268"/>
      <c r="R60" s="268"/>
      <c r="S60" s="268"/>
      <c r="T60" s="268"/>
      <c r="U60" s="268"/>
      <c r="V60" s="268"/>
      <c r="W60" s="268"/>
      <c r="X60" s="268"/>
      <c r="Y60" s="268"/>
      <c r="Z60" s="268"/>
      <c r="AA60" s="268"/>
      <c r="AB60" s="268"/>
      <c r="AC60" s="268"/>
      <c r="AD60" s="274"/>
    </row>
    <row r="61" spans="2:30" ht="15" thickBot="1">
      <c r="B61" s="285"/>
      <c r="C61" s="215"/>
      <c r="D61" s="213"/>
      <c r="E61" s="268"/>
      <c r="F61" s="268"/>
      <c r="G61" s="268"/>
      <c r="H61" s="268"/>
      <c r="I61" s="268"/>
      <c r="J61" s="268"/>
      <c r="K61" s="268"/>
      <c r="L61" s="268"/>
      <c r="M61" s="268"/>
      <c r="N61" s="344"/>
      <c r="O61" s="268"/>
      <c r="P61" s="268"/>
      <c r="Q61" s="268"/>
      <c r="R61" s="268"/>
      <c r="S61" s="268"/>
      <c r="T61" s="268"/>
      <c r="U61" s="268"/>
      <c r="V61" s="268"/>
      <c r="W61" s="268"/>
      <c r="X61" s="268"/>
      <c r="Y61" s="268"/>
      <c r="Z61" s="268"/>
      <c r="AA61" s="268"/>
      <c r="AB61" s="268"/>
      <c r="AC61" s="268"/>
      <c r="AD61" s="274"/>
    </row>
    <row r="62" spans="2:30" ht="16" thickBot="1">
      <c r="B62" s="291" t="s">
        <v>117</v>
      </c>
      <c r="C62" s="215"/>
      <c r="D62" s="213"/>
      <c r="E62" s="268"/>
      <c r="F62" s="268"/>
      <c r="G62" s="268"/>
      <c r="H62" s="268"/>
      <c r="I62" s="268"/>
      <c r="J62" s="268"/>
      <c r="K62" s="268"/>
      <c r="L62" s="268"/>
      <c r="M62" s="268"/>
      <c r="N62" s="344"/>
      <c r="O62" s="268"/>
      <c r="P62" s="268"/>
      <c r="Q62" s="268"/>
      <c r="R62" s="268"/>
      <c r="S62" s="268"/>
      <c r="T62" s="268"/>
      <c r="U62" s="268"/>
      <c r="V62" s="268"/>
      <c r="W62" s="268"/>
      <c r="X62" s="268"/>
      <c r="Y62" s="268"/>
      <c r="Z62" s="268"/>
      <c r="AA62" s="268"/>
      <c r="AB62" s="268"/>
      <c r="AC62" s="268"/>
      <c r="AD62" s="274"/>
    </row>
    <row r="63" spans="2:30" ht="15">
      <c r="B63" s="290" t="s">
        <v>118</v>
      </c>
      <c r="C63" s="215">
        <v>13205</v>
      </c>
      <c r="D63" s="213">
        <f t="shared" ref="D63:D68" si="0">C63*0.8</f>
        <v>10564</v>
      </c>
      <c r="E63" s="268"/>
      <c r="F63" s="268"/>
      <c r="G63" s="268"/>
      <c r="H63" s="269">
        <f>D63</f>
        <v>10564</v>
      </c>
      <c r="I63" s="268"/>
      <c r="J63" s="268"/>
      <c r="K63" s="268"/>
      <c r="L63" s="268"/>
      <c r="M63" s="268"/>
      <c r="N63" s="344"/>
      <c r="O63" s="268"/>
      <c r="P63" s="268"/>
      <c r="Q63" s="268"/>
      <c r="R63" s="268"/>
      <c r="S63" s="268"/>
      <c r="T63" s="268"/>
      <c r="U63" s="268"/>
      <c r="V63" s="268"/>
      <c r="W63" s="268"/>
      <c r="X63" s="268"/>
      <c r="Y63" s="268"/>
      <c r="Z63" s="268"/>
      <c r="AA63" s="268"/>
      <c r="AB63" s="268"/>
      <c r="AC63" s="268"/>
      <c r="AD63" s="274"/>
    </row>
    <row r="64" spans="2:30" s="211" customFormat="1" ht="15">
      <c r="B64" s="307" t="s">
        <v>119</v>
      </c>
      <c r="C64" s="212">
        <f>6500+1500</f>
        <v>8000</v>
      </c>
      <c r="D64" s="213">
        <f t="shared" si="0"/>
        <v>6400</v>
      </c>
      <c r="E64" s="272">
        <v>6184</v>
      </c>
      <c r="F64" s="268"/>
      <c r="G64" s="273" t="s">
        <v>0</v>
      </c>
      <c r="H64" s="273"/>
      <c r="I64" s="273"/>
      <c r="J64" s="273"/>
      <c r="K64" s="273"/>
      <c r="L64" s="273"/>
      <c r="M64" s="273"/>
      <c r="N64" s="342"/>
      <c r="O64" s="273"/>
      <c r="P64" s="273"/>
      <c r="Q64" s="273"/>
      <c r="R64" s="273" t="s">
        <v>0</v>
      </c>
      <c r="S64" s="273"/>
      <c r="T64" s="273"/>
      <c r="U64" s="273"/>
      <c r="V64" s="273"/>
      <c r="W64" s="273"/>
      <c r="X64" s="273"/>
      <c r="Y64" s="273"/>
      <c r="Z64" s="268"/>
      <c r="AA64" s="268"/>
      <c r="AB64" s="268"/>
      <c r="AC64" s="268"/>
      <c r="AD64" s="274"/>
    </row>
    <row r="65" spans="2:30" ht="15">
      <c r="B65" s="290" t="s">
        <v>120</v>
      </c>
      <c r="C65" s="215">
        <v>3705</v>
      </c>
      <c r="D65" s="213">
        <f t="shared" si="0"/>
        <v>2964</v>
      </c>
      <c r="E65" s="268"/>
      <c r="F65" s="269">
        <f>D65</f>
        <v>2964</v>
      </c>
      <c r="G65" s="268"/>
      <c r="H65" s="268"/>
      <c r="J65" s="268"/>
      <c r="K65" s="268"/>
      <c r="L65" s="268"/>
      <c r="M65" s="268"/>
      <c r="N65" s="344"/>
      <c r="O65" s="268"/>
      <c r="P65" s="268"/>
      <c r="Q65" s="268"/>
      <c r="R65" s="268" t="s">
        <v>0</v>
      </c>
      <c r="S65" s="268"/>
      <c r="T65" s="268"/>
      <c r="U65" s="268"/>
      <c r="V65" s="268"/>
      <c r="W65" s="268"/>
      <c r="X65" s="268"/>
      <c r="Y65" s="268"/>
      <c r="Z65" s="268"/>
      <c r="AA65" s="268"/>
      <c r="AB65" s="268"/>
      <c r="AC65" s="268"/>
      <c r="AD65" s="274"/>
    </row>
    <row r="66" spans="2:30" ht="15">
      <c r="B66" s="290" t="s">
        <v>121</v>
      </c>
      <c r="C66" s="215">
        <v>1586</v>
      </c>
      <c r="D66" s="213">
        <f t="shared" si="0"/>
        <v>1268.8000000000002</v>
      </c>
      <c r="E66" s="268"/>
      <c r="F66" s="268"/>
      <c r="G66" s="268"/>
      <c r="H66" s="268"/>
      <c r="J66" s="269">
        <f>D66</f>
        <v>1268.8000000000002</v>
      </c>
      <c r="K66" s="268"/>
      <c r="L66" s="268"/>
      <c r="M66" s="268"/>
      <c r="N66" s="344"/>
      <c r="O66" s="268"/>
      <c r="P66" s="268"/>
      <c r="Q66" s="268"/>
      <c r="R66" s="268"/>
      <c r="S66" s="268"/>
      <c r="T66" s="268"/>
      <c r="U66" s="268"/>
      <c r="V66" s="268"/>
      <c r="W66" s="268"/>
      <c r="X66" s="268"/>
      <c r="Y66" s="268"/>
      <c r="Z66" s="268"/>
      <c r="AA66" s="268"/>
      <c r="AB66" s="268"/>
      <c r="AC66" s="268"/>
      <c r="AD66" s="274"/>
    </row>
    <row r="67" spans="2:30" s="211" customFormat="1" ht="15">
      <c r="B67" s="288" t="s">
        <v>122</v>
      </c>
      <c r="C67" s="213">
        <v>42000</v>
      </c>
      <c r="D67" s="213">
        <f t="shared" si="0"/>
        <v>33600</v>
      </c>
      <c r="E67" s="269">
        <v>31545</v>
      </c>
      <c r="F67" s="269">
        <f>2772*0.8</f>
        <v>2217.6</v>
      </c>
      <c r="G67" s="268"/>
      <c r="H67" s="268"/>
      <c r="I67" s="268"/>
      <c r="J67" s="268"/>
      <c r="K67" s="268"/>
      <c r="L67" s="268"/>
      <c r="M67" s="268"/>
      <c r="N67" s="344"/>
      <c r="O67" s="268"/>
      <c r="P67" s="268"/>
      <c r="Q67" s="268"/>
      <c r="R67" s="268"/>
      <c r="S67" s="268"/>
      <c r="T67" s="268"/>
      <c r="U67" s="268"/>
      <c r="V67" s="268"/>
      <c r="W67" s="268"/>
      <c r="X67" s="268"/>
      <c r="Y67" s="268"/>
      <c r="Z67" s="268"/>
      <c r="AA67" s="268"/>
      <c r="AB67" s="268"/>
      <c r="AC67" s="268"/>
      <c r="AD67" s="274"/>
    </row>
    <row r="68" spans="2:30" ht="15">
      <c r="B68" s="290" t="s">
        <v>123</v>
      </c>
      <c r="C68" s="215">
        <f>27500*0.97</f>
        <v>26675</v>
      </c>
      <c r="D68" s="213">
        <f t="shared" si="0"/>
        <v>21340</v>
      </c>
      <c r="E68" s="268"/>
      <c r="F68" s="268"/>
      <c r="G68" s="268"/>
      <c r="H68" s="269">
        <f>D68</f>
        <v>21340</v>
      </c>
      <c r="I68" s="268"/>
      <c r="J68" s="268"/>
      <c r="K68" s="268"/>
      <c r="L68" s="268"/>
      <c r="M68" s="268"/>
      <c r="N68" s="344"/>
      <c r="O68" s="268"/>
      <c r="P68" s="268"/>
      <c r="Q68" s="268"/>
      <c r="R68" s="268"/>
      <c r="S68" s="268"/>
      <c r="T68" s="268"/>
      <c r="U68" s="268"/>
      <c r="V68" s="268"/>
      <c r="W68" s="268"/>
      <c r="X68" s="268"/>
      <c r="Y68" s="268"/>
      <c r="Z68" s="268"/>
      <c r="AA68" s="268"/>
      <c r="AB68" s="268"/>
      <c r="AC68" s="268"/>
      <c r="AD68" s="274"/>
    </row>
    <row r="69" spans="2:30" ht="15">
      <c r="B69" s="290" t="s">
        <v>123</v>
      </c>
      <c r="C69" s="215">
        <v>30000</v>
      </c>
      <c r="D69" s="213">
        <v>30000</v>
      </c>
      <c r="E69" s="268"/>
      <c r="F69" s="268"/>
      <c r="G69" s="268"/>
      <c r="H69" s="268"/>
      <c r="I69" s="268" t="s">
        <v>0</v>
      </c>
      <c r="J69" s="269">
        <f>(D69*0.97)*0.8</f>
        <v>23280</v>
      </c>
      <c r="K69" s="268"/>
      <c r="L69" s="268"/>
      <c r="M69" s="268"/>
      <c r="N69" s="344"/>
      <c r="O69" s="268"/>
      <c r="P69" s="268"/>
      <c r="Q69" s="268"/>
      <c r="R69" s="268"/>
      <c r="S69" s="268"/>
      <c r="T69" s="268"/>
      <c r="U69" s="268"/>
      <c r="V69" s="268"/>
      <c r="W69" s="268"/>
      <c r="X69" s="268"/>
      <c r="Y69" s="268"/>
      <c r="Z69" s="268"/>
      <c r="AA69" s="268"/>
      <c r="AB69" s="268"/>
      <c r="AC69" s="268"/>
      <c r="AD69" s="274"/>
    </row>
    <row r="70" spans="2:30" ht="15" thickBot="1">
      <c r="B70" s="290"/>
      <c r="C70" s="215"/>
      <c r="D70" s="213"/>
      <c r="E70" s="268"/>
      <c r="F70" s="268"/>
      <c r="G70" s="268"/>
      <c r="H70" s="268"/>
      <c r="I70" s="268"/>
      <c r="J70" s="268"/>
      <c r="K70" s="268"/>
      <c r="L70" s="268"/>
      <c r="M70" s="268"/>
      <c r="N70" s="344"/>
      <c r="O70" s="268"/>
      <c r="P70" s="268"/>
      <c r="Q70" s="268"/>
      <c r="R70" s="268"/>
      <c r="S70" s="268"/>
      <c r="T70" s="268"/>
      <c r="U70" s="268"/>
      <c r="V70" s="268"/>
      <c r="W70" s="268"/>
      <c r="X70" s="268"/>
      <c r="Y70" s="268"/>
      <c r="Z70" s="268"/>
      <c r="AA70" s="268"/>
      <c r="AB70" s="268"/>
      <c r="AC70" s="268"/>
      <c r="AD70" s="274"/>
    </row>
    <row r="71" spans="2:30" ht="16" thickBot="1">
      <c r="B71" s="291" t="s">
        <v>137</v>
      </c>
      <c r="C71" s="218"/>
      <c r="D71" s="213">
        <v>0</v>
      </c>
      <c r="E71" s="268"/>
      <c r="F71" s="268"/>
      <c r="G71" s="268"/>
      <c r="H71" s="268"/>
      <c r="I71" s="268"/>
      <c r="J71" s="268"/>
      <c r="K71" s="268"/>
      <c r="L71" s="268"/>
      <c r="M71" s="268"/>
      <c r="N71" s="344"/>
      <c r="O71" s="268"/>
      <c r="P71" s="268"/>
      <c r="Q71" s="268"/>
      <c r="R71" s="268"/>
      <c r="S71" s="268"/>
      <c r="T71" s="268"/>
      <c r="U71" s="268"/>
      <c r="V71" s="268"/>
      <c r="W71" s="268"/>
      <c r="X71" s="268"/>
      <c r="Y71" s="268"/>
      <c r="Z71" s="268"/>
      <c r="AA71" s="268"/>
      <c r="AB71" s="268"/>
      <c r="AC71" s="268"/>
      <c r="AD71" s="274"/>
    </row>
    <row r="72" spans="2:30" ht="15">
      <c r="B72" s="290" t="s">
        <v>138</v>
      </c>
      <c r="C72" s="215"/>
      <c r="D72" s="213">
        <v>0</v>
      </c>
      <c r="E72" s="268"/>
      <c r="F72" s="268"/>
      <c r="G72" s="268"/>
      <c r="H72" s="268"/>
      <c r="I72" s="268"/>
      <c r="J72" s="268"/>
      <c r="K72" s="268"/>
      <c r="L72" s="268"/>
      <c r="M72" s="268"/>
      <c r="N72" s="344"/>
      <c r="O72" s="268"/>
      <c r="P72" s="268"/>
      <c r="Q72" s="268"/>
      <c r="R72" s="268"/>
      <c r="S72" s="268"/>
      <c r="T72" s="268"/>
      <c r="U72" s="268">
        <v>0</v>
      </c>
      <c r="V72" s="268">
        <v>0</v>
      </c>
      <c r="W72" s="268">
        <v>0</v>
      </c>
      <c r="X72" s="268">
        <v>0</v>
      </c>
      <c r="Y72" s="268">
        <v>0</v>
      </c>
      <c r="Z72" s="268">
        <v>0</v>
      </c>
      <c r="AA72" s="268">
        <v>0</v>
      </c>
      <c r="AB72" s="268">
        <v>0</v>
      </c>
      <c r="AC72" s="268">
        <v>0</v>
      </c>
      <c r="AD72" s="274">
        <v>0</v>
      </c>
    </row>
    <row r="73" spans="2:30" ht="15">
      <c r="B73" s="290" t="s">
        <v>139</v>
      </c>
      <c r="C73" s="215"/>
      <c r="D73" s="213">
        <v>0</v>
      </c>
      <c r="E73" s="268"/>
      <c r="F73" s="268"/>
      <c r="G73" s="268"/>
      <c r="H73" s="268"/>
      <c r="I73" s="268"/>
      <c r="J73" s="268"/>
      <c r="K73" s="268"/>
      <c r="L73" s="268"/>
      <c r="M73" s="268"/>
      <c r="N73" s="344"/>
      <c r="O73" s="268"/>
      <c r="P73" s="268"/>
      <c r="Q73" s="268"/>
      <c r="R73" s="268"/>
      <c r="S73" s="268"/>
      <c r="T73" s="268"/>
      <c r="U73" s="268">
        <v>0</v>
      </c>
      <c r="V73" s="268">
        <v>0</v>
      </c>
      <c r="W73" s="268">
        <v>0</v>
      </c>
      <c r="X73" s="268">
        <v>0</v>
      </c>
      <c r="Y73" s="268">
        <v>10000</v>
      </c>
      <c r="Z73" s="268">
        <v>10000</v>
      </c>
      <c r="AA73" s="268">
        <v>10000</v>
      </c>
      <c r="AB73" s="268">
        <v>10000</v>
      </c>
      <c r="AC73" s="268">
        <v>10000</v>
      </c>
      <c r="AD73" s="274">
        <v>10000</v>
      </c>
    </row>
    <row r="74" spans="2:30" ht="15">
      <c r="B74" s="285" t="s">
        <v>140</v>
      </c>
      <c r="C74" s="212"/>
      <c r="D74" s="213">
        <v>0</v>
      </c>
      <c r="E74" s="268"/>
      <c r="F74" s="268"/>
      <c r="G74" s="268"/>
      <c r="H74" s="268"/>
      <c r="I74" s="268"/>
      <c r="J74" s="268"/>
      <c r="K74" s="268"/>
      <c r="L74" s="268"/>
      <c r="M74" s="268"/>
      <c r="N74" s="344" t="s">
        <v>0</v>
      </c>
      <c r="O74" s="268"/>
      <c r="P74" s="268"/>
      <c r="Q74" s="268"/>
      <c r="R74" s="268" t="s">
        <v>0</v>
      </c>
      <c r="S74" s="268"/>
      <c r="T74" s="268"/>
      <c r="U74" s="268">
        <v>0</v>
      </c>
      <c r="V74" s="268">
        <v>0</v>
      </c>
      <c r="W74" s="268">
        <v>0</v>
      </c>
      <c r="X74" s="268">
        <v>0</v>
      </c>
      <c r="Y74" s="268">
        <v>7500</v>
      </c>
      <c r="Z74" s="268">
        <v>7500</v>
      </c>
      <c r="AA74" s="268">
        <v>7500</v>
      </c>
      <c r="AB74" s="268">
        <v>7500</v>
      </c>
      <c r="AC74" s="268">
        <v>7500</v>
      </c>
      <c r="AD74" s="274">
        <v>7500</v>
      </c>
    </row>
    <row r="75" spans="2:30" ht="15" thickBot="1">
      <c r="B75" s="285"/>
      <c r="C75" s="205"/>
      <c r="D75" s="206"/>
      <c r="E75" s="268"/>
      <c r="F75" s="268"/>
      <c r="G75" s="268"/>
      <c r="H75" s="268"/>
      <c r="I75" s="268"/>
      <c r="J75" s="268"/>
      <c r="K75" s="268"/>
      <c r="L75" s="268"/>
      <c r="M75" s="268"/>
      <c r="N75" s="344"/>
      <c r="O75" s="268"/>
      <c r="P75" s="268"/>
      <c r="Q75" s="268"/>
      <c r="R75" s="268"/>
      <c r="S75" s="268"/>
      <c r="T75" s="268"/>
      <c r="U75" s="268"/>
      <c r="V75" s="268"/>
      <c r="W75" s="268"/>
      <c r="X75" s="268"/>
      <c r="Y75" s="268"/>
      <c r="Z75" s="268"/>
      <c r="AA75" s="268"/>
      <c r="AB75" s="268"/>
      <c r="AC75" s="268"/>
      <c r="AD75" s="274"/>
    </row>
    <row r="76" spans="2:30" ht="25.5" customHeight="1" thickBot="1">
      <c r="B76" s="292" t="s">
        <v>141</v>
      </c>
      <c r="C76" s="212"/>
      <c r="D76" s="206"/>
      <c r="E76" s="268" t="s">
        <v>0</v>
      </c>
      <c r="F76" s="268"/>
      <c r="G76" s="268"/>
      <c r="H76" s="268"/>
      <c r="I76" s="268"/>
      <c r="J76" s="268"/>
      <c r="K76" s="268"/>
      <c r="L76" s="268"/>
      <c r="M76" s="268"/>
      <c r="N76" s="344" t="s">
        <v>0</v>
      </c>
      <c r="O76" s="268"/>
      <c r="P76" s="268"/>
      <c r="Q76" s="268"/>
      <c r="R76" s="268" t="s">
        <v>0</v>
      </c>
      <c r="S76" s="268"/>
      <c r="T76" s="268"/>
      <c r="U76" s="268"/>
      <c r="V76" s="268" t="s">
        <v>0</v>
      </c>
      <c r="W76" s="268" t="s">
        <v>0</v>
      </c>
      <c r="X76" s="268" t="s">
        <v>0</v>
      </c>
      <c r="Y76" s="268" t="s">
        <v>0</v>
      </c>
      <c r="Z76" s="268" t="s">
        <v>0</v>
      </c>
      <c r="AA76" s="268" t="s">
        <v>0</v>
      </c>
      <c r="AB76" s="268" t="s">
        <v>0</v>
      </c>
      <c r="AC76" s="268" t="s">
        <v>0</v>
      </c>
      <c r="AD76" s="274" t="s">
        <v>0</v>
      </c>
    </row>
    <row r="77" spans="2:30" ht="15">
      <c r="B77" s="285" t="s">
        <v>142</v>
      </c>
      <c r="C77" s="212"/>
      <c r="D77" s="206"/>
      <c r="E77" s="268">
        <v>-774</v>
      </c>
      <c r="F77" s="269">
        <v>-774</v>
      </c>
      <c r="G77" s="269">
        <v>-774</v>
      </c>
      <c r="H77" s="269">
        <v>-774</v>
      </c>
      <c r="I77" s="269">
        <v>-774</v>
      </c>
      <c r="J77" s="269">
        <v>-774</v>
      </c>
      <c r="K77" s="269">
        <v>-774</v>
      </c>
      <c r="L77" s="269">
        <v>-774</v>
      </c>
      <c r="M77" s="269">
        <v>-673</v>
      </c>
      <c r="N77" s="344">
        <v>-774</v>
      </c>
      <c r="O77" s="268">
        <f t="shared" ref="N77:Q78" si="1">(N77*52)/52</f>
        <v>-774</v>
      </c>
      <c r="P77" s="268">
        <f t="shared" si="1"/>
        <v>-774</v>
      </c>
      <c r="Q77" s="268">
        <f t="shared" si="1"/>
        <v>-774</v>
      </c>
      <c r="R77" s="268">
        <f t="shared" ref="R77:U78" si="2">N77</f>
        <v>-774</v>
      </c>
      <c r="S77" s="268">
        <f t="shared" si="2"/>
        <v>-774</v>
      </c>
      <c r="T77" s="268">
        <f t="shared" si="2"/>
        <v>-774</v>
      </c>
      <c r="U77" s="268">
        <f t="shared" si="2"/>
        <v>-774</v>
      </c>
      <c r="V77" s="268">
        <f>-774*52/12</f>
        <v>-3354</v>
      </c>
      <c r="W77" s="268">
        <f>V77</f>
        <v>-3354</v>
      </c>
      <c r="X77" s="268">
        <f t="shared" ref="X77:AD77" si="3">W77</f>
        <v>-3354</v>
      </c>
      <c r="Y77" s="268">
        <f t="shared" si="3"/>
        <v>-3354</v>
      </c>
      <c r="Z77" s="268">
        <f t="shared" si="3"/>
        <v>-3354</v>
      </c>
      <c r="AA77" s="268">
        <f t="shared" si="3"/>
        <v>-3354</v>
      </c>
      <c r="AB77" s="268">
        <f t="shared" si="3"/>
        <v>-3354</v>
      </c>
      <c r="AC77" s="268">
        <f t="shared" si="3"/>
        <v>-3354</v>
      </c>
      <c r="AD77" s="274">
        <f t="shared" si="3"/>
        <v>-3354</v>
      </c>
    </row>
    <row r="78" spans="2:30" ht="15">
      <c r="B78" s="285" t="s">
        <v>143</v>
      </c>
      <c r="C78" s="212"/>
      <c r="D78" s="206"/>
      <c r="E78" s="268">
        <v>-905</v>
      </c>
      <c r="F78" s="269">
        <v>-905</v>
      </c>
      <c r="G78" s="269">
        <v>-905</v>
      </c>
      <c r="H78" s="269">
        <v>-905</v>
      </c>
      <c r="I78" s="269">
        <v>-905</v>
      </c>
      <c r="J78" s="269">
        <v>-905</v>
      </c>
      <c r="K78" s="269">
        <v>-905</v>
      </c>
      <c r="L78" s="269">
        <v>-905</v>
      </c>
      <c r="M78" s="269">
        <v>-905</v>
      </c>
      <c r="N78" s="344">
        <f t="shared" si="1"/>
        <v>-905</v>
      </c>
      <c r="O78" s="268">
        <f t="shared" si="1"/>
        <v>-905</v>
      </c>
      <c r="P78" s="268">
        <f t="shared" si="1"/>
        <v>-905</v>
      </c>
      <c r="Q78" s="268">
        <f t="shared" si="1"/>
        <v>-905</v>
      </c>
      <c r="R78" s="268">
        <f t="shared" si="2"/>
        <v>-905</v>
      </c>
      <c r="S78" s="268">
        <f t="shared" si="2"/>
        <v>-905</v>
      </c>
      <c r="T78" s="268">
        <f t="shared" si="2"/>
        <v>-905</v>
      </c>
      <c r="U78" s="268">
        <f t="shared" si="2"/>
        <v>-905</v>
      </c>
      <c r="V78" s="268">
        <f>-905*52/12</f>
        <v>-3921.6666666666665</v>
      </c>
      <c r="W78" s="268">
        <f>V78</f>
        <v>-3921.6666666666665</v>
      </c>
      <c r="X78" s="268">
        <f t="shared" ref="X78:AD79" si="4">W78</f>
        <v>-3921.6666666666665</v>
      </c>
      <c r="Y78" s="268">
        <f t="shared" si="4"/>
        <v>-3921.6666666666665</v>
      </c>
      <c r="Z78" s="268">
        <f t="shared" si="4"/>
        <v>-3921.6666666666665</v>
      </c>
      <c r="AA78" s="268">
        <f t="shared" si="4"/>
        <v>-3921.6666666666665</v>
      </c>
      <c r="AB78" s="268">
        <f t="shared" si="4"/>
        <v>-3921.6666666666665</v>
      </c>
      <c r="AC78" s="268">
        <f t="shared" si="4"/>
        <v>-3921.6666666666665</v>
      </c>
      <c r="AD78" s="274">
        <f t="shared" si="4"/>
        <v>-3921.6666666666665</v>
      </c>
    </row>
    <row r="79" spans="2:30" ht="15">
      <c r="B79" s="285" t="s">
        <v>682</v>
      </c>
      <c r="C79" s="212"/>
      <c r="D79" s="206"/>
      <c r="E79" s="268">
        <v>-7173</v>
      </c>
      <c r="F79" s="269">
        <v>-7885</v>
      </c>
      <c r="G79" s="269">
        <v>-8934</v>
      </c>
      <c r="H79" s="269">
        <v>-8315</v>
      </c>
      <c r="I79" s="269">
        <v>-8162</v>
      </c>
      <c r="J79" s="269">
        <v>-7964.08</v>
      </c>
      <c r="K79" s="269">
        <v>-7914</v>
      </c>
      <c r="L79" s="269">
        <v>-8199.5</v>
      </c>
      <c r="M79" s="269">
        <v>-7601</v>
      </c>
      <c r="N79" s="344">
        <v>-8200</v>
      </c>
      <c r="O79" s="268">
        <f t="shared" ref="O79:U79" si="5">(N79*52)/52</f>
        <v>-8200</v>
      </c>
      <c r="P79" s="268">
        <f t="shared" si="5"/>
        <v>-8200</v>
      </c>
      <c r="Q79" s="268">
        <f t="shared" si="5"/>
        <v>-8200</v>
      </c>
      <c r="R79" s="268">
        <f t="shared" si="5"/>
        <v>-8200</v>
      </c>
      <c r="S79" s="268">
        <f t="shared" si="5"/>
        <v>-8200</v>
      </c>
      <c r="T79" s="268">
        <f t="shared" si="5"/>
        <v>-8200</v>
      </c>
      <c r="U79" s="268">
        <f t="shared" si="5"/>
        <v>-8200</v>
      </c>
      <c r="V79" s="268">
        <f>U79*52/12</f>
        <v>-35533.333333333336</v>
      </c>
      <c r="W79" s="268">
        <f>V79</f>
        <v>-35533.333333333336</v>
      </c>
      <c r="X79" s="268">
        <f t="shared" si="4"/>
        <v>-35533.333333333336</v>
      </c>
      <c r="Y79" s="268">
        <f t="shared" si="4"/>
        <v>-35533.333333333336</v>
      </c>
      <c r="Z79" s="268">
        <f t="shared" si="4"/>
        <v>-35533.333333333336</v>
      </c>
      <c r="AA79" s="268">
        <f t="shared" si="4"/>
        <v>-35533.333333333336</v>
      </c>
      <c r="AB79" s="268">
        <f t="shared" si="4"/>
        <v>-35533.333333333336</v>
      </c>
      <c r="AC79" s="268">
        <f t="shared" si="4"/>
        <v>-35533.333333333336</v>
      </c>
      <c r="AD79" s="274">
        <f>AC79</f>
        <v>-35533.333333333336</v>
      </c>
    </row>
    <row r="80" spans="2:30" ht="15">
      <c r="B80" s="285" t="s">
        <v>145</v>
      </c>
      <c r="C80" s="212"/>
      <c r="D80" s="206"/>
      <c r="E80" s="268"/>
      <c r="F80" s="269"/>
      <c r="G80" s="269">
        <v>-8409</v>
      </c>
      <c r="H80" s="268" t="s">
        <v>0</v>
      </c>
      <c r="I80" s="268"/>
      <c r="J80" s="268"/>
      <c r="K80" s="269">
        <f>G80</f>
        <v>-8409</v>
      </c>
      <c r="L80" s="268"/>
      <c r="M80" s="268"/>
      <c r="N80" s="345"/>
      <c r="O80" s="268">
        <f>K80</f>
        <v>-8409</v>
      </c>
      <c r="P80" s="268" t="s">
        <v>0</v>
      </c>
      <c r="Q80" s="268" t="s">
        <v>0</v>
      </c>
      <c r="S80" s="268">
        <f>O80</f>
        <v>-8409</v>
      </c>
      <c r="T80" s="268" t="s">
        <v>0</v>
      </c>
      <c r="U80" s="268" t="s">
        <v>0</v>
      </c>
      <c r="V80" s="268">
        <f>S80</f>
        <v>-8409</v>
      </c>
      <c r="W80" s="268">
        <f>V80</f>
        <v>-8409</v>
      </c>
      <c r="X80" s="268">
        <f>O80</f>
        <v>-8409</v>
      </c>
      <c r="Y80" s="268">
        <f>S80</f>
        <v>-8409</v>
      </c>
      <c r="Z80" s="268">
        <f>V80</f>
        <v>-8409</v>
      </c>
      <c r="AA80" s="268">
        <f>W80</f>
        <v>-8409</v>
      </c>
      <c r="AB80" s="268">
        <f>X80</f>
        <v>-8409</v>
      </c>
      <c r="AC80" s="268">
        <f>Y80</f>
        <v>-8409</v>
      </c>
      <c r="AD80" s="274">
        <f>Z80</f>
        <v>-8409</v>
      </c>
    </row>
    <row r="81" spans="2:31" ht="15">
      <c r="B81" s="285" t="s">
        <v>683</v>
      </c>
      <c r="C81" s="212"/>
      <c r="D81" s="206"/>
      <c r="E81" s="268">
        <v>-3125</v>
      </c>
      <c r="F81" s="269">
        <v>-3175</v>
      </c>
      <c r="G81" s="269">
        <v>-3005</v>
      </c>
      <c r="H81" s="269">
        <v>-2325</v>
      </c>
      <c r="I81" s="269">
        <v>-3175</v>
      </c>
      <c r="J81" s="269">
        <v>-3175</v>
      </c>
      <c r="K81" s="269">
        <v>-4583</v>
      </c>
      <c r="L81" s="269">
        <v>-4563</v>
      </c>
      <c r="M81" s="269">
        <v>-3512</v>
      </c>
      <c r="N81" s="344">
        <v>-4563</v>
      </c>
      <c r="O81" s="268">
        <f t="shared" ref="O81:T81" si="6">N81</f>
        <v>-4563</v>
      </c>
      <c r="P81" s="268">
        <f t="shared" si="6"/>
        <v>-4563</v>
      </c>
      <c r="Q81" s="268">
        <f t="shared" si="6"/>
        <v>-4563</v>
      </c>
      <c r="R81" s="268">
        <f t="shared" si="6"/>
        <v>-4563</v>
      </c>
      <c r="S81" s="268">
        <f t="shared" si="6"/>
        <v>-4563</v>
      </c>
      <c r="T81" s="268">
        <f t="shared" si="6"/>
        <v>-4563</v>
      </c>
      <c r="U81" s="268">
        <v>0</v>
      </c>
      <c r="V81" s="268">
        <v>-10867</v>
      </c>
      <c r="W81" s="268">
        <v>-13867</v>
      </c>
      <c r="X81" s="268">
        <v>-13867</v>
      </c>
      <c r="Y81" s="268">
        <v>-13867</v>
      </c>
      <c r="Z81" s="268">
        <f t="shared" ref="Z81:AD82" si="7">Y81</f>
        <v>-13867</v>
      </c>
      <c r="AA81" s="268">
        <f t="shared" si="7"/>
        <v>-13867</v>
      </c>
      <c r="AB81" s="268">
        <f t="shared" si="7"/>
        <v>-13867</v>
      </c>
      <c r="AC81" s="268">
        <f t="shared" si="7"/>
        <v>-13867</v>
      </c>
      <c r="AD81" s="274">
        <f t="shared" si="7"/>
        <v>-13867</v>
      </c>
    </row>
    <row r="82" spans="2:31" ht="15">
      <c r="B82" s="285" t="s">
        <v>684</v>
      </c>
      <c r="C82" s="212"/>
      <c r="D82" s="206"/>
      <c r="E82" s="268">
        <v>0</v>
      </c>
      <c r="F82" s="269">
        <v>-24491</v>
      </c>
      <c r="G82" s="268">
        <v>0</v>
      </c>
      <c r="H82" s="269">
        <v>-23986</v>
      </c>
      <c r="I82" s="268">
        <v>0</v>
      </c>
      <c r="J82" s="269">
        <v>-25055</v>
      </c>
      <c r="K82" s="268">
        <v>0</v>
      </c>
      <c r="L82" s="269">
        <v>-31313</v>
      </c>
      <c r="M82" s="268">
        <v>0</v>
      </c>
      <c r="N82" s="344">
        <v>-37000</v>
      </c>
      <c r="O82" s="268" t="s">
        <v>0</v>
      </c>
      <c r="P82" s="268">
        <v>-37000</v>
      </c>
      <c r="Q82" s="268" t="s">
        <v>0</v>
      </c>
      <c r="R82" s="268">
        <f>N82</f>
        <v>-37000</v>
      </c>
      <c r="S82" s="268" t="s">
        <v>0</v>
      </c>
      <c r="T82" s="268">
        <v>-37000</v>
      </c>
      <c r="U82" s="268" t="s">
        <v>0</v>
      </c>
      <c r="V82" s="268">
        <v>-34000</v>
      </c>
      <c r="W82" s="268">
        <f>T82*2</f>
        <v>-74000</v>
      </c>
      <c r="X82" s="268">
        <v>-39000</v>
      </c>
      <c r="Y82" s="268">
        <f>X82</f>
        <v>-39000</v>
      </c>
      <c r="Z82" s="268">
        <f t="shared" si="7"/>
        <v>-39000</v>
      </c>
      <c r="AA82" s="268">
        <f t="shared" si="7"/>
        <v>-39000</v>
      </c>
      <c r="AB82" s="268">
        <f t="shared" si="7"/>
        <v>-39000</v>
      </c>
      <c r="AC82" s="268">
        <f t="shared" si="7"/>
        <v>-39000</v>
      </c>
      <c r="AD82" s="274">
        <f t="shared" si="7"/>
        <v>-39000</v>
      </c>
    </row>
    <row r="83" spans="2:31" ht="15">
      <c r="B83" s="309" t="s">
        <v>195</v>
      </c>
      <c r="C83" s="212">
        <v>8794</v>
      </c>
      <c r="D83" s="206"/>
      <c r="E83" s="269">
        <v>-3800</v>
      </c>
      <c r="F83" s="269">
        <f>-2000*0.8</f>
        <v>-1600</v>
      </c>
      <c r="G83" s="269">
        <v>-2000</v>
      </c>
      <c r="H83" s="268">
        <v>0</v>
      </c>
      <c r="I83" s="269">
        <f>-800-594</f>
        <v>-1394</v>
      </c>
      <c r="J83" s="268">
        <v>0</v>
      </c>
      <c r="K83" s="268" t="s">
        <v>0</v>
      </c>
      <c r="L83" s="268" t="s">
        <v>0</v>
      </c>
      <c r="M83" s="268" t="s">
        <v>0</v>
      </c>
      <c r="N83" s="344" t="s">
        <v>0</v>
      </c>
      <c r="O83" s="268" t="s">
        <v>0</v>
      </c>
      <c r="P83" s="268" t="s">
        <v>0</v>
      </c>
      <c r="Q83" s="268" t="s">
        <v>0</v>
      </c>
      <c r="R83" s="268" t="s">
        <v>0</v>
      </c>
      <c r="S83" s="268" t="s">
        <v>0</v>
      </c>
      <c r="T83" s="268" t="s">
        <v>0</v>
      </c>
      <c r="U83" s="268" t="s">
        <v>0</v>
      </c>
      <c r="V83" s="268" t="s">
        <v>0</v>
      </c>
      <c r="W83" s="268" t="s">
        <v>0</v>
      </c>
      <c r="X83" s="268" t="s">
        <v>0</v>
      </c>
      <c r="Y83" s="268" t="s">
        <v>0</v>
      </c>
      <c r="Z83" s="268" t="s">
        <v>0</v>
      </c>
      <c r="AA83" s="268" t="s">
        <v>0</v>
      </c>
      <c r="AB83" s="268" t="s">
        <v>0</v>
      </c>
      <c r="AC83" s="268" t="s">
        <v>0</v>
      </c>
      <c r="AD83" s="274" t="s">
        <v>0</v>
      </c>
    </row>
    <row r="84" spans="2:31" ht="15">
      <c r="B84" s="309" t="s">
        <v>196</v>
      </c>
      <c r="C84" s="212">
        <f>-10315-12625</f>
        <v>-22940</v>
      </c>
      <c r="D84" s="206"/>
      <c r="E84" s="269">
        <v>-4000</v>
      </c>
      <c r="F84" s="269">
        <v>-2000</v>
      </c>
      <c r="G84" s="269">
        <v>-2000</v>
      </c>
      <c r="H84" s="269">
        <v>-2000</v>
      </c>
      <c r="I84" s="269">
        <v>-2000</v>
      </c>
      <c r="J84" s="269">
        <v>-2000</v>
      </c>
      <c r="K84" s="269">
        <v>-2000</v>
      </c>
      <c r="L84" s="269">
        <v>-2000</v>
      </c>
      <c r="N84" s="344">
        <v>-2000</v>
      </c>
      <c r="O84" s="268">
        <v>-2940</v>
      </c>
      <c r="P84" s="268" t="s">
        <v>0</v>
      </c>
      <c r="Q84" s="268" t="s">
        <v>0</v>
      </c>
      <c r="R84" s="268" t="s">
        <v>0</v>
      </c>
      <c r="S84" s="268" t="s">
        <v>0</v>
      </c>
      <c r="T84" s="268" t="s">
        <v>0</v>
      </c>
      <c r="U84" s="268" t="s">
        <v>0</v>
      </c>
      <c r="V84" s="268" t="s">
        <v>0</v>
      </c>
      <c r="W84" s="268" t="s">
        <v>0</v>
      </c>
      <c r="X84" s="268" t="s">
        <v>0</v>
      </c>
      <c r="Y84" s="268" t="s">
        <v>0</v>
      </c>
      <c r="Z84" s="268" t="s">
        <v>0</v>
      </c>
      <c r="AA84" s="268" t="s">
        <v>0</v>
      </c>
      <c r="AB84" s="268" t="s">
        <v>0</v>
      </c>
      <c r="AC84" s="268" t="s">
        <v>0</v>
      </c>
      <c r="AD84" s="274" t="s">
        <v>0</v>
      </c>
    </row>
    <row r="85" spans="2:31" ht="15">
      <c r="B85" s="309" t="s">
        <v>685</v>
      </c>
      <c r="C85" s="212"/>
      <c r="D85" s="206"/>
      <c r="E85" s="268"/>
      <c r="F85" s="268"/>
      <c r="G85" s="268"/>
      <c r="H85" s="268"/>
      <c r="I85" s="268"/>
      <c r="J85" s="268"/>
      <c r="K85" s="268"/>
      <c r="L85" s="268"/>
      <c r="M85" s="268"/>
      <c r="N85" s="344"/>
      <c r="O85" s="268"/>
      <c r="P85" s="268"/>
      <c r="R85" s="268" t="s">
        <v>0</v>
      </c>
      <c r="S85" s="268">
        <v>-2500</v>
      </c>
      <c r="T85" s="268">
        <v>-2500</v>
      </c>
      <c r="V85" s="268">
        <v>-30000</v>
      </c>
      <c r="W85" s="268">
        <v>-30000</v>
      </c>
      <c r="X85" s="268">
        <v>-30000</v>
      </c>
      <c r="Y85" s="268">
        <v>-27500</v>
      </c>
      <c r="Z85" s="268"/>
      <c r="AA85" s="268"/>
      <c r="AB85" s="268"/>
      <c r="AC85" s="268"/>
      <c r="AD85" s="274"/>
    </row>
    <row r="86" spans="2:31" ht="15">
      <c r="B86" s="285" t="s">
        <v>686</v>
      </c>
      <c r="C86" s="212"/>
      <c r="D86" s="206"/>
      <c r="E86" s="268"/>
      <c r="F86" s="268"/>
      <c r="G86" s="268"/>
      <c r="H86" s="268"/>
      <c r="I86" s="269">
        <v>-4920</v>
      </c>
      <c r="J86" s="268"/>
      <c r="K86" s="268"/>
      <c r="L86" s="268" t="s">
        <v>0</v>
      </c>
      <c r="M86" s="268" t="s">
        <v>0</v>
      </c>
      <c r="N86" s="346" t="s">
        <v>0</v>
      </c>
      <c r="O86" s="275"/>
      <c r="P86" s="275"/>
      <c r="Q86" s="275"/>
      <c r="R86" s="275" t="str">
        <f>N86</f>
        <v xml:space="preserve"> </v>
      </c>
      <c r="S86" s="275" t="s">
        <v>163</v>
      </c>
      <c r="T86" s="275" t="s">
        <v>0</v>
      </c>
      <c r="U86" s="275" t="s">
        <v>0</v>
      </c>
      <c r="V86" s="275">
        <f>-4920*4</f>
        <v>-19680</v>
      </c>
      <c r="W86" s="275">
        <v>4920</v>
      </c>
      <c r="X86" s="275">
        <v>4920</v>
      </c>
      <c r="Y86" s="275">
        <f t="shared" ref="Y86:AD86" si="8">W86</f>
        <v>4920</v>
      </c>
      <c r="Z86" s="275">
        <f t="shared" si="8"/>
        <v>4920</v>
      </c>
      <c r="AA86" s="275">
        <f t="shared" si="8"/>
        <v>4920</v>
      </c>
      <c r="AB86" s="275">
        <f t="shared" si="8"/>
        <v>4920</v>
      </c>
      <c r="AC86" s="275">
        <f t="shared" si="8"/>
        <v>4920</v>
      </c>
      <c r="AD86" s="311">
        <f t="shared" si="8"/>
        <v>4920</v>
      </c>
    </row>
    <row r="87" spans="2:31" s="211" customFormat="1" ht="15">
      <c r="B87" s="288" t="s">
        <v>664</v>
      </c>
      <c r="C87" s="212"/>
      <c r="D87" s="213"/>
      <c r="E87" s="268">
        <v>-1752</v>
      </c>
      <c r="F87" s="268"/>
      <c r="G87" s="268"/>
      <c r="H87" s="268"/>
      <c r="I87" s="269">
        <v>-1752</v>
      </c>
      <c r="J87" s="268"/>
      <c r="K87" s="268"/>
      <c r="L87" s="268"/>
      <c r="M87" s="269">
        <v>-1752</v>
      </c>
      <c r="N87" s="343"/>
      <c r="O87" s="275"/>
      <c r="P87" s="275"/>
      <c r="Q87" s="275"/>
      <c r="R87" s="275">
        <f t="shared" ref="R87:AD87" si="9">$I87</f>
        <v>-1752</v>
      </c>
      <c r="S87" s="275"/>
      <c r="T87" s="275"/>
      <c r="U87" s="275"/>
      <c r="V87" s="275">
        <f t="shared" si="9"/>
        <v>-1752</v>
      </c>
      <c r="W87" s="275">
        <f t="shared" si="9"/>
        <v>-1752</v>
      </c>
      <c r="X87" s="275">
        <f t="shared" si="9"/>
        <v>-1752</v>
      </c>
      <c r="Y87" s="275">
        <f t="shared" si="9"/>
        <v>-1752</v>
      </c>
      <c r="Z87" s="275">
        <f t="shared" si="9"/>
        <v>-1752</v>
      </c>
      <c r="AA87" s="275">
        <f t="shared" si="9"/>
        <v>-1752</v>
      </c>
      <c r="AB87" s="275">
        <f t="shared" si="9"/>
        <v>-1752</v>
      </c>
      <c r="AC87" s="275">
        <f t="shared" si="9"/>
        <v>-1752</v>
      </c>
      <c r="AD87" s="311">
        <f t="shared" si="9"/>
        <v>-1752</v>
      </c>
    </row>
    <row r="88" spans="2:31" s="211" customFormat="1" ht="15">
      <c r="B88" s="288" t="s">
        <v>665</v>
      </c>
      <c r="C88" s="212"/>
      <c r="D88" s="213"/>
      <c r="E88" s="268"/>
      <c r="F88" s="268"/>
      <c r="G88" s="269">
        <f>-719.85-798.2</f>
        <v>-1518.0500000000002</v>
      </c>
      <c r="H88" s="268" t="s">
        <v>0</v>
      </c>
      <c r="I88" s="268"/>
      <c r="J88" s="268"/>
      <c r="K88" s="269">
        <f>G88</f>
        <v>-1518.0500000000002</v>
      </c>
      <c r="L88" s="268"/>
      <c r="M88" s="268"/>
      <c r="N88" s="344">
        <v>-1518</v>
      </c>
      <c r="O88" s="275"/>
      <c r="P88" s="275"/>
      <c r="Q88" s="275"/>
      <c r="R88" s="275">
        <v>-1518</v>
      </c>
      <c r="S88" s="275"/>
      <c r="T88" s="275"/>
      <c r="U88" s="275"/>
      <c r="V88" s="275">
        <v>-1518</v>
      </c>
      <c r="W88" s="275">
        <v>-2500</v>
      </c>
      <c r="X88" s="275">
        <v>-2500</v>
      </c>
      <c r="Y88" s="275">
        <v>-2500</v>
      </c>
      <c r="Z88" s="275">
        <v>-2500</v>
      </c>
      <c r="AA88" s="275">
        <v>-2500</v>
      </c>
      <c r="AB88" s="275">
        <v>-2500</v>
      </c>
      <c r="AC88" s="275">
        <v>-2500</v>
      </c>
      <c r="AD88" s="275">
        <v>-2500</v>
      </c>
      <c r="AE88" s="275">
        <v>-2500</v>
      </c>
    </row>
    <row r="89" spans="2:31" s="211" customFormat="1" ht="15">
      <c r="B89" s="288" t="s">
        <v>166</v>
      </c>
      <c r="C89" s="212"/>
      <c r="D89" s="213"/>
      <c r="E89" s="269">
        <v>-866</v>
      </c>
      <c r="F89" s="269">
        <v>-543</v>
      </c>
      <c r="G89" s="269">
        <f>-(778.37+24.6+17.71)</f>
        <v>-820.68000000000006</v>
      </c>
      <c r="H89" s="269">
        <f>-470-200-803</f>
        <v>-1473</v>
      </c>
      <c r="I89" s="269">
        <v>-803.12</v>
      </c>
      <c r="J89" s="269">
        <f>-713</f>
        <v>-713</v>
      </c>
      <c r="K89" s="269">
        <f>-812.29-17.71-24.6</f>
        <v>-854.6</v>
      </c>
      <c r="L89" s="269">
        <v>-708.95</v>
      </c>
      <c r="M89" s="269">
        <v>-1075</v>
      </c>
      <c r="N89" s="344">
        <v>-576</v>
      </c>
      <c r="O89" s="268">
        <f>N89</f>
        <v>-576</v>
      </c>
      <c r="P89" s="268">
        <f>O89</f>
        <v>-576</v>
      </c>
      <c r="Q89" s="268">
        <f>P89</f>
        <v>-576</v>
      </c>
      <c r="R89" s="275">
        <v>-3000</v>
      </c>
      <c r="S89" s="275"/>
      <c r="T89" s="275"/>
      <c r="U89" s="275"/>
      <c r="V89" s="275">
        <v>-3000</v>
      </c>
      <c r="W89" s="275">
        <v>-3000</v>
      </c>
      <c r="X89" s="275">
        <v>-3000</v>
      </c>
      <c r="Y89" s="275">
        <v>-3000</v>
      </c>
      <c r="Z89" s="275">
        <v>-3000</v>
      </c>
      <c r="AA89" s="275">
        <v>-3000</v>
      </c>
      <c r="AB89" s="275">
        <v>-3000</v>
      </c>
      <c r="AC89" s="275">
        <v>-3000</v>
      </c>
      <c r="AD89" s="311">
        <v>-3000</v>
      </c>
    </row>
    <row r="90" spans="2:31" s="211" customFormat="1" ht="15">
      <c r="B90" s="288" t="s">
        <v>167</v>
      </c>
      <c r="C90" s="212"/>
      <c r="D90" s="213"/>
      <c r="E90" s="268"/>
      <c r="F90" s="268"/>
      <c r="G90" s="268"/>
      <c r="H90" s="268"/>
      <c r="I90" s="269">
        <v>-200</v>
      </c>
      <c r="J90" s="268"/>
      <c r="K90" s="269">
        <v>-200</v>
      </c>
      <c r="L90" s="269">
        <v>-200</v>
      </c>
      <c r="M90" s="268"/>
      <c r="N90" s="355">
        <v>-200</v>
      </c>
      <c r="O90" s="275"/>
      <c r="P90" s="275"/>
      <c r="Q90" s="275"/>
      <c r="R90" s="275"/>
      <c r="S90" s="275"/>
      <c r="T90" s="275"/>
      <c r="U90" s="275"/>
      <c r="V90" s="275"/>
      <c r="W90" s="275"/>
      <c r="X90" s="275"/>
      <c r="Y90" s="275"/>
      <c r="Z90" s="275"/>
      <c r="AA90" s="275"/>
      <c r="AB90" s="275"/>
      <c r="AC90" s="275"/>
      <c r="AD90" s="311"/>
    </row>
    <row r="91" spans="2:31" s="211" customFormat="1" ht="15">
      <c r="B91" s="288" t="s">
        <v>168</v>
      </c>
      <c r="C91" s="212"/>
      <c r="D91" s="213"/>
      <c r="E91" s="268"/>
      <c r="F91" s="269">
        <v>-240</v>
      </c>
      <c r="G91" s="268"/>
      <c r="H91" s="268"/>
      <c r="I91" s="269">
        <v>-240</v>
      </c>
      <c r="K91" s="268"/>
      <c r="L91" s="268"/>
      <c r="M91" s="268"/>
      <c r="N91" s="344">
        <v>-240</v>
      </c>
      <c r="O91" s="275"/>
      <c r="P91" s="275"/>
      <c r="Q91" s="275"/>
      <c r="R91" s="275">
        <v>-240</v>
      </c>
      <c r="S91" s="275"/>
      <c r="T91" s="275"/>
      <c r="U91" s="275"/>
      <c r="V91" s="275">
        <v>-240</v>
      </c>
      <c r="W91" s="275">
        <v>-240</v>
      </c>
      <c r="X91" s="275">
        <v>-240</v>
      </c>
      <c r="Y91" s="275">
        <v>-240</v>
      </c>
      <c r="Z91" s="275">
        <v>-240</v>
      </c>
      <c r="AA91" s="275">
        <v>-240</v>
      </c>
      <c r="AB91" s="275">
        <v>-240</v>
      </c>
      <c r="AC91" s="275">
        <v>-240</v>
      </c>
      <c r="AD91" s="311">
        <v>-240</v>
      </c>
    </row>
    <row r="92" spans="2:31" s="211" customFormat="1" ht="15">
      <c r="B92" s="288" t="s">
        <v>169</v>
      </c>
      <c r="C92" s="212"/>
      <c r="D92" s="213"/>
      <c r="E92" s="268"/>
      <c r="F92" s="268"/>
      <c r="G92" s="268"/>
      <c r="H92" s="268"/>
      <c r="I92" s="268"/>
      <c r="J92" s="268"/>
      <c r="K92" s="268"/>
      <c r="L92" s="268"/>
      <c r="M92" s="268"/>
      <c r="N92" s="344"/>
      <c r="O92" s="275"/>
      <c r="P92" s="275"/>
      <c r="Q92" s="275"/>
      <c r="R92" s="275"/>
      <c r="S92" s="275"/>
      <c r="T92" s="275"/>
      <c r="U92" s="275"/>
      <c r="V92" s="275"/>
      <c r="W92" s="275"/>
      <c r="X92" s="275"/>
      <c r="Y92" s="275"/>
      <c r="Z92" s="275"/>
      <c r="AA92" s="275"/>
      <c r="AB92" s="275"/>
      <c r="AC92" s="275"/>
      <c r="AD92" s="311"/>
    </row>
    <row r="93" spans="2:31" s="211" customFormat="1" ht="15">
      <c r="B93" s="288" t="s">
        <v>170</v>
      </c>
      <c r="C93" s="212"/>
      <c r="D93" s="213"/>
      <c r="E93" s="268"/>
      <c r="F93" s="268"/>
      <c r="G93" s="269">
        <v>-513</v>
      </c>
      <c r="H93" s="268"/>
      <c r="I93" s="268"/>
      <c r="J93" s="268"/>
      <c r="K93" s="269">
        <v>-513</v>
      </c>
      <c r="L93" s="268"/>
      <c r="M93" s="268"/>
      <c r="N93" s="355">
        <v>-513</v>
      </c>
      <c r="O93" s="275"/>
      <c r="P93" s="275"/>
      <c r="Q93" s="275"/>
      <c r="R93" s="275">
        <v>-513</v>
      </c>
      <c r="S93" s="275"/>
      <c r="T93" s="275"/>
      <c r="U93" s="275"/>
      <c r="V93" s="275">
        <v>-513</v>
      </c>
      <c r="W93" s="275">
        <v>-513</v>
      </c>
      <c r="X93" s="275">
        <v>-513</v>
      </c>
      <c r="Y93" s="275">
        <v>-513</v>
      </c>
      <c r="Z93" s="275">
        <v>-513</v>
      </c>
      <c r="AA93" s="275">
        <v>-513</v>
      </c>
      <c r="AB93" s="275">
        <v>-513</v>
      </c>
      <c r="AC93" s="275">
        <v>-513</v>
      </c>
      <c r="AD93" s="311">
        <v>-513</v>
      </c>
    </row>
    <row r="94" spans="2:31" s="211" customFormat="1" ht="15">
      <c r="B94" s="288" t="s">
        <v>549</v>
      </c>
      <c r="C94" s="212"/>
      <c r="D94" s="213"/>
      <c r="E94" s="268"/>
      <c r="F94" s="268"/>
      <c r="G94" s="269">
        <v>-2194</v>
      </c>
      <c r="H94" s="268"/>
      <c r="I94" s="268"/>
      <c r="J94" s="268"/>
      <c r="K94" s="269">
        <f>G94</f>
        <v>-2194</v>
      </c>
      <c r="L94" s="268"/>
      <c r="M94" s="268"/>
      <c r="N94" s="343"/>
      <c r="O94" s="269">
        <f>K94</f>
        <v>-2194</v>
      </c>
      <c r="P94" s="275"/>
      <c r="Q94" s="275"/>
      <c r="T94" s="310">
        <f>O94</f>
        <v>-2194</v>
      </c>
      <c r="U94" s="275"/>
      <c r="V94" s="310">
        <f>O94</f>
        <v>-2194</v>
      </c>
      <c r="W94" s="310">
        <f>O94</f>
        <v>-2194</v>
      </c>
      <c r="X94" s="310">
        <f>O94</f>
        <v>-2194</v>
      </c>
      <c r="Y94" s="310">
        <f>T94</f>
        <v>-2194</v>
      </c>
      <c r="Z94" s="310">
        <f>V94</f>
        <v>-2194</v>
      </c>
      <c r="AA94" s="310">
        <f>W94</f>
        <v>-2194</v>
      </c>
      <c r="AB94" s="310">
        <f>X94</f>
        <v>-2194</v>
      </c>
      <c r="AC94" s="310">
        <f>Y94</f>
        <v>-2194</v>
      </c>
      <c r="AD94" s="312">
        <f>Z94</f>
        <v>-2194</v>
      </c>
    </row>
    <row r="95" spans="2:31" ht="15">
      <c r="B95" s="285" t="s">
        <v>550</v>
      </c>
      <c r="C95" s="212"/>
      <c r="D95" s="206"/>
      <c r="E95" s="268">
        <v>-2600</v>
      </c>
      <c r="F95" s="268"/>
      <c r="G95" s="269">
        <v>-2287.56</v>
      </c>
      <c r="H95" s="268" t="s">
        <v>0</v>
      </c>
      <c r="I95" s="269">
        <v>-2807.46</v>
      </c>
      <c r="J95" s="268"/>
      <c r="K95" s="268"/>
      <c r="N95" s="344">
        <v>0</v>
      </c>
      <c r="O95" s="275">
        <v>-2600</v>
      </c>
      <c r="P95" s="268">
        <v>-2600</v>
      </c>
      <c r="Q95" s="275"/>
      <c r="R95" s="275">
        <v>-2600</v>
      </c>
      <c r="S95" s="275"/>
      <c r="T95" s="275"/>
      <c r="U95" s="275"/>
      <c r="V95" s="275">
        <v>-2600</v>
      </c>
      <c r="W95" s="275">
        <v>-2600</v>
      </c>
      <c r="X95" s="275">
        <v>-2600</v>
      </c>
      <c r="Y95" s="275">
        <v>-2600</v>
      </c>
      <c r="Z95" s="275">
        <v>-2600</v>
      </c>
      <c r="AA95" s="275">
        <v>-2600</v>
      </c>
      <c r="AB95" s="275">
        <v>-2600</v>
      </c>
      <c r="AC95" s="275">
        <v>-2600</v>
      </c>
      <c r="AD95" s="311">
        <v>-2600</v>
      </c>
    </row>
    <row r="96" spans="2:31" s="211" customFormat="1" ht="15">
      <c r="B96" s="288" t="s">
        <v>173</v>
      </c>
      <c r="C96" s="212">
        <f>-8659-(1082*3)</f>
        <v>-11905</v>
      </c>
      <c r="D96" s="213"/>
      <c r="E96" s="268"/>
      <c r="F96" s="268"/>
      <c r="G96" s="268"/>
      <c r="H96" s="268"/>
      <c r="I96" s="269">
        <f>-1082.4*2</f>
        <v>-2164.8000000000002</v>
      </c>
      <c r="J96" s="268"/>
      <c r="K96" s="268"/>
      <c r="L96" s="268"/>
      <c r="M96" s="269">
        <f>I96</f>
        <v>-2164.8000000000002</v>
      </c>
      <c r="N96" s="343"/>
      <c r="O96" s="275"/>
      <c r="P96" s="275"/>
      <c r="Q96" s="268">
        <f>M96</f>
        <v>-2164.8000000000002</v>
      </c>
      <c r="R96" s="275">
        <f>M96</f>
        <v>-2164.8000000000002</v>
      </c>
      <c r="S96" s="275"/>
      <c r="T96" s="275"/>
      <c r="U96" s="275"/>
      <c r="V96" s="275">
        <f>M96</f>
        <v>-2164.8000000000002</v>
      </c>
      <c r="W96" s="275">
        <f>M96</f>
        <v>-2164.8000000000002</v>
      </c>
      <c r="X96" s="275">
        <f>Q96</f>
        <v>-2164.8000000000002</v>
      </c>
      <c r="Y96" s="275">
        <f>R96</f>
        <v>-2164.8000000000002</v>
      </c>
      <c r="Z96" s="275">
        <f>V96</f>
        <v>-2164.8000000000002</v>
      </c>
      <c r="AA96" s="275">
        <f>W96</f>
        <v>-2164.8000000000002</v>
      </c>
      <c r="AB96" s="275">
        <f>X96</f>
        <v>-2164.8000000000002</v>
      </c>
      <c r="AC96" s="275">
        <v>-1082.4000000000001</v>
      </c>
      <c r="AD96" s="311">
        <v>-1082.4000000000001</v>
      </c>
    </row>
    <row r="97" spans="1:33" s="211" customFormat="1" ht="15">
      <c r="B97" s="288" t="s">
        <v>553</v>
      </c>
      <c r="C97" s="212"/>
      <c r="D97" s="213"/>
      <c r="E97" s="268"/>
      <c r="F97" s="269">
        <v>-500</v>
      </c>
      <c r="G97" s="268" t="s">
        <v>0</v>
      </c>
      <c r="H97" s="268" t="s">
        <v>0</v>
      </c>
      <c r="I97" s="268"/>
      <c r="J97" s="268"/>
      <c r="K97" s="268"/>
      <c r="L97" s="268"/>
      <c r="M97" s="268">
        <v>0</v>
      </c>
      <c r="N97" s="344">
        <f>-250*2</f>
        <v>-500</v>
      </c>
      <c r="O97" s="275"/>
      <c r="P97" s="275"/>
      <c r="Q97" s="275"/>
      <c r="R97" s="275">
        <v>-250</v>
      </c>
      <c r="S97" s="275"/>
      <c r="T97" s="275"/>
      <c r="U97" s="275"/>
      <c r="V97" s="275">
        <v>-250</v>
      </c>
      <c r="W97" s="275">
        <v>-250</v>
      </c>
      <c r="X97" s="275">
        <v>-250</v>
      </c>
      <c r="Y97" s="275">
        <v>-250</v>
      </c>
      <c r="Z97" s="275">
        <v>-250</v>
      </c>
      <c r="AA97" s="275">
        <v>-250</v>
      </c>
      <c r="AB97" s="275">
        <v>-250</v>
      </c>
      <c r="AC97" s="275">
        <v>-250</v>
      </c>
      <c r="AD97" s="311">
        <v>-250</v>
      </c>
    </row>
    <row r="98" spans="1:33" s="211" customFormat="1" ht="15">
      <c r="B98" s="288" t="s">
        <v>687</v>
      </c>
      <c r="C98" s="212"/>
      <c r="D98" s="213"/>
      <c r="E98" s="268"/>
      <c r="F98" s="268">
        <v>-3550</v>
      </c>
      <c r="G98" s="268"/>
      <c r="H98" s="268"/>
      <c r="I98" s="268"/>
      <c r="J98" s="268">
        <v>-2706.99</v>
      </c>
      <c r="K98" s="268"/>
      <c r="L98" s="268"/>
      <c r="M98" s="268"/>
      <c r="N98" s="344">
        <v>-3000</v>
      </c>
      <c r="O98" s="275"/>
      <c r="P98" s="275"/>
      <c r="Q98" s="275"/>
      <c r="R98" s="275"/>
      <c r="S98" s="275">
        <v>-3000</v>
      </c>
      <c r="T98" s="275"/>
      <c r="U98" s="275"/>
      <c r="V98" s="275">
        <v>-3000</v>
      </c>
      <c r="W98" s="275">
        <v>-3000</v>
      </c>
      <c r="X98" s="275">
        <v>-3000</v>
      </c>
      <c r="Y98" s="275">
        <v>-3000</v>
      </c>
      <c r="Z98" s="275">
        <v>-3000</v>
      </c>
      <c r="AA98" s="275">
        <v>-3000</v>
      </c>
      <c r="AB98" s="275">
        <v>-3000</v>
      </c>
      <c r="AC98" s="275">
        <v>-3000</v>
      </c>
      <c r="AD98" s="311">
        <v>-3000</v>
      </c>
      <c r="AE98" s="275">
        <v>-3000</v>
      </c>
    </row>
    <row r="99" spans="1:33" s="211" customFormat="1" ht="15">
      <c r="B99" s="288" t="s">
        <v>177</v>
      </c>
      <c r="C99" s="212"/>
      <c r="D99" s="213"/>
      <c r="E99" s="268"/>
      <c r="F99" s="268"/>
      <c r="G99" s="268">
        <v>-2563</v>
      </c>
      <c r="H99" s="268"/>
      <c r="I99" s="268"/>
      <c r="J99" s="268"/>
      <c r="K99" s="268"/>
      <c r="L99" s="268"/>
      <c r="M99" s="268"/>
      <c r="N99" s="344"/>
      <c r="O99" s="275"/>
      <c r="P99" s="275"/>
      <c r="Q99" s="275"/>
      <c r="R99" s="275"/>
      <c r="S99" s="275">
        <v>-3000</v>
      </c>
      <c r="T99" s="275"/>
      <c r="U99" s="275"/>
      <c r="V99" s="275"/>
      <c r="W99" s="275"/>
      <c r="X99" s="275"/>
      <c r="Y99" s="275"/>
      <c r="Z99" s="275"/>
      <c r="AA99" s="275"/>
      <c r="AB99" s="275"/>
      <c r="AC99" s="275"/>
      <c r="AD99" s="311"/>
    </row>
    <row r="100" spans="1:33" s="211" customFormat="1" ht="15">
      <c r="B100" s="288" t="s">
        <v>178</v>
      </c>
      <c r="C100" s="212"/>
      <c r="D100" s="213"/>
      <c r="E100" s="268"/>
      <c r="F100" s="268"/>
      <c r="G100" s="268"/>
      <c r="H100" s="268"/>
      <c r="I100" s="269">
        <f>-62.5-33.26</f>
        <v>-95.759999999999991</v>
      </c>
      <c r="J100" s="268"/>
      <c r="K100" s="268"/>
      <c r="L100" s="268"/>
      <c r="M100" s="269">
        <v>-32.32</v>
      </c>
      <c r="N100" s="344"/>
      <c r="O100" s="275"/>
      <c r="P100" s="275"/>
      <c r="Q100" s="275"/>
      <c r="R100" s="275"/>
      <c r="S100" s="275"/>
      <c r="T100" s="275"/>
      <c r="U100" s="275"/>
      <c r="V100" s="275"/>
      <c r="W100" s="275"/>
      <c r="X100" s="275"/>
      <c r="Y100" s="275"/>
      <c r="Z100" s="275"/>
      <c r="AA100" s="275"/>
      <c r="AB100" s="275"/>
      <c r="AC100" s="275"/>
      <c r="AD100" s="311"/>
    </row>
    <row r="101" spans="1:33" s="211" customFormat="1" ht="15">
      <c r="B101" s="288" t="s">
        <v>179</v>
      </c>
      <c r="C101" s="212"/>
      <c r="D101" s="213"/>
      <c r="E101" s="268"/>
      <c r="F101" s="268"/>
      <c r="G101" s="269">
        <v>-186</v>
      </c>
      <c r="H101" s="268"/>
      <c r="I101" s="268"/>
      <c r="J101" s="268"/>
      <c r="K101" s="269">
        <f>G101</f>
        <v>-186</v>
      </c>
      <c r="L101" s="268"/>
      <c r="M101" s="268"/>
      <c r="N101" s="344">
        <f>K101</f>
        <v>-186</v>
      </c>
      <c r="O101" s="275"/>
      <c r="P101" s="275"/>
      <c r="Q101" s="275"/>
      <c r="R101" s="275">
        <f>N101</f>
        <v>-186</v>
      </c>
      <c r="S101" s="275"/>
      <c r="T101" s="275"/>
      <c r="U101" s="275"/>
      <c r="V101" s="275">
        <f>R101</f>
        <v>-186</v>
      </c>
      <c r="W101" s="275">
        <f>N101</f>
        <v>-186</v>
      </c>
      <c r="X101" s="275">
        <f>R101</f>
        <v>-186</v>
      </c>
      <c r="Y101" s="275">
        <f t="shared" ref="Y101:AD101" si="10">V101</f>
        <v>-186</v>
      </c>
      <c r="Z101" s="275">
        <f t="shared" si="10"/>
        <v>-186</v>
      </c>
      <c r="AA101" s="275">
        <f t="shared" si="10"/>
        <v>-186</v>
      </c>
      <c r="AB101" s="275">
        <f t="shared" si="10"/>
        <v>-186</v>
      </c>
      <c r="AC101" s="275">
        <f t="shared" si="10"/>
        <v>-186</v>
      </c>
      <c r="AD101" s="311">
        <f t="shared" si="10"/>
        <v>-186</v>
      </c>
    </row>
    <row r="102" spans="1:33" s="211" customFormat="1" ht="15">
      <c r="B102" s="288" t="s">
        <v>180</v>
      </c>
      <c r="C102" s="212"/>
      <c r="D102" s="213"/>
      <c r="E102" s="268"/>
      <c r="F102" s="268"/>
      <c r="G102" s="268"/>
      <c r="H102" s="268"/>
      <c r="I102" s="268"/>
      <c r="J102" s="268"/>
      <c r="K102" s="269">
        <v>-35.67</v>
      </c>
      <c r="L102" s="268"/>
      <c r="M102" s="268"/>
      <c r="N102" s="344"/>
      <c r="O102" s="275"/>
      <c r="P102" s="275"/>
      <c r="Q102" s="275"/>
      <c r="R102" s="275"/>
      <c r="S102" s="275"/>
      <c r="T102" s="275"/>
      <c r="U102" s="275"/>
      <c r="V102" s="275"/>
      <c r="W102" s="275"/>
      <c r="X102" s="275"/>
      <c r="Y102" s="275"/>
      <c r="Z102" s="275"/>
      <c r="AA102" s="275"/>
      <c r="AB102" s="275"/>
      <c r="AC102" s="275"/>
      <c r="AD102" s="311"/>
    </row>
    <row r="103" spans="1:33" s="211" customFormat="1" ht="15">
      <c r="A103" s="211" t="s">
        <v>688</v>
      </c>
      <c r="B103" s="288" t="s">
        <v>181</v>
      </c>
      <c r="C103" s="212"/>
      <c r="D103" s="213"/>
      <c r="E103" s="268"/>
      <c r="F103" s="268"/>
      <c r="G103" s="268"/>
      <c r="H103" s="268"/>
      <c r="I103" s="268"/>
      <c r="J103" s="268"/>
      <c r="K103" s="268"/>
      <c r="L103" s="269">
        <v>-20</v>
      </c>
      <c r="M103" s="268"/>
      <c r="N103" s="344"/>
      <c r="O103" s="275"/>
      <c r="P103" s="275"/>
      <c r="Q103" s="275"/>
      <c r="R103" s="275"/>
      <c r="S103" s="275"/>
      <c r="T103" s="275"/>
      <c r="U103" s="275"/>
      <c r="V103" s="275"/>
      <c r="W103" s="275"/>
      <c r="X103" s="275"/>
      <c r="Y103" s="275"/>
      <c r="Z103" s="275"/>
      <c r="AA103" s="275"/>
      <c r="AB103" s="275"/>
      <c r="AC103" s="275"/>
      <c r="AD103" s="311"/>
    </row>
    <row r="104" spans="1:33" s="211" customFormat="1" ht="15">
      <c r="B104" s="288" t="s">
        <v>182</v>
      </c>
      <c r="C104" s="212"/>
      <c r="D104" s="213"/>
      <c r="E104" s="268"/>
      <c r="F104" s="268"/>
      <c r="G104" s="268"/>
      <c r="H104" s="268"/>
      <c r="I104" s="268"/>
      <c r="J104" s="268"/>
      <c r="K104" s="268"/>
      <c r="L104" s="268"/>
      <c r="M104" s="269">
        <v>-28</v>
      </c>
      <c r="N104" s="355">
        <v>-30.05</v>
      </c>
      <c r="O104" s="275"/>
      <c r="P104" s="275"/>
      <c r="Q104" s="275"/>
      <c r="R104" s="275"/>
      <c r="S104" s="275"/>
      <c r="T104" s="275"/>
      <c r="U104" s="275"/>
      <c r="V104" s="275"/>
      <c r="W104" s="275"/>
      <c r="X104" s="275"/>
      <c r="Y104" s="275"/>
      <c r="Z104" s="275"/>
      <c r="AA104" s="275"/>
      <c r="AB104" s="275"/>
      <c r="AC104" s="275"/>
      <c r="AD104" s="311"/>
    </row>
    <row r="105" spans="1:33" s="211" customFormat="1" ht="16" thickBot="1">
      <c r="B105" s="288" t="s">
        <v>183</v>
      </c>
      <c r="C105" s="212"/>
      <c r="D105" s="213"/>
      <c r="E105" s="268"/>
      <c r="F105" s="268"/>
      <c r="G105" s="268"/>
      <c r="H105" s="268"/>
      <c r="I105" s="268"/>
      <c r="J105" s="268"/>
      <c r="K105" s="268"/>
      <c r="L105" s="268"/>
      <c r="M105" s="269">
        <v>-425</v>
      </c>
      <c r="N105" s="344"/>
      <c r="O105" s="275"/>
      <c r="P105" s="275"/>
      <c r="Q105" s="275"/>
      <c r="R105" s="275"/>
      <c r="S105" s="275"/>
      <c r="T105" s="275"/>
      <c r="U105" s="275"/>
      <c r="V105" s="275"/>
      <c r="W105" s="275"/>
      <c r="X105" s="275"/>
      <c r="Y105" s="275"/>
      <c r="Z105" s="275"/>
      <c r="AA105" s="275"/>
      <c r="AB105" s="275"/>
      <c r="AC105" s="275"/>
      <c r="AD105" s="311"/>
    </row>
    <row r="106" spans="1:33" s="211" customFormat="1" ht="12.75" customHeight="1" thickBot="1">
      <c r="B106" s="294" t="s">
        <v>197</v>
      </c>
      <c r="C106" s="212"/>
      <c r="D106" s="213"/>
      <c r="E106" s="268"/>
      <c r="F106" s="268"/>
      <c r="G106" s="268"/>
      <c r="H106" s="268"/>
      <c r="I106" s="268"/>
      <c r="J106" s="268"/>
      <c r="K106" s="268"/>
      <c r="L106" s="268"/>
      <c r="M106" s="268"/>
      <c r="N106" s="344"/>
      <c r="O106" s="275" t="s">
        <v>0</v>
      </c>
      <c r="P106" s="275"/>
      <c r="Q106" s="275"/>
      <c r="R106" s="275"/>
      <c r="S106" s="275"/>
      <c r="T106" s="275"/>
      <c r="U106" s="275"/>
      <c r="V106" s="275"/>
      <c r="W106" s="275"/>
      <c r="X106" s="275"/>
      <c r="Y106" s="275"/>
      <c r="Z106" s="275"/>
      <c r="AA106" s="275"/>
      <c r="AB106" s="275"/>
      <c r="AC106" s="275"/>
      <c r="AD106" s="311"/>
    </row>
    <row r="107" spans="1:33" s="211" customFormat="1" ht="15">
      <c r="B107" s="285" t="s">
        <v>199</v>
      </c>
      <c r="C107" s="212"/>
      <c r="D107" s="213"/>
      <c r="E107" s="268"/>
      <c r="F107" s="268"/>
      <c r="G107" s="268"/>
      <c r="H107" s="268"/>
      <c r="I107" s="269">
        <v>-1658</v>
      </c>
      <c r="J107" s="268"/>
      <c r="K107" s="268"/>
      <c r="L107" s="268"/>
      <c r="M107" s="269">
        <f>I107</f>
        <v>-1658</v>
      </c>
      <c r="N107" s="344" t="s">
        <v>0</v>
      </c>
      <c r="O107" s="275"/>
      <c r="P107" s="275"/>
      <c r="Q107" s="275">
        <v>-1658</v>
      </c>
      <c r="S107" s="275"/>
      <c r="T107" s="275"/>
      <c r="U107" s="275">
        <v>-1658</v>
      </c>
      <c r="V107" s="268">
        <v>-1658</v>
      </c>
      <c r="W107" s="275">
        <v>-1658</v>
      </c>
      <c r="X107" s="275">
        <v>-1658</v>
      </c>
      <c r="Y107" s="275">
        <v>-1658</v>
      </c>
      <c r="Z107" s="275">
        <v>-1658</v>
      </c>
      <c r="AA107" s="275">
        <v>-1658</v>
      </c>
      <c r="AB107" s="275">
        <v>-1658</v>
      </c>
      <c r="AC107" s="275">
        <v>-1658</v>
      </c>
      <c r="AD107" s="311">
        <v>-1658</v>
      </c>
    </row>
    <row r="108" spans="1:33" s="211" customFormat="1" ht="15">
      <c r="B108" s="285" t="s">
        <v>200</v>
      </c>
      <c r="C108" s="212"/>
      <c r="D108" s="213"/>
      <c r="E108" s="268"/>
      <c r="F108" s="268"/>
      <c r="G108" s="268"/>
      <c r="H108" s="269">
        <v>-7004</v>
      </c>
      <c r="I108" s="268"/>
      <c r="J108" s="268"/>
      <c r="K108" s="268"/>
      <c r="L108" s="268"/>
      <c r="M108" s="269">
        <f>H108</f>
        <v>-7004</v>
      </c>
      <c r="N108" s="344" t="s">
        <v>0</v>
      </c>
      <c r="O108" s="275"/>
      <c r="P108" s="275"/>
      <c r="Q108" s="275">
        <v>-7004</v>
      </c>
      <c r="S108" s="275"/>
      <c r="T108" s="275"/>
      <c r="U108" s="275">
        <v>-7004</v>
      </c>
      <c r="V108" s="268">
        <v>-7004</v>
      </c>
      <c r="W108" s="275">
        <v>-7004</v>
      </c>
      <c r="X108" s="275">
        <v>-7004</v>
      </c>
      <c r="Y108" s="275">
        <v>-7004</v>
      </c>
      <c r="Z108" s="275">
        <v>-7004</v>
      </c>
      <c r="AA108" s="275">
        <v>-7004</v>
      </c>
      <c r="AB108" s="275" t="s">
        <v>0</v>
      </c>
      <c r="AC108" s="275" t="s">
        <v>0</v>
      </c>
      <c r="AD108" s="311" t="s">
        <v>0</v>
      </c>
    </row>
    <row r="109" spans="1:33" s="211" customFormat="1" ht="15">
      <c r="B109" s="285" t="s">
        <v>201</v>
      </c>
      <c r="C109" s="212"/>
      <c r="D109" s="213"/>
      <c r="E109" s="268"/>
      <c r="F109" s="268"/>
      <c r="G109" s="269">
        <v>-4371</v>
      </c>
      <c r="H109" s="268" t="s">
        <v>0</v>
      </c>
      <c r="I109" s="268"/>
      <c r="J109" s="268"/>
      <c r="K109" s="269">
        <v>-4371</v>
      </c>
      <c r="L109" s="268"/>
      <c r="N109" s="343"/>
      <c r="O109" s="268">
        <v>-4371</v>
      </c>
      <c r="P109" s="275"/>
      <c r="Q109" s="275"/>
      <c r="R109" s="275" t="s">
        <v>0</v>
      </c>
      <c r="S109" s="275">
        <v>-4371</v>
      </c>
      <c r="T109" s="275"/>
      <c r="U109" s="275"/>
      <c r="V109" s="275" t="s">
        <v>0</v>
      </c>
      <c r="W109" s="275">
        <v>-4371</v>
      </c>
      <c r="X109" s="275"/>
      <c r="Y109" s="275"/>
      <c r="Z109" s="275"/>
      <c r="AA109" s="275"/>
      <c r="AB109" s="275"/>
      <c r="AC109" s="275"/>
      <c r="AD109" s="311"/>
    </row>
    <row r="110" spans="1:33" s="211" customFormat="1" ht="15">
      <c r="B110" s="285" t="s">
        <v>689</v>
      </c>
      <c r="C110" s="212"/>
      <c r="D110" s="213"/>
      <c r="E110" s="268"/>
      <c r="F110" s="268"/>
      <c r="G110" s="268"/>
      <c r="H110" s="268"/>
      <c r="I110" s="268"/>
      <c r="J110" s="268"/>
      <c r="K110" s="268"/>
      <c r="L110" s="268"/>
      <c r="N110" s="343"/>
      <c r="O110" s="268"/>
      <c r="P110" s="275"/>
      <c r="Q110" s="275"/>
      <c r="R110" s="275"/>
      <c r="S110" s="275"/>
      <c r="T110" s="275"/>
      <c r="U110" s="275"/>
      <c r="V110" s="275"/>
      <c r="W110" s="275">
        <v>0</v>
      </c>
      <c r="X110" s="211">
        <v>0</v>
      </c>
      <c r="Y110" s="275"/>
      <c r="Z110" s="275">
        <v>0</v>
      </c>
      <c r="AB110" s="275"/>
      <c r="AC110" s="275">
        <v>0</v>
      </c>
      <c r="AD110" s="351"/>
      <c r="AG110" s="268">
        <v>-120000</v>
      </c>
    </row>
    <row r="111" spans="1:33" s="211" customFormat="1" ht="15" thickBot="1">
      <c r="B111" s="285"/>
      <c r="C111" s="212"/>
      <c r="D111" s="213"/>
      <c r="E111" s="268"/>
      <c r="F111" s="268"/>
      <c r="G111" s="268"/>
      <c r="H111" s="268"/>
      <c r="I111" s="268"/>
      <c r="J111" s="268"/>
      <c r="K111" s="268"/>
      <c r="L111" s="268"/>
      <c r="N111" s="343"/>
      <c r="O111" s="268"/>
      <c r="P111" s="275"/>
      <c r="Q111" s="275"/>
      <c r="R111" s="275"/>
      <c r="S111" s="275"/>
      <c r="T111" s="275"/>
      <c r="U111" s="275"/>
      <c r="V111" s="275"/>
      <c r="W111" s="275"/>
      <c r="X111" s="275"/>
      <c r="Y111" s="275"/>
      <c r="Z111" s="275"/>
      <c r="AA111" s="275"/>
      <c r="AB111" s="275"/>
      <c r="AC111" s="275"/>
      <c r="AD111" s="311"/>
    </row>
    <row r="112" spans="1:33" ht="16" thickBot="1">
      <c r="B112" s="292" t="s">
        <v>205</v>
      </c>
      <c r="C112" s="212"/>
      <c r="D112" s="206"/>
      <c r="E112" s="268"/>
      <c r="F112" s="268"/>
      <c r="G112" s="268"/>
      <c r="H112" s="268"/>
      <c r="I112" s="268"/>
      <c r="J112" s="268"/>
      <c r="K112" s="268"/>
      <c r="L112" s="268"/>
      <c r="M112" s="268"/>
      <c r="N112" s="347"/>
      <c r="O112" s="275"/>
      <c r="P112" s="275"/>
      <c r="Q112" s="275"/>
      <c r="R112" s="275"/>
      <c r="S112" s="275"/>
      <c r="T112" s="275"/>
      <c r="U112" s="275"/>
      <c r="V112" s="275"/>
      <c r="W112" s="275"/>
      <c r="X112" s="275"/>
      <c r="Y112" s="275"/>
      <c r="Z112" s="275"/>
      <c r="AA112" s="275"/>
      <c r="AB112" s="275"/>
      <c r="AC112" s="275"/>
      <c r="AD112" s="311"/>
    </row>
    <row r="113" spans="2:31" ht="15">
      <c r="B113" s="285" t="s">
        <v>647</v>
      </c>
      <c r="C113" s="212"/>
      <c r="D113" s="206"/>
      <c r="E113" s="269">
        <v>-4140</v>
      </c>
      <c r="F113" s="268"/>
      <c r="G113" s="268"/>
      <c r="H113" s="268" t="s">
        <v>0</v>
      </c>
      <c r="I113" s="269">
        <v>-4140</v>
      </c>
      <c r="J113" s="268" t="s">
        <v>0</v>
      </c>
      <c r="K113" s="268"/>
      <c r="L113" s="268"/>
      <c r="M113" s="268" t="s">
        <v>0</v>
      </c>
      <c r="N113" s="345"/>
      <c r="P113" s="275"/>
      <c r="Q113" s="275"/>
      <c r="S113" s="275">
        <v>0</v>
      </c>
      <c r="T113" s="269">
        <f>-8280*2</f>
        <v>-16560</v>
      </c>
      <c r="U113" s="275"/>
      <c r="V113" s="310">
        <v>-8613</v>
      </c>
      <c r="W113" s="275"/>
      <c r="X113" s="275"/>
      <c r="Y113" s="275"/>
      <c r="Z113" s="275"/>
      <c r="AA113" s="275"/>
      <c r="AB113" s="275"/>
      <c r="AC113" s="275"/>
      <c r="AD113" s="311"/>
    </row>
    <row r="114" spans="2:31" ht="15">
      <c r="B114" s="285" t="s">
        <v>206</v>
      </c>
      <c r="C114" s="212">
        <v>189000</v>
      </c>
      <c r="D114" s="206"/>
      <c r="E114" s="268"/>
      <c r="F114" s="268"/>
      <c r="G114" s="268"/>
      <c r="H114" s="268"/>
      <c r="I114" s="268"/>
      <c r="J114" s="268"/>
      <c r="K114" s="268"/>
      <c r="L114" s="269">
        <v>-15000</v>
      </c>
      <c r="M114" s="268"/>
      <c r="N114" s="345"/>
      <c r="O114" s="268"/>
      <c r="P114" s="269">
        <v>-15000</v>
      </c>
      <c r="Q114" s="268"/>
      <c r="S114" s="275"/>
      <c r="T114" s="310">
        <v>-15000</v>
      </c>
      <c r="U114" s="275"/>
      <c r="V114" s="310">
        <v>-15000</v>
      </c>
      <c r="W114" s="310">
        <v>-15000</v>
      </c>
      <c r="X114" s="310">
        <v>-15000</v>
      </c>
      <c r="Y114" s="310">
        <v>-15000</v>
      </c>
      <c r="Z114" s="310">
        <v>-15000</v>
      </c>
      <c r="AA114" s="310">
        <v>-15000</v>
      </c>
      <c r="AB114" s="310">
        <v>-15000</v>
      </c>
      <c r="AC114" s="310">
        <v>-15000</v>
      </c>
      <c r="AD114" s="312">
        <v>-15000</v>
      </c>
      <c r="AE114" s="312">
        <v>-9000</v>
      </c>
    </row>
    <row r="115" spans="2:31" ht="15">
      <c r="B115" s="285" t="s">
        <v>690</v>
      </c>
      <c r="C115" s="212">
        <v>201000</v>
      </c>
      <c r="D115" s="206"/>
      <c r="E115" s="268" t="s">
        <v>0</v>
      </c>
      <c r="F115" s="268"/>
      <c r="G115" s="268"/>
      <c r="H115" s="268"/>
      <c r="I115" s="268"/>
      <c r="J115" s="268"/>
      <c r="K115" s="268" t="s">
        <v>0</v>
      </c>
      <c r="L115" s="268"/>
      <c r="M115" s="269">
        <v>-10000</v>
      </c>
      <c r="N115" s="345"/>
      <c r="O115" s="277"/>
      <c r="P115" s="277"/>
      <c r="Q115" s="310">
        <v>-10000</v>
      </c>
      <c r="S115" s="275"/>
      <c r="T115" s="275"/>
      <c r="U115" s="310">
        <v>-10000</v>
      </c>
      <c r="V115" s="310">
        <v>-15000</v>
      </c>
      <c r="W115" s="310">
        <v>-15000</v>
      </c>
      <c r="X115" s="310">
        <v>-15000</v>
      </c>
      <c r="Y115" s="310">
        <v>-20000</v>
      </c>
      <c r="Z115" s="310">
        <v>-20000</v>
      </c>
      <c r="AA115" s="310">
        <v>-20000</v>
      </c>
      <c r="AB115" s="310">
        <v>-20000</v>
      </c>
      <c r="AC115" s="310">
        <v>-20000</v>
      </c>
      <c r="AD115" s="312">
        <v>-20000</v>
      </c>
      <c r="AE115" s="312">
        <v>-6000</v>
      </c>
    </row>
    <row r="116" spans="2:31" ht="15">
      <c r="B116" s="285" t="s">
        <v>208</v>
      </c>
      <c r="C116" s="212"/>
      <c r="D116" s="206"/>
      <c r="E116" s="268"/>
      <c r="F116" s="268"/>
      <c r="G116" s="268"/>
      <c r="H116" s="268"/>
      <c r="I116" s="268"/>
      <c r="J116" s="268"/>
      <c r="K116" s="269">
        <v>-30000</v>
      </c>
      <c r="L116" s="310">
        <f>-44439-K116</f>
        <v>-14439</v>
      </c>
      <c r="M116" s="268"/>
      <c r="N116" s="345"/>
      <c r="O116" s="277"/>
      <c r="P116" s="277"/>
      <c r="Q116" s="310">
        <v>-78782</v>
      </c>
      <c r="S116" s="275"/>
      <c r="T116" s="275"/>
      <c r="U116" s="275">
        <f>-84180-Q116</f>
        <v>-5398</v>
      </c>
      <c r="V116" s="275"/>
      <c r="W116" s="275"/>
      <c r="X116" s="275"/>
      <c r="Y116" s="275"/>
      <c r="Z116" s="275"/>
      <c r="AA116" s="275"/>
      <c r="AB116" s="275"/>
      <c r="AC116" s="275"/>
      <c r="AD116" s="311"/>
    </row>
    <row r="117" spans="2:31" ht="15">
      <c r="B117" s="285" t="s">
        <v>667</v>
      </c>
      <c r="C117" s="212"/>
      <c r="D117" s="206"/>
      <c r="E117" s="268"/>
      <c r="F117" s="268"/>
      <c r="G117" s="268"/>
      <c r="H117" s="268"/>
      <c r="I117" s="268"/>
      <c r="J117" s="268"/>
      <c r="K117" s="268"/>
      <c r="L117" s="268"/>
      <c r="M117" s="268"/>
      <c r="N117" s="346"/>
      <c r="O117" s="277"/>
      <c r="P117" s="277"/>
      <c r="Q117" s="277"/>
      <c r="R117" s="275">
        <v>0</v>
      </c>
      <c r="S117" s="275"/>
      <c r="T117" s="275"/>
      <c r="U117" s="275"/>
      <c r="V117" s="275">
        <f>(-130000/4)+4067+5907</f>
        <v>-22526</v>
      </c>
      <c r="W117" s="275">
        <f>-130000/4</f>
        <v>-32500</v>
      </c>
      <c r="X117" s="275">
        <f>-130000/4</f>
        <v>-32500</v>
      </c>
      <c r="Y117" s="275">
        <f>-130000/4</f>
        <v>-32500</v>
      </c>
      <c r="Z117" s="275"/>
      <c r="AA117" s="275"/>
      <c r="AB117" s="275"/>
      <c r="AC117" s="275"/>
      <c r="AD117" s="311"/>
    </row>
    <row r="118" spans="2:31" ht="15">
      <c r="B118" s="285" t="s">
        <v>691</v>
      </c>
      <c r="C118" s="212"/>
      <c r="D118" s="206"/>
      <c r="E118" s="269">
        <v>-48000</v>
      </c>
      <c r="F118" s="268"/>
      <c r="G118" s="268"/>
      <c r="H118" s="268"/>
      <c r="I118" s="268"/>
      <c r="J118" s="268"/>
      <c r="K118" s="269">
        <v>-10000</v>
      </c>
      <c r="L118" s="268"/>
      <c r="M118" s="268"/>
      <c r="N118" s="345"/>
      <c r="O118" s="277"/>
      <c r="P118" s="310">
        <v>-10000</v>
      </c>
      <c r="Q118" s="277"/>
      <c r="S118" s="275"/>
      <c r="T118" s="310">
        <v>-10000</v>
      </c>
      <c r="U118" s="275"/>
      <c r="V118" s="310">
        <f>T118</f>
        <v>-10000</v>
      </c>
      <c r="W118" s="310">
        <v>-10000</v>
      </c>
      <c r="X118" s="310">
        <f>V118</f>
        <v>-10000</v>
      </c>
      <c r="Y118" s="275"/>
      <c r="Z118" s="275"/>
      <c r="AA118" s="275"/>
      <c r="AB118" s="275"/>
      <c r="AC118" s="275"/>
      <c r="AD118" s="311"/>
    </row>
    <row r="119" spans="2:31" ht="15">
      <c r="B119" s="285" t="s">
        <v>211</v>
      </c>
      <c r="C119" s="212"/>
      <c r="D119" s="206"/>
      <c r="E119" s="269">
        <v>-5285</v>
      </c>
      <c r="F119" s="269">
        <v>-5379</v>
      </c>
      <c r="G119" s="268"/>
      <c r="H119" s="268"/>
      <c r="I119" s="269">
        <v>-6700</v>
      </c>
      <c r="J119" s="269">
        <f>-7200-F119</f>
        <v>-1821</v>
      </c>
      <c r="K119" s="268"/>
      <c r="L119" s="268"/>
      <c r="M119" s="268"/>
      <c r="N119" s="346" t="s">
        <v>0</v>
      </c>
      <c r="O119" s="357">
        <v>-7200</v>
      </c>
      <c r="P119" s="277"/>
      <c r="Q119" s="277"/>
      <c r="R119" s="275">
        <v>-7200</v>
      </c>
      <c r="S119" s="275"/>
      <c r="T119" s="275"/>
      <c r="U119" s="275"/>
      <c r="V119" s="275"/>
      <c r="W119" s="275"/>
      <c r="X119" s="275"/>
      <c r="Y119" s="275"/>
      <c r="Z119" s="275"/>
      <c r="AA119" s="275"/>
      <c r="AB119" s="275"/>
      <c r="AC119" s="275"/>
      <c r="AD119" s="311"/>
    </row>
    <row r="120" spans="2:31" ht="15">
      <c r="B120" s="285" t="s">
        <v>668</v>
      </c>
      <c r="C120" s="212">
        <v>-5385</v>
      </c>
      <c r="D120" s="206"/>
      <c r="E120" s="268"/>
      <c r="F120" s="268"/>
      <c r="G120" s="268"/>
      <c r="H120" s="269">
        <f>(-4678-707)/2</f>
        <v>-2692.5</v>
      </c>
      <c r="I120" s="268" t="s">
        <v>0</v>
      </c>
      <c r="J120" s="268"/>
      <c r="K120" s="268"/>
      <c r="L120" s="269">
        <f>(-4678-707)/2</f>
        <v>-2692.5</v>
      </c>
      <c r="M120" s="268"/>
      <c r="N120" s="346"/>
      <c r="O120" s="277"/>
      <c r="P120" s="277"/>
      <c r="Q120" s="277"/>
      <c r="R120" s="275"/>
      <c r="S120" s="275"/>
      <c r="T120" s="275"/>
      <c r="U120" s="275"/>
      <c r="V120" s="275"/>
      <c r="W120" s="275"/>
      <c r="X120" s="275"/>
      <c r="Y120" s="275"/>
      <c r="Z120" s="275"/>
      <c r="AA120" s="275"/>
      <c r="AB120" s="275"/>
      <c r="AC120" s="275"/>
      <c r="AD120" s="311"/>
    </row>
    <row r="121" spans="2:31" ht="15">
      <c r="B121" s="285" t="s">
        <v>213</v>
      </c>
      <c r="C121" s="213">
        <v>-15449</v>
      </c>
      <c r="D121" s="206"/>
      <c r="E121" s="268"/>
      <c r="F121" s="310">
        <v>-2600</v>
      </c>
      <c r="G121" s="268"/>
      <c r="H121" s="268"/>
      <c r="I121" s="269">
        <f>-(10383+387)-F121</f>
        <v>-8170</v>
      </c>
      <c r="J121" s="268"/>
      <c r="K121" s="268"/>
      <c r="L121" s="268"/>
      <c r="N121" s="344">
        <v>0</v>
      </c>
      <c r="O121" s="277"/>
      <c r="P121" s="277"/>
      <c r="Q121" s="275">
        <v>-7079</v>
      </c>
      <c r="R121" s="275"/>
      <c r="S121" s="275"/>
      <c r="T121" s="275"/>
      <c r="U121" s="275">
        <v>-3456</v>
      </c>
      <c r="V121" s="275">
        <v>-1181</v>
      </c>
      <c r="W121" s="275"/>
      <c r="X121" s="275"/>
      <c r="Y121" s="275"/>
      <c r="Z121" s="275"/>
      <c r="AA121" s="275"/>
      <c r="AB121" s="275"/>
      <c r="AC121" s="275"/>
      <c r="AD121" s="311"/>
    </row>
    <row r="122" spans="2:31" ht="15">
      <c r="B122" s="285" t="s">
        <v>692</v>
      </c>
      <c r="C122" s="213">
        <v>-14884</v>
      </c>
      <c r="D122" s="206"/>
      <c r="E122" s="268"/>
      <c r="F122" s="269">
        <v>-1576</v>
      </c>
      <c r="G122" s="268"/>
      <c r="H122" s="268"/>
      <c r="I122" s="269">
        <f>(C122-F122)/2</f>
        <v>-6654</v>
      </c>
      <c r="J122" s="268"/>
      <c r="K122" s="269">
        <f>I122</f>
        <v>-6654</v>
      </c>
      <c r="L122" s="268"/>
      <c r="M122" s="269">
        <v>-2300</v>
      </c>
      <c r="N122" s="343"/>
      <c r="O122" s="277"/>
      <c r="Q122" s="275">
        <v>-8443</v>
      </c>
      <c r="R122" s="275"/>
      <c r="S122" s="275"/>
      <c r="T122" s="275"/>
      <c r="U122" s="275">
        <f>-5000-900</f>
        <v>-5900</v>
      </c>
      <c r="V122" s="275"/>
      <c r="W122" s="275"/>
      <c r="X122" s="275"/>
      <c r="Y122" s="275"/>
      <c r="Z122" s="275"/>
      <c r="AA122" s="275"/>
      <c r="AB122" s="275"/>
      <c r="AC122" s="275"/>
      <c r="AD122" s="311"/>
    </row>
    <row r="123" spans="2:31" ht="15">
      <c r="B123" s="285" t="s">
        <v>447</v>
      </c>
      <c r="C123" s="213"/>
      <c r="D123" s="206"/>
      <c r="E123" s="268"/>
      <c r="F123" s="269">
        <f>-1049.87-225.19</f>
        <v>-1275.06</v>
      </c>
      <c r="G123" s="268"/>
      <c r="H123" s="268"/>
      <c r="I123" s="269">
        <f>-(3413.12-1049.87-225.19)</f>
        <v>-2138.06</v>
      </c>
      <c r="J123" s="268"/>
      <c r="K123" s="268"/>
      <c r="L123" s="268"/>
      <c r="M123" s="268"/>
      <c r="N123" s="346"/>
      <c r="O123" s="277"/>
      <c r="P123" s="277"/>
      <c r="Q123" s="277"/>
      <c r="R123" s="275"/>
      <c r="S123" s="275"/>
      <c r="T123" s="275"/>
      <c r="U123" s="275"/>
      <c r="V123" s="275"/>
      <c r="W123" s="275"/>
      <c r="X123" s="275"/>
      <c r="Y123" s="275"/>
      <c r="Z123" s="275"/>
      <c r="AA123" s="275"/>
      <c r="AB123" s="275"/>
      <c r="AC123" s="275"/>
      <c r="AD123" s="311"/>
    </row>
    <row r="124" spans="2:31" ht="16" thickBot="1">
      <c r="B124" s="285" t="s">
        <v>216</v>
      </c>
      <c r="C124" s="206"/>
      <c r="D124" s="206"/>
      <c r="E124" s="268"/>
      <c r="F124" s="269"/>
      <c r="G124" s="268"/>
      <c r="H124" s="268"/>
      <c r="I124" s="269"/>
      <c r="J124" s="268"/>
      <c r="K124" s="268"/>
      <c r="L124" s="268"/>
      <c r="M124" s="268"/>
      <c r="N124" s="346"/>
      <c r="O124" s="277"/>
      <c r="P124" s="277"/>
      <c r="Q124" s="277"/>
      <c r="R124" s="275"/>
      <c r="S124" s="275"/>
      <c r="T124" s="275"/>
      <c r="V124" s="275">
        <f>-2000*2.5</f>
        <v>-5000</v>
      </c>
      <c r="W124" s="275">
        <v>-6000</v>
      </c>
      <c r="X124" s="275">
        <v>-6500</v>
      </c>
      <c r="Y124" s="275"/>
      <c r="Z124" s="275"/>
      <c r="AA124" s="275"/>
      <c r="AB124" s="275"/>
      <c r="AC124" s="275"/>
      <c r="AD124" s="311"/>
    </row>
    <row r="125" spans="2:31" ht="15" thickBot="1">
      <c r="B125" s="295"/>
      <c r="C125" s="211"/>
      <c r="D125" s="206"/>
      <c r="E125" s="268"/>
      <c r="F125" s="268"/>
      <c r="G125" s="268"/>
      <c r="H125" s="268"/>
      <c r="I125" s="268"/>
      <c r="J125" s="268"/>
      <c r="K125" s="268"/>
      <c r="L125" s="268"/>
      <c r="M125" s="268"/>
      <c r="N125" s="346"/>
      <c r="O125" s="277"/>
      <c r="P125" s="277"/>
      <c r="Q125" s="277"/>
      <c r="R125" s="275"/>
      <c r="S125" s="275"/>
      <c r="T125" s="275"/>
      <c r="U125" s="275"/>
      <c r="V125" s="275"/>
      <c r="W125" s="275"/>
      <c r="X125" s="275"/>
      <c r="Y125" s="275"/>
      <c r="Z125" s="275"/>
      <c r="AA125" s="275"/>
      <c r="AB125" s="275"/>
      <c r="AC125" s="275"/>
      <c r="AD125" s="311"/>
    </row>
    <row r="126" spans="2:31" ht="15">
      <c r="B126" s="285" t="s">
        <v>221</v>
      </c>
      <c r="C126" s="212">
        <v>-12500</v>
      </c>
      <c r="D126" s="206"/>
      <c r="E126" s="268"/>
      <c r="F126" s="268"/>
      <c r="G126" s="268"/>
      <c r="H126" s="268"/>
      <c r="I126" s="269">
        <v>-3000</v>
      </c>
      <c r="J126" s="268"/>
      <c r="K126" s="336"/>
      <c r="N126" s="345"/>
      <c r="O126" s="277"/>
      <c r="P126" s="277"/>
      <c r="S126" s="275"/>
      <c r="T126" s="275">
        <v>-2000</v>
      </c>
      <c r="V126" s="268">
        <v>-3000</v>
      </c>
      <c r="W126" s="275">
        <v>-4000</v>
      </c>
      <c r="X126" s="275"/>
      <c r="Y126" s="275"/>
      <c r="Z126" s="275"/>
      <c r="AA126" s="275"/>
      <c r="AB126" s="275"/>
      <c r="AC126" s="275"/>
      <c r="AD126" s="311"/>
    </row>
    <row r="127" spans="2:31" ht="15">
      <c r="B127" s="285" t="s">
        <v>222</v>
      </c>
      <c r="C127" s="212">
        <v>-25000</v>
      </c>
      <c r="D127" s="206"/>
      <c r="E127" s="268"/>
      <c r="F127" s="268"/>
      <c r="G127" s="268"/>
      <c r="H127" s="268"/>
      <c r="I127" s="269">
        <v>-5000</v>
      </c>
      <c r="J127" s="268"/>
      <c r="K127" s="268"/>
      <c r="N127" s="345"/>
      <c r="O127" s="277"/>
      <c r="P127" s="277"/>
      <c r="S127" s="275"/>
      <c r="T127" s="275">
        <v>-7500</v>
      </c>
      <c r="V127" s="268">
        <v>-5000</v>
      </c>
      <c r="W127" s="275">
        <v>-7500</v>
      </c>
      <c r="X127" s="275"/>
      <c r="Y127" s="275"/>
      <c r="Z127" s="275"/>
      <c r="AA127" s="275"/>
      <c r="AB127" s="275"/>
      <c r="AC127" s="275"/>
      <c r="AD127" s="311"/>
    </row>
    <row r="128" spans="2:31">
      <c r="B128" s="285"/>
      <c r="C128" s="212"/>
      <c r="D128" s="206"/>
      <c r="E128" s="268"/>
      <c r="F128" s="268"/>
      <c r="G128" s="268"/>
      <c r="H128" s="268"/>
      <c r="I128" s="269"/>
      <c r="J128" s="268"/>
      <c r="K128" s="268"/>
      <c r="N128" s="345"/>
      <c r="O128" s="277"/>
      <c r="P128" s="277"/>
      <c r="S128" s="275"/>
      <c r="T128" s="275"/>
      <c r="V128" s="268"/>
      <c r="W128" s="275"/>
      <c r="X128" s="275"/>
      <c r="Y128" s="275"/>
      <c r="Z128" s="275"/>
      <c r="AA128" s="275"/>
      <c r="AB128" s="275"/>
      <c r="AC128" s="275"/>
      <c r="AD128" s="311"/>
    </row>
    <row r="129" spans="2:32">
      <c r="B129" s="285"/>
      <c r="C129" s="212"/>
      <c r="D129" s="206"/>
      <c r="E129" s="268"/>
      <c r="F129" s="268"/>
      <c r="G129" s="268"/>
      <c r="H129" s="268"/>
      <c r="I129" s="268"/>
      <c r="J129" s="268"/>
      <c r="K129" s="332"/>
      <c r="L129" s="268"/>
      <c r="M129" s="332"/>
      <c r="N129" s="347"/>
      <c r="O129" s="277"/>
      <c r="P129" s="277"/>
      <c r="Q129" s="277"/>
      <c r="R129" s="275"/>
      <c r="S129" s="275"/>
      <c r="T129" s="275"/>
      <c r="U129" s="275"/>
      <c r="V129" s="275"/>
      <c r="W129" s="275"/>
      <c r="X129" s="275"/>
      <c r="Y129" s="275"/>
      <c r="Z129" s="275"/>
      <c r="AA129" s="275"/>
      <c r="AB129" s="275"/>
      <c r="AC129" s="275"/>
      <c r="AD129" s="311"/>
    </row>
    <row r="130" spans="2:32" ht="16" thickBot="1">
      <c r="B130" s="296" t="s">
        <v>224</v>
      </c>
      <c r="C130" s="352"/>
      <c r="D130" s="353"/>
      <c r="E130" s="279">
        <f t="shared" ref="E130:AD130" si="11">SUM(E7:E129)</f>
        <v>45589</v>
      </c>
      <c r="F130" s="279">
        <f t="shared" si="11"/>
        <v>-4627.4600000000009</v>
      </c>
      <c r="G130" s="279">
        <f t="shared" si="11"/>
        <v>154.1100000000024</v>
      </c>
      <c r="H130" s="279">
        <f t="shared" si="11"/>
        <v>69108.7</v>
      </c>
      <c r="I130" s="279">
        <f t="shared" si="11"/>
        <v>-14001.199999999995</v>
      </c>
      <c r="J130" s="279">
        <f t="shared" si="11"/>
        <v>18765.130000000005</v>
      </c>
      <c r="K130" s="279">
        <f t="shared" si="11"/>
        <v>-29496.839999999986</v>
      </c>
      <c r="L130" s="279">
        <f t="shared" si="11"/>
        <v>-67716.532399999996</v>
      </c>
      <c r="M130" s="279">
        <f t="shared" si="11"/>
        <v>33252.279999999992</v>
      </c>
      <c r="N130" s="348">
        <f t="shared" si="11"/>
        <v>-35690.65</v>
      </c>
      <c r="O130" s="279">
        <f t="shared" si="11"/>
        <v>140549.79999999999</v>
      </c>
      <c r="P130" s="279">
        <f t="shared" si="11"/>
        <v>-12169.702933333334</v>
      </c>
      <c r="Q130" s="279">
        <f t="shared" si="11"/>
        <v>-14658.902933333331</v>
      </c>
      <c r="R130" s="313">
        <f t="shared" si="11"/>
        <v>13805.945066666671</v>
      </c>
      <c r="S130" s="313">
        <f t="shared" si="11"/>
        <v>12366.297066666666</v>
      </c>
      <c r="T130" s="313">
        <f t="shared" si="11"/>
        <v>-9459.7029333333339</v>
      </c>
      <c r="U130" s="313">
        <f t="shared" si="11"/>
        <v>55693.297066666666</v>
      </c>
      <c r="V130" s="313">
        <f t="shared" si="11"/>
        <v>17280.039999999994</v>
      </c>
      <c r="W130" s="313">
        <f t="shared" si="11"/>
        <v>68424.333333333314</v>
      </c>
      <c r="X130" s="313">
        <f t="shared" si="11"/>
        <v>105324.93333333335</v>
      </c>
      <c r="Y130" s="313">
        <f t="shared" si="11"/>
        <v>85662.957333333325</v>
      </c>
      <c r="Z130" s="313">
        <f t="shared" si="11"/>
        <v>107928.93333333335</v>
      </c>
      <c r="AA130" s="313">
        <f t="shared" si="11"/>
        <v>9970.5333333333401</v>
      </c>
      <c r="AB130" s="313">
        <f t="shared" si="11"/>
        <v>52974.53333333334</v>
      </c>
      <c r="AC130" s="313">
        <f t="shared" si="11"/>
        <v>-30681.780000000006</v>
      </c>
      <c r="AD130" s="314">
        <f t="shared" si="11"/>
        <v>-42376.4</v>
      </c>
    </row>
    <row r="131" spans="2:32" ht="16" thickTop="1">
      <c r="B131" s="297" t="s">
        <v>225</v>
      </c>
      <c r="C131" s="221"/>
      <c r="D131" s="222"/>
      <c r="E131" s="269">
        <f>E130</f>
        <v>45589</v>
      </c>
      <c r="F131" s="269">
        <v>48154</v>
      </c>
      <c r="G131" s="269">
        <f>F131+G130</f>
        <v>48308.11</v>
      </c>
      <c r="H131" s="269">
        <v>112921.45</v>
      </c>
      <c r="I131" s="269">
        <v>103166</v>
      </c>
      <c r="J131" s="269">
        <f>I131+J130</f>
        <v>121931.13</v>
      </c>
      <c r="K131" s="269">
        <f>J131+K130</f>
        <v>92434.290000000023</v>
      </c>
      <c r="L131" s="269">
        <f>K131+L130</f>
        <v>24717.757600000026</v>
      </c>
      <c r="M131" s="269">
        <f>L131+M130</f>
        <v>57970.037600000018</v>
      </c>
      <c r="N131" s="349">
        <f t="shared" ref="N131:AD131" si="12">M131+N130</f>
        <v>22279.387600000016</v>
      </c>
      <c r="O131" s="269">
        <f t="shared" si="12"/>
        <v>162829.1876</v>
      </c>
      <c r="P131" s="269">
        <f t="shared" si="12"/>
        <v>150659.48466666666</v>
      </c>
      <c r="Q131" s="269">
        <f t="shared" si="12"/>
        <v>136000.58173333333</v>
      </c>
      <c r="R131" s="269">
        <f t="shared" si="12"/>
        <v>149806.52679999999</v>
      </c>
      <c r="S131" s="269">
        <f t="shared" si="12"/>
        <v>162172.82386666664</v>
      </c>
      <c r="T131" s="269">
        <f t="shared" si="12"/>
        <v>152713.1209333333</v>
      </c>
      <c r="U131" s="269">
        <f t="shared" si="12"/>
        <v>208406.41799999995</v>
      </c>
      <c r="V131" s="269">
        <f t="shared" si="12"/>
        <v>225686.45799999993</v>
      </c>
      <c r="W131" s="269">
        <f t="shared" si="12"/>
        <v>294110.79133333324</v>
      </c>
      <c r="X131" s="269">
        <f t="shared" si="12"/>
        <v>399435.72466666659</v>
      </c>
      <c r="Y131" s="269">
        <f t="shared" si="12"/>
        <v>485098.68199999991</v>
      </c>
      <c r="Z131" s="269">
        <f t="shared" si="12"/>
        <v>593027.61533333326</v>
      </c>
      <c r="AA131" s="269">
        <f t="shared" si="12"/>
        <v>602998.14866666659</v>
      </c>
      <c r="AB131" s="269">
        <f t="shared" si="12"/>
        <v>655972.68199999991</v>
      </c>
      <c r="AC131" s="269">
        <f t="shared" si="12"/>
        <v>625290.90199999989</v>
      </c>
      <c r="AD131" s="281">
        <f t="shared" si="12"/>
        <v>582914.50199999986</v>
      </c>
    </row>
    <row r="132" spans="2:32" ht="15" thickBot="1">
      <c r="B132" s="285"/>
      <c r="C132" s="212"/>
      <c r="D132" s="206"/>
      <c r="E132" s="225"/>
      <c r="F132" s="225"/>
      <c r="G132" s="225"/>
      <c r="H132" s="225"/>
      <c r="I132" s="225"/>
      <c r="J132" s="225"/>
      <c r="K132" s="333"/>
      <c r="L132" s="225"/>
      <c r="M132" s="225"/>
      <c r="N132" s="350"/>
      <c r="O132" s="225"/>
      <c r="P132" s="225"/>
      <c r="Q132" s="225"/>
      <c r="R132" s="225"/>
      <c r="S132" s="225"/>
      <c r="T132" s="225"/>
      <c r="U132" s="225"/>
      <c r="V132" s="225"/>
      <c r="W132" s="225"/>
      <c r="X132" s="225"/>
      <c r="Y132" s="225"/>
      <c r="Z132" s="225"/>
      <c r="AA132" s="225"/>
      <c r="AB132" s="225"/>
      <c r="AC132" s="225"/>
      <c r="AD132" s="306"/>
    </row>
    <row r="133" spans="2:32">
      <c r="B133" s="285"/>
      <c r="C133" s="358"/>
      <c r="D133" s="359"/>
      <c r="E133" s="211"/>
      <c r="F133" s="211" t="s">
        <v>0</v>
      </c>
      <c r="G133" s="211"/>
      <c r="H133" s="211"/>
      <c r="I133" s="211"/>
      <c r="J133" s="211"/>
      <c r="K133" s="302">
        <v>45200</v>
      </c>
      <c r="L133" s="317">
        <v>45200</v>
      </c>
      <c r="M133" s="208">
        <v>45200</v>
      </c>
      <c r="N133" s="338">
        <v>45231</v>
      </c>
      <c r="O133" s="209">
        <v>45231</v>
      </c>
      <c r="P133" s="209">
        <v>45231</v>
      </c>
      <c r="Q133" s="209">
        <v>45231</v>
      </c>
      <c r="R133" s="209">
        <v>45261</v>
      </c>
      <c r="S133" s="209">
        <v>45261</v>
      </c>
      <c r="T133" s="209">
        <v>45261</v>
      </c>
      <c r="U133" s="209">
        <v>45261</v>
      </c>
      <c r="V133" s="209">
        <v>45292</v>
      </c>
      <c r="W133" s="209">
        <v>45323</v>
      </c>
      <c r="X133" s="209">
        <v>45352</v>
      </c>
      <c r="Y133" s="209">
        <v>45383</v>
      </c>
      <c r="Z133" s="209">
        <v>45413</v>
      </c>
      <c r="AA133" s="209">
        <v>45444</v>
      </c>
      <c r="AB133" s="209">
        <v>45474</v>
      </c>
      <c r="AC133" s="271">
        <v>45505</v>
      </c>
      <c r="AD133" s="303">
        <v>45536</v>
      </c>
    </row>
    <row r="134" spans="2:32" ht="15" thickBot="1">
      <c r="B134" s="298"/>
      <c r="C134" s="225">
        <f>(2*900)+(1*650)</f>
        <v>2450</v>
      </c>
      <c r="D134" s="225"/>
      <c r="E134" s="225"/>
      <c r="F134" s="225"/>
      <c r="G134" s="225"/>
      <c r="H134" s="225"/>
      <c r="I134" s="225"/>
      <c r="J134" s="225"/>
      <c r="K134" s="328" t="s">
        <v>9</v>
      </c>
      <c r="L134" s="335" t="s">
        <v>10</v>
      </c>
      <c r="M134" s="328" t="s">
        <v>11</v>
      </c>
      <c r="N134" s="328" t="s">
        <v>12</v>
      </c>
      <c r="O134" s="328" t="s">
        <v>13</v>
      </c>
      <c r="P134" s="328" t="s">
        <v>14</v>
      </c>
      <c r="Q134" s="328" t="s">
        <v>15</v>
      </c>
      <c r="R134" s="328" t="s">
        <v>16</v>
      </c>
      <c r="S134" s="328" t="s">
        <v>17</v>
      </c>
      <c r="T134" s="328" t="s">
        <v>18</v>
      </c>
      <c r="U134" s="328" t="s">
        <v>19</v>
      </c>
      <c r="V134" s="328"/>
      <c r="W134" s="328"/>
      <c r="X134" s="328"/>
      <c r="Y134" s="328"/>
      <c r="Z134" s="328"/>
      <c r="AA134" s="328"/>
      <c r="AB134" s="328"/>
      <c r="AC134" s="328"/>
      <c r="AD134" s="329"/>
    </row>
    <row r="135" spans="2:32">
      <c r="C135" s="211"/>
      <c r="D135" s="211"/>
      <c r="E135" s="211"/>
      <c r="F135" s="211"/>
      <c r="G135" s="211"/>
      <c r="H135" s="211"/>
      <c r="I135" s="211"/>
      <c r="J135" s="211"/>
      <c r="K135" s="211"/>
      <c r="L135" s="211"/>
      <c r="M135" s="267"/>
      <c r="N135" s="267"/>
      <c r="O135" s="267"/>
      <c r="P135" s="267"/>
      <c r="Q135" s="267"/>
      <c r="R135" s="267"/>
      <c r="S135" s="267"/>
      <c r="T135" s="267"/>
      <c r="U135" s="267"/>
      <c r="V135" s="267"/>
      <c r="W135" s="267"/>
      <c r="X135" s="267"/>
      <c r="Y135" s="267"/>
      <c r="Z135" s="267"/>
      <c r="AA135" s="267"/>
      <c r="AB135" s="267"/>
      <c r="AC135" s="267"/>
      <c r="AD135" s="267"/>
    </row>
    <row r="136" spans="2:32" ht="16" thickBot="1">
      <c r="B136" s="327" t="s">
        <v>229</v>
      </c>
      <c r="C136" s="323"/>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row>
    <row r="137" spans="2:32" ht="15">
      <c r="B137" s="282" t="s">
        <v>670</v>
      </c>
      <c r="C137" s="211"/>
      <c r="D137" s="211"/>
      <c r="E137" s="211"/>
      <c r="F137" s="211"/>
      <c r="G137" s="211"/>
      <c r="H137" s="211" t="s">
        <v>0</v>
      </c>
      <c r="I137" s="211"/>
      <c r="J137" s="211"/>
      <c r="K137" s="211"/>
      <c r="L137" s="211"/>
      <c r="M137" s="211"/>
      <c r="N137" s="211"/>
      <c r="O137" s="211"/>
      <c r="P137" s="211"/>
      <c r="Q137" s="211"/>
      <c r="R137" s="211"/>
      <c r="S137" s="211"/>
      <c r="T137" s="211"/>
      <c r="U137" s="211"/>
      <c r="V137" s="268" t="s">
        <v>0</v>
      </c>
      <c r="W137" s="211" t="s">
        <v>0</v>
      </c>
      <c r="X137" s="211"/>
      <c r="Y137" s="211"/>
      <c r="Z137" s="211"/>
      <c r="AA137" s="211"/>
      <c r="AB137" s="211"/>
      <c r="AC137" s="211"/>
    </row>
    <row r="138" spans="2:32" ht="15">
      <c r="B138" s="282" t="s">
        <v>671</v>
      </c>
      <c r="C138" s="211"/>
      <c r="D138" s="211"/>
      <c r="E138" s="211"/>
      <c r="F138" s="211"/>
      <c r="G138" s="211"/>
      <c r="H138" s="211"/>
      <c r="I138" s="211"/>
      <c r="J138" s="211"/>
      <c r="K138" s="211"/>
      <c r="L138" s="211"/>
      <c r="M138" s="211"/>
      <c r="N138" s="211"/>
      <c r="O138" s="211"/>
      <c r="P138" s="211"/>
      <c r="Q138" s="211"/>
      <c r="R138" s="211"/>
      <c r="S138" s="211"/>
      <c r="T138" s="211"/>
      <c r="U138" s="211"/>
      <c r="V138" s="211" t="s">
        <v>0</v>
      </c>
      <c r="W138" s="211"/>
      <c r="X138" s="211"/>
      <c r="Y138" s="211"/>
      <c r="Z138" s="211"/>
      <c r="AA138" s="211"/>
      <c r="AB138" s="211"/>
      <c r="AC138" s="211"/>
    </row>
    <row r="139" spans="2:32" ht="15">
      <c r="B139" s="282" t="s">
        <v>672</v>
      </c>
      <c r="C139" s="211">
        <v>471000</v>
      </c>
      <c r="D139" s="211"/>
      <c r="E139" s="211"/>
      <c r="F139" s="211"/>
      <c r="G139" s="211"/>
      <c r="H139" s="211"/>
      <c r="I139" s="211"/>
      <c r="J139" s="211"/>
      <c r="K139" s="211"/>
      <c r="L139" s="211"/>
      <c r="M139" s="211"/>
      <c r="N139" s="211"/>
      <c r="O139" s="211"/>
      <c r="P139" s="211"/>
      <c r="Q139" s="211"/>
      <c r="R139" s="211" t="s">
        <v>0</v>
      </c>
      <c r="S139" s="211"/>
      <c r="T139" s="211"/>
      <c r="U139" s="211"/>
      <c r="V139" s="211" t="s">
        <v>0</v>
      </c>
      <c r="W139" s="211"/>
      <c r="X139" s="211"/>
      <c r="Y139" s="211"/>
      <c r="Z139" s="211"/>
      <c r="AA139" s="211"/>
      <c r="AB139" s="211"/>
      <c r="AC139" s="211"/>
    </row>
    <row r="140" spans="2:32" ht="15">
      <c r="B140" s="299" t="s">
        <v>571</v>
      </c>
      <c r="C140" s="263">
        <v>250000</v>
      </c>
      <c r="D140" s="211">
        <v>59750</v>
      </c>
      <c r="E140" s="211"/>
      <c r="F140" s="211"/>
      <c r="G140" s="211"/>
      <c r="H140" s="211"/>
      <c r="I140" s="211"/>
      <c r="J140" s="211"/>
      <c r="K140" s="211"/>
      <c r="L140" s="211"/>
      <c r="M140" s="211"/>
      <c r="N140" s="211"/>
      <c r="O140" s="211"/>
      <c r="P140" s="211"/>
      <c r="Q140" s="211"/>
      <c r="R140" s="211" t="s">
        <v>0</v>
      </c>
      <c r="S140" s="211"/>
      <c r="T140" s="211"/>
      <c r="U140" s="211"/>
      <c r="V140" s="211" t="s">
        <v>0</v>
      </c>
      <c r="W140" s="211" t="s">
        <v>0</v>
      </c>
      <c r="X140" s="211" t="s">
        <v>0</v>
      </c>
      <c r="Y140" s="211"/>
      <c r="Z140" s="211"/>
      <c r="AA140" s="211"/>
      <c r="AB140" s="211"/>
      <c r="AC140" s="211"/>
      <c r="AD140" s="211"/>
    </row>
    <row r="141" spans="2:32" ht="15">
      <c r="B141" s="299" t="s">
        <v>673</v>
      </c>
      <c r="C141" s="263"/>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D141" s="211"/>
      <c r="AE141" s="211"/>
      <c r="AF141" s="211"/>
    </row>
    <row r="142" spans="2:32" ht="15">
      <c r="B142" s="282" t="s">
        <v>672</v>
      </c>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D142" s="211"/>
      <c r="AE142" s="211"/>
      <c r="AF142" s="211"/>
    </row>
    <row r="143" spans="2:32" ht="15">
      <c r="B143" s="282" t="s">
        <v>674</v>
      </c>
      <c r="C143" s="263"/>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D143" s="211"/>
      <c r="AE143" s="211"/>
      <c r="AF143" s="211"/>
    </row>
    <row r="144" spans="2:32" ht="15">
      <c r="B144" s="282" t="s">
        <v>675</v>
      </c>
      <c r="C144" s="211">
        <v>600000</v>
      </c>
      <c r="D144" s="211">
        <f>'Job Calculations'!E113</f>
        <v>492100</v>
      </c>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D144" s="211"/>
    </row>
    <row r="145" spans="2:30" ht="15">
      <c r="B145" s="299" t="s">
        <v>367</v>
      </c>
      <c r="C145" s="264">
        <v>50000</v>
      </c>
      <c r="D145" s="211">
        <f>C145*0.8</f>
        <v>40000</v>
      </c>
      <c r="E145" s="211"/>
      <c r="F145" s="211"/>
      <c r="G145" s="211"/>
      <c r="H145" s="211">
        <v>0</v>
      </c>
      <c r="I145" s="211"/>
      <c r="J145" s="211"/>
      <c r="K145" s="211"/>
      <c r="L145" s="211">
        <v>0</v>
      </c>
      <c r="M145" s="211">
        <v>0</v>
      </c>
      <c r="N145" s="211">
        <v>0</v>
      </c>
      <c r="O145" s="211"/>
      <c r="P145" s="211"/>
      <c r="Q145" s="211"/>
      <c r="R145" s="211"/>
      <c r="S145" s="211"/>
      <c r="T145" s="211"/>
      <c r="U145" s="211"/>
      <c r="V145" s="211"/>
      <c r="W145" s="211"/>
      <c r="X145" s="211"/>
      <c r="Y145" s="211"/>
      <c r="Z145" s="211"/>
      <c r="AA145" s="211"/>
      <c r="AB145" s="211"/>
      <c r="AC145" s="211"/>
      <c r="AD145" s="211"/>
    </row>
    <row r="146" spans="2:30" ht="15">
      <c r="B146" s="282" t="s">
        <v>693</v>
      </c>
      <c r="D146" s="211">
        <v>150000</v>
      </c>
    </row>
    <row r="147" spans="2:30" ht="15">
      <c r="B147" s="282" t="s">
        <v>694</v>
      </c>
    </row>
    <row r="148" spans="2:30" ht="15">
      <c r="B148" s="282" t="s">
        <v>695</v>
      </c>
    </row>
    <row r="149" spans="2:30" ht="15">
      <c r="B149" s="282" t="s">
        <v>97</v>
      </c>
      <c r="C149" s="3" t="s">
        <v>0</v>
      </c>
    </row>
  </sheetData>
  <phoneticPr fontId="12" type="noConversion"/>
  <pageMargins left="0.70866141732283472" right="0.70866141732283472" top="0.74803149606299213" bottom="0.74803149606299213" header="0.31496062992125984" footer="0.31496062992125984"/>
  <pageSetup paperSize="8" scale="39" orientation="portrait" horizontalDpi="360" verticalDpi="360"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5F67-DB7A-4903-96DE-3571D5732709}">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4</vt:i4>
      </vt:variant>
    </vt:vector>
  </HeadingPairs>
  <TitlesOfParts>
    <vt:vector size="28" baseType="lpstr">
      <vt:lpstr>Cashflow Main Zero Tax </vt:lpstr>
      <vt:lpstr>Year End debtors and retention</vt:lpstr>
      <vt:lpstr>Flamestop holding </vt:lpstr>
      <vt:lpstr>Job Calculations</vt:lpstr>
      <vt:lpstr>Dave Calcs Merville</vt:lpstr>
      <vt:lpstr>Cashflow Zero Tax </vt:lpstr>
      <vt:lpstr>Retention</vt:lpstr>
      <vt:lpstr>Weekly wages</vt:lpstr>
      <vt:lpstr>Two week receivables</vt:lpstr>
      <vt:lpstr>Creditors</vt:lpstr>
      <vt:lpstr>Materials Forecast</vt:lpstr>
      <vt:lpstr>Jobs</vt:lpstr>
      <vt:lpstr>Overheads</vt:lpstr>
      <vt:lpstr>Creditor Calc</vt:lpstr>
      <vt:lpstr>Ref full list</vt:lpstr>
      <vt:lpstr>Weekly Cashflow planner</vt:lpstr>
      <vt:lpstr>Weekly Sales and Purchases</vt:lpstr>
      <vt:lpstr>Cashflow ref only</vt:lpstr>
      <vt:lpstr>Bus Dev</vt:lpstr>
      <vt:lpstr>Cashflow wo Debt (2)</vt:lpstr>
      <vt:lpstr>Cashflow ex WeWork</vt:lpstr>
      <vt:lpstr>Sheet3</vt:lpstr>
      <vt:lpstr>Cashflow</vt:lpstr>
      <vt:lpstr>Sheet4</vt:lpstr>
      <vt:lpstr>Cashflow!Print_Area</vt:lpstr>
      <vt:lpstr>'Cashflow wo Debt (2)'!Print_Area</vt:lpstr>
      <vt:lpstr>'Cashflow Zero Tax '!Print_Area</vt:lpstr>
      <vt:lpstr>'Weekly wages'!Print_Area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dc:creator>
  <cp:keywords/>
  <dc:description/>
  <cp:lastModifiedBy>Alan Clarke</cp:lastModifiedBy>
  <cp:revision/>
  <dcterms:created xsi:type="dcterms:W3CDTF">2015-06-05T18:17:20Z</dcterms:created>
  <dcterms:modified xsi:type="dcterms:W3CDTF">2025-06-20T19:21:24Z</dcterms:modified>
  <cp:category/>
  <cp:contentStatus/>
</cp:coreProperties>
</file>